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755" yWindow="390" windowWidth="16695" windowHeight="11760" tabRatio="613"/>
  </bookViews>
  <sheets>
    <sheet name="Contents" sheetId="120" r:id="rId1"/>
    <sheet name="Assumptions" sheetId="2" r:id="rId2"/>
    <sheet name="Lookups" sheetId="113" r:id="rId3"/>
    <sheet name="Project_Inputs" sheetId="16" r:id="rId4"/>
    <sheet name="Proj_1" sheetId="98" r:id="rId5"/>
    <sheet name="Proj_2" sheetId="99" r:id="rId6"/>
    <sheet name="Proj_3" sheetId="100" r:id="rId7"/>
    <sheet name="Proj_4" sheetId="101" r:id="rId8"/>
    <sheet name="Proj_5" sheetId="102" r:id="rId9"/>
    <sheet name="Proj_6" sheetId="103" r:id="rId10"/>
    <sheet name="Proj_7" sheetId="104" r:id="rId11"/>
    <sheet name="Proj_8" sheetId="105" r:id="rId12"/>
    <sheet name="Proj_9" sheetId="106" r:id="rId13"/>
    <sheet name="Proj_10" sheetId="89" r:id="rId14"/>
    <sheet name="Proj_11" sheetId="90" r:id="rId15"/>
    <sheet name="Proj_12" sheetId="91" r:id="rId16"/>
    <sheet name="Proj_13" sheetId="129" r:id="rId17"/>
    <sheet name="Proj_14" sheetId="128" r:id="rId18"/>
    <sheet name="Proj_15" sheetId="127" r:id="rId19"/>
    <sheet name="Proj_16" sheetId="126" r:id="rId20"/>
    <sheet name="Proj_17" sheetId="125" r:id="rId21"/>
    <sheet name="Proj_18" sheetId="124" r:id="rId22"/>
    <sheet name="Proj_19" sheetId="123" r:id="rId23"/>
    <sheet name="Proj_20" sheetId="92" r:id="rId24"/>
    <sheet name="Proj_21" sheetId="93" r:id="rId25"/>
    <sheet name="Proj_22" sheetId="94" r:id="rId26"/>
    <sheet name="Proj_23" sheetId="95" r:id="rId27"/>
    <sheet name="Proj_24" sheetId="96" r:id="rId28"/>
    <sheet name="Proj_25" sheetId="97" r:id="rId29"/>
    <sheet name="Proj_26" sheetId="9" r:id="rId30"/>
    <sheet name="Proj_27" sheetId="74" r:id="rId31"/>
    <sheet name="Proj_28" sheetId="75" r:id="rId32"/>
    <sheet name="Proj_29" sheetId="76" r:id="rId33"/>
    <sheet name="Proj_30" sheetId="77" r:id="rId34"/>
    <sheet name="Proj_31" sheetId="78" r:id="rId35"/>
    <sheet name="Proj_32" sheetId="79" r:id="rId36"/>
    <sheet name="Proj_33" sheetId="80" r:id="rId37"/>
    <sheet name="Proj_34" sheetId="81" r:id="rId38"/>
    <sheet name="Proj_35" sheetId="82" r:id="rId39"/>
    <sheet name="Proj_36" sheetId="83" r:id="rId40"/>
    <sheet name="Proj_37" sheetId="84" r:id="rId41"/>
    <sheet name="Proj_38" sheetId="85" r:id="rId42"/>
    <sheet name="Proj_39" sheetId="86" r:id="rId43"/>
    <sheet name="Proj_40" sheetId="87" r:id="rId44"/>
    <sheet name="Proj_41" sheetId="88" r:id="rId45"/>
    <sheet name="Proj_42" sheetId="121" r:id="rId46"/>
    <sheet name="Proj_43" sheetId="107" r:id="rId47"/>
    <sheet name="Proj_44" sheetId="108" r:id="rId48"/>
    <sheet name="Proj_45" sheetId="109" r:id="rId49"/>
    <sheet name="Proj_46" sheetId="110" r:id="rId50"/>
    <sheet name="Outputs--&gt;" sheetId="116" r:id="rId51"/>
    <sheet name="5.1(a)_Direct_Fcast" sheetId="119" r:id="rId52"/>
    <sheet name="5.1(b)_Total_Fcast" sheetId="14" r:id="rId53"/>
    <sheet name="5.1(c)_Total_Fcast" sheetId="63" r:id="rId54"/>
    <sheet name="5.1(d)_Repl_Fcast" sheetId="115" r:id="rId55"/>
    <sheet name="5.2(a)_Total_Fcast" sheetId="111" r:id="rId56"/>
    <sheet name="5.2(b)_Total_Fcast" sheetId="112" r:id="rId57"/>
    <sheet name="RIN_Outputs--&gt;" sheetId="130" r:id="rId58"/>
    <sheet name="2.1 Exp Summary" sheetId="131" r:id="rId59"/>
    <sheet name="2.6 Non Network - Submission" sheetId="132" r:id="rId60"/>
    <sheet name="2.10 Overheads - Submission" sheetId="134" r:id="rId61"/>
    <sheet name="2.12 Input Tables" sheetId="133" r:id="rId62"/>
    <sheet name="Error_Chks" sheetId="122" r:id="rId63"/>
  </sheets>
  <externalReferences>
    <externalReference r:id="rId64"/>
  </externalReferences>
  <definedNames>
    <definedName name="E_factor">Assumptions!$I$71</definedName>
    <definedName name="IT_OH_rates">Assumptions!$D$89:$N$89</definedName>
    <definedName name="Millions">Lookups!$F$18</definedName>
    <definedName name="Non_IT_rates">Assumptions!$D$83:$N$83</definedName>
    <definedName name="OHD_Summary_tbl">Assumptions!$D$95:$N$97</definedName>
    <definedName name="_xlnm.Print_Area" localSheetId="52">'5.1(b)_Total_Fcast'!$B$4:$L$23</definedName>
    <definedName name="_xlnm.Print_Area" localSheetId="55">'5.2(a)_Total_Fcast'!$B$4:$L$23</definedName>
    <definedName name="_xlnm.Print_Area" localSheetId="1">Assumptions!$B$1:$AO$93</definedName>
    <definedName name="_xlnm.Print_Area" localSheetId="4">Proj_1!$A$1:$U$96</definedName>
    <definedName name="_xlnm.Print_Area" localSheetId="13">Proj_10!$A$2:$U$96</definedName>
    <definedName name="_xlnm.Print_Area" localSheetId="14">Proj_11!$A$2:$U$96</definedName>
    <definedName name="_xlnm.Print_Area" localSheetId="15">Proj_12!$A$2:$U$96</definedName>
    <definedName name="_xlnm.Print_Area" localSheetId="5">Proj_2!$A$2:$U$96</definedName>
    <definedName name="_xlnm.Print_Area" localSheetId="23">Proj_20!$A$2:$U$96</definedName>
    <definedName name="_xlnm.Print_Area" localSheetId="24">Proj_21!$A$2:$U$96</definedName>
    <definedName name="_xlnm.Print_Area" localSheetId="25">Proj_22!$A$2:$U$96</definedName>
    <definedName name="_xlnm.Print_Area" localSheetId="26">Proj_23!$A$2:$U$96</definedName>
    <definedName name="_xlnm.Print_Area" localSheetId="27">Proj_24!$A$2:$U$96</definedName>
    <definedName name="_xlnm.Print_Area" localSheetId="28">Proj_25!$A$2:$U$96</definedName>
    <definedName name="_xlnm.Print_Area" localSheetId="29">Proj_26!$A$2:$U$96</definedName>
    <definedName name="_xlnm.Print_Area" localSheetId="30">Proj_27!$A$2:$U$96</definedName>
    <definedName name="_xlnm.Print_Area" localSheetId="31">Proj_28!$A$2:$U$96</definedName>
    <definedName name="_xlnm.Print_Area" localSheetId="32">Proj_29!$A$2:$U$96</definedName>
    <definedName name="_xlnm.Print_Area" localSheetId="6">Proj_3!$A$2:$U$96</definedName>
    <definedName name="_xlnm.Print_Area" localSheetId="33">Proj_30!$A$2:$U$96</definedName>
    <definedName name="_xlnm.Print_Area" localSheetId="34">Proj_31!$A$2:$U$96</definedName>
    <definedName name="_xlnm.Print_Area" localSheetId="35">Proj_32!$A$2:$U$96</definedName>
    <definedName name="_xlnm.Print_Area" localSheetId="36">Proj_33!$A$2:$U$96</definedName>
    <definedName name="_xlnm.Print_Area" localSheetId="37">Proj_34!$A$2:$U$96</definedName>
    <definedName name="_xlnm.Print_Area" localSheetId="38">Proj_35!$A$2:$U$96</definedName>
    <definedName name="_xlnm.Print_Area" localSheetId="39">Proj_36!$A$2:$U$96</definedName>
    <definedName name="_xlnm.Print_Area" localSheetId="40">Proj_37!$A$2:$U$96</definedName>
    <definedName name="_xlnm.Print_Area" localSheetId="41">Proj_38!$A$2:$U$96</definedName>
    <definedName name="_xlnm.Print_Area" localSheetId="42">Proj_39!$A$2:$U$96</definedName>
    <definedName name="_xlnm.Print_Area" localSheetId="7">Proj_4!$A$2:$U$96</definedName>
    <definedName name="_xlnm.Print_Area" localSheetId="43">Proj_40!$A$2:$U$96</definedName>
    <definedName name="_xlnm.Print_Area" localSheetId="44">Proj_41!$A$2:$U$96</definedName>
    <definedName name="_xlnm.Print_Area" localSheetId="46">Proj_43!$A$2:$U$96</definedName>
    <definedName name="_xlnm.Print_Area" localSheetId="47">Proj_44!$A$2:$U$96</definedName>
    <definedName name="_xlnm.Print_Area" localSheetId="48">Proj_45!$A$2:$U$96</definedName>
    <definedName name="_xlnm.Print_Area" localSheetId="49">Proj_46!$A$2:$U$96</definedName>
    <definedName name="_xlnm.Print_Area" localSheetId="8">Proj_5!$A$2:$U$96</definedName>
    <definedName name="_xlnm.Print_Area" localSheetId="9">Proj_6!$A$2:$U$96</definedName>
    <definedName name="_xlnm.Print_Area" localSheetId="10">Proj_7!$A$2:$U$96</definedName>
    <definedName name="_xlnm.Print_Area" localSheetId="11">Proj_8!$A$2:$U$96</definedName>
    <definedName name="_xlnm.Print_Area" localSheetId="12">Proj_9!$A$2:$U$96</definedName>
    <definedName name="_xlnm.Print_Area" localSheetId="3">Project_Inputs!$A$1:$U$52</definedName>
    <definedName name="Repex_OH_rates">Assumptions!$D$81:$N$81</definedName>
    <definedName name="Thousands">Lookups!$F$17</definedName>
  </definedNames>
  <calcPr calcId="145621"/>
</workbook>
</file>

<file path=xl/calcChain.xml><?xml version="1.0" encoding="utf-8"?>
<calcChain xmlns="http://schemas.openxmlformats.org/spreadsheetml/2006/main">
  <c r="J19" i="2" l="1"/>
  <c r="N19" i="2" s="1"/>
  <c r="I18" i="2"/>
  <c r="I19" i="2" s="1"/>
  <c r="H18" i="2"/>
  <c r="H19" i="2" s="1"/>
  <c r="M19" i="2" l="1"/>
  <c r="K19" i="2"/>
  <c r="O19" i="2"/>
  <c r="L19" i="2"/>
  <c r="J18" i="2" l="1"/>
  <c r="K18" i="2" s="1"/>
  <c r="L18" i="2" s="1"/>
  <c r="M18" i="2" s="1"/>
  <c r="N18" i="2" s="1"/>
  <c r="O18" i="2" s="1"/>
  <c r="I119" i="2" l="1"/>
  <c r="I118" i="2"/>
  <c r="I71" i="2"/>
  <c r="R27" i="16" l="1"/>
  <c r="R25" i="16"/>
  <c r="O17" i="16"/>
  <c r="S18" i="16"/>
  <c r="O13" i="16"/>
  <c r="S10" i="16"/>
  <c r="S50" i="16"/>
  <c r="Q28" i="16"/>
  <c r="P28" i="16"/>
  <c r="S28" i="16"/>
  <c r="O28" i="16"/>
  <c r="R28" i="16"/>
  <c r="Q30" i="16"/>
  <c r="P30" i="16"/>
  <c r="S30" i="16"/>
  <c r="O30" i="16"/>
  <c r="R30" i="16"/>
  <c r="S43" i="16"/>
  <c r="O43" i="16"/>
  <c r="R43" i="16"/>
  <c r="Q43" i="16"/>
  <c r="P43" i="16"/>
  <c r="S37" i="16"/>
  <c r="O37" i="16"/>
  <c r="R37" i="16"/>
  <c r="Q37" i="16"/>
  <c r="P37" i="16"/>
  <c r="Q26" i="16"/>
  <c r="P26" i="16"/>
  <c r="S26" i="16"/>
  <c r="O26" i="16"/>
  <c r="R26" i="16"/>
  <c r="Q40" i="16"/>
  <c r="P40" i="16"/>
  <c r="S40" i="16"/>
  <c r="O40" i="16"/>
  <c r="R40" i="16"/>
  <c r="S35" i="16"/>
  <c r="O35" i="16"/>
  <c r="R35" i="16"/>
  <c r="Q35" i="16"/>
  <c r="P35" i="16"/>
  <c r="Q20" i="16"/>
  <c r="P20" i="16"/>
  <c r="S20" i="16"/>
  <c r="O20" i="16"/>
  <c r="R20" i="16"/>
  <c r="Q48" i="16"/>
  <c r="P48" i="16"/>
  <c r="S48" i="16"/>
  <c r="O48" i="16"/>
  <c r="R48" i="16"/>
  <c r="S47" i="16"/>
  <c r="O47" i="16"/>
  <c r="R47" i="16"/>
  <c r="Q47" i="16"/>
  <c r="P47" i="16"/>
  <c r="O27" i="16"/>
  <c r="S15" i="16"/>
  <c r="O15" i="16"/>
  <c r="R15" i="16"/>
  <c r="Q15" i="16"/>
  <c r="P15" i="16"/>
  <c r="S7" i="16"/>
  <c r="O7" i="16"/>
  <c r="R7" i="16"/>
  <c r="Q7" i="16"/>
  <c r="P7" i="16"/>
  <c r="S31" i="16"/>
  <c r="O31" i="16"/>
  <c r="R31" i="16"/>
  <c r="Q31" i="16"/>
  <c r="P31" i="16"/>
  <c r="Q38" i="16"/>
  <c r="P38" i="16"/>
  <c r="S38" i="16"/>
  <c r="O38" i="16"/>
  <c r="R38" i="16"/>
  <c r="S33" i="16"/>
  <c r="O33" i="16"/>
  <c r="R33" i="16"/>
  <c r="Q33" i="16"/>
  <c r="P33" i="16"/>
  <c r="Q18" i="16"/>
  <c r="Q24" i="16"/>
  <c r="P24" i="16"/>
  <c r="S24" i="16"/>
  <c r="O24" i="16"/>
  <c r="R24" i="16"/>
  <c r="Q6" i="16"/>
  <c r="P6" i="16"/>
  <c r="S6" i="16"/>
  <c r="O6" i="16"/>
  <c r="R6" i="16"/>
  <c r="R17" i="16"/>
  <c r="S49" i="16"/>
  <c r="O49" i="16"/>
  <c r="R49" i="16"/>
  <c r="Q49" i="16"/>
  <c r="P49" i="16"/>
  <c r="Q44" i="16"/>
  <c r="P44" i="16"/>
  <c r="S44" i="16"/>
  <c r="O44" i="16"/>
  <c r="R44" i="16"/>
  <c r="S29" i="16"/>
  <c r="O29" i="16"/>
  <c r="R29" i="16"/>
  <c r="Q29" i="16"/>
  <c r="P29" i="16"/>
  <c r="P50" i="16"/>
  <c r="Q32" i="16"/>
  <c r="P32" i="16"/>
  <c r="S32" i="16"/>
  <c r="O32" i="16"/>
  <c r="R32" i="16"/>
  <c r="Q46" i="16"/>
  <c r="P46" i="16"/>
  <c r="S46" i="16"/>
  <c r="O46" i="16"/>
  <c r="R46" i="16"/>
  <c r="S23" i="16"/>
  <c r="O23" i="16"/>
  <c r="R23" i="16"/>
  <c r="Q23" i="16"/>
  <c r="P23" i="16"/>
  <c r="Q16" i="16"/>
  <c r="P16" i="16"/>
  <c r="S16" i="16"/>
  <c r="O16" i="16"/>
  <c r="R16" i="16"/>
  <c r="Q36" i="16"/>
  <c r="P36" i="16"/>
  <c r="S36" i="16"/>
  <c r="O36" i="16"/>
  <c r="R36" i="16"/>
  <c r="Q12" i="16"/>
  <c r="P12" i="16"/>
  <c r="S12" i="16"/>
  <c r="O12" i="16"/>
  <c r="R12" i="16"/>
  <c r="S13" i="16"/>
  <c r="S19" i="16"/>
  <c r="O19" i="16"/>
  <c r="R19" i="16"/>
  <c r="Q19" i="16"/>
  <c r="P19" i="16"/>
  <c r="S11" i="16"/>
  <c r="O11" i="16"/>
  <c r="R11" i="16"/>
  <c r="Q11" i="16"/>
  <c r="P11" i="16"/>
  <c r="S5" i="16"/>
  <c r="O5" i="16"/>
  <c r="R5" i="16"/>
  <c r="Q5" i="16"/>
  <c r="P5" i="16"/>
  <c r="S39" i="16"/>
  <c r="O39" i="16"/>
  <c r="R39" i="16"/>
  <c r="Q39" i="16"/>
  <c r="P39" i="16"/>
  <c r="S45" i="16"/>
  <c r="O45" i="16"/>
  <c r="R45" i="16"/>
  <c r="Q45" i="16"/>
  <c r="P45" i="16"/>
  <c r="S41" i="16"/>
  <c r="O41" i="16"/>
  <c r="R41" i="16"/>
  <c r="Q41" i="16"/>
  <c r="P41" i="16"/>
  <c r="S21" i="16"/>
  <c r="O21" i="16"/>
  <c r="R21" i="16"/>
  <c r="Q21" i="16"/>
  <c r="P21" i="16"/>
  <c r="Q14" i="16"/>
  <c r="P14" i="16"/>
  <c r="S14" i="16"/>
  <c r="O14" i="16"/>
  <c r="R14" i="16"/>
  <c r="Q34" i="16"/>
  <c r="P34" i="16"/>
  <c r="S34" i="16"/>
  <c r="O34" i="16"/>
  <c r="R34" i="16"/>
  <c r="Q22" i="16"/>
  <c r="P22" i="16"/>
  <c r="S22" i="16"/>
  <c r="O22" i="16"/>
  <c r="R22" i="16"/>
  <c r="S9" i="16"/>
  <c r="O9" i="16"/>
  <c r="R9" i="16"/>
  <c r="Q9" i="16"/>
  <c r="P9" i="16"/>
  <c r="Q8" i="16"/>
  <c r="P8" i="16"/>
  <c r="S8" i="16"/>
  <c r="O8" i="16"/>
  <c r="R8" i="16"/>
  <c r="Q25" i="16" l="1"/>
  <c r="P27" i="16"/>
  <c r="O25" i="16"/>
  <c r="Q27" i="16"/>
  <c r="P25" i="16"/>
  <c r="S27" i="16"/>
  <c r="S25" i="16"/>
  <c r="O18" i="16"/>
  <c r="S17" i="16"/>
  <c r="P18" i="16"/>
  <c r="Q17" i="16"/>
  <c r="R18" i="16"/>
  <c r="P17" i="16"/>
  <c r="Q13" i="16"/>
  <c r="R50" i="16"/>
  <c r="R13" i="16"/>
  <c r="O50" i="16"/>
  <c r="Q50" i="16"/>
  <c r="P13" i="16"/>
  <c r="Q10" i="16"/>
  <c r="O10" i="16"/>
  <c r="P10" i="16"/>
  <c r="R10" i="16"/>
  <c r="Q42" i="16"/>
  <c r="P42" i="16"/>
  <c r="S42" i="16"/>
  <c r="O42" i="16"/>
  <c r="R42" i="16"/>
  <c r="K114" i="2" l="1"/>
  <c r="J114" i="2"/>
  <c r="N113" i="2"/>
  <c r="L114" i="2"/>
  <c r="N112" i="2"/>
  <c r="M127" i="2"/>
  <c r="L127" i="2"/>
  <c r="I114" i="2"/>
  <c r="M114" i="2"/>
  <c r="K123" i="2"/>
  <c r="K143" i="2" s="1"/>
  <c r="J127" i="2"/>
  <c r="L123" i="2"/>
  <c r="L143" i="2" s="1"/>
  <c r="K127" i="2"/>
  <c r="I123" i="2"/>
  <c r="I143" i="2" s="1"/>
  <c r="M123" i="2"/>
  <c r="M143" i="2" s="1"/>
  <c r="I127" i="2"/>
  <c r="J123" i="2"/>
  <c r="J143" i="2" s="1"/>
  <c r="N143" i="2" l="1"/>
  <c r="N123" i="2"/>
  <c r="N127" i="2"/>
  <c r="G19" i="2" l="1"/>
  <c r="N108" i="2" l="1"/>
  <c r="I126" i="2"/>
  <c r="I116" i="2"/>
  <c r="I122" i="2"/>
  <c r="J126" i="2"/>
  <c r="J116" i="2"/>
  <c r="J122" i="2"/>
  <c r="M116" i="2"/>
  <c r="M126" i="2"/>
  <c r="M122" i="2"/>
  <c r="K116" i="2"/>
  <c r="K122" i="2"/>
  <c r="K126" i="2"/>
  <c r="L126" i="2"/>
  <c r="L116" i="2"/>
  <c r="L122" i="2"/>
  <c r="L110" i="2"/>
  <c r="I110" i="2"/>
  <c r="J110" i="2"/>
  <c r="L124" i="2" l="1"/>
  <c r="L136" i="2"/>
  <c r="K124" i="2"/>
  <c r="K136" i="2"/>
  <c r="I124" i="2"/>
  <c r="I136" i="2"/>
  <c r="N122" i="2"/>
  <c r="N124" i="2" s="1"/>
  <c r="J124" i="2"/>
  <c r="J136" i="2"/>
  <c r="L128" i="2"/>
  <c r="M124" i="2"/>
  <c r="M136" i="2"/>
  <c r="I128" i="2"/>
  <c r="N126" i="2"/>
  <c r="N128" i="2" s="1"/>
  <c r="K128" i="2"/>
  <c r="K129" i="2" s="1"/>
  <c r="M128" i="2"/>
  <c r="J128" i="2"/>
  <c r="K110" i="2"/>
  <c r="N109" i="2"/>
  <c r="N116" i="2"/>
  <c r="M110" i="2"/>
  <c r="J129" i="2" l="1"/>
  <c r="M129" i="2"/>
  <c r="L129" i="2"/>
  <c r="I129" i="2"/>
  <c r="N136" i="2"/>
  <c r="N129" i="2"/>
  <c r="H2" i="133" l="1"/>
  <c r="D26" i="134"/>
  <c r="J2" i="132"/>
  <c r="P4" i="112"/>
  <c r="P4" i="111"/>
  <c r="R16" i="111" s="1"/>
  <c r="O21" i="115"/>
  <c r="O3" i="115"/>
  <c r="P4" i="63"/>
  <c r="P4" i="14"/>
  <c r="R16" i="14" s="1"/>
  <c r="O4" i="119"/>
  <c r="D4" i="109"/>
  <c r="H11" i="109"/>
  <c r="G11" i="109"/>
  <c r="G54" i="2"/>
  <c r="H54" i="2" s="1"/>
  <c r="G55" i="2"/>
  <c r="H55" i="2" s="1"/>
  <c r="G56" i="2"/>
  <c r="H56" i="2" s="1"/>
  <c r="G57" i="2"/>
  <c r="H57" i="2" s="1"/>
  <c r="G58" i="2"/>
  <c r="H58" i="2" s="1"/>
  <c r="G59" i="2"/>
  <c r="H59" i="2" s="1"/>
  <c r="G60" i="2"/>
  <c r="H60" i="2" s="1"/>
  <c r="G61" i="2"/>
  <c r="H61" i="2" s="1"/>
  <c r="G62" i="2"/>
  <c r="H62" i="2" s="1"/>
  <c r="G63" i="2"/>
  <c r="H63" i="2" s="1"/>
  <c r="G34" i="109"/>
  <c r="G37" i="109"/>
  <c r="G38" i="109"/>
  <c r="G41" i="109"/>
  <c r="G42" i="109"/>
  <c r="D4" i="107"/>
  <c r="D4" i="108"/>
  <c r="D4" i="110"/>
  <c r="H11" i="107"/>
  <c r="H11" i="108"/>
  <c r="H11" i="110"/>
  <c r="G11" i="107"/>
  <c r="G34" i="107"/>
  <c r="G35" i="107"/>
  <c r="G36" i="107"/>
  <c r="G37" i="107"/>
  <c r="G38" i="107"/>
  <c r="G39" i="107"/>
  <c r="G40" i="107"/>
  <c r="G41" i="107"/>
  <c r="G42" i="107"/>
  <c r="G43" i="107"/>
  <c r="G11" i="108"/>
  <c r="G34" i="108"/>
  <c r="G35" i="108"/>
  <c r="G36" i="108"/>
  <c r="G37" i="108"/>
  <c r="G38" i="108"/>
  <c r="G39" i="108"/>
  <c r="G40" i="108"/>
  <c r="G41" i="108"/>
  <c r="G42" i="108"/>
  <c r="G43" i="108"/>
  <c r="G11" i="110"/>
  <c r="G34" i="110"/>
  <c r="G35" i="110"/>
  <c r="G36" i="110"/>
  <c r="G37" i="110"/>
  <c r="G38" i="110"/>
  <c r="G39" i="110"/>
  <c r="G40" i="110"/>
  <c r="G41" i="110"/>
  <c r="G42" i="110"/>
  <c r="G43" i="110"/>
  <c r="U16" i="111"/>
  <c r="S16" i="111"/>
  <c r="O16" i="111"/>
  <c r="N16" i="111"/>
  <c r="U16" i="14"/>
  <c r="S16" i="14"/>
  <c r="O16" i="14"/>
  <c r="N16" i="14"/>
  <c r="D4" i="99"/>
  <c r="N107" i="79"/>
  <c r="M107" i="79"/>
  <c r="L107" i="79"/>
  <c r="K107" i="79"/>
  <c r="J107" i="79"/>
  <c r="I107" i="79"/>
  <c r="H107" i="79"/>
  <c r="G107" i="79"/>
  <c r="N107" i="84"/>
  <c r="M107" i="84"/>
  <c r="L107" i="84"/>
  <c r="K107" i="84"/>
  <c r="J107" i="84"/>
  <c r="I107" i="84"/>
  <c r="H107" i="84"/>
  <c r="G107" i="84"/>
  <c r="N99" i="83"/>
  <c r="M99" i="83"/>
  <c r="L99" i="83"/>
  <c r="K99" i="83"/>
  <c r="J99" i="83"/>
  <c r="I99" i="83"/>
  <c r="H99" i="83"/>
  <c r="G99" i="83"/>
  <c r="N101" i="82"/>
  <c r="M101" i="82"/>
  <c r="L101" i="82"/>
  <c r="K101" i="82"/>
  <c r="J101" i="82"/>
  <c r="I101" i="82"/>
  <c r="H101" i="82"/>
  <c r="G101" i="82"/>
  <c r="N107" i="80"/>
  <c r="M107" i="80"/>
  <c r="L107" i="80"/>
  <c r="K107" i="80"/>
  <c r="J107" i="80"/>
  <c r="I107" i="80"/>
  <c r="H107" i="80"/>
  <c r="G107" i="80"/>
  <c r="N101" i="81"/>
  <c r="M101" i="81"/>
  <c r="L101" i="81"/>
  <c r="K101" i="81"/>
  <c r="J101" i="81"/>
  <c r="I101" i="81"/>
  <c r="H101" i="81"/>
  <c r="G101" i="81"/>
  <c r="N107" i="100"/>
  <c r="M107" i="100"/>
  <c r="L107" i="100"/>
  <c r="K107" i="100"/>
  <c r="J107" i="100"/>
  <c r="I107" i="100"/>
  <c r="H107" i="100"/>
  <c r="G107" i="100"/>
  <c r="N106" i="100"/>
  <c r="M106" i="100"/>
  <c r="L106" i="100"/>
  <c r="K106" i="100"/>
  <c r="J106" i="100"/>
  <c r="I106" i="100"/>
  <c r="H106" i="100"/>
  <c r="G106" i="100"/>
  <c r="N105" i="100"/>
  <c r="M105" i="100"/>
  <c r="L105" i="100"/>
  <c r="K105" i="100"/>
  <c r="J105" i="100"/>
  <c r="I105" i="100"/>
  <c r="H105" i="100"/>
  <c r="G105" i="100"/>
  <c r="N104" i="100"/>
  <c r="M104" i="100"/>
  <c r="L104" i="100"/>
  <c r="K104" i="100"/>
  <c r="J104" i="100"/>
  <c r="I104" i="100"/>
  <c r="H104" i="100"/>
  <c r="G104" i="100"/>
  <c r="N103" i="100"/>
  <c r="M103" i="100"/>
  <c r="L103" i="100"/>
  <c r="K103" i="100"/>
  <c r="J103" i="100"/>
  <c r="I103" i="100"/>
  <c r="H103" i="100"/>
  <c r="G103" i="100"/>
  <c r="N101" i="100"/>
  <c r="M101" i="100"/>
  <c r="L101" i="100"/>
  <c r="K101" i="100"/>
  <c r="J101" i="100"/>
  <c r="I101" i="100"/>
  <c r="H101" i="100"/>
  <c r="G101" i="100"/>
  <c r="N99" i="100"/>
  <c r="N108" i="100"/>
  <c r="M99" i="100"/>
  <c r="M108" i="100"/>
  <c r="L99" i="100"/>
  <c r="L108" i="100"/>
  <c r="K99" i="100"/>
  <c r="K108" i="100"/>
  <c r="J99" i="100"/>
  <c r="J108" i="100"/>
  <c r="I99" i="100"/>
  <c r="I108" i="100"/>
  <c r="H99" i="100"/>
  <c r="H108" i="100"/>
  <c r="G99" i="100"/>
  <c r="G108" i="100"/>
  <c r="N107" i="101"/>
  <c r="M107" i="101"/>
  <c r="L107" i="101"/>
  <c r="K107" i="101"/>
  <c r="J107" i="101"/>
  <c r="I107" i="101"/>
  <c r="H107" i="101"/>
  <c r="G107" i="101"/>
  <c r="N106" i="101"/>
  <c r="M106" i="101"/>
  <c r="L106" i="101"/>
  <c r="K106" i="101"/>
  <c r="J106" i="101"/>
  <c r="I106" i="101"/>
  <c r="H106" i="101"/>
  <c r="G106" i="101"/>
  <c r="N105" i="101"/>
  <c r="M105" i="101"/>
  <c r="L105" i="101"/>
  <c r="K105" i="101"/>
  <c r="J105" i="101"/>
  <c r="I105" i="101"/>
  <c r="H105" i="101"/>
  <c r="G105" i="101"/>
  <c r="N104" i="101"/>
  <c r="M104" i="101"/>
  <c r="L104" i="101"/>
  <c r="K104" i="101"/>
  <c r="J104" i="101"/>
  <c r="I104" i="101"/>
  <c r="H104" i="101"/>
  <c r="G104" i="101"/>
  <c r="N103" i="101"/>
  <c r="M103" i="101"/>
  <c r="L103" i="101"/>
  <c r="K103" i="101"/>
  <c r="J103" i="101"/>
  <c r="I103" i="101"/>
  <c r="H103" i="101"/>
  <c r="G103" i="101"/>
  <c r="N101" i="101"/>
  <c r="M101" i="101"/>
  <c r="L101" i="101"/>
  <c r="K101" i="101"/>
  <c r="J101" i="101"/>
  <c r="I101" i="101"/>
  <c r="H101" i="101"/>
  <c r="G101" i="101"/>
  <c r="N99" i="101"/>
  <c r="N108" i="101"/>
  <c r="M99" i="101"/>
  <c r="L99" i="101"/>
  <c r="L108" i="101"/>
  <c r="K99" i="101"/>
  <c r="K108" i="101"/>
  <c r="J99" i="101"/>
  <c r="J108" i="101"/>
  <c r="I99" i="101"/>
  <c r="I108" i="101"/>
  <c r="H99" i="101"/>
  <c r="H108" i="101"/>
  <c r="G99" i="101"/>
  <c r="G108" i="101"/>
  <c r="N107" i="102"/>
  <c r="M107" i="102"/>
  <c r="L107" i="102"/>
  <c r="K107" i="102"/>
  <c r="J107" i="102"/>
  <c r="I107" i="102"/>
  <c r="H107" i="102"/>
  <c r="G107" i="102"/>
  <c r="N106" i="102"/>
  <c r="M106" i="102"/>
  <c r="L106" i="102"/>
  <c r="K106" i="102"/>
  <c r="J106" i="102"/>
  <c r="I106" i="102"/>
  <c r="H106" i="102"/>
  <c r="G106" i="102"/>
  <c r="N105" i="102"/>
  <c r="M105" i="102"/>
  <c r="L105" i="102"/>
  <c r="K105" i="102"/>
  <c r="J105" i="102"/>
  <c r="I105" i="102"/>
  <c r="H105" i="102"/>
  <c r="G105" i="102"/>
  <c r="N104" i="102"/>
  <c r="M104" i="102"/>
  <c r="L104" i="102"/>
  <c r="K104" i="102"/>
  <c r="J104" i="102"/>
  <c r="I104" i="102"/>
  <c r="H104" i="102"/>
  <c r="G104" i="102"/>
  <c r="N103" i="102"/>
  <c r="M103" i="102"/>
  <c r="L103" i="102"/>
  <c r="K103" i="102"/>
  <c r="J103" i="102"/>
  <c r="I103" i="102"/>
  <c r="H103" i="102"/>
  <c r="G103" i="102"/>
  <c r="N101" i="102"/>
  <c r="M101" i="102"/>
  <c r="L101" i="102"/>
  <c r="K101" i="102"/>
  <c r="J101" i="102"/>
  <c r="I101" i="102"/>
  <c r="H101" i="102"/>
  <c r="G101" i="102"/>
  <c r="N99" i="102"/>
  <c r="N108" i="102"/>
  <c r="M99" i="102"/>
  <c r="M108" i="102"/>
  <c r="L99" i="102"/>
  <c r="L108" i="102"/>
  <c r="K99" i="102"/>
  <c r="K108" i="102"/>
  <c r="J99" i="102"/>
  <c r="J108" i="102"/>
  <c r="I99" i="102"/>
  <c r="I108" i="102"/>
  <c r="H99" i="102"/>
  <c r="H108" i="102"/>
  <c r="G99" i="102"/>
  <c r="G108" i="102"/>
  <c r="N107" i="103"/>
  <c r="M107" i="103"/>
  <c r="L107" i="103"/>
  <c r="K107" i="103"/>
  <c r="J107" i="103"/>
  <c r="I107" i="103"/>
  <c r="H107" i="103"/>
  <c r="G107" i="103"/>
  <c r="N106" i="103"/>
  <c r="M106" i="103"/>
  <c r="L106" i="103"/>
  <c r="K106" i="103"/>
  <c r="J106" i="103"/>
  <c r="I106" i="103"/>
  <c r="H106" i="103"/>
  <c r="G106" i="103"/>
  <c r="N105" i="103"/>
  <c r="M105" i="103"/>
  <c r="L105" i="103"/>
  <c r="K105" i="103"/>
  <c r="J105" i="103"/>
  <c r="I105" i="103"/>
  <c r="H105" i="103"/>
  <c r="G105" i="103"/>
  <c r="N104" i="103"/>
  <c r="M104" i="103"/>
  <c r="L104" i="103"/>
  <c r="K104" i="103"/>
  <c r="J104" i="103"/>
  <c r="I104" i="103"/>
  <c r="H104" i="103"/>
  <c r="G104" i="103"/>
  <c r="N103" i="103"/>
  <c r="M103" i="103"/>
  <c r="L103" i="103"/>
  <c r="K103" i="103"/>
  <c r="J103" i="103"/>
  <c r="I103" i="103"/>
  <c r="H103" i="103"/>
  <c r="G103" i="103"/>
  <c r="N101" i="103"/>
  <c r="M101" i="103"/>
  <c r="L101" i="103"/>
  <c r="K101" i="103"/>
  <c r="J101" i="103"/>
  <c r="I101" i="103"/>
  <c r="H101" i="103"/>
  <c r="G101" i="103"/>
  <c r="N99" i="103"/>
  <c r="N108" i="103"/>
  <c r="M99" i="103"/>
  <c r="M108" i="103"/>
  <c r="L99" i="103"/>
  <c r="L108" i="103"/>
  <c r="K99" i="103"/>
  <c r="K108" i="103"/>
  <c r="J99" i="103"/>
  <c r="J108" i="103"/>
  <c r="I99" i="103"/>
  <c r="I108" i="103"/>
  <c r="H99" i="103"/>
  <c r="H108" i="103"/>
  <c r="G99" i="103"/>
  <c r="G108" i="103"/>
  <c r="N107" i="104"/>
  <c r="M107" i="104"/>
  <c r="L107" i="104"/>
  <c r="K107" i="104"/>
  <c r="J107" i="104"/>
  <c r="I107" i="104"/>
  <c r="H107" i="104"/>
  <c r="G107" i="104"/>
  <c r="N106" i="104"/>
  <c r="M106" i="104"/>
  <c r="L106" i="104"/>
  <c r="K106" i="104"/>
  <c r="J106" i="104"/>
  <c r="I106" i="104"/>
  <c r="H106" i="104"/>
  <c r="G106" i="104"/>
  <c r="N105" i="104"/>
  <c r="M105" i="104"/>
  <c r="L105" i="104"/>
  <c r="K105" i="104"/>
  <c r="J105" i="104"/>
  <c r="I105" i="104"/>
  <c r="H105" i="104"/>
  <c r="G105" i="104"/>
  <c r="N104" i="104"/>
  <c r="M104" i="104"/>
  <c r="L104" i="104"/>
  <c r="K104" i="104"/>
  <c r="J104" i="104"/>
  <c r="I104" i="104"/>
  <c r="H104" i="104"/>
  <c r="G104" i="104"/>
  <c r="N103" i="104"/>
  <c r="M103" i="104"/>
  <c r="L103" i="104"/>
  <c r="K103" i="104"/>
  <c r="J103" i="104"/>
  <c r="I103" i="104"/>
  <c r="H103" i="104"/>
  <c r="G103" i="104"/>
  <c r="N101" i="104"/>
  <c r="M101" i="104"/>
  <c r="L101" i="104"/>
  <c r="K101" i="104"/>
  <c r="J101" i="104"/>
  <c r="I101" i="104"/>
  <c r="H101" i="104"/>
  <c r="G101" i="104"/>
  <c r="N99" i="104"/>
  <c r="N108" i="104"/>
  <c r="M99" i="104"/>
  <c r="M108" i="104"/>
  <c r="L99" i="104"/>
  <c r="L108" i="104"/>
  <c r="K99" i="104"/>
  <c r="K108" i="104"/>
  <c r="J99" i="104"/>
  <c r="J108" i="104"/>
  <c r="I99" i="104"/>
  <c r="I108" i="104"/>
  <c r="H99" i="104"/>
  <c r="H108" i="104"/>
  <c r="G99" i="104"/>
  <c r="G108" i="104"/>
  <c r="N107" i="105"/>
  <c r="M107" i="105"/>
  <c r="L107" i="105"/>
  <c r="K107" i="105"/>
  <c r="J107" i="105"/>
  <c r="I107" i="105"/>
  <c r="H107" i="105"/>
  <c r="G107" i="105"/>
  <c r="N106" i="105"/>
  <c r="M106" i="105"/>
  <c r="L106" i="105"/>
  <c r="K106" i="105"/>
  <c r="J106" i="105"/>
  <c r="I106" i="105"/>
  <c r="H106" i="105"/>
  <c r="G106" i="105"/>
  <c r="N105" i="105"/>
  <c r="M105" i="105"/>
  <c r="L105" i="105"/>
  <c r="K105" i="105"/>
  <c r="J105" i="105"/>
  <c r="I105" i="105"/>
  <c r="H105" i="105"/>
  <c r="G105" i="105"/>
  <c r="N104" i="105"/>
  <c r="M104" i="105"/>
  <c r="L104" i="105"/>
  <c r="K104" i="105"/>
  <c r="J104" i="105"/>
  <c r="I104" i="105"/>
  <c r="H104" i="105"/>
  <c r="G104" i="105"/>
  <c r="N103" i="105"/>
  <c r="M103" i="105"/>
  <c r="L103" i="105"/>
  <c r="K103" i="105"/>
  <c r="J103" i="105"/>
  <c r="I103" i="105"/>
  <c r="H103" i="105"/>
  <c r="G103" i="105"/>
  <c r="N101" i="105"/>
  <c r="M101" i="105"/>
  <c r="L101" i="105"/>
  <c r="K101" i="105"/>
  <c r="J101" i="105"/>
  <c r="I101" i="105"/>
  <c r="H101" i="105"/>
  <c r="G101" i="105"/>
  <c r="N99" i="105"/>
  <c r="N108" i="105"/>
  <c r="M99" i="105"/>
  <c r="M108" i="105"/>
  <c r="L99" i="105"/>
  <c r="L108" i="105"/>
  <c r="K99" i="105"/>
  <c r="K108" i="105"/>
  <c r="J99" i="105"/>
  <c r="J108" i="105"/>
  <c r="I99" i="105"/>
  <c r="I108" i="105"/>
  <c r="H99" i="105"/>
  <c r="H108" i="105"/>
  <c r="G99" i="105"/>
  <c r="G108" i="105"/>
  <c r="N107" i="106"/>
  <c r="M107" i="106"/>
  <c r="L107" i="106"/>
  <c r="K107" i="106"/>
  <c r="J107" i="106"/>
  <c r="I107" i="106"/>
  <c r="H107" i="106"/>
  <c r="G107" i="106"/>
  <c r="N106" i="106"/>
  <c r="M106" i="106"/>
  <c r="L106" i="106"/>
  <c r="K106" i="106"/>
  <c r="J106" i="106"/>
  <c r="I106" i="106"/>
  <c r="H106" i="106"/>
  <c r="G106" i="106"/>
  <c r="N105" i="106"/>
  <c r="M105" i="106"/>
  <c r="L105" i="106"/>
  <c r="K105" i="106"/>
  <c r="J105" i="106"/>
  <c r="I105" i="106"/>
  <c r="H105" i="106"/>
  <c r="G105" i="106"/>
  <c r="N104" i="106"/>
  <c r="M104" i="106"/>
  <c r="L104" i="106"/>
  <c r="K104" i="106"/>
  <c r="J104" i="106"/>
  <c r="I104" i="106"/>
  <c r="H104" i="106"/>
  <c r="G104" i="106"/>
  <c r="N103" i="106"/>
  <c r="M103" i="106"/>
  <c r="L103" i="106"/>
  <c r="K103" i="106"/>
  <c r="J103" i="106"/>
  <c r="I103" i="106"/>
  <c r="H103" i="106"/>
  <c r="G103" i="106"/>
  <c r="N101" i="106"/>
  <c r="M101" i="106"/>
  <c r="L101" i="106"/>
  <c r="K101" i="106"/>
  <c r="J101" i="106"/>
  <c r="I101" i="106"/>
  <c r="H101" i="106"/>
  <c r="G101" i="106"/>
  <c r="N99" i="106"/>
  <c r="M99" i="106"/>
  <c r="M108" i="106"/>
  <c r="L99" i="106"/>
  <c r="L108" i="106"/>
  <c r="K99" i="106"/>
  <c r="K108" i="106"/>
  <c r="J99" i="106"/>
  <c r="J108" i="106"/>
  <c r="I99" i="106"/>
  <c r="I108" i="106"/>
  <c r="H99" i="106"/>
  <c r="H108" i="106"/>
  <c r="G99" i="106"/>
  <c r="G108" i="106"/>
  <c r="N107" i="89"/>
  <c r="M107" i="89"/>
  <c r="L107" i="89"/>
  <c r="K107" i="89"/>
  <c r="J107" i="89"/>
  <c r="I107" i="89"/>
  <c r="H107" i="89"/>
  <c r="G107" i="89"/>
  <c r="N106" i="89"/>
  <c r="M106" i="89"/>
  <c r="L106" i="89"/>
  <c r="K106" i="89"/>
  <c r="J106" i="89"/>
  <c r="I106" i="89"/>
  <c r="H106" i="89"/>
  <c r="G106" i="89"/>
  <c r="N105" i="89"/>
  <c r="M105" i="89"/>
  <c r="L105" i="89"/>
  <c r="K105" i="89"/>
  <c r="J105" i="89"/>
  <c r="I105" i="89"/>
  <c r="H105" i="89"/>
  <c r="G105" i="89"/>
  <c r="N104" i="89"/>
  <c r="M104" i="89"/>
  <c r="L104" i="89"/>
  <c r="K104" i="89"/>
  <c r="J104" i="89"/>
  <c r="I104" i="89"/>
  <c r="H104" i="89"/>
  <c r="G104" i="89"/>
  <c r="N103" i="89"/>
  <c r="M103" i="89"/>
  <c r="L103" i="89"/>
  <c r="K103" i="89"/>
  <c r="J103" i="89"/>
  <c r="I103" i="89"/>
  <c r="H103" i="89"/>
  <c r="G103" i="89"/>
  <c r="N101" i="89"/>
  <c r="M101" i="89"/>
  <c r="L101" i="89"/>
  <c r="K101" i="89"/>
  <c r="J101" i="89"/>
  <c r="I101" i="89"/>
  <c r="H101" i="89"/>
  <c r="G101" i="89"/>
  <c r="N99" i="89"/>
  <c r="N108" i="89"/>
  <c r="M99" i="89"/>
  <c r="M108" i="89"/>
  <c r="L99" i="89"/>
  <c r="L108" i="89"/>
  <c r="K99" i="89"/>
  <c r="K108" i="89"/>
  <c r="J99" i="89"/>
  <c r="J108" i="89"/>
  <c r="I99" i="89"/>
  <c r="I108" i="89"/>
  <c r="H99" i="89"/>
  <c r="H108" i="89"/>
  <c r="G99" i="89"/>
  <c r="G108" i="89"/>
  <c r="N107" i="90"/>
  <c r="M107" i="90"/>
  <c r="L107" i="90"/>
  <c r="K107" i="90"/>
  <c r="J107" i="90"/>
  <c r="I107" i="90"/>
  <c r="H107" i="90"/>
  <c r="G107" i="90"/>
  <c r="N106" i="90"/>
  <c r="M106" i="90"/>
  <c r="L106" i="90"/>
  <c r="K106" i="90"/>
  <c r="J106" i="90"/>
  <c r="I106" i="90"/>
  <c r="H106" i="90"/>
  <c r="G106" i="90"/>
  <c r="N105" i="90"/>
  <c r="M105" i="90"/>
  <c r="L105" i="90"/>
  <c r="K105" i="90"/>
  <c r="J105" i="90"/>
  <c r="I105" i="90"/>
  <c r="H105" i="90"/>
  <c r="G105" i="90"/>
  <c r="N104" i="90"/>
  <c r="M104" i="90"/>
  <c r="L104" i="90"/>
  <c r="K104" i="90"/>
  <c r="J104" i="90"/>
  <c r="I104" i="90"/>
  <c r="H104" i="90"/>
  <c r="G104" i="90"/>
  <c r="N103" i="90"/>
  <c r="M103" i="90"/>
  <c r="L103" i="90"/>
  <c r="K103" i="90"/>
  <c r="J103" i="90"/>
  <c r="I103" i="90"/>
  <c r="H103" i="90"/>
  <c r="G103" i="90"/>
  <c r="N101" i="90"/>
  <c r="M101" i="90"/>
  <c r="L101" i="90"/>
  <c r="K101" i="90"/>
  <c r="J101" i="90"/>
  <c r="I101" i="90"/>
  <c r="H101" i="90"/>
  <c r="G101" i="90"/>
  <c r="N99" i="90"/>
  <c r="N108" i="90"/>
  <c r="M99" i="90"/>
  <c r="M108" i="90"/>
  <c r="L99" i="90"/>
  <c r="L108" i="90"/>
  <c r="K99" i="90"/>
  <c r="K108" i="90"/>
  <c r="J99" i="90"/>
  <c r="I99" i="90"/>
  <c r="I108" i="90"/>
  <c r="H99" i="90"/>
  <c r="H108" i="90"/>
  <c r="G99" i="90"/>
  <c r="G108" i="90"/>
  <c r="N107" i="91"/>
  <c r="M107" i="91"/>
  <c r="L107" i="91"/>
  <c r="K107" i="91"/>
  <c r="J107" i="91"/>
  <c r="I107" i="91"/>
  <c r="H107" i="91"/>
  <c r="G107" i="91"/>
  <c r="N106" i="91"/>
  <c r="M106" i="91"/>
  <c r="L106" i="91"/>
  <c r="K106" i="91"/>
  <c r="J106" i="91"/>
  <c r="I106" i="91"/>
  <c r="H106" i="91"/>
  <c r="G106" i="91"/>
  <c r="N105" i="91"/>
  <c r="M105" i="91"/>
  <c r="L105" i="91"/>
  <c r="K105" i="91"/>
  <c r="J105" i="91"/>
  <c r="I105" i="91"/>
  <c r="H105" i="91"/>
  <c r="G105" i="91"/>
  <c r="N104" i="91"/>
  <c r="M104" i="91"/>
  <c r="L104" i="91"/>
  <c r="K104" i="91"/>
  <c r="J104" i="91"/>
  <c r="I104" i="91"/>
  <c r="H104" i="91"/>
  <c r="G104" i="91"/>
  <c r="N103" i="91"/>
  <c r="M103" i="91"/>
  <c r="L103" i="91"/>
  <c r="K103" i="91"/>
  <c r="J103" i="91"/>
  <c r="I103" i="91"/>
  <c r="H103" i="91"/>
  <c r="G103" i="91"/>
  <c r="N101" i="91"/>
  <c r="M101" i="91"/>
  <c r="L101" i="91"/>
  <c r="K101" i="91"/>
  <c r="J101" i="91"/>
  <c r="I101" i="91"/>
  <c r="H101" i="91"/>
  <c r="G101" i="91"/>
  <c r="N99" i="91"/>
  <c r="N108" i="91"/>
  <c r="M99" i="91"/>
  <c r="M108" i="91"/>
  <c r="L99" i="91"/>
  <c r="L108" i="91"/>
  <c r="K99" i="91"/>
  <c r="K108" i="91"/>
  <c r="J99" i="91"/>
  <c r="J108" i="91"/>
  <c r="I99" i="91"/>
  <c r="I108" i="91"/>
  <c r="H99" i="91"/>
  <c r="H108" i="91"/>
  <c r="G99" i="91"/>
  <c r="G108" i="91"/>
  <c r="N107" i="129"/>
  <c r="M107" i="129"/>
  <c r="L107" i="129"/>
  <c r="K107" i="129"/>
  <c r="J107" i="129"/>
  <c r="I107" i="129"/>
  <c r="H107" i="129"/>
  <c r="G107" i="129"/>
  <c r="N106" i="129"/>
  <c r="M106" i="129"/>
  <c r="L106" i="129"/>
  <c r="K106" i="129"/>
  <c r="J106" i="129"/>
  <c r="I106" i="129"/>
  <c r="H106" i="129"/>
  <c r="G106" i="129"/>
  <c r="N105" i="129"/>
  <c r="M105" i="129"/>
  <c r="L105" i="129"/>
  <c r="K105" i="129"/>
  <c r="J105" i="129"/>
  <c r="I105" i="129"/>
  <c r="H105" i="129"/>
  <c r="G105" i="129"/>
  <c r="N104" i="129"/>
  <c r="M104" i="129"/>
  <c r="L104" i="129"/>
  <c r="K104" i="129"/>
  <c r="J104" i="129"/>
  <c r="I104" i="129"/>
  <c r="H104" i="129"/>
  <c r="G104" i="129"/>
  <c r="N103" i="129"/>
  <c r="M103" i="129"/>
  <c r="L103" i="129"/>
  <c r="K103" i="129"/>
  <c r="J103" i="129"/>
  <c r="I103" i="129"/>
  <c r="H103" i="129"/>
  <c r="G103" i="129"/>
  <c r="N101" i="129"/>
  <c r="M101" i="129"/>
  <c r="L101" i="129"/>
  <c r="K101" i="129"/>
  <c r="J101" i="129"/>
  <c r="I101" i="129"/>
  <c r="H101" i="129"/>
  <c r="G101" i="129"/>
  <c r="N99" i="129"/>
  <c r="N108" i="129"/>
  <c r="M99" i="129"/>
  <c r="M108" i="129"/>
  <c r="L99" i="129"/>
  <c r="L108" i="129"/>
  <c r="K99" i="129"/>
  <c r="K108" i="129"/>
  <c r="J99" i="129"/>
  <c r="J108" i="129"/>
  <c r="I99" i="129"/>
  <c r="I108" i="129"/>
  <c r="H99" i="129"/>
  <c r="H108" i="129"/>
  <c r="G99" i="129"/>
  <c r="G108" i="129"/>
  <c r="N107" i="128"/>
  <c r="M107" i="128"/>
  <c r="L107" i="128"/>
  <c r="K107" i="128"/>
  <c r="J107" i="128"/>
  <c r="I107" i="128"/>
  <c r="H107" i="128"/>
  <c r="G107" i="128"/>
  <c r="N106" i="128"/>
  <c r="M106" i="128"/>
  <c r="L106" i="128"/>
  <c r="K106" i="128"/>
  <c r="J106" i="128"/>
  <c r="I106" i="128"/>
  <c r="H106" i="128"/>
  <c r="G106" i="128"/>
  <c r="N105" i="128"/>
  <c r="M105" i="128"/>
  <c r="L105" i="128"/>
  <c r="K105" i="128"/>
  <c r="J105" i="128"/>
  <c r="I105" i="128"/>
  <c r="H105" i="128"/>
  <c r="G105" i="128"/>
  <c r="N104" i="128"/>
  <c r="M104" i="128"/>
  <c r="L104" i="128"/>
  <c r="K104" i="128"/>
  <c r="J104" i="128"/>
  <c r="I104" i="128"/>
  <c r="H104" i="128"/>
  <c r="G104" i="128"/>
  <c r="N103" i="128"/>
  <c r="M103" i="128"/>
  <c r="L103" i="128"/>
  <c r="K103" i="128"/>
  <c r="J103" i="128"/>
  <c r="I103" i="128"/>
  <c r="H103" i="128"/>
  <c r="G103" i="128"/>
  <c r="N101" i="128"/>
  <c r="M101" i="128"/>
  <c r="L101" i="128"/>
  <c r="K101" i="128"/>
  <c r="J101" i="128"/>
  <c r="I101" i="128"/>
  <c r="H101" i="128"/>
  <c r="G101" i="128"/>
  <c r="N99" i="128"/>
  <c r="N108" i="128"/>
  <c r="M99" i="128"/>
  <c r="M108" i="128"/>
  <c r="L99" i="128"/>
  <c r="L108" i="128"/>
  <c r="K99" i="128"/>
  <c r="K108" i="128"/>
  <c r="J99" i="128"/>
  <c r="J108" i="128"/>
  <c r="I99" i="128"/>
  <c r="I108" i="128"/>
  <c r="H99" i="128"/>
  <c r="H108" i="128"/>
  <c r="G99" i="128"/>
  <c r="G108" i="128"/>
  <c r="N107" i="127"/>
  <c r="M107" i="127"/>
  <c r="L107" i="127"/>
  <c r="K107" i="127"/>
  <c r="J107" i="127"/>
  <c r="I107" i="127"/>
  <c r="H107" i="127"/>
  <c r="G107" i="127"/>
  <c r="N106" i="127"/>
  <c r="M106" i="127"/>
  <c r="L106" i="127"/>
  <c r="K106" i="127"/>
  <c r="J106" i="127"/>
  <c r="I106" i="127"/>
  <c r="H106" i="127"/>
  <c r="G106" i="127"/>
  <c r="N105" i="127"/>
  <c r="M105" i="127"/>
  <c r="L105" i="127"/>
  <c r="K105" i="127"/>
  <c r="J105" i="127"/>
  <c r="I105" i="127"/>
  <c r="H105" i="127"/>
  <c r="G105" i="127"/>
  <c r="N104" i="127"/>
  <c r="M104" i="127"/>
  <c r="L104" i="127"/>
  <c r="K104" i="127"/>
  <c r="J104" i="127"/>
  <c r="I104" i="127"/>
  <c r="H104" i="127"/>
  <c r="G104" i="127"/>
  <c r="N103" i="127"/>
  <c r="M103" i="127"/>
  <c r="L103" i="127"/>
  <c r="K103" i="127"/>
  <c r="J103" i="127"/>
  <c r="I103" i="127"/>
  <c r="H103" i="127"/>
  <c r="G103" i="127"/>
  <c r="N101" i="127"/>
  <c r="M101" i="127"/>
  <c r="L101" i="127"/>
  <c r="K101" i="127"/>
  <c r="J101" i="127"/>
  <c r="I101" i="127"/>
  <c r="H101" i="127"/>
  <c r="G101" i="127"/>
  <c r="N99" i="127"/>
  <c r="M99" i="127"/>
  <c r="M108" i="127"/>
  <c r="L99" i="127"/>
  <c r="L108" i="127"/>
  <c r="K99" i="127"/>
  <c r="K108" i="127"/>
  <c r="J99" i="127"/>
  <c r="J108" i="127"/>
  <c r="I99" i="127"/>
  <c r="I108" i="127"/>
  <c r="H99" i="127"/>
  <c r="H108" i="127"/>
  <c r="G99" i="127"/>
  <c r="G108" i="127"/>
  <c r="N107" i="126"/>
  <c r="M107" i="126"/>
  <c r="L107" i="126"/>
  <c r="K107" i="126"/>
  <c r="J107" i="126"/>
  <c r="I107" i="126"/>
  <c r="H107" i="126"/>
  <c r="G107" i="126"/>
  <c r="N106" i="126"/>
  <c r="M106" i="126"/>
  <c r="L106" i="126"/>
  <c r="K106" i="126"/>
  <c r="J106" i="126"/>
  <c r="I106" i="126"/>
  <c r="H106" i="126"/>
  <c r="G106" i="126"/>
  <c r="N105" i="126"/>
  <c r="M105" i="126"/>
  <c r="L105" i="126"/>
  <c r="K105" i="126"/>
  <c r="J105" i="126"/>
  <c r="I105" i="126"/>
  <c r="H105" i="126"/>
  <c r="G105" i="126"/>
  <c r="N104" i="126"/>
  <c r="M104" i="126"/>
  <c r="L104" i="126"/>
  <c r="K104" i="126"/>
  <c r="J104" i="126"/>
  <c r="I104" i="126"/>
  <c r="H104" i="126"/>
  <c r="G104" i="126"/>
  <c r="N103" i="126"/>
  <c r="M103" i="126"/>
  <c r="L103" i="126"/>
  <c r="K103" i="126"/>
  <c r="J103" i="126"/>
  <c r="I103" i="126"/>
  <c r="H103" i="126"/>
  <c r="G103" i="126"/>
  <c r="N101" i="126"/>
  <c r="M101" i="126"/>
  <c r="L101" i="126"/>
  <c r="K101" i="126"/>
  <c r="J101" i="126"/>
  <c r="I101" i="126"/>
  <c r="H101" i="126"/>
  <c r="G101" i="126"/>
  <c r="N99" i="126"/>
  <c r="N108" i="126"/>
  <c r="M99" i="126"/>
  <c r="M108" i="126"/>
  <c r="L99" i="126"/>
  <c r="L108" i="126"/>
  <c r="K99" i="126"/>
  <c r="K108" i="126"/>
  <c r="J99" i="126"/>
  <c r="J108" i="126"/>
  <c r="I99" i="126"/>
  <c r="I108" i="126"/>
  <c r="H99" i="126"/>
  <c r="H108" i="126"/>
  <c r="G99" i="126"/>
  <c r="G108" i="126"/>
  <c r="N107" i="125"/>
  <c r="M107" i="125"/>
  <c r="L107" i="125"/>
  <c r="K107" i="125"/>
  <c r="J107" i="125"/>
  <c r="I107" i="125"/>
  <c r="H107" i="125"/>
  <c r="G107" i="125"/>
  <c r="N106" i="125"/>
  <c r="M106" i="125"/>
  <c r="L106" i="125"/>
  <c r="K106" i="125"/>
  <c r="J106" i="125"/>
  <c r="I106" i="125"/>
  <c r="H106" i="125"/>
  <c r="G106" i="125"/>
  <c r="N105" i="125"/>
  <c r="M105" i="125"/>
  <c r="L105" i="125"/>
  <c r="K105" i="125"/>
  <c r="J105" i="125"/>
  <c r="I105" i="125"/>
  <c r="H105" i="125"/>
  <c r="G105" i="125"/>
  <c r="N104" i="125"/>
  <c r="M104" i="125"/>
  <c r="L104" i="125"/>
  <c r="K104" i="125"/>
  <c r="J104" i="125"/>
  <c r="I104" i="125"/>
  <c r="H104" i="125"/>
  <c r="G104" i="125"/>
  <c r="N103" i="125"/>
  <c r="M103" i="125"/>
  <c r="L103" i="125"/>
  <c r="K103" i="125"/>
  <c r="J103" i="125"/>
  <c r="I103" i="125"/>
  <c r="H103" i="125"/>
  <c r="G103" i="125"/>
  <c r="N101" i="125"/>
  <c r="M101" i="125"/>
  <c r="L101" i="125"/>
  <c r="K101" i="125"/>
  <c r="J101" i="125"/>
  <c r="I101" i="125"/>
  <c r="H101" i="125"/>
  <c r="G101" i="125"/>
  <c r="N99" i="125"/>
  <c r="N108" i="125"/>
  <c r="M99" i="125"/>
  <c r="M108" i="125"/>
  <c r="L99" i="125"/>
  <c r="L108" i="125"/>
  <c r="K99" i="125"/>
  <c r="K108" i="125"/>
  <c r="J99" i="125"/>
  <c r="J108" i="125"/>
  <c r="I99" i="125"/>
  <c r="I108" i="125"/>
  <c r="H99" i="125"/>
  <c r="H108" i="125"/>
  <c r="G99" i="125"/>
  <c r="N107" i="124"/>
  <c r="M107" i="124"/>
  <c r="L107" i="124"/>
  <c r="K107" i="124"/>
  <c r="J107" i="124"/>
  <c r="I107" i="124"/>
  <c r="H107" i="124"/>
  <c r="G107" i="124"/>
  <c r="N106" i="124"/>
  <c r="M106" i="124"/>
  <c r="L106" i="124"/>
  <c r="K106" i="124"/>
  <c r="J106" i="124"/>
  <c r="I106" i="124"/>
  <c r="H106" i="124"/>
  <c r="G106" i="124"/>
  <c r="N105" i="124"/>
  <c r="M105" i="124"/>
  <c r="L105" i="124"/>
  <c r="K105" i="124"/>
  <c r="J105" i="124"/>
  <c r="I105" i="124"/>
  <c r="H105" i="124"/>
  <c r="G105" i="124"/>
  <c r="N104" i="124"/>
  <c r="M104" i="124"/>
  <c r="L104" i="124"/>
  <c r="K104" i="124"/>
  <c r="J104" i="124"/>
  <c r="I104" i="124"/>
  <c r="H104" i="124"/>
  <c r="G104" i="124"/>
  <c r="N103" i="124"/>
  <c r="M103" i="124"/>
  <c r="L103" i="124"/>
  <c r="K103" i="124"/>
  <c r="J103" i="124"/>
  <c r="I103" i="124"/>
  <c r="H103" i="124"/>
  <c r="G103" i="124"/>
  <c r="N101" i="124"/>
  <c r="M101" i="124"/>
  <c r="L101" i="124"/>
  <c r="K101" i="124"/>
  <c r="J101" i="124"/>
  <c r="I101" i="124"/>
  <c r="H101" i="124"/>
  <c r="G101" i="124"/>
  <c r="N99" i="124"/>
  <c r="N108" i="124"/>
  <c r="M99" i="124"/>
  <c r="M108" i="124"/>
  <c r="L99" i="124"/>
  <c r="L108" i="124"/>
  <c r="K99" i="124"/>
  <c r="K108" i="124"/>
  <c r="J99" i="124"/>
  <c r="J108" i="124"/>
  <c r="I99" i="124"/>
  <c r="I108" i="124"/>
  <c r="H99" i="124"/>
  <c r="H108" i="124"/>
  <c r="G99" i="124"/>
  <c r="G108" i="124"/>
  <c r="N107" i="123"/>
  <c r="M107" i="123"/>
  <c r="L107" i="123"/>
  <c r="K107" i="123"/>
  <c r="J107" i="123"/>
  <c r="I107" i="123"/>
  <c r="H107" i="123"/>
  <c r="G107" i="123"/>
  <c r="N106" i="123"/>
  <c r="M106" i="123"/>
  <c r="L106" i="123"/>
  <c r="K106" i="123"/>
  <c r="J106" i="123"/>
  <c r="I106" i="123"/>
  <c r="H106" i="123"/>
  <c r="G106" i="123"/>
  <c r="N105" i="123"/>
  <c r="M105" i="123"/>
  <c r="L105" i="123"/>
  <c r="K105" i="123"/>
  <c r="J105" i="123"/>
  <c r="I105" i="123"/>
  <c r="H105" i="123"/>
  <c r="G105" i="123"/>
  <c r="N104" i="123"/>
  <c r="M104" i="123"/>
  <c r="L104" i="123"/>
  <c r="K104" i="123"/>
  <c r="J104" i="123"/>
  <c r="I104" i="123"/>
  <c r="H104" i="123"/>
  <c r="G104" i="123"/>
  <c r="N103" i="123"/>
  <c r="M103" i="123"/>
  <c r="L103" i="123"/>
  <c r="K103" i="123"/>
  <c r="J103" i="123"/>
  <c r="I103" i="123"/>
  <c r="H103" i="123"/>
  <c r="G103" i="123"/>
  <c r="N101" i="123"/>
  <c r="M101" i="123"/>
  <c r="L101" i="123"/>
  <c r="K101" i="123"/>
  <c r="J101" i="123"/>
  <c r="I101" i="123"/>
  <c r="H101" i="123"/>
  <c r="G101" i="123"/>
  <c r="N99" i="123"/>
  <c r="N108" i="123"/>
  <c r="M99" i="123"/>
  <c r="M108" i="123"/>
  <c r="L99" i="123"/>
  <c r="L108" i="123"/>
  <c r="K99" i="123"/>
  <c r="K108" i="123"/>
  <c r="J99" i="123"/>
  <c r="J108" i="123"/>
  <c r="I99" i="123"/>
  <c r="I108" i="123"/>
  <c r="H99" i="123"/>
  <c r="H108" i="123"/>
  <c r="G99" i="123"/>
  <c r="G108" i="123"/>
  <c r="N107" i="92"/>
  <c r="M107" i="92"/>
  <c r="L107" i="92"/>
  <c r="K107" i="92"/>
  <c r="J107" i="92"/>
  <c r="I107" i="92"/>
  <c r="H107" i="92"/>
  <c r="G107" i="92"/>
  <c r="N106" i="92"/>
  <c r="M106" i="92"/>
  <c r="L106" i="92"/>
  <c r="K106" i="92"/>
  <c r="J106" i="92"/>
  <c r="I106" i="92"/>
  <c r="H106" i="92"/>
  <c r="G106" i="92"/>
  <c r="N105" i="92"/>
  <c r="M105" i="92"/>
  <c r="L105" i="92"/>
  <c r="K105" i="92"/>
  <c r="J105" i="92"/>
  <c r="I105" i="92"/>
  <c r="H105" i="92"/>
  <c r="G105" i="92"/>
  <c r="N104" i="92"/>
  <c r="M104" i="92"/>
  <c r="L104" i="92"/>
  <c r="K104" i="92"/>
  <c r="J104" i="92"/>
  <c r="I104" i="92"/>
  <c r="H104" i="92"/>
  <c r="G104" i="92"/>
  <c r="N103" i="92"/>
  <c r="M103" i="92"/>
  <c r="L103" i="92"/>
  <c r="K103" i="92"/>
  <c r="J103" i="92"/>
  <c r="I103" i="92"/>
  <c r="H103" i="92"/>
  <c r="G103" i="92"/>
  <c r="N101" i="92"/>
  <c r="M101" i="92"/>
  <c r="L101" i="92"/>
  <c r="K101" i="92"/>
  <c r="J101" i="92"/>
  <c r="I101" i="92"/>
  <c r="H101" i="92"/>
  <c r="G101" i="92"/>
  <c r="N99" i="92"/>
  <c r="N108" i="92"/>
  <c r="M99" i="92"/>
  <c r="M108" i="92"/>
  <c r="L99" i="92"/>
  <c r="L108" i="92"/>
  <c r="K99" i="92"/>
  <c r="K108" i="92"/>
  <c r="J99" i="92"/>
  <c r="J108" i="92"/>
  <c r="I99" i="92"/>
  <c r="I108" i="92"/>
  <c r="H99" i="92"/>
  <c r="H108" i="92"/>
  <c r="G99" i="92"/>
  <c r="G108" i="92"/>
  <c r="N107" i="93"/>
  <c r="M107" i="93"/>
  <c r="L107" i="93"/>
  <c r="K107" i="93"/>
  <c r="J107" i="93"/>
  <c r="I107" i="93"/>
  <c r="H107" i="93"/>
  <c r="G107" i="93"/>
  <c r="N106" i="93"/>
  <c r="M106" i="93"/>
  <c r="L106" i="93"/>
  <c r="K106" i="93"/>
  <c r="J106" i="93"/>
  <c r="I106" i="93"/>
  <c r="H106" i="93"/>
  <c r="G106" i="93"/>
  <c r="N105" i="93"/>
  <c r="M105" i="93"/>
  <c r="L105" i="93"/>
  <c r="K105" i="93"/>
  <c r="J105" i="93"/>
  <c r="I105" i="93"/>
  <c r="H105" i="93"/>
  <c r="G105" i="93"/>
  <c r="N104" i="93"/>
  <c r="M104" i="93"/>
  <c r="L104" i="93"/>
  <c r="K104" i="93"/>
  <c r="J104" i="93"/>
  <c r="I104" i="93"/>
  <c r="H104" i="93"/>
  <c r="G104" i="93"/>
  <c r="N103" i="93"/>
  <c r="M103" i="93"/>
  <c r="L103" i="93"/>
  <c r="K103" i="93"/>
  <c r="J103" i="93"/>
  <c r="I103" i="93"/>
  <c r="H103" i="93"/>
  <c r="G103" i="93"/>
  <c r="N101" i="93"/>
  <c r="M101" i="93"/>
  <c r="L101" i="93"/>
  <c r="K101" i="93"/>
  <c r="J101" i="93"/>
  <c r="I101" i="93"/>
  <c r="H101" i="93"/>
  <c r="G101" i="93"/>
  <c r="N99" i="93"/>
  <c r="N108" i="93"/>
  <c r="M99" i="93"/>
  <c r="M108" i="93"/>
  <c r="L99" i="93"/>
  <c r="L108" i="93"/>
  <c r="K99" i="93"/>
  <c r="K108" i="93"/>
  <c r="J99" i="93"/>
  <c r="J108" i="93"/>
  <c r="I99" i="93"/>
  <c r="I108" i="93"/>
  <c r="H99" i="93"/>
  <c r="H108" i="93"/>
  <c r="G99" i="93"/>
  <c r="G108" i="93"/>
  <c r="N107" i="94"/>
  <c r="M107" i="94"/>
  <c r="L107" i="94"/>
  <c r="K107" i="94"/>
  <c r="J107" i="94"/>
  <c r="I107" i="94"/>
  <c r="H107" i="94"/>
  <c r="G107" i="94"/>
  <c r="N106" i="94"/>
  <c r="M106" i="94"/>
  <c r="L106" i="94"/>
  <c r="K106" i="94"/>
  <c r="J106" i="94"/>
  <c r="I106" i="94"/>
  <c r="H106" i="94"/>
  <c r="G106" i="94"/>
  <c r="N105" i="94"/>
  <c r="M105" i="94"/>
  <c r="L105" i="94"/>
  <c r="K105" i="94"/>
  <c r="J105" i="94"/>
  <c r="I105" i="94"/>
  <c r="H105" i="94"/>
  <c r="G105" i="94"/>
  <c r="N104" i="94"/>
  <c r="M104" i="94"/>
  <c r="L104" i="94"/>
  <c r="K104" i="94"/>
  <c r="J104" i="94"/>
  <c r="I104" i="94"/>
  <c r="H104" i="94"/>
  <c r="G104" i="94"/>
  <c r="N103" i="94"/>
  <c r="M103" i="94"/>
  <c r="L103" i="94"/>
  <c r="K103" i="94"/>
  <c r="J103" i="94"/>
  <c r="I103" i="94"/>
  <c r="H103" i="94"/>
  <c r="G103" i="94"/>
  <c r="N101" i="94"/>
  <c r="M101" i="94"/>
  <c r="L101" i="94"/>
  <c r="K101" i="94"/>
  <c r="J101" i="94"/>
  <c r="I101" i="94"/>
  <c r="H101" i="94"/>
  <c r="G101" i="94"/>
  <c r="N99" i="94"/>
  <c r="N108" i="94"/>
  <c r="M99" i="94"/>
  <c r="M108" i="94"/>
  <c r="L99" i="94"/>
  <c r="L108" i="94"/>
  <c r="K99" i="94"/>
  <c r="K108" i="94"/>
  <c r="J99" i="94"/>
  <c r="J108" i="94"/>
  <c r="I99" i="94"/>
  <c r="I108" i="94"/>
  <c r="H99" i="94"/>
  <c r="H108" i="94"/>
  <c r="G99" i="94"/>
  <c r="G108" i="94"/>
  <c r="N107" i="95"/>
  <c r="M107" i="95"/>
  <c r="L107" i="95"/>
  <c r="K107" i="95"/>
  <c r="J107" i="95"/>
  <c r="I107" i="95"/>
  <c r="H107" i="95"/>
  <c r="G107" i="95"/>
  <c r="N106" i="95"/>
  <c r="M106" i="95"/>
  <c r="L106" i="95"/>
  <c r="K106" i="95"/>
  <c r="J106" i="95"/>
  <c r="I106" i="95"/>
  <c r="H106" i="95"/>
  <c r="G106" i="95"/>
  <c r="N105" i="95"/>
  <c r="M105" i="95"/>
  <c r="L105" i="95"/>
  <c r="K105" i="95"/>
  <c r="J105" i="95"/>
  <c r="I105" i="95"/>
  <c r="H105" i="95"/>
  <c r="G105" i="95"/>
  <c r="N104" i="95"/>
  <c r="M104" i="95"/>
  <c r="L104" i="95"/>
  <c r="K104" i="95"/>
  <c r="J104" i="95"/>
  <c r="I104" i="95"/>
  <c r="H104" i="95"/>
  <c r="G104" i="95"/>
  <c r="N103" i="95"/>
  <c r="M103" i="95"/>
  <c r="L103" i="95"/>
  <c r="K103" i="95"/>
  <c r="J103" i="95"/>
  <c r="I103" i="95"/>
  <c r="H103" i="95"/>
  <c r="G103" i="95"/>
  <c r="N101" i="95"/>
  <c r="M101" i="95"/>
  <c r="L101" i="95"/>
  <c r="K101" i="95"/>
  <c r="J101" i="95"/>
  <c r="I101" i="95"/>
  <c r="H101" i="95"/>
  <c r="G101" i="95"/>
  <c r="N99" i="95"/>
  <c r="N108" i="95"/>
  <c r="M99" i="95"/>
  <c r="M108" i="95"/>
  <c r="L99" i="95"/>
  <c r="L108" i="95"/>
  <c r="K99" i="95"/>
  <c r="K108" i="95"/>
  <c r="J99" i="95"/>
  <c r="J108" i="95"/>
  <c r="I99" i="95"/>
  <c r="I108" i="95"/>
  <c r="H99" i="95"/>
  <c r="H108" i="95"/>
  <c r="G99" i="95"/>
  <c r="G108" i="95"/>
  <c r="N107" i="96"/>
  <c r="M107" i="96"/>
  <c r="L107" i="96"/>
  <c r="K107" i="96"/>
  <c r="J107" i="96"/>
  <c r="I107" i="96"/>
  <c r="H107" i="96"/>
  <c r="G107" i="96"/>
  <c r="N106" i="96"/>
  <c r="M106" i="96"/>
  <c r="L106" i="96"/>
  <c r="K106" i="96"/>
  <c r="J106" i="96"/>
  <c r="I106" i="96"/>
  <c r="H106" i="96"/>
  <c r="G106" i="96"/>
  <c r="N105" i="96"/>
  <c r="M105" i="96"/>
  <c r="L105" i="96"/>
  <c r="K105" i="96"/>
  <c r="J105" i="96"/>
  <c r="I105" i="96"/>
  <c r="H105" i="96"/>
  <c r="G105" i="96"/>
  <c r="N104" i="96"/>
  <c r="M104" i="96"/>
  <c r="L104" i="96"/>
  <c r="K104" i="96"/>
  <c r="J104" i="96"/>
  <c r="I104" i="96"/>
  <c r="H104" i="96"/>
  <c r="G104" i="96"/>
  <c r="N103" i="96"/>
  <c r="M103" i="96"/>
  <c r="L103" i="96"/>
  <c r="K103" i="96"/>
  <c r="J103" i="96"/>
  <c r="I103" i="96"/>
  <c r="H103" i="96"/>
  <c r="G103" i="96"/>
  <c r="N101" i="96"/>
  <c r="M101" i="96"/>
  <c r="L101" i="96"/>
  <c r="K101" i="96"/>
  <c r="J101" i="96"/>
  <c r="I101" i="96"/>
  <c r="H101" i="96"/>
  <c r="G101" i="96"/>
  <c r="N99" i="96"/>
  <c r="N108" i="96"/>
  <c r="M99" i="96"/>
  <c r="M108" i="96"/>
  <c r="L99" i="96"/>
  <c r="L108" i="96"/>
  <c r="K99" i="96"/>
  <c r="K108" i="96"/>
  <c r="J99" i="96"/>
  <c r="J108" i="96"/>
  <c r="I99" i="96"/>
  <c r="I108" i="96"/>
  <c r="H99" i="96"/>
  <c r="H108" i="96"/>
  <c r="G99" i="96"/>
  <c r="G108" i="96"/>
  <c r="N107" i="97"/>
  <c r="M107" i="97"/>
  <c r="L107" i="97"/>
  <c r="K107" i="97"/>
  <c r="J107" i="97"/>
  <c r="I107" i="97"/>
  <c r="H107" i="97"/>
  <c r="G107" i="97"/>
  <c r="N106" i="97"/>
  <c r="M106" i="97"/>
  <c r="L106" i="97"/>
  <c r="K106" i="97"/>
  <c r="J106" i="97"/>
  <c r="I106" i="97"/>
  <c r="H106" i="97"/>
  <c r="G106" i="97"/>
  <c r="N105" i="97"/>
  <c r="M105" i="97"/>
  <c r="L105" i="97"/>
  <c r="K105" i="97"/>
  <c r="J105" i="97"/>
  <c r="I105" i="97"/>
  <c r="H105" i="97"/>
  <c r="G105" i="97"/>
  <c r="N104" i="97"/>
  <c r="M104" i="97"/>
  <c r="L104" i="97"/>
  <c r="K104" i="97"/>
  <c r="J104" i="97"/>
  <c r="I104" i="97"/>
  <c r="H104" i="97"/>
  <c r="G104" i="97"/>
  <c r="N103" i="97"/>
  <c r="M103" i="97"/>
  <c r="L103" i="97"/>
  <c r="K103" i="97"/>
  <c r="J103" i="97"/>
  <c r="I103" i="97"/>
  <c r="H103" i="97"/>
  <c r="G103" i="97"/>
  <c r="N101" i="97"/>
  <c r="M101" i="97"/>
  <c r="L101" i="97"/>
  <c r="K101" i="97"/>
  <c r="J101" i="97"/>
  <c r="I101" i="97"/>
  <c r="H101" i="97"/>
  <c r="G101" i="97"/>
  <c r="N99" i="97"/>
  <c r="N108" i="97"/>
  <c r="M99" i="97"/>
  <c r="M108" i="97"/>
  <c r="L99" i="97"/>
  <c r="L108" i="97"/>
  <c r="K99" i="97"/>
  <c r="K108" i="97"/>
  <c r="J99" i="97"/>
  <c r="J108" i="97"/>
  <c r="I99" i="97"/>
  <c r="I108" i="97"/>
  <c r="H99" i="97"/>
  <c r="H108" i="97"/>
  <c r="G99" i="97"/>
  <c r="G108" i="97"/>
  <c r="N107" i="9"/>
  <c r="M107" i="9"/>
  <c r="L107" i="9"/>
  <c r="K107" i="9"/>
  <c r="J107" i="9"/>
  <c r="I107" i="9"/>
  <c r="H107" i="9"/>
  <c r="G107" i="9"/>
  <c r="N106" i="9"/>
  <c r="M106" i="9"/>
  <c r="L106" i="9"/>
  <c r="K106" i="9"/>
  <c r="J106" i="9"/>
  <c r="I106" i="9"/>
  <c r="H106" i="9"/>
  <c r="G106" i="9"/>
  <c r="N105" i="9"/>
  <c r="M105" i="9"/>
  <c r="L105" i="9"/>
  <c r="K105" i="9"/>
  <c r="J105" i="9"/>
  <c r="I105" i="9"/>
  <c r="H105" i="9"/>
  <c r="G105" i="9"/>
  <c r="N104" i="9"/>
  <c r="M104" i="9"/>
  <c r="L104" i="9"/>
  <c r="K104" i="9"/>
  <c r="J104" i="9"/>
  <c r="I104" i="9"/>
  <c r="H104" i="9"/>
  <c r="G104" i="9"/>
  <c r="N103" i="9"/>
  <c r="M103" i="9"/>
  <c r="L103" i="9"/>
  <c r="K103" i="9"/>
  <c r="J103" i="9"/>
  <c r="I103" i="9"/>
  <c r="H103" i="9"/>
  <c r="G103" i="9"/>
  <c r="N101" i="9"/>
  <c r="M101" i="9"/>
  <c r="L101" i="9"/>
  <c r="K101" i="9"/>
  <c r="J101" i="9"/>
  <c r="I101" i="9"/>
  <c r="H101" i="9"/>
  <c r="G101" i="9"/>
  <c r="N99" i="9"/>
  <c r="N108" i="9"/>
  <c r="M99" i="9"/>
  <c r="M108" i="9"/>
  <c r="L99" i="9"/>
  <c r="L108" i="9"/>
  <c r="K99" i="9"/>
  <c r="K108" i="9"/>
  <c r="J99" i="9"/>
  <c r="J108" i="9"/>
  <c r="I99" i="9"/>
  <c r="I108" i="9"/>
  <c r="H99" i="9"/>
  <c r="H108" i="9"/>
  <c r="G99" i="9"/>
  <c r="G108" i="9"/>
  <c r="N107" i="74"/>
  <c r="M107" i="74"/>
  <c r="L107" i="74"/>
  <c r="K107" i="74"/>
  <c r="J107" i="74"/>
  <c r="I107" i="74"/>
  <c r="H107" i="74"/>
  <c r="G107" i="74"/>
  <c r="N106" i="74"/>
  <c r="M106" i="74"/>
  <c r="L106" i="74"/>
  <c r="K106" i="74"/>
  <c r="J106" i="74"/>
  <c r="I106" i="74"/>
  <c r="H106" i="74"/>
  <c r="G106" i="74"/>
  <c r="N105" i="74"/>
  <c r="M105" i="74"/>
  <c r="L105" i="74"/>
  <c r="K105" i="74"/>
  <c r="J105" i="74"/>
  <c r="I105" i="74"/>
  <c r="H105" i="74"/>
  <c r="G105" i="74"/>
  <c r="N104" i="74"/>
  <c r="M104" i="74"/>
  <c r="L104" i="74"/>
  <c r="K104" i="74"/>
  <c r="J104" i="74"/>
  <c r="I104" i="74"/>
  <c r="H104" i="74"/>
  <c r="G104" i="74"/>
  <c r="N103" i="74"/>
  <c r="M103" i="74"/>
  <c r="L103" i="74"/>
  <c r="K103" i="74"/>
  <c r="J103" i="74"/>
  <c r="I103" i="74"/>
  <c r="H103" i="74"/>
  <c r="G103" i="74"/>
  <c r="N101" i="74"/>
  <c r="M101" i="74"/>
  <c r="L101" i="74"/>
  <c r="K101" i="74"/>
  <c r="J101" i="74"/>
  <c r="I101" i="74"/>
  <c r="H101" i="74"/>
  <c r="G101" i="74"/>
  <c r="N99" i="74"/>
  <c r="N108" i="74"/>
  <c r="M99" i="74"/>
  <c r="M108" i="74"/>
  <c r="L99" i="74"/>
  <c r="L108" i="74"/>
  <c r="K99" i="74"/>
  <c r="K108" i="74"/>
  <c r="J99" i="74"/>
  <c r="J108" i="74"/>
  <c r="I99" i="74"/>
  <c r="I108" i="74"/>
  <c r="H99" i="74"/>
  <c r="H108" i="74"/>
  <c r="G99" i="74"/>
  <c r="G108" i="74"/>
  <c r="N107" i="75"/>
  <c r="M107" i="75"/>
  <c r="L107" i="75"/>
  <c r="K107" i="75"/>
  <c r="J107" i="75"/>
  <c r="I107" i="75"/>
  <c r="H107" i="75"/>
  <c r="G107" i="75"/>
  <c r="N106" i="75"/>
  <c r="M106" i="75"/>
  <c r="L106" i="75"/>
  <c r="K106" i="75"/>
  <c r="J106" i="75"/>
  <c r="I106" i="75"/>
  <c r="H106" i="75"/>
  <c r="G106" i="75"/>
  <c r="N105" i="75"/>
  <c r="M105" i="75"/>
  <c r="L105" i="75"/>
  <c r="K105" i="75"/>
  <c r="J105" i="75"/>
  <c r="I105" i="75"/>
  <c r="H105" i="75"/>
  <c r="G105" i="75"/>
  <c r="N104" i="75"/>
  <c r="M104" i="75"/>
  <c r="L104" i="75"/>
  <c r="K104" i="75"/>
  <c r="J104" i="75"/>
  <c r="I104" i="75"/>
  <c r="H104" i="75"/>
  <c r="G104" i="75"/>
  <c r="N103" i="75"/>
  <c r="M103" i="75"/>
  <c r="L103" i="75"/>
  <c r="K103" i="75"/>
  <c r="J103" i="75"/>
  <c r="I103" i="75"/>
  <c r="H103" i="75"/>
  <c r="G103" i="75"/>
  <c r="N101" i="75"/>
  <c r="M101" i="75"/>
  <c r="L101" i="75"/>
  <c r="K101" i="75"/>
  <c r="J101" i="75"/>
  <c r="I101" i="75"/>
  <c r="H101" i="75"/>
  <c r="G101" i="75"/>
  <c r="N99" i="75"/>
  <c r="N108" i="75"/>
  <c r="M99" i="75"/>
  <c r="M108" i="75"/>
  <c r="L99" i="75"/>
  <c r="L108" i="75"/>
  <c r="K99" i="75"/>
  <c r="K108" i="75"/>
  <c r="J99" i="75"/>
  <c r="J108" i="75"/>
  <c r="I99" i="75"/>
  <c r="I108" i="75"/>
  <c r="H99" i="75"/>
  <c r="H108" i="75"/>
  <c r="G99" i="75"/>
  <c r="G108" i="75"/>
  <c r="N107" i="76"/>
  <c r="M107" i="76"/>
  <c r="L107" i="76"/>
  <c r="K107" i="76"/>
  <c r="J107" i="76"/>
  <c r="I107" i="76"/>
  <c r="H107" i="76"/>
  <c r="G107" i="76"/>
  <c r="N106" i="76"/>
  <c r="M106" i="76"/>
  <c r="L106" i="76"/>
  <c r="K106" i="76"/>
  <c r="J106" i="76"/>
  <c r="I106" i="76"/>
  <c r="H106" i="76"/>
  <c r="G106" i="76"/>
  <c r="N105" i="76"/>
  <c r="M105" i="76"/>
  <c r="L105" i="76"/>
  <c r="K105" i="76"/>
  <c r="J105" i="76"/>
  <c r="I105" i="76"/>
  <c r="H105" i="76"/>
  <c r="G105" i="76"/>
  <c r="N104" i="76"/>
  <c r="M104" i="76"/>
  <c r="L104" i="76"/>
  <c r="K104" i="76"/>
  <c r="J104" i="76"/>
  <c r="I104" i="76"/>
  <c r="H104" i="76"/>
  <c r="G104" i="76"/>
  <c r="N103" i="76"/>
  <c r="M103" i="76"/>
  <c r="L103" i="76"/>
  <c r="K103" i="76"/>
  <c r="J103" i="76"/>
  <c r="I103" i="76"/>
  <c r="H103" i="76"/>
  <c r="G103" i="76"/>
  <c r="N101" i="76"/>
  <c r="M101" i="76"/>
  <c r="L101" i="76"/>
  <c r="K101" i="76"/>
  <c r="J101" i="76"/>
  <c r="I101" i="76"/>
  <c r="H101" i="76"/>
  <c r="G101" i="76"/>
  <c r="N99" i="76"/>
  <c r="N108" i="76"/>
  <c r="M99" i="76"/>
  <c r="M108" i="76"/>
  <c r="L99" i="76"/>
  <c r="L108" i="76"/>
  <c r="K99" i="76"/>
  <c r="K108" i="76"/>
  <c r="J99" i="76"/>
  <c r="J108" i="76"/>
  <c r="I99" i="76"/>
  <c r="I108" i="76"/>
  <c r="H99" i="76"/>
  <c r="H108" i="76"/>
  <c r="G99" i="76"/>
  <c r="G108" i="76"/>
  <c r="N107" i="77"/>
  <c r="M107" i="77"/>
  <c r="L107" i="77"/>
  <c r="K107" i="77"/>
  <c r="J107" i="77"/>
  <c r="I107" i="77"/>
  <c r="H107" i="77"/>
  <c r="G107" i="77"/>
  <c r="N106" i="77"/>
  <c r="M106" i="77"/>
  <c r="L106" i="77"/>
  <c r="K106" i="77"/>
  <c r="J106" i="77"/>
  <c r="I106" i="77"/>
  <c r="H106" i="77"/>
  <c r="G106" i="77"/>
  <c r="N105" i="77"/>
  <c r="M105" i="77"/>
  <c r="L105" i="77"/>
  <c r="K105" i="77"/>
  <c r="J105" i="77"/>
  <c r="I105" i="77"/>
  <c r="H105" i="77"/>
  <c r="G105" i="77"/>
  <c r="N104" i="77"/>
  <c r="M104" i="77"/>
  <c r="L104" i="77"/>
  <c r="K104" i="77"/>
  <c r="J104" i="77"/>
  <c r="I104" i="77"/>
  <c r="H104" i="77"/>
  <c r="G104" i="77"/>
  <c r="N103" i="77"/>
  <c r="M103" i="77"/>
  <c r="L103" i="77"/>
  <c r="K103" i="77"/>
  <c r="J103" i="77"/>
  <c r="I103" i="77"/>
  <c r="H103" i="77"/>
  <c r="G103" i="77"/>
  <c r="N101" i="77"/>
  <c r="M101" i="77"/>
  <c r="L101" i="77"/>
  <c r="K101" i="77"/>
  <c r="J101" i="77"/>
  <c r="I101" i="77"/>
  <c r="H101" i="77"/>
  <c r="G101" i="77"/>
  <c r="N99" i="77"/>
  <c r="N108" i="77"/>
  <c r="M99" i="77"/>
  <c r="M108" i="77"/>
  <c r="L99" i="77"/>
  <c r="L108" i="77"/>
  <c r="K99" i="77"/>
  <c r="K108" i="77"/>
  <c r="J99" i="77"/>
  <c r="J108" i="77"/>
  <c r="I99" i="77"/>
  <c r="I108" i="77"/>
  <c r="H99" i="77"/>
  <c r="H108" i="77"/>
  <c r="G99" i="77"/>
  <c r="G108" i="77"/>
  <c r="N107" i="78"/>
  <c r="M107" i="78"/>
  <c r="L107" i="78"/>
  <c r="K107" i="78"/>
  <c r="J107" i="78"/>
  <c r="I107" i="78"/>
  <c r="H107" i="78"/>
  <c r="G107" i="78"/>
  <c r="N106" i="78"/>
  <c r="M106" i="78"/>
  <c r="L106" i="78"/>
  <c r="K106" i="78"/>
  <c r="J106" i="78"/>
  <c r="I106" i="78"/>
  <c r="H106" i="78"/>
  <c r="G106" i="78"/>
  <c r="N105" i="78"/>
  <c r="M105" i="78"/>
  <c r="L105" i="78"/>
  <c r="K105" i="78"/>
  <c r="J105" i="78"/>
  <c r="I105" i="78"/>
  <c r="H105" i="78"/>
  <c r="G105" i="78"/>
  <c r="N104" i="78"/>
  <c r="M104" i="78"/>
  <c r="L104" i="78"/>
  <c r="K104" i="78"/>
  <c r="J104" i="78"/>
  <c r="I104" i="78"/>
  <c r="H104" i="78"/>
  <c r="G104" i="78"/>
  <c r="N103" i="78"/>
  <c r="M103" i="78"/>
  <c r="L103" i="78"/>
  <c r="K103" i="78"/>
  <c r="J103" i="78"/>
  <c r="I103" i="78"/>
  <c r="H103" i="78"/>
  <c r="G103" i="78"/>
  <c r="N101" i="78"/>
  <c r="M101" i="78"/>
  <c r="L101" i="78"/>
  <c r="K101" i="78"/>
  <c r="J101" i="78"/>
  <c r="I101" i="78"/>
  <c r="H101" i="78"/>
  <c r="G101" i="78"/>
  <c r="N99" i="78"/>
  <c r="N108" i="78"/>
  <c r="M99" i="78"/>
  <c r="M108" i="78"/>
  <c r="L99" i="78"/>
  <c r="L108" i="78"/>
  <c r="K99" i="78"/>
  <c r="K108" i="78"/>
  <c r="J99" i="78"/>
  <c r="J108" i="78"/>
  <c r="I99" i="78"/>
  <c r="I108" i="78"/>
  <c r="H99" i="78"/>
  <c r="H108" i="78"/>
  <c r="G99" i="78"/>
  <c r="G108" i="78"/>
  <c r="N106" i="79"/>
  <c r="M106" i="79"/>
  <c r="L106" i="79"/>
  <c r="K106" i="79"/>
  <c r="J106" i="79"/>
  <c r="I106" i="79"/>
  <c r="H106" i="79"/>
  <c r="G106" i="79"/>
  <c r="N105" i="79"/>
  <c r="M105" i="79"/>
  <c r="L105" i="79"/>
  <c r="K105" i="79"/>
  <c r="J105" i="79"/>
  <c r="I105" i="79"/>
  <c r="H105" i="79"/>
  <c r="G105" i="79"/>
  <c r="N104" i="79"/>
  <c r="M104" i="79"/>
  <c r="L104" i="79"/>
  <c r="K104" i="79"/>
  <c r="J104" i="79"/>
  <c r="I104" i="79"/>
  <c r="H104" i="79"/>
  <c r="G104" i="79"/>
  <c r="N101" i="79"/>
  <c r="M101" i="79"/>
  <c r="L101" i="79"/>
  <c r="K101" i="79"/>
  <c r="J101" i="79"/>
  <c r="I101" i="79"/>
  <c r="H101" i="79"/>
  <c r="G101" i="79"/>
  <c r="N99" i="79"/>
  <c r="N108" i="79"/>
  <c r="M99" i="79"/>
  <c r="M108" i="79"/>
  <c r="L99" i="79"/>
  <c r="L108" i="79"/>
  <c r="K99" i="79"/>
  <c r="J99" i="79"/>
  <c r="J108" i="79"/>
  <c r="I99" i="79"/>
  <c r="I108" i="79"/>
  <c r="H99" i="79"/>
  <c r="G99" i="79"/>
  <c r="G108" i="79"/>
  <c r="N106" i="80"/>
  <c r="M106" i="80"/>
  <c r="L106" i="80"/>
  <c r="K106" i="80"/>
  <c r="J106" i="80"/>
  <c r="I106" i="80"/>
  <c r="H106" i="80"/>
  <c r="G106" i="80"/>
  <c r="N105" i="80"/>
  <c r="M105" i="80"/>
  <c r="L105" i="80"/>
  <c r="K105" i="80"/>
  <c r="J105" i="80"/>
  <c r="I105" i="80"/>
  <c r="H105" i="80"/>
  <c r="G105" i="80"/>
  <c r="N104" i="80"/>
  <c r="M104" i="80"/>
  <c r="L104" i="80"/>
  <c r="K104" i="80"/>
  <c r="J104" i="80"/>
  <c r="I104" i="80"/>
  <c r="H104" i="80"/>
  <c r="G104" i="80"/>
  <c r="N103" i="80"/>
  <c r="M103" i="80"/>
  <c r="L103" i="80"/>
  <c r="K103" i="80"/>
  <c r="K108" i="80"/>
  <c r="J103" i="80"/>
  <c r="J108" i="80"/>
  <c r="I103" i="80"/>
  <c r="I108" i="80"/>
  <c r="H103" i="80"/>
  <c r="G103" i="80"/>
  <c r="G108" i="80"/>
  <c r="N108" i="80"/>
  <c r="M108" i="80"/>
  <c r="N107" i="81"/>
  <c r="M107" i="81"/>
  <c r="L107" i="81"/>
  <c r="K107" i="81"/>
  <c r="J107" i="81"/>
  <c r="I107" i="81"/>
  <c r="H107" i="81"/>
  <c r="G107" i="81"/>
  <c r="N106" i="81"/>
  <c r="M106" i="81"/>
  <c r="L106" i="81"/>
  <c r="K106" i="81"/>
  <c r="J106" i="81"/>
  <c r="I106" i="81"/>
  <c r="H106" i="81"/>
  <c r="G106" i="81"/>
  <c r="N105" i="81"/>
  <c r="M105" i="81"/>
  <c r="L105" i="81"/>
  <c r="K105" i="81"/>
  <c r="J105" i="81"/>
  <c r="I105" i="81"/>
  <c r="H105" i="81"/>
  <c r="G105" i="81"/>
  <c r="N104" i="81"/>
  <c r="M104" i="81"/>
  <c r="L104" i="81"/>
  <c r="K104" i="81"/>
  <c r="J104" i="81"/>
  <c r="I104" i="81"/>
  <c r="H104" i="81"/>
  <c r="G104" i="81"/>
  <c r="N103" i="81"/>
  <c r="M103" i="81"/>
  <c r="L103" i="81"/>
  <c r="K103" i="81"/>
  <c r="J103" i="81"/>
  <c r="J108" i="81"/>
  <c r="I103" i="81"/>
  <c r="H103" i="81"/>
  <c r="G103" i="81"/>
  <c r="N108" i="81"/>
  <c r="I108" i="81"/>
  <c r="N107" i="82"/>
  <c r="M107" i="82"/>
  <c r="L107" i="82"/>
  <c r="K107" i="82"/>
  <c r="J107" i="82"/>
  <c r="I107" i="82"/>
  <c r="H107" i="82"/>
  <c r="G107" i="82"/>
  <c r="N106" i="82"/>
  <c r="M106" i="82"/>
  <c r="L106" i="82"/>
  <c r="K106" i="82"/>
  <c r="J106" i="82"/>
  <c r="I106" i="82"/>
  <c r="H106" i="82"/>
  <c r="G106" i="82"/>
  <c r="N105" i="82"/>
  <c r="M105" i="82"/>
  <c r="L105" i="82"/>
  <c r="K105" i="82"/>
  <c r="J105" i="82"/>
  <c r="I105" i="82"/>
  <c r="H105" i="82"/>
  <c r="G105" i="82"/>
  <c r="N104" i="82"/>
  <c r="M104" i="82"/>
  <c r="L104" i="82"/>
  <c r="K104" i="82"/>
  <c r="J104" i="82"/>
  <c r="I104" i="82"/>
  <c r="H104" i="82"/>
  <c r="G104" i="82"/>
  <c r="N103" i="82"/>
  <c r="M103" i="82"/>
  <c r="L103" i="82"/>
  <c r="L108" i="82"/>
  <c r="K103" i="82"/>
  <c r="J103" i="82"/>
  <c r="J108" i="82"/>
  <c r="I103" i="82"/>
  <c r="H103" i="82"/>
  <c r="G103" i="82"/>
  <c r="N108" i="82"/>
  <c r="I108" i="82"/>
  <c r="N107" i="83"/>
  <c r="M107" i="83"/>
  <c r="L107" i="83"/>
  <c r="K107" i="83"/>
  <c r="J107" i="83"/>
  <c r="I107" i="83"/>
  <c r="H107" i="83"/>
  <c r="G107" i="83"/>
  <c r="N106" i="83"/>
  <c r="M106" i="83"/>
  <c r="L106" i="83"/>
  <c r="K106" i="83"/>
  <c r="J106" i="83"/>
  <c r="I106" i="83"/>
  <c r="H106" i="83"/>
  <c r="G106" i="83"/>
  <c r="N105" i="83"/>
  <c r="M105" i="83"/>
  <c r="L105" i="83"/>
  <c r="K105" i="83"/>
  <c r="J105" i="83"/>
  <c r="I105" i="83"/>
  <c r="H105" i="83"/>
  <c r="G105" i="83"/>
  <c r="N104" i="83"/>
  <c r="M104" i="83"/>
  <c r="L104" i="83"/>
  <c r="K104" i="83"/>
  <c r="J104" i="83"/>
  <c r="I104" i="83"/>
  <c r="H104" i="83"/>
  <c r="G104" i="83"/>
  <c r="N103" i="83"/>
  <c r="M103" i="83"/>
  <c r="L103" i="83"/>
  <c r="K103" i="83"/>
  <c r="J103" i="83"/>
  <c r="J108" i="83"/>
  <c r="I103" i="83"/>
  <c r="H103" i="83"/>
  <c r="G103" i="83"/>
  <c r="N108" i="83"/>
  <c r="G108" i="83"/>
  <c r="N106" i="84"/>
  <c r="M106" i="84"/>
  <c r="L106" i="84"/>
  <c r="K106" i="84"/>
  <c r="J106" i="84"/>
  <c r="I106" i="84"/>
  <c r="H106" i="84"/>
  <c r="G106" i="84"/>
  <c r="N105" i="84"/>
  <c r="M105" i="84"/>
  <c r="L105" i="84"/>
  <c r="K105" i="84"/>
  <c r="J105" i="84"/>
  <c r="I105" i="84"/>
  <c r="H105" i="84"/>
  <c r="G105" i="84"/>
  <c r="N104" i="84"/>
  <c r="M104" i="84"/>
  <c r="L104" i="84"/>
  <c r="K104" i="84"/>
  <c r="J104" i="84"/>
  <c r="I104" i="84"/>
  <c r="H104" i="84"/>
  <c r="G104" i="84"/>
  <c r="N103" i="84"/>
  <c r="M103" i="84"/>
  <c r="L103" i="84"/>
  <c r="L108" i="84"/>
  <c r="K103" i="84"/>
  <c r="J103" i="84"/>
  <c r="I103" i="84"/>
  <c r="I108" i="84"/>
  <c r="H103" i="84"/>
  <c r="G103" i="84"/>
  <c r="G108" i="84"/>
  <c r="N108" i="84"/>
  <c r="M108" i="84"/>
  <c r="J108" i="84"/>
  <c r="N107" i="85"/>
  <c r="M107" i="85"/>
  <c r="L107" i="85"/>
  <c r="K107" i="85"/>
  <c r="J107" i="85"/>
  <c r="I107" i="85"/>
  <c r="H107" i="85"/>
  <c r="G107" i="85"/>
  <c r="N106" i="85"/>
  <c r="M106" i="85"/>
  <c r="L106" i="85"/>
  <c r="K106" i="85"/>
  <c r="J106" i="85"/>
  <c r="I106" i="85"/>
  <c r="H106" i="85"/>
  <c r="G106" i="85"/>
  <c r="N105" i="85"/>
  <c r="M105" i="85"/>
  <c r="L105" i="85"/>
  <c r="K105" i="85"/>
  <c r="J105" i="85"/>
  <c r="I105" i="85"/>
  <c r="H105" i="85"/>
  <c r="G105" i="85"/>
  <c r="N104" i="85"/>
  <c r="M104" i="85"/>
  <c r="L104" i="85"/>
  <c r="K104" i="85"/>
  <c r="J104" i="85"/>
  <c r="I104" i="85"/>
  <c r="H104" i="85"/>
  <c r="G104" i="85"/>
  <c r="N103" i="85"/>
  <c r="M103" i="85"/>
  <c r="L103" i="85"/>
  <c r="K103" i="85"/>
  <c r="J103" i="85"/>
  <c r="I103" i="85"/>
  <c r="H103" i="85"/>
  <c r="G103" i="85"/>
  <c r="N101" i="85"/>
  <c r="M101" i="85"/>
  <c r="L101" i="85"/>
  <c r="K101" i="85"/>
  <c r="J101" i="85"/>
  <c r="I101" i="85"/>
  <c r="H101" i="85"/>
  <c r="G101" i="85"/>
  <c r="N99" i="85"/>
  <c r="N108" i="85"/>
  <c r="M99" i="85"/>
  <c r="M108" i="85"/>
  <c r="L99" i="85"/>
  <c r="L108" i="85"/>
  <c r="K99" i="85"/>
  <c r="K108" i="85"/>
  <c r="J99" i="85"/>
  <c r="J108" i="85"/>
  <c r="I99" i="85"/>
  <c r="I108" i="85"/>
  <c r="H99" i="85"/>
  <c r="H108" i="85"/>
  <c r="G99" i="85"/>
  <c r="G108" i="85"/>
  <c r="N107" i="86"/>
  <c r="M107" i="86"/>
  <c r="L107" i="86"/>
  <c r="K107" i="86"/>
  <c r="J107" i="86"/>
  <c r="I107" i="86"/>
  <c r="H107" i="86"/>
  <c r="G107" i="86"/>
  <c r="N106" i="86"/>
  <c r="M106" i="86"/>
  <c r="L106" i="86"/>
  <c r="K106" i="86"/>
  <c r="J106" i="86"/>
  <c r="I106" i="86"/>
  <c r="H106" i="86"/>
  <c r="G106" i="86"/>
  <c r="N105" i="86"/>
  <c r="M105" i="86"/>
  <c r="L105" i="86"/>
  <c r="K105" i="86"/>
  <c r="J105" i="86"/>
  <c r="I105" i="86"/>
  <c r="H105" i="86"/>
  <c r="G105" i="86"/>
  <c r="N104" i="86"/>
  <c r="M104" i="86"/>
  <c r="L104" i="86"/>
  <c r="K104" i="86"/>
  <c r="J104" i="86"/>
  <c r="I104" i="86"/>
  <c r="H104" i="86"/>
  <c r="G104" i="86"/>
  <c r="N103" i="86"/>
  <c r="M103" i="86"/>
  <c r="L103" i="86"/>
  <c r="K103" i="86"/>
  <c r="J103" i="86"/>
  <c r="I103" i="86"/>
  <c r="H103" i="86"/>
  <c r="G103" i="86"/>
  <c r="N101" i="86"/>
  <c r="M101" i="86"/>
  <c r="L101" i="86"/>
  <c r="K101" i="86"/>
  <c r="J101" i="86"/>
  <c r="I101" i="86"/>
  <c r="H101" i="86"/>
  <c r="G101" i="86"/>
  <c r="N99" i="86"/>
  <c r="N108" i="86"/>
  <c r="M99" i="86"/>
  <c r="M108" i="86"/>
  <c r="L99" i="86"/>
  <c r="L108" i="86"/>
  <c r="K99" i="86"/>
  <c r="K108" i="86"/>
  <c r="J99" i="86"/>
  <c r="J108" i="86"/>
  <c r="I99" i="86"/>
  <c r="I108" i="86"/>
  <c r="H99" i="86"/>
  <c r="H108" i="86"/>
  <c r="G99" i="86"/>
  <c r="G108" i="86"/>
  <c r="N107" i="87"/>
  <c r="M107" i="87"/>
  <c r="L107" i="87"/>
  <c r="K107" i="87"/>
  <c r="J107" i="87"/>
  <c r="I107" i="87"/>
  <c r="H107" i="87"/>
  <c r="G107" i="87"/>
  <c r="N106" i="87"/>
  <c r="M106" i="87"/>
  <c r="L106" i="87"/>
  <c r="K106" i="87"/>
  <c r="J106" i="87"/>
  <c r="I106" i="87"/>
  <c r="H106" i="87"/>
  <c r="G106" i="87"/>
  <c r="N105" i="87"/>
  <c r="M105" i="87"/>
  <c r="L105" i="87"/>
  <c r="K105" i="87"/>
  <c r="J105" i="87"/>
  <c r="I105" i="87"/>
  <c r="H105" i="87"/>
  <c r="G105" i="87"/>
  <c r="N104" i="87"/>
  <c r="M104" i="87"/>
  <c r="L104" i="87"/>
  <c r="K104" i="87"/>
  <c r="J104" i="87"/>
  <c r="I104" i="87"/>
  <c r="H104" i="87"/>
  <c r="G104" i="87"/>
  <c r="N103" i="87"/>
  <c r="M103" i="87"/>
  <c r="L103" i="87"/>
  <c r="K103" i="87"/>
  <c r="J103" i="87"/>
  <c r="I103" i="87"/>
  <c r="H103" i="87"/>
  <c r="G103" i="87"/>
  <c r="N101" i="87"/>
  <c r="M101" i="87"/>
  <c r="L101" i="87"/>
  <c r="K101" i="87"/>
  <c r="J101" i="87"/>
  <c r="I101" i="87"/>
  <c r="H101" i="87"/>
  <c r="G101" i="87"/>
  <c r="N99" i="87"/>
  <c r="N108" i="87"/>
  <c r="M99" i="87"/>
  <c r="M108" i="87"/>
  <c r="L99" i="87"/>
  <c r="L108" i="87"/>
  <c r="K99" i="87"/>
  <c r="K108" i="87"/>
  <c r="J99" i="87"/>
  <c r="J108" i="87"/>
  <c r="I99" i="87"/>
  <c r="I108" i="87"/>
  <c r="H99" i="87"/>
  <c r="H108" i="87"/>
  <c r="G99" i="87"/>
  <c r="G108" i="87"/>
  <c r="N107" i="88"/>
  <c r="M107" i="88"/>
  <c r="L107" i="88"/>
  <c r="K107" i="88"/>
  <c r="J107" i="88"/>
  <c r="I107" i="88"/>
  <c r="H107" i="88"/>
  <c r="G107" i="88"/>
  <c r="N106" i="88"/>
  <c r="M106" i="88"/>
  <c r="L106" i="88"/>
  <c r="K106" i="88"/>
  <c r="J106" i="88"/>
  <c r="I106" i="88"/>
  <c r="H106" i="88"/>
  <c r="G106" i="88"/>
  <c r="N105" i="88"/>
  <c r="M105" i="88"/>
  <c r="L105" i="88"/>
  <c r="K105" i="88"/>
  <c r="J105" i="88"/>
  <c r="I105" i="88"/>
  <c r="H105" i="88"/>
  <c r="G105" i="88"/>
  <c r="N104" i="88"/>
  <c r="M104" i="88"/>
  <c r="L104" i="88"/>
  <c r="K104" i="88"/>
  <c r="J104" i="88"/>
  <c r="I104" i="88"/>
  <c r="H104" i="88"/>
  <c r="G104" i="88"/>
  <c r="N103" i="88"/>
  <c r="M103" i="88"/>
  <c r="L103" i="88"/>
  <c r="K103" i="88"/>
  <c r="J103" i="88"/>
  <c r="I103" i="88"/>
  <c r="H103" i="88"/>
  <c r="G103" i="88"/>
  <c r="N101" i="88"/>
  <c r="M101" i="88"/>
  <c r="L101" i="88"/>
  <c r="K101" i="88"/>
  <c r="J101" i="88"/>
  <c r="I101" i="88"/>
  <c r="H101" i="88"/>
  <c r="G101" i="88"/>
  <c r="N99" i="88"/>
  <c r="N108" i="88"/>
  <c r="M99" i="88"/>
  <c r="M108" i="88"/>
  <c r="L99" i="88"/>
  <c r="L108" i="88"/>
  <c r="K99" i="88"/>
  <c r="K108" i="88"/>
  <c r="J99" i="88"/>
  <c r="J108" i="88"/>
  <c r="I99" i="88"/>
  <c r="I108" i="88"/>
  <c r="H99" i="88"/>
  <c r="H108" i="88"/>
  <c r="G99" i="88"/>
  <c r="G108" i="88"/>
  <c r="N107" i="99"/>
  <c r="M107" i="99"/>
  <c r="L107" i="99"/>
  <c r="K107" i="99"/>
  <c r="J107" i="99"/>
  <c r="I107" i="99"/>
  <c r="H107" i="99"/>
  <c r="G107" i="99"/>
  <c r="N106" i="99"/>
  <c r="M106" i="99"/>
  <c r="L106" i="99"/>
  <c r="K106" i="99"/>
  <c r="J106" i="99"/>
  <c r="I106" i="99"/>
  <c r="H106" i="99"/>
  <c r="G106" i="99"/>
  <c r="N105" i="99"/>
  <c r="M105" i="99"/>
  <c r="L105" i="99"/>
  <c r="K105" i="99"/>
  <c r="J105" i="99"/>
  <c r="I105" i="99"/>
  <c r="H105" i="99"/>
  <c r="G105" i="99"/>
  <c r="N104" i="99"/>
  <c r="M104" i="99"/>
  <c r="L104" i="99"/>
  <c r="K104" i="99"/>
  <c r="J104" i="99"/>
  <c r="I104" i="99"/>
  <c r="H104" i="99"/>
  <c r="G104" i="99"/>
  <c r="N103" i="99"/>
  <c r="M103" i="99"/>
  <c r="L103" i="99"/>
  <c r="K103" i="99"/>
  <c r="J103" i="99"/>
  <c r="I103" i="99"/>
  <c r="H103" i="99"/>
  <c r="G103" i="99"/>
  <c r="N101" i="99"/>
  <c r="M101" i="99"/>
  <c r="L101" i="99"/>
  <c r="K101" i="99"/>
  <c r="J101" i="99"/>
  <c r="I101" i="99"/>
  <c r="H101" i="99"/>
  <c r="G101" i="99"/>
  <c r="N99" i="99"/>
  <c r="N108" i="99"/>
  <c r="M99" i="99"/>
  <c r="M108" i="99"/>
  <c r="L99" i="99"/>
  <c r="L108" i="99"/>
  <c r="K99" i="99"/>
  <c r="K108" i="99"/>
  <c r="J99" i="99"/>
  <c r="J108" i="99"/>
  <c r="I99" i="99"/>
  <c r="I108" i="99"/>
  <c r="H99" i="99"/>
  <c r="H108" i="99"/>
  <c r="G99" i="99"/>
  <c r="G108" i="99"/>
  <c r="N107" i="98"/>
  <c r="M107" i="98"/>
  <c r="L107" i="98"/>
  <c r="K107" i="98"/>
  <c r="J107" i="98"/>
  <c r="I107" i="98"/>
  <c r="H107" i="98"/>
  <c r="N106" i="98"/>
  <c r="M106" i="98"/>
  <c r="L106" i="98"/>
  <c r="K106" i="98"/>
  <c r="J106" i="98"/>
  <c r="I106" i="98"/>
  <c r="H106" i="98"/>
  <c r="N105" i="98"/>
  <c r="M105" i="98"/>
  <c r="L105" i="98"/>
  <c r="K105" i="98"/>
  <c r="J105" i="98"/>
  <c r="I105" i="98"/>
  <c r="H105" i="98"/>
  <c r="N104" i="98"/>
  <c r="M104" i="98"/>
  <c r="L104" i="98"/>
  <c r="K104" i="98"/>
  <c r="J104" i="98"/>
  <c r="I104" i="98"/>
  <c r="H104" i="98"/>
  <c r="N103" i="98"/>
  <c r="M103" i="98"/>
  <c r="L103" i="98"/>
  <c r="K103" i="98"/>
  <c r="J103" i="98"/>
  <c r="I103" i="98"/>
  <c r="H103" i="98"/>
  <c r="N101" i="98"/>
  <c r="M101" i="98"/>
  <c r="L101" i="98"/>
  <c r="K101" i="98"/>
  <c r="J101" i="98"/>
  <c r="I101" i="98"/>
  <c r="H101" i="98"/>
  <c r="N99" i="98"/>
  <c r="M99" i="98"/>
  <c r="L99" i="98"/>
  <c r="K99" i="98"/>
  <c r="J99" i="98"/>
  <c r="I99" i="98"/>
  <c r="H99" i="98"/>
  <c r="G107" i="98"/>
  <c r="G106" i="98"/>
  <c r="G105" i="98"/>
  <c r="G104" i="98"/>
  <c r="G103" i="98"/>
  <c r="G101" i="98"/>
  <c r="G99" i="98"/>
  <c r="M108" i="82"/>
  <c r="M108" i="81"/>
  <c r="G108" i="82"/>
  <c r="G108" i="81"/>
  <c r="L108" i="81"/>
  <c r="H108" i="80"/>
  <c r="H108" i="82"/>
  <c r="H108" i="83"/>
  <c r="L108" i="83"/>
  <c r="I108" i="83"/>
  <c r="M108" i="83"/>
  <c r="N108" i="98"/>
  <c r="L108" i="98"/>
  <c r="J108" i="98"/>
  <c r="H108" i="98"/>
  <c r="G108" i="98"/>
  <c r="I108" i="98"/>
  <c r="M108" i="98"/>
  <c r="K108" i="98"/>
  <c r="H108" i="84"/>
  <c r="K108" i="82"/>
  <c r="K108" i="81"/>
  <c r="G108" i="125"/>
  <c r="N108" i="127"/>
  <c r="J108" i="90"/>
  <c r="N108" i="106"/>
  <c r="M108" i="101"/>
  <c r="H108" i="79"/>
  <c r="K108" i="79"/>
  <c r="K108" i="84"/>
  <c r="K108" i="83"/>
  <c r="L108" i="80"/>
  <c r="H108" i="81"/>
  <c r="T17" i="115"/>
  <c r="T16" i="115"/>
  <c r="T15" i="115"/>
  <c r="T14" i="115"/>
  <c r="T13" i="115"/>
  <c r="J17" i="115"/>
  <c r="J16" i="115"/>
  <c r="J15" i="115"/>
  <c r="J14" i="115"/>
  <c r="J13" i="115"/>
  <c r="L50" i="132"/>
  <c r="K50" i="132"/>
  <c r="J50" i="132"/>
  <c r="I50" i="132"/>
  <c r="H50" i="132"/>
  <c r="G50" i="132"/>
  <c r="F50" i="132"/>
  <c r="G9" i="134"/>
  <c r="F9" i="134"/>
  <c r="E9" i="134"/>
  <c r="D9" i="134"/>
  <c r="G6" i="122"/>
  <c r="G7" i="122"/>
  <c r="G8" i="122"/>
  <c r="G9" i="122"/>
  <c r="G10" i="122"/>
  <c r="G11" i="122"/>
  <c r="G12" i="122"/>
  <c r="G13" i="122"/>
  <c r="G14" i="122"/>
  <c r="G15" i="122"/>
  <c r="G16" i="122"/>
  <c r="G17" i="122"/>
  <c r="G18" i="122"/>
  <c r="G19" i="122"/>
  <c r="G20" i="122"/>
  <c r="G21" i="122"/>
  <c r="G22" i="122"/>
  <c r="G23" i="122"/>
  <c r="G24" i="122"/>
  <c r="G25" i="122"/>
  <c r="G26" i="122"/>
  <c r="G27" i="122"/>
  <c r="G28" i="122"/>
  <c r="G29" i="122"/>
  <c r="G30" i="122"/>
  <c r="G31" i="122"/>
  <c r="G32" i="122"/>
  <c r="G33" i="122"/>
  <c r="G34" i="122"/>
  <c r="G35" i="122"/>
  <c r="G36" i="122"/>
  <c r="G37" i="122"/>
  <c r="G38" i="122"/>
  <c r="G39" i="122"/>
  <c r="G40" i="122"/>
  <c r="G41" i="122"/>
  <c r="G42" i="122"/>
  <c r="G43" i="122"/>
  <c r="G44" i="122"/>
  <c r="G45" i="122"/>
  <c r="G46" i="122"/>
  <c r="G47" i="122"/>
  <c r="G48" i="122"/>
  <c r="G49" i="122"/>
  <c r="G50" i="122"/>
  <c r="G5" i="122"/>
  <c r="C50" i="122"/>
  <c r="C49" i="122"/>
  <c r="C48" i="122"/>
  <c r="C47" i="122"/>
  <c r="C46" i="122"/>
  <c r="C45" i="122"/>
  <c r="C44" i="122"/>
  <c r="C43" i="122"/>
  <c r="C42" i="122"/>
  <c r="C41" i="122"/>
  <c r="C40" i="122"/>
  <c r="C39" i="122"/>
  <c r="C38" i="122"/>
  <c r="C37" i="122"/>
  <c r="C36" i="122"/>
  <c r="C35" i="122"/>
  <c r="C34" i="122"/>
  <c r="C33" i="122"/>
  <c r="C32" i="122"/>
  <c r="C31" i="122"/>
  <c r="C30" i="122"/>
  <c r="C29" i="122"/>
  <c r="C28" i="122"/>
  <c r="C27" i="122"/>
  <c r="C26" i="122"/>
  <c r="C25" i="122"/>
  <c r="C24" i="122"/>
  <c r="C23" i="122"/>
  <c r="C22" i="122"/>
  <c r="C21" i="122"/>
  <c r="C20" i="122"/>
  <c r="C19" i="122"/>
  <c r="C18" i="122"/>
  <c r="C17" i="122"/>
  <c r="C16" i="122"/>
  <c r="C15" i="122"/>
  <c r="C14" i="122"/>
  <c r="C13" i="122"/>
  <c r="C12" i="122"/>
  <c r="C11" i="122"/>
  <c r="C10" i="122"/>
  <c r="C9" i="122"/>
  <c r="C8" i="122"/>
  <c r="C7" i="122"/>
  <c r="C6" i="122"/>
  <c r="C5" i="122"/>
  <c r="U32" i="112"/>
  <c r="U45" i="14"/>
  <c r="U32" i="63"/>
  <c r="U33" i="63"/>
  <c r="G3" i="123"/>
  <c r="G3" i="124"/>
  <c r="G3" i="125"/>
  <c r="G3" i="126"/>
  <c r="G3" i="127"/>
  <c r="G3" i="128"/>
  <c r="G3" i="129"/>
  <c r="D9" i="123"/>
  <c r="D7" i="123"/>
  <c r="D6" i="123"/>
  <c r="D4" i="123"/>
  <c r="D3" i="123"/>
  <c r="D9" i="124"/>
  <c r="D7" i="124"/>
  <c r="D6" i="124"/>
  <c r="D4" i="124"/>
  <c r="D3" i="124"/>
  <c r="D9" i="125"/>
  <c r="D7" i="125"/>
  <c r="D6" i="125"/>
  <c r="D4" i="125"/>
  <c r="N11" i="125"/>
  <c r="D3" i="125"/>
  <c r="D9" i="126"/>
  <c r="D7" i="126"/>
  <c r="D6" i="126"/>
  <c r="D4" i="126"/>
  <c r="D3" i="126"/>
  <c r="D9" i="127"/>
  <c r="D7" i="127"/>
  <c r="D6" i="127"/>
  <c r="D4" i="127"/>
  <c r="D3" i="127"/>
  <c r="D9" i="128"/>
  <c r="D7" i="128"/>
  <c r="D6" i="128"/>
  <c r="D4" i="128"/>
  <c r="D3" i="128"/>
  <c r="AH23" i="16"/>
  <c r="AT23" i="16"/>
  <c r="AH22" i="16"/>
  <c r="AH21" i="16"/>
  <c r="AH20" i="16"/>
  <c r="AH19" i="16"/>
  <c r="AH18" i="16"/>
  <c r="W22" i="16"/>
  <c r="W21" i="16"/>
  <c r="W20" i="16"/>
  <c r="W19" i="16"/>
  <c r="W18" i="16"/>
  <c r="F11" i="128"/>
  <c r="W17" i="16"/>
  <c r="D9" i="129"/>
  <c r="D7" i="129"/>
  <c r="D6" i="129"/>
  <c r="D4" i="129"/>
  <c r="D3" i="129"/>
  <c r="D95" i="128"/>
  <c r="D81" i="128"/>
  <c r="D79" i="128"/>
  <c r="D78" i="128"/>
  <c r="F77" i="128"/>
  <c r="F83" i="128" s="1"/>
  <c r="D77" i="128"/>
  <c r="D76" i="128"/>
  <c r="D74" i="128"/>
  <c r="D59" i="128"/>
  <c r="D54" i="128"/>
  <c r="F47" i="128"/>
  <c r="F46" i="128"/>
  <c r="F43" i="128"/>
  <c r="F42" i="128"/>
  <c r="F41" i="128"/>
  <c r="F40" i="128"/>
  <c r="F39" i="128"/>
  <c r="F38" i="128"/>
  <c r="F37" i="128"/>
  <c r="F36" i="128"/>
  <c r="F35" i="128"/>
  <c r="F34" i="128"/>
  <c r="N32" i="128"/>
  <c r="M32" i="128"/>
  <c r="L32" i="128"/>
  <c r="K32" i="128"/>
  <c r="J32" i="128"/>
  <c r="I32" i="128"/>
  <c r="H32" i="128"/>
  <c r="G32" i="128"/>
  <c r="F32" i="128"/>
  <c r="N27" i="128"/>
  <c r="M27" i="128"/>
  <c r="L27" i="128"/>
  <c r="K27" i="128"/>
  <c r="J27" i="128"/>
  <c r="I27" i="128"/>
  <c r="H27" i="128"/>
  <c r="G27" i="128"/>
  <c r="F27" i="128"/>
  <c r="D14" i="128"/>
  <c r="N11" i="128"/>
  <c r="G11" i="128"/>
  <c r="D11" i="128"/>
  <c r="D95" i="127"/>
  <c r="D81" i="127"/>
  <c r="D79" i="127"/>
  <c r="D78" i="127"/>
  <c r="F77" i="127"/>
  <c r="F83" i="127" s="1"/>
  <c r="D77" i="127"/>
  <c r="D76" i="127"/>
  <c r="D74" i="127"/>
  <c r="D59" i="127"/>
  <c r="D54" i="127"/>
  <c r="F47" i="127"/>
  <c r="F46" i="127"/>
  <c r="F43" i="127"/>
  <c r="F42" i="127"/>
  <c r="F41" i="127"/>
  <c r="F40" i="127"/>
  <c r="F39" i="127"/>
  <c r="F38" i="127"/>
  <c r="F37" i="127"/>
  <c r="F36" i="127"/>
  <c r="F35" i="127"/>
  <c r="F34" i="127"/>
  <c r="N32" i="127"/>
  <c r="M32" i="127"/>
  <c r="L32" i="127"/>
  <c r="K32" i="127"/>
  <c r="J32" i="127"/>
  <c r="I32" i="127"/>
  <c r="H32" i="127"/>
  <c r="G32" i="127"/>
  <c r="F32" i="127"/>
  <c r="N27" i="127"/>
  <c r="M27" i="127"/>
  <c r="L27" i="127"/>
  <c r="K27" i="127"/>
  <c r="J27" i="127"/>
  <c r="I27" i="127"/>
  <c r="H27" i="127"/>
  <c r="G27" i="127"/>
  <c r="F27" i="127"/>
  <c r="D14" i="127"/>
  <c r="D11" i="127"/>
  <c r="D95" i="126"/>
  <c r="D81" i="126"/>
  <c r="D79" i="126"/>
  <c r="D78" i="126"/>
  <c r="F77" i="126"/>
  <c r="F83" i="126" s="1"/>
  <c r="D77" i="126"/>
  <c r="D76" i="126"/>
  <c r="D74" i="126"/>
  <c r="D59" i="126"/>
  <c r="D54" i="126"/>
  <c r="F47" i="126"/>
  <c r="F46" i="126"/>
  <c r="F43" i="126"/>
  <c r="F42" i="126"/>
  <c r="F41" i="126"/>
  <c r="F40" i="126"/>
  <c r="F39" i="126"/>
  <c r="F38" i="126"/>
  <c r="F37" i="126"/>
  <c r="F36" i="126"/>
  <c r="F35" i="126"/>
  <c r="F34" i="126"/>
  <c r="N32" i="126"/>
  <c r="M32" i="126"/>
  <c r="L32" i="126"/>
  <c r="K32" i="126"/>
  <c r="J32" i="126"/>
  <c r="I32" i="126"/>
  <c r="H32" i="126"/>
  <c r="G32" i="126"/>
  <c r="F32" i="126"/>
  <c r="N27" i="126"/>
  <c r="M27" i="126"/>
  <c r="L27" i="126"/>
  <c r="K27" i="126"/>
  <c r="J27" i="126"/>
  <c r="I27" i="126"/>
  <c r="H27" i="126"/>
  <c r="G27" i="126"/>
  <c r="F27" i="126"/>
  <c r="D14" i="126"/>
  <c r="D11" i="126"/>
  <c r="D95" i="125"/>
  <c r="D81" i="125"/>
  <c r="D79" i="125"/>
  <c r="D78" i="125"/>
  <c r="F77" i="125"/>
  <c r="F83" i="125" s="1"/>
  <c r="D77" i="125"/>
  <c r="D76" i="125"/>
  <c r="D74" i="125"/>
  <c r="D59" i="125"/>
  <c r="D54" i="125"/>
  <c r="F47" i="125"/>
  <c r="F46" i="125"/>
  <c r="F48" i="125" s="1"/>
  <c r="F43" i="125"/>
  <c r="F42" i="125"/>
  <c r="F41" i="125"/>
  <c r="F40" i="125"/>
  <c r="F39" i="125"/>
  <c r="F38" i="125"/>
  <c r="F37" i="125"/>
  <c r="F36" i="125"/>
  <c r="F44" i="125" s="1"/>
  <c r="F49" i="125" s="1"/>
  <c r="F35" i="125"/>
  <c r="F34" i="125"/>
  <c r="N32" i="125"/>
  <c r="M32" i="125"/>
  <c r="L32" i="125"/>
  <c r="K32" i="125"/>
  <c r="J32" i="125"/>
  <c r="I32" i="125"/>
  <c r="H32" i="125"/>
  <c r="G32" i="125"/>
  <c r="F32" i="125"/>
  <c r="N27" i="125"/>
  <c r="M27" i="125"/>
  <c r="L27" i="125"/>
  <c r="K27" i="125"/>
  <c r="J27" i="125"/>
  <c r="I27" i="125"/>
  <c r="H27" i="125"/>
  <c r="G27" i="125"/>
  <c r="F27" i="125"/>
  <c r="D14" i="125"/>
  <c r="D11" i="125"/>
  <c r="D95" i="124"/>
  <c r="D81" i="124"/>
  <c r="D79" i="124"/>
  <c r="D78" i="124"/>
  <c r="F77" i="124"/>
  <c r="F83" i="124" s="1"/>
  <c r="D77" i="124"/>
  <c r="D76" i="124"/>
  <c r="D74" i="124"/>
  <c r="D59" i="124"/>
  <c r="D54" i="124"/>
  <c r="F47" i="124"/>
  <c r="F46" i="124"/>
  <c r="F43" i="124"/>
  <c r="F42" i="124"/>
  <c r="F41" i="124"/>
  <c r="F40" i="124"/>
  <c r="F39" i="124"/>
  <c r="F38" i="124"/>
  <c r="F37" i="124"/>
  <c r="F36" i="124"/>
  <c r="F35" i="124"/>
  <c r="F34" i="124"/>
  <c r="N32" i="124"/>
  <c r="M32" i="124"/>
  <c r="L32" i="124"/>
  <c r="K32" i="124"/>
  <c r="J32" i="124"/>
  <c r="I32" i="124"/>
  <c r="H32" i="124"/>
  <c r="G32" i="124"/>
  <c r="F32" i="124"/>
  <c r="N27" i="124"/>
  <c r="M27" i="124"/>
  <c r="L27" i="124"/>
  <c r="K27" i="124"/>
  <c r="J27" i="124"/>
  <c r="I27" i="124"/>
  <c r="H27" i="124"/>
  <c r="G27" i="124"/>
  <c r="F27" i="124"/>
  <c r="D14" i="124"/>
  <c r="H11" i="124"/>
  <c r="D11" i="124"/>
  <c r="D95" i="123"/>
  <c r="D81" i="123"/>
  <c r="D79" i="123"/>
  <c r="D78" i="123"/>
  <c r="F77" i="123"/>
  <c r="F83" i="123" s="1"/>
  <c r="D77" i="123"/>
  <c r="D76" i="123"/>
  <c r="D74" i="123"/>
  <c r="D59" i="123"/>
  <c r="D54" i="123"/>
  <c r="F47" i="123"/>
  <c r="F46" i="123"/>
  <c r="F43" i="123"/>
  <c r="F42" i="123"/>
  <c r="F41" i="123"/>
  <c r="F40" i="123"/>
  <c r="F39" i="123"/>
  <c r="F38" i="123"/>
  <c r="F37" i="123"/>
  <c r="F36" i="123"/>
  <c r="F35" i="123"/>
  <c r="F34" i="123"/>
  <c r="N32" i="123"/>
  <c r="M32" i="123"/>
  <c r="L32" i="123"/>
  <c r="K32" i="123"/>
  <c r="J32" i="123"/>
  <c r="I32" i="123"/>
  <c r="H32" i="123"/>
  <c r="G32" i="123"/>
  <c r="F32" i="123"/>
  <c r="N27" i="123"/>
  <c r="M27" i="123"/>
  <c r="L27" i="123"/>
  <c r="K27" i="123"/>
  <c r="J27" i="123"/>
  <c r="I27" i="123"/>
  <c r="H27" i="123"/>
  <c r="G27" i="123"/>
  <c r="F27" i="123"/>
  <c r="D14" i="123"/>
  <c r="D11" i="123"/>
  <c r="D95" i="129"/>
  <c r="D81" i="129"/>
  <c r="D79" i="129"/>
  <c r="D78" i="129"/>
  <c r="F77" i="129"/>
  <c r="F83" i="129" s="1"/>
  <c r="D77" i="129"/>
  <c r="D76" i="129"/>
  <c r="D74" i="129"/>
  <c r="D59" i="129"/>
  <c r="D54" i="129"/>
  <c r="F47" i="129"/>
  <c r="F46" i="129"/>
  <c r="F43" i="129"/>
  <c r="F42" i="129"/>
  <c r="F41" i="129"/>
  <c r="F40" i="129"/>
  <c r="F39" i="129"/>
  <c r="F38" i="129"/>
  <c r="F37" i="129"/>
  <c r="F36" i="129"/>
  <c r="F35" i="129"/>
  <c r="F34" i="129"/>
  <c r="N32" i="129"/>
  <c r="N33" i="129"/>
  <c r="M32" i="129"/>
  <c r="M33" i="129"/>
  <c r="L32" i="129"/>
  <c r="L33" i="129"/>
  <c r="K32" i="129"/>
  <c r="K33" i="129"/>
  <c r="J32" i="129"/>
  <c r="J33" i="129"/>
  <c r="I32" i="129"/>
  <c r="I33" i="129"/>
  <c r="H32" i="129"/>
  <c r="H33" i="129"/>
  <c r="G32" i="129"/>
  <c r="G33" i="129"/>
  <c r="F32" i="129"/>
  <c r="F33" i="129"/>
  <c r="N27" i="129"/>
  <c r="N28" i="129"/>
  <c r="M27" i="129"/>
  <c r="M28" i="129"/>
  <c r="L27" i="129"/>
  <c r="L28" i="129"/>
  <c r="K27" i="129"/>
  <c r="K28" i="129"/>
  <c r="J27" i="129"/>
  <c r="J28" i="129"/>
  <c r="I27" i="129"/>
  <c r="I28" i="129"/>
  <c r="H27" i="129"/>
  <c r="H28" i="129"/>
  <c r="G27" i="129"/>
  <c r="G28" i="129"/>
  <c r="F27" i="129"/>
  <c r="D14" i="129"/>
  <c r="D11" i="129"/>
  <c r="H11" i="129"/>
  <c r="N11" i="129"/>
  <c r="N41" i="129" s="1"/>
  <c r="F11" i="129"/>
  <c r="F11" i="125"/>
  <c r="N40" i="128"/>
  <c r="F28" i="129"/>
  <c r="J14" i="123"/>
  <c r="J76" i="123" s="1"/>
  <c r="I14" i="123"/>
  <c r="I76" i="123" s="1"/>
  <c r="M14" i="123"/>
  <c r="M76" i="123" s="1"/>
  <c r="N11" i="126"/>
  <c r="F11" i="126"/>
  <c r="F48" i="123"/>
  <c r="N41" i="128"/>
  <c r="F44" i="128"/>
  <c r="N42" i="128"/>
  <c r="N42" i="125"/>
  <c r="N38" i="125"/>
  <c r="N34" i="125"/>
  <c r="N43" i="125"/>
  <c r="N39" i="125"/>
  <c r="N35" i="125"/>
  <c r="N37" i="125"/>
  <c r="N36" i="125"/>
  <c r="N41" i="125"/>
  <c r="H11" i="123"/>
  <c r="N11" i="123"/>
  <c r="G11" i="123"/>
  <c r="G11" i="129"/>
  <c r="F48" i="129"/>
  <c r="N40" i="125"/>
  <c r="F44" i="129"/>
  <c r="F49" i="129" s="1"/>
  <c r="G11" i="124"/>
  <c r="N11" i="124"/>
  <c r="F11" i="124"/>
  <c r="F44" i="124"/>
  <c r="F44" i="123"/>
  <c r="F49" i="123" s="1"/>
  <c r="F61" i="123" s="1"/>
  <c r="H11" i="125"/>
  <c r="G11" i="125"/>
  <c r="F48" i="124"/>
  <c r="F44" i="126"/>
  <c r="H11" i="126"/>
  <c r="G11" i="126"/>
  <c r="F48" i="126"/>
  <c r="N11" i="127"/>
  <c r="F11" i="127"/>
  <c r="G11" i="127"/>
  <c r="H11" i="127"/>
  <c r="F48" i="128"/>
  <c r="F48" i="127"/>
  <c r="F44" i="127"/>
  <c r="H11" i="128"/>
  <c r="N37" i="128"/>
  <c r="N43" i="128"/>
  <c r="N39" i="128"/>
  <c r="N38" i="128"/>
  <c r="N35" i="128"/>
  <c r="N44" i="128" s="1"/>
  <c r="N34" i="128"/>
  <c r="N36" i="128"/>
  <c r="N42" i="129"/>
  <c r="N43" i="129"/>
  <c r="N38" i="129"/>
  <c r="N36" i="129"/>
  <c r="N37" i="129"/>
  <c r="N35" i="129"/>
  <c r="N40" i="129"/>
  <c r="N34" i="129"/>
  <c r="N39" i="129"/>
  <c r="N37" i="126"/>
  <c r="N42" i="126"/>
  <c r="N36" i="126"/>
  <c r="N40" i="126"/>
  <c r="N41" i="126"/>
  <c r="N43" i="126"/>
  <c r="N34" i="126"/>
  <c r="N35" i="126"/>
  <c r="N39" i="126"/>
  <c r="N38" i="126"/>
  <c r="F49" i="128"/>
  <c r="F61" i="128" s="1"/>
  <c r="F49" i="127"/>
  <c r="F50" i="127" s="1"/>
  <c r="N40" i="127"/>
  <c r="N36" i="127"/>
  <c r="N39" i="127"/>
  <c r="N38" i="127"/>
  <c r="N37" i="127"/>
  <c r="N34" i="127"/>
  <c r="N43" i="127"/>
  <c r="N42" i="127"/>
  <c r="N35" i="127"/>
  <c r="N41" i="127"/>
  <c r="N42" i="123"/>
  <c r="N38" i="123"/>
  <c r="N34" i="123"/>
  <c r="N41" i="123"/>
  <c r="N40" i="123"/>
  <c r="N39" i="123"/>
  <c r="N35" i="123"/>
  <c r="N43" i="123"/>
  <c r="N37" i="123"/>
  <c r="N44" i="123" s="1"/>
  <c r="N36" i="123"/>
  <c r="L14" i="123"/>
  <c r="L76" i="123" s="1"/>
  <c r="N39" i="124"/>
  <c r="N35" i="124"/>
  <c r="N43" i="124"/>
  <c r="N40" i="124"/>
  <c r="N36" i="124"/>
  <c r="N41" i="124"/>
  <c r="N37" i="124"/>
  <c r="N38" i="124"/>
  <c r="N42" i="124"/>
  <c r="N34" i="124"/>
  <c r="F61" i="127"/>
  <c r="W44" i="16"/>
  <c r="W34" i="16"/>
  <c r="W32" i="16"/>
  <c r="W29" i="16"/>
  <c r="W26" i="16"/>
  <c r="W25" i="16"/>
  <c r="G3" i="121"/>
  <c r="D9" i="121"/>
  <c r="D7" i="121"/>
  <c r="D6" i="121"/>
  <c r="D4" i="121"/>
  <c r="D3" i="121"/>
  <c r="D95" i="121"/>
  <c r="D81" i="121"/>
  <c r="D79" i="121"/>
  <c r="D78" i="121"/>
  <c r="F77" i="121"/>
  <c r="F83" i="121" s="1"/>
  <c r="D77" i="121"/>
  <c r="D76" i="121"/>
  <c r="D74" i="121"/>
  <c r="D59" i="121"/>
  <c r="D54" i="121"/>
  <c r="F47" i="121"/>
  <c r="F46" i="121"/>
  <c r="F43" i="121"/>
  <c r="F42" i="121"/>
  <c r="F41" i="121"/>
  <c r="F40" i="121"/>
  <c r="F39" i="121"/>
  <c r="F38" i="121"/>
  <c r="F37" i="121"/>
  <c r="F36" i="121"/>
  <c r="F35" i="121"/>
  <c r="F34" i="121"/>
  <c r="N32" i="121"/>
  <c r="M32" i="121"/>
  <c r="L32" i="121"/>
  <c r="K32" i="121"/>
  <c r="J32" i="121"/>
  <c r="I32" i="121"/>
  <c r="H32" i="121"/>
  <c r="G32" i="121"/>
  <c r="F32" i="121"/>
  <c r="N27" i="121"/>
  <c r="M27" i="121"/>
  <c r="L27" i="121"/>
  <c r="K27" i="121"/>
  <c r="J27" i="121"/>
  <c r="I27" i="121"/>
  <c r="H27" i="121"/>
  <c r="G27" i="121"/>
  <c r="F27" i="121"/>
  <c r="D14" i="121"/>
  <c r="D11" i="121"/>
  <c r="AH46" i="16"/>
  <c r="G11" i="121"/>
  <c r="H11" i="121"/>
  <c r="N11" i="121"/>
  <c r="N34" i="121" s="1"/>
  <c r="F48" i="121"/>
  <c r="N42" i="121"/>
  <c r="N41" i="121"/>
  <c r="N39" i="121"/>
  <c r="F77" i="99"/>
  <c r="F83" i="99" s="1"/>
  <c r="F77" i="101"/>
  <c r="F83" i="101" s="1"/>
  <c r="F77" i="102"/>
  <c r="F83" i="102" s="1"/>
  <c r="F77" i="103"/>
  <c r="F83" i="103" s="1"/>
  <c r="F77" i="104"/>
  <c r="F83" i="104" s="1"/>
  <c r="F77" i="105"/>
  <c r="F83" i="105" s="1"/>
  <c r="F77" i="106"/>
  <c r="F83" i="106" s="1"/>
  <c r="F77" i="89"/>
  <c r="F83" i="89" s="1"/>
  <c r="F77" i="90"/>
  <c r="F83" i="90" s="1"/>
  <c r="F77" i="91"/>
  <c r="F83" i="91" s="1"/>
  <c r="F77" i="92"/>
  <c r="F83" i="92" s="1"/>
  <c r="F77" i="93"/>
  <c r="F83" i="93" s="1"/>
  <c r="F77" i="94"/>
  <c r="F83" i="94" s="1"/>
  <c r="F77" i="95"/>
  <c r="F83" i="95" s="1"/>
  <c r="F77" i="96"/>
  <c r="F83" i="96" s="1"/>
  <c r="F77" i="97"/>
  <c r="F83" i="97" s="1"/>
  <c r="F77" i="9"/>
  <c r="F83" i="9" s="1"/>
  <c r="F77" i="74"/>
  <c r="F83" i="74" s="1"/>
  <c r="F77" i="75"/>
  <c r="F83" i="75" s="1"/>
  <c r="F77" i="76"/>
  <c r="F83" i="76" s="1"/>
  <c r="F77" i="78"/>
  <c r="F83" i="78" s="1"/>
  <c r="F77" i="79"/>
  <c r="F83" i="79" s="1"/>
  <c r="F77" i="80"/>
  <c r="F83" i="80" s="1"/>
  <c r="F77" i="81"/>
  <c r="F83" i="81" s="1"/>
  <c r="F77" i="82"/>
  <c r="F83" i="82" s="1"/>
  <c r="F77" i="83"/>
  <c r="F83" i="83" s="1"/>
  <c r="F77" i="84"/>
  <c r="F83" i="84" s="1"/>
  <c r="F77" i="85"/>
  <c r="F77" i="86"/>
  <c r="F83" i="86" s="1"/>
  <c r="F77" i="87"/>
  <c r="F83" i="87" s="1"/>
  <c r="F77" i="88"/>
  <c r="F83" i="88" s="1"/>
  <c r="F77" i="107"/>
  <c r="F83" i="107" s="1"/>
  <c r="F77" i="108"/>
  <c r="F83" i="108" s="1"/>
  <c r="F77" i="109"/>
  <c r="F83" i="109" s="1"/>
  <c r="F77" i="110"/>
  <c r="F83" i="110" s="1"/>
  <c r="F77" i="98"/>
  <c r="F83" i="98" s="1"/>
  <c r="F77" i="100"/>
  <c r="F83" i="100" s="1"/>
  <c r="D81" i="94"/>
  <c r="D79" i="94"/>
  <c r="D78" i="94"/>
  <c r="D77" i="94"/>
  <c r="D76" i="94"/>
  <c r="D81" i="95"/>
  <c r="D79" i="95"/>
  <c r="D78" i="95"/>
  <c r="D77" i="95"/>
  <c r="D76" i="95"/>
  <c r="D81" i="96"/>
  <c r="D79" i="96"/>
  <c r="D78" i="96"/>
  <c r="D77" i="96"/>
  <c r="D76" i="96"/>
  <c r="D81" i="97"/>
  <c r="D79" i="97"/>
  <c r="D78" i="97"/>
  <c r="D77" i="97"/>
  <c r="D76" i="97"/>
  <c r="D81" i="9"/>
  <c r="D79" i="9"/>
  <c r="D78" i="9"/>
  <c r="D77" i="9"/>
  <c r="D76" i="9"/>
  <c r="D81" i="74"/>
  <c r="D79" i="74"/>
  <c r="D78" i="74"/>
  <c r="D77" i="74"/>
  <c r="D76" i="74"/>
  <c r="D81" i="75"/>
  <c r="D79" i="75"/>
  <c r="D78" i="75"/>
  <c r="D77" i="75"/>
  <c r="D76" i="75"/>
  <c r="D81" i="76"/>
  <c r="D79" i="76"/>
  <c r="D78" i="76"/>
  <c r="D77" i="76"/>
  <c r="D76" i="76"/>
  <c r="D81" i="77"/>
  <c r="D79" i="77"/>
  <c r="D78" i="77"/>
  <c r="F77" i="77"/>
  <c r="F83" i="77" s="1"/>
  <c r="D77" i="77"/>
  <c r="D76" i="77"/>
  <c r="D81" i="78"/>
  <c r="D79" i="78"/>
  <c r="D78" i="78"/>
  <c r="D77" i="78"/>
  <c r="D76" i="78"/>
  <c r="D81" i="79"/>
  <c r="D79" i="79"/>
  <c r="D78" i="79"/>
  <c r="D77" i="79"/>
  <c r="D76" i="79"/>
  <c r="D81" i="80"/>
  <c r="D79" i="80"/>
  <c r="D78" i="80"/>
  <c r="D77" i="80"/>
  <c r="D76" i="80"/>
  <c r="D81" i="81"/>
  <c r="D79" i="81"/>
  <c r="D78" i="81"/>
  <c r="D77" i="81"/>
  <c r="D76" i="81"/>
  <c r="D81" i="82"/>
  <c r="D79" i="82"/>
  <c r="D78" i="82"/>
  <c r="D77" i="82"/>
  <c r="D76" i="82"/>
  <c r="D81" i="83"/>
  <c r="D79" i="83"/>
  <c r="D78" i="83"/>
  <c r="D77" i="83"/>
  <c r="D76" i="83"/>
  <c r="D81" i="84"/>
  <c r="D79" i="84"/>
  <c r="D78" i="84"/>
  <c r="D77" i="84"/>
  <c r="D76" i="84"/>
  <c r="D81" i="85"/>
  <c r="D79" i="85"/>
  <c r="D78" i="85"/>
  <c r="D77" i="85"/>
  <c r="D76" i="85"/>
  <c r="D81" i="86"/>
  <c r="D79" i="86"/>
  <c r="D78" i="86"/>
  <c r="D77" i="86"/>
  <c r="D76" i="86"/>
  <c r="D81" i="87"/>
  <c r="D79" i="87"/>
  <c r="D78" i="87"/>
  <c r="D77" i="87"/>
  <c r="D76" i="87"/>
  <c r="D81" i="88"/>
  <c r="D79" i="88"/>
  <c r="D78" i="88"/>
  <c r="D77" i="88"/>
  <c r="D76" i="88"/>
  <c r="D81" i="107"/>
  <c r="D79" i="107"/>
  <c r="D78" i="107"/>
  <c r="D77" i="107"/>
  <c r="D76" i="107"/>
  <c r="D81" i="108"/>
  <c r="D79" i="108"/>
  <c r="D78" i="108"/>
  <c r="D77" i="108"/>
  <c r="D76" i="108"/>
  <c r="D81" i="109"/>
  <c r="D79" i="109"/>
  <c r="D78" i="109"/>
  <c r="D77" i="109"/>
  <c r="D76" i="109"/>
  <c r="D81" i="110"/>
  <c r="D79" i="110"/>
  <c r="D78" i="110"/>
  <c r="D77" i="110"/>
  <c r="D76" i="110"/>
  <c r="D81" i="93"/>
  <c r="D79" i="93"/>
  <c r="D78" i="93"/>
  <c r="D77" i="93"/>
  <c r="D76" i="93"/>
  <c r="D81" i="98"/>
  <c r="D79" i="98"/>
  <c r="D78" i="98"/>
  <c r="D77" i="98"/>
  <c r="D76" i="98"/>
  <c r="D81" i="99"/>
  <c r="D79" i="99"/>
  <c r="D78" i="99"/>
  <c r="D77" i="99"/>
  <c r="D76" i="99"/>
  <c r="D81" i="100"/>
  <c r="D79" i="100"/>
  <c r="D78" i="100"/>
  <c r="D77" i="100"/>
  <c r="D76" i="100"/>
  <c r="D81" i="101"/>
  <c r="D79" i="101"/>
  <c r="D78" i="101"/>
  <c r="D77" i="101"/>
  <c r="D76" i="101"/>
  <c r="D81" i="102"/>
  <c r="D79" i="102"/>
  <c r="D78" i="102"/>
  <c r="D77" i="102"/>
  <c r="D76" i="102"/>
  <c r="D81" i="103"/>
  <c r="D79" i="103"/>
  <c r="D78" i="103"/>
  <c r="D77" i="103"/>
  <c r="D76" i="103"/>
  <c r="D81" i="104"/>
  <c r="D79" i="104"/>
  <c r="D78" i="104"/>
  <c r="D77" i="104"/>
  <c r="D76" i="104"/>
  <c r="D81" i="105"/>
  <c r="D79" i="105"/>
  <c r="D78" i="105"/>
  <c r="D77" i="105"/>
  <c r="D76" i="105"/>
  <c r="D81" i="106"/>
  <c r="D79" i="106"/>
  <c r="D78" i="106"/>
  <c r="D77" i="106"/>
  <c r="D76" i="106"/>
  <c r="D81" i="89"/>
  <c r="D79" i="89"/>
  <c r="D78" i="89"/>
  <c r="D77" i="89"/>
  <c r="D76" i="89"/>
  <c r="D81" i="90"/>
  <c r="D79" i="90"/>
  <c r="D78" i="90"/>
  <c r="D77" i="90"/>
  <c r="D76" i="90"/>
  <c r="D81" i="91"/>
  <c r="D79" i="91"/>
  <c r="D78" i="91"/>
  <c r="D77" i="91"/>
  <c r="D76" i="91"/>
  <c r="D79" i="92"/>
  <c r="D78" i="92"/>
  <c r="D77" i="92"/>
  <c r="D76" i="92"/>
  <c r="F83" i="85"/>
  <c r="D14" i="99"/>
  <c r="D14" i="101"/>
  <c r="D14" i="102"/>
  <c r="D14" i="103"/>
  <c r="D14" i="104"/>
  <c r="D14" i="105"/>
  <c r="D14" i="106"/>
  <c r="D14" i="89"/>
  <c r="D14" i="90"/>
  <c r="D14" i="91"/>
  <c r="D14" i="92"/>
  <c r="D14" i="93"/>
  <c r="D14" i="94"/>
  <c r="D14" i="95"/>
  <c r="D14" i="96"/>
  <c r="D14" i="97"/>
  <c r="D14" i="9"/>
  <c r="D14" i="74"/>
  <c r="D14" i="75"/>
  <c r="D14" i="76"/>
  <c r="D14" i="77"/>
  <c r="D14" i="78"/>
  <c r="D14" i="79"/>
  <c r="D14" i="80"/>
  <c r="D14" i="81"/>
  <c r="D14" i="82"/>
  <c r="D14" i="83"/>
  <c r="D14" i="84"/>
  <c r="D14" i="85"/>
  <c r="D14" i="86"/>
  <c r="D14" i="88"/>
  <c r="D14" i="107"/>
  <c r="D14" i="108"/>
  <c r="D14" i="109"/>
  <c r="D14" i="110"/>
  <c r="D14" i="98"/>
  <c r="D14" i="100"/>
  <c r="D14" i="87"/>
  <c r="D9" i="88"/>
  <c r="D9" i="110"/>
  <c r="D9" i="109"/>
  <c r="D9" i="108"/>
  <c r="D9" i="107"/>
  <c r="D9" i="87"/>
  <c r="D9" i="86"/>
  <c r="D9" i="85"/>
  <c r="D9" i="84"/>
  <c r="D9" i="83"/>
  <c r="D9" i="82"/>
  <c r="D9" i="81"/>
  <c r="D9" i="80"/>
  <c r="D9" i="79"/>
  <c r="D9" i="78"/>
  <c r="D9" i="77"/>
  <c r="D9" i="76"/>
  <c r="D9" i="75"/>
  <c r="D9" i="74"/>
  <c r="D9" i="9"/>
  <c r="D9" i="97"/>
  <c r="D9" i="96"/>
  <c r="D9" i="93"/>
  <c r="D9" i="94"/>
  <c r="D9" i="95"/>
  <c r="D9" i="92"/>
  <c r="D9" i="91"/>
  <c r="D9" i="90"/>
  <c r="D9" i="89"/>
  <c r="D9" i="106"/>
  <c r="D9" i="105"/>
  <c r="D9" i="104"/>
  <c r="D9" i="103"/>
  <c r="D9" i="102"/>
  <c r="D9" i="101"/>
  <c r="D9" i="100"/>
  <c r="D9" i="99"/>
  <c r="D6" i="100"/>
  <c r="D9" i="98"/>
  <c r="N96" i="2"/>
  <c r="M96" i="2"/>
  <c r="L96" i="2"/>
  <c r="L56" i="110" s="1"/>
  <c r="K96" i="2"/>
  <c r="J96" i="2"/>
  <c r="I96" i="2"/>
  <c r="H96" i="2"/>
  <c r="H56" i="108" s="1"/>
  <c r="G96" i="2"/>
  <c r="G56" i="108"/>
  <c r="F96" i="2"/>
  <c r="F47" i="98"/>
  <c r="F48" i="98" s="1"/>
  <c r="F46" i="98"/>
  <c r="F43" i="98"/>
  <c r="F42" i="98"/>
  <c r="F41" i="98"/>
  <c r="F40" i="98"/>
  <c r="F39" i="98"/>
  <c r="F38" i="98"/>
  <c r="F37" i="98"/>
  <c r="F36" i="98"/>
  <c r="F35" i="98"/>
  <c r="F34" i="98"/>
  <c r="F47" i="99"/>
  <c r="F48" i="99" s="1"/>
  <c r="F46" i="99"/>
  <c r="F43" i="99"/>
  <c r="F42" i="99"/>
  <c r="F41" i="99"/>
  <c r="F40" i="99"/>
  <c r="F39" i="99"/>
  <c r="F38" i="99"/>
  <c r="F37" i="99"/>
  <c r="F36" i="99"/>
  <c r="F35" i="99"/>
  <c r="F34" i="99"/>
  <c r="F47" i="100"/>
  <c r="F46" i="100"/>
  <c r="F43" i="100"/>
  <c r="F42" i="100"/>
  <c r="F41" i="100"/>
  <c r="F40" i="100"/>
  <c r="F39" i="100"/>
  <c r="F38" i="100"/>
  <c r="F37" i="100"/>
  <c r="F36" i="100"/>
  <c r="F35" i="100"/>
  <c r="F34" i="100"/>
  <c r="F47" i="101"/>
  <c r="F46" i="101"/>
  <c r="F43" i="101"/>
  <c r="F42" i="101"/>
  <c r="F41" i="101"/>
  <c r="F40" i="101"/>
  <c r="F39" i="101"/>
  <c r="F38" i="101"/>
  <c r="F37" i="101"/>
  <c r="F36" i="101"/>
  <c r="F35" i="101"/>
  <c r="F34" i="101"/>
  <c r="F47" i="102"/>
  <c r="F46" i="102"/>
  <c r="F43" i="102"/>
  <c r="F42" i="102"/>
  <c r="F41" i="102"/>
  <c r="F40" i="102"/>
  <c r="F39" i="102"/>
  <c r="F38" i="102"/>
  <c r="F37" i="102"/>
  <c r="F36" i="102"/>
  <c r="F35" i="102"/>
  <c r="F34" i="102"/>
  <c r="F47" i="103"/>
  <c r="F46" i="103"/>
  <c r="F43" i="103"/>
  <c r="F42" i="103"/>
  <c r="F41" i="103"/>
  <c r="F40" i="103"/>
  <c r="F39" i="103"/>
  <c r="F38" i="103"/>
  <c r="F37" i="103"/>
  <c r="F36" i="103"/>
  <c r="F35" i="103"/>
  <c r="F44" i="103" s="1"/>
  <c r="F34" i="103"/>
  <c r="F47" i="104"/>
  <c r="F48" i="104" s="1"/>
  <c r="F46" i="104"/>
  <c r="F43" i="104"/>
  <c r="F42" i="104"/>
  <c r="F41" i="104"/>
  <c r="F40" i="104"/>
  <c r="F39" i="104"/>
  <c r="F38" i="104"/>
  <c r="F37" i="104"/>
  <c r="F36" i="104"/>
  <c r="F35" i="104"/>
  <c r="F44" i="104" s="1"/>
  <c r="F49" i="104" s="1"/>
  <c r="F61" i="104" s="1"/>
  <c r="F34" i="104"/>
  <c r="F47" i="105"/>
  <c r="F48" i="105" s="1"/>
  <c r="F46" i="105"/>
  <c r="F43" i="105"/>
  <c r="F42" i="105"/>
  <c r="F41" i="105"/>
  <c r="F40" i="105"/>
  <c r="F39" i="105"/>
  <c r="F38" i="105"/>
  <c r="F37" i="105"/>
  <c r="F36" i="105"/>
  <c r="F35" i="105"/>
  <c r="F34" i="105"/>
  <c r="F47" i="106"/>
  <c r="F46" i="106"/>
  <c r="F43" i="106"/>
  <c r="F42" i="106"/>
  <c r="F41" i="106"/>
  <c r="F40" i="106"/>
  <c r="F39" i="106"/>
  <c r="F38" i="106"/>
  <c r="F37" i="106"/>
  <c r="F36" i="106"/>
  <c r="F35" i="106"/>
  <c r="F44" i="106" s="1"/>
  <c r="F34" i="106"/>
  <c r="F47" i="89"/>
  <c r="F46" i="89"/>
  <c r="F43" i="89"/>
  <c r="F42" i="89"/>
  <c r="F41" i="89"/>
  <c r="F40" i="89"/>
  <c r="F39" i="89"/>
  <c r="F38" i="89"/>
  <c r="F37" i="89"/>
  <c r="F36" i="89"/>
  <c r="F35" i="89"/>
  <c r="F34" i="89"/>
  <c r="F47" i="90"/>
  <c r="F48" i="90" s="1"/>
  <c r="F46" i="90"/>
  <c r="F43" i="90"/>
  <c r="F42" i="90"/>
  <c r="F41" i="90"/>
  <c r="F40" i="90"/>
  <c r="F39" i="90"/>
  <c r="F38" i="90"/>
  <c r="F37" i="90"/>
  <c r="F36" i="90"/>
  <c r="F35" i="90"/>
  <c r="F34" i="90"/>
  <c r="F47" i="91"/>
  <c r="F46" i="91"/>
  <c r="F43" i="91"/>
  <c r="F42" i="91"/>
  <c r="F41" i="91"/>
  <c r="F40" i="91"/>
  <c r="F39" i="91"/>
  <c r="F38" i="91"/>
  <c r="F37" i="91"/>
  <c r="F36" i="91"/>
  <c r="F35" i="91"/>
  <c r="F44" i="91" s="1"/>
  <c r="F34" i="91"/>
  <c r="F47" i="92"/>
  <c r="F48" i="92" s="1"/>
  <c r="F46" i="92"/>
  <c r="F43" i="92"/>
  <c r="F42" i="92"/>
  <c r="F41" i="92"/>
  <c r="F40" i="92"/>
  <c r="F39" i="92"/>
  <c r="F38" i="92"/>
  <c r="F37" i="92"/>
  <c r="F36" i="92"/>
  <c r="F35" i="92"/>
  <c r="F44" i="92" s="1"/>
  <c r="F49" i="92" s="1"/>
  <c r="F61" i="92" s="1"/>
  <c r="F34" i="92"/>
  <c r="F47" i="93"/>
  <c r="F48" i="93" s="1"/>
  <c r="F46" i="93"/>
  <c r="F43" i="93"/>
  <c r="F42" i="93"/>
  <c r="F41" i="93"/>
  <c r="F40" i="93"/>
  <c r="F39" i="93"/>
  <c r="F38" i="93"/>
  <c r="F37" i="93"/>
  <c r="F36" i="93"/>
  <c r="F35" i="93"/>
  <c r="F44" i="93" s="1"/>
  <c r="F49" i="93" s="1"/>
  <c r="F34" i="93"/>
  <c r="F47" i="94"/>
  <c r="F46" i="94"/>
  <c r="F43" i="94"/>
  <c r="F42" i="94"/>
  <c r="F41" i="94"/>
  <c r="F40" i="94"/>
  <c r="F39" i="94"/>
  <c r="F38" i="94"/>
  <c r="F37" i="94"/>
  <c r="F36" i="94"/>
  <c r="F35" i="94"/>
  <c r="F44" i="94" s="1"/>
  <c r="F34" i="94"/>
  <c r="F47" i="95"/>
  <c r="F48" i="95" s="1"/>
  <c r="F46" i="95"/>
  <c r="F43" i="95"/>
  <c r="F42" i="95"/>
  <c r="F41" i="95"/>
  <c r="F40" i="95"/>
  <c r="F39" i="95"/>
  <c r="F38" i="95"/>
  <c r="F37" i="95"/>
  <c r="F36" i="95"/>
  <c r="F35" i="95"/>
  <c r="F34" i="95"/>
  <c r="F47" i="96"/>
  <c r="F46" i="96"/>
  <c r="F43" i="96"/>
  <c r="F42" i="96"/>
  <c r="F41" i="96"/>
  <c r="F40" i="96"/>
  <c r="F39" i="96"/>
  <c r="F38" i="96"/>
  <c r="F37" i="96"/>
  <c r="F36" i="96"/>
  <c r="F35" i="96"/>
  <c r="F44" i="96" s="1"/>
  <c r="F34" i="96"/>
  <c r="F47" i="97"/>
  <c r="F48" i="97" s="1"/>
  <c r="F46" i="97"/>
  <c r="F43" i="97"/>
  <c r="F42" i="97"/>
  <c r="F41" i="97"/>
  <c r="F40" i="97"/>
  <c r="F39" i="97"/>
  <c r="F38" i="97"/>
  <c r="F37" i="97"/>
  <c r="F36" i="97"/>
  <c r="F35" i="97"/>
  <c r="F44" i="97" s="1"/>
  <c r="F34" i="97"/>
  <c r="F47" i="9"/>
  <c r="F46" i="9"/>
  <c r="F43" i="9"/>
  <c r="F42" i="9"/>
  <c r="F41" i="9"/>
  <c r="F40" i="9"/>
  <c r="F39" i="9"/>
  <c r="F38" i="9"/>
  <c r="F37" i="9"/>
  <c r="F36" i="9"/>
  <c r="F35" i="9"/>
  <c r="F44" i="9" s="1"/>
  <c r="F34" i="9"/>
  <c r="F47" i="74"/>
  <c r="F48" i="74" s="1"/>
  <c r="F46" i="74"/>
  <c r="F43" i="74"/>
  <c r="F42" i="74"/>
  <c r="F41" i="74"/>
  <c r="F40" i="74"/>
  <c r="F39" i="74"/>
  <c r="F38" i="74"/>
  <c r="F37" i="74"/>
  <c r="F36" i="74"/>
  <c r="F35" i="74"/>
  <c r="F44" i="74" s="1"/>
  <c r="F49" i="74" s="1"/>
  <c r="F34" i="74"/>
  <c r="F47" i="75"/>
  <c r="F46" i="75"/>
  <c r="F43" i="75"/>
  <c r="F42" i="75"/>
  <c r="F41" i="75"/>
  <c r="F40" i="75"/>
  <c r="F39" i="75"/>
  <c r="F38" i="75"/>
  <c r="F37" i="75"/>
  <c r="F36" i="75"/>
  <c r="F35" i="75"/>
  <c r="F44" i="75" s="1"/>
  <c r="F34" i="75"/>
  <c r="F47" i="76"/>
  <c r="F48" i="76" s="1"/>
  <c r="F46" i="76"/>
  <c r="F43" i="76"/>
  <c r="F42" i="76"/>
  <c r="F41" i="76"/>
  <c r="F40" i="76"/>
  <c r="F39" i="76"/>
  <c r="F38" i="76"/>
  <c r="F37" i="76"/>
  <c r="F36" i="76"/>
  <c r="F35" i="76"/>
  <c r="F44" i="76" s="1"/>
  <c r="F49" i="76" s="1"/>
  <c r="F34" i="76"/>
  <c r="F47" i="77"/>
  <c r="F48" i="77" s="1"/>
  <c r="F46" i="77"/>
  <c r="F43" i="77"/>
  <c r="F42" i="77"/>
  <c r="F41" i="77"/>
  <c r="F40" i="77"/>
  <c r="F39" i="77"/>
  <c r="F38" i="77"/>
  <c r="F37" i="77"/>
  <c r="F36" i="77"/>
  <c r="F35" i="77"/>
  <c r="F44" i="77" s="1"/>
  <c r="F49" i="77" s="1"/>
  <c r="F34" i="77"/>
  <c r="F47" i="78"/>
  <c r="F46" i="78"/>
  <c r="F43" i="78"/>
  <c r="F42" i="78"/>
  <c r="F41" i="78"/>
  <c r="F40" i="78"/>
  <c r="F39" i="78"/>
  <c r="F38" i="78"/>
  <c r="F37" i="78"/>
  <c r="F36" i="78"/>
  <c r="F35" i="78"/>
  <c r="F44" i="78" s="1"/>
  <c r="F34" i="78"/>
  <c r="F47" i="79"/>
  <c r="F48" i="79" s="1"/>
  <c r="F46" i="79"/>
  <c r="F43" i="79"/>
  <c r="F42" i="79"/>
  <c r="F41" i="79"/>
  <c r="F40" i="79"/>
  <c r="F39" i="79"/>
  <c r="F38" i="79"/>
  <c r="F37" i="79"/>
  <c r="F36" i="79"/>
  <c r="F35" i="79"/>
  <c r="F44" i="79" s="1"/>
  <c r="F49" i="79" s="1"/>
  <c r="F61" i="79" s="1"/>
  <c r="F34" i="79"/>
  <c r="F47" i="80"/>
  <c r="F48" i="80" s="1"/>
  <c r="F46" i="80"/>
  <c r="F43" i="80"/>
  <c r="F42" i="80"/>
  <c r="F41" i="80"/>
  <c r="F40" i="80"/>
  <c r="F39" i="80"/>
  <c r="F38" i="80"/>
  <c r="F37" i="80"/>
  <c r="F36" i="80"/>
  <c r="F35" i="80"/>
  <c r="F44" i="80" s="1"/>
  <c r="F34" i="80"/>
  <c r="F47" i="81"/>
  <c r="F48" i="81" s="1"/>
  <c r="F46" i="81"/>
  <c r="F43" i="81"/>
  <c r="F42" i="81"/>
  <c r="F41" i="81"/>
  <c r="F40" i="81"/>
  <c r="F39" i="81"/>
  <c r="F38" i="81"/>
  <c r="F37" i="81"/>
  <c r="F36" i="81"/>
  <c r="F35" i="81"/>
  <c r="F34" i="81"/>
  <c r="F47" i="82"/>
  <c r="F48" i="82" s="1"/>
  <c r="F46" i="82"/>
  <c r="F43" i="82"/>
  <c r="F42" i="82"/>
  <c r="F41" i="82"/>
  <c r="F40" i="82"/>
  <c r="F39" i="82"/>
  <c r="F38" i="82"/>
  <c r="F37" i="82"/>
  <c r="F36" i="82"/>
  <c r="F35" i="82"/>
  <c r="F44" i="82" s="1"/>
  <c r="F49" i="82" s="1"/>
  <c r="F61" i="82" s="1"/>
  <c r="F34" i="82"/>
  <c r="F47" i="83"/>
  <c r="F48" i="83" s="1"/>
  <c r="F46" i="83"/>
  <c r="F43" i="83"/>
  <c r="F42" i="83"/>
  <c r="F41" i="83"/>
  <c r="F40" i="83"/>
  <c r="F39" i="83"/>
  <c r="F38" i="83"/>
  <c r="F37" i="83"/>
  <c r="F36" i="83"/>
  <c r="F35" i="83"/>
  <c r="F44" i="83" s="1"/>
  <c r="F34" i="83"/>
  <c r="F47" i="84"/>
  <c r="F48" i="84" s="1"/>
  <c r="F46" i="84"/>
  <c r="F43" i="84"/>
  <c r="F42" i="84"/>
  <c r="F41" i="84"/>
  <c r="F40" i="84"/>
  <c r="F39" i="84"/>
  <c r="F38" i="84"/>
  <c r="F37" i="84"/>
  <c r="F36" i="84"/>
  <c r="F35" i="84"/>
  <c r="F44" i="84" s="1"/>
  <c r="F49" i="84" s="1"/>
  <c r="F34" i="84"/>
  <c r="F47" i="85"/>
  <c r="F46" i="85"/>
  <c r="F43" i="85"/>
  <c r="F42" i="85"/>
  <c r="F41" i="85"/>
  <c r="F40" i="85"/>
  <c r="F39" i="85"/>
  <c r="F38" i="85"/>
  <c r="F37" i="85"/>
  <c r="F36" i="85"/>
  <c r="F35" i="85"/>
  <c r="F44" i="85" s="1"/>
  <c r="F34" i="85"/>
  <c r="F47" i="86"/>
  <c r="F46" i="86"/>
  <c r="F43" i="86"/>
  <c r="F42" i="86"/>
  <c r="F41" i="86"/>
  <c r="F40" i="86"/>
  <c r="F39" i="86"/>
  <c r="F38" i="86"/>
  <c r="F37" i="86"/>
  <c r="F36" i="86"/>
  <c r="F35" i="86"/>
  <c r="F44" i="86" s="1"/>
  <c r="F34" i="86"/>
  <c r="F47" i="108"/>
  <c r="F48" i="108" s="1"/>
  <c r="F46" i="108"/>
  <c r="F43" i="108"/>
  <c r="F42" i="108"/>
  <c r="F41" i="108"/>
  <c r="F40" i="108"/>
  <c r="F39" i="108"/>
  <c r="F38" i="108"/>
  <c r="F37" i="108"/>
  <c r="F36" i="108"/>
  <c r="F35" i="108"/>
  <c r="F44" i="108" s="1"/>
  <c r="F49" i="108" s="1"/>
  <c r="F61" i="108" s="1"/>
  <c r="F34" i="108"/>
  <c r="F47" i="109"/>
  <c r="F46" i="109"/>
  <c r="F43" i="109"/>
  <c r="F42" i="109"/>
  <c r="F41" i="109"/>
  <c r="F40" i="109"/>
  <c r="F39" i="109"/>
  <c r="F38" i="109"/>
  <c r="F37" i="109"/>
  <c r="F36" i="109"/>
  <c r="F35" i="109"/>
  <c r="F44" i="109" s="1"/>
  <c r="F34" i="109"/>
  <c r="F47" i="110"/>
  <c r="F46" i="110"/>
  <c r="F43" i="110"/>
  <c r="F42" i="110"/>
  <c r="F41" i="110"/>
  <c r="F40" i="110"/>
  <c r="F39" i="110"/>
  <c r="F38" i="110"/>
  <c r="F37" i="110"/>
  <c r="F36" i="110"/>
  <c r="F35" i="110"/>
  <c r="F44" i="110" s="1"/>
  <c r="F34" i="110"/>
  <c r="F47" i="107"/>
  <c r="F48" i="107" s="1"/>
  <c r="F46" i="107"/>
  <c r="F43" i="107"/>
  <c r="F42" i="107"/>
  <c r="F41" i="107"/>
  <c r="F40" i="107"/>
  <c r="F39" i="107"/>
  <c r="F38" i="107"/>
  <c r="F37" i="107"/>
  <c r="F36" i="107"/>
  <c r="F35" i="107"/>
  <c r="F44" i="107" s="1"/>
  <c r="F49" i="107" s="1"/>
  <c r="F61" i="107" s="1"/>
  <c r="F34" i="107"/>
  <c r="F47" i="88"/>
  <c r="F48" i="88" s="1"/>
  <c r="F46" i="88"/>
  <c r="F43" i="88"/>
  <c r="F42" i="88"/>
  <c r="F41" i="88"/>
  <c r="F40" i="88"/>
  <c r="F39" i="88"/>
  <c r="F38" i="88"/>
  <c r="F37" i="88"/>
  <c r="F36" i="88"/>
  <c r="F35" i="88"/>
  <c r="F44" i="88" s="1"/>
  <c r="F34" i="88"/>
  <c r="G30" i="2"/>
  <c r="G47" i="107" s="1"/>
  <c r="G28" i="2"/>
  <c r="G46" i="108" s="1"/>
  <c r="G66" i="2"/>
  <c r="H66" i="2" s="1"/>
  <c r="I66" i="2" s="1"/>
  <c r="J66" i="2" s="1"/>
  <c r="K66" i="2" s="1"/>
  <c r="L66" i="2" s="1"/>
  <c r="M66" i="2" s="1"/>
  <c r="G65" i="2"/>
  <c r="G64" i="2"/>
  <c r="M56" i="107"/>
  <c r="G39" i="128"/>
  <c r="G39" i="125"/>
  <c r="G39" i="129"/>
  <c r="G39" i="123"/>
  <c r="G39" i="127"/>
  <c r="G39" i="124"/>
  <c r="G39" i="126"/>
  <c r="G39" i="121"/>
  <c r="G43" i="128"/>
  <c r="G43" i="123"/>
  <c r="G43" i="124"/>
  <c r="G43" i="129"/>
  <c r="G43" i="127"/>
  <c r="G43" i="126"/>
  <c r="G43" i="125"/>
  <c r="G43" i="121"/>
  <c r="G37" i="128"/>
  <c r="G37" i="124"/>
  <c r="G37" i="125"/>
  <c r="G37" i="127"/>
  <c r="G37" i="129"/>
  <c r="G37" i="126"/>
  <c r="G37" i="123"/>
  <c r="G37" i="121"/>
  <c r="G41" i="128"/>
  <c r="G41" i="123"/>
  <c r="G41" i="125"/>
  <c r="G41" i="127"/>
  <c r="G41" i="126"/>
  <c r="G44" i="126" s="1"/>
  <c r="G41" i="129"/>
  <c r="G41" i="124"/>
  <c r="G41" i="121"/>
  <c r="G34" i="128"/>
  <c r="G34" i="124"/>
  <c r="G34" i="129"/>
  <c r="G34" i="123"/>
  <c r="G34" i="127"/>
  <c r="G44" i="127" s="1"/>
  <c r="G49" i="127" s="1"/>
  <c r="G34" i="126"/>
  <c r="G34" i="125"/>
  <c r="G34" i="121"/>
  <c r="G38" i="128"/>
  <c r="G38" i="127"/>
  <c r="G38" i="125"/>
  <c r="G38" i="126"/>
  <c r="G38" i="124"/>
  <c r="G38" i="123"/>
  <c r="G38" i="129"/>
  <c r="G38" i="121"/>
  <c r="G42" i="128"/>
  <c r="G42" i="123"/>
  <c r="G42" i="126"/>
  <c r="G42" i="127"/>
  <c r="G42" i="125"/>
  <c r="G42" i="124"/>
  <c r="G42" i="129"/>
  <c r="G42" i="121"/>
  <c r="G35" i="128"/>
  <c r="G35" i="126"/>
  <c r="G35" i="125"/>
  <c r="G35" i="124"/>
  <c r="G35" i="123"/>
  <c r="G44" i="123" s="1"/>
  <c r="G35" i="129"/>
  <c r="G35" i="127"/>
  <c r="G35" i="121"/>
  <c r="G36" i="128"/>
  <c r="G36" i="127"/>
  <c r="G36" i="129"/>
  <c r="G36" i="123"/>
  <c r="G36" i="125"/>
  <c r="G36" i="126"/>
  <c r="G36" i="124"/>
  <c r="G36" i="121"/>
  <c r="G40" i="128"/>
  <c r="G40" i="129"/>
  <c r="G40" i="123"/>
  <c r="G40" i="127"/>
  <c r="G40" i="124"/>
  <c r="G40" i="126"/>
  <c r="G40" i="125"/>
  <c r="G40" i="121"/>
  <c r="G47" i="128"/>
  <c r="G47" i="123"/>
  <c r="G47" i="127"/>
  <c r="G48" i="127" s="1"/>
  <c r="G47" i="126"/>
  <c r="G46" i="128"/>
  <c r="G48" i="128" s="1"/>
  <c r="G46" i="127"/>
  <c r="G46" i="123"/>
  <c r="G46" i="129"/>
  <c r="G46" i="126"/>
  <c r="G48" i="126" s="1"/>
  <c r="G46" i="125"/>
  <c r="G46" i="124"/>
  <c r="G46" i="121"/>
  <c r="L56" i="107"/>
  <c r="G56" i="107"/>
  <c r="M56" i="108"/>
  <c r="N56" i="108"/>
  <c r="K56" i="108"/>
  <c r="F56" i="108"/>
  <c r="J56" i="108"/>
  <c r="G56" i="110"/>
  <c r="F48" i="89"/>
  <c r="F48" i="102"/>
  <c r="F56" i="110"/>
  <c r="K56" i="110"/>
  <c r="F56" i="107"/>
  <c r="K56" i="107"/>
  <c r="H56" i="107"/>
  <c r="M56" i="110"/>
  <c r="I56" i="110"/>
  <c r="I56" i="108"/>
  <c r="I56" i="107"/>
  <c r="F48" i="110"/>
  <c r="F44" i="95"/>
  <c r="F49" i="95" s="1"/>
  <c r="F61" i="95" s="1"/>
  <c r="F44" i="90"/>
  <c r="F49" i="90" s="1"/>
  <c r="F61" i="90" s="1"/>
  <c r="F48" i="85"/>
  <c r="F48" i="86"/>
  <c r="F48" i="78"/>
  <c r="F44" i="81"/>
  <c r="F49" i="81" s="1"/>
  <c r="F61" i="81" s="1"/>
  <c r="F48" i="75"/>
  <c r="F48" i="9"/>
  <c r="F48" i="96"/>
  <c r="F48" i="91"/>
  <c r="F48" i="106"/>
  <c r="F44" i="89"/>
  <c r="F48" i="94"/>
  <c r="F44" i="105"/>
  <c r="F48" i="101"/>
  <c r="F48" i="103"/>
  <c r="F49" i="103" s="1"/>
  <c r="F48" i="100"/>
  <c r="F44" i="98"/>
  <c r="F49" i="98" s="1"/>
  <c r="F48" i="109"/>
  <c r="F43" i="87"/>
  <c r="F42" i="87"/>
  <c r="F41" i="87"/>
  <c r="F40" i="87"/>
  <c r="F39" i="87"/>
  <c r="F38" i="87"/>
  <c r="F37" i="87"/>
  <c r="F36" i="87"/>
  <c r="F35" i="87"/>
  <c r="F34" i="87"/>
  <c r="F47" i="87"/>
  <c r="F46" i="87"/>
  <c r="G44" i="121"/>
  <c r="G44" i="125"/>
  <c r="G48" i="123"/>
  <c r="F49" i="88"/>
  <c r="F61" i="88" s="1"/>
  <c r="F49" i="105"/>
  <c r="F61" i="105" s="1"/>
  <c r="F49" i="83"/>
  <c r="F61" i="83" s="1"/>
  <c r="D95" i="100"/>
  <c r="D74" i="100"/>
  <c r="D59" i="100"/>
  <c r="D54" i="100"/>
  <c r="D95" i="101"/>
  <c r="D74" i="101"/>
  <c r="D59" i="101"/>
  <c r="D54" i="101"/>
  <c r="D95" i="102"/>
  <c r="D74" i="102"/>
  <c r="D59" i="102"/>
  <c r="D54" i="102"/>
  <c r="D95" i="103"/>
  <c r="D74" i="103"/>
  <c r="D59" i="103"/>
  <c r="D54" i="103"/>
  <c r="D95" i="104"/>
  <c r="D74" i="104"/>
  <c r="D59" i="104"/>
  <c r="D54" i="104"/>
  <c r="D95" i="105"/>
  <c r="D74" i="105"/>
  <c r="D59" i="105"/>
  <c r="D54" i="105"/>
  <c r="D95" i="106"/>
  <c r="D74" i="106"/>
  <c r="D59" i="106"/>
  <c r="D54" i="106"/>
  <c r="D95" i="89"/>
  <c r="D74" i="89"/>
  <c r="D59" i="89"/>
  <c r="D54" i="89"/>
  <c r="D95" i="90"/>
  <c r="D74" i="90"/>
  <c r="D59" i="90"/>
  <c r="D54" i="90"/>
  <c r="D95" i="91"/>
  <c r="D74" i="91"/>
  <c r="D59" i="91"/>
  <c r="D54" i="91"/>
  <c r="D95" i="92"/>
  <c r="D81" i="92"/>
  <c r="D74" i="92"/>
  <c r="D59" i="92"/>
  <c r="D54" i="92"/>
  <c r="D95" i="93"/>
  <c r="D74" i="93"/>
  <c r="D59" i="93"/>
  <c r="D54" i="93"/>
  <c r="D95" i="94"/>
  <c r="D74" i="94"/>
  <c r="D59" i="94"/>
  <c r="D54" i="94"/>
  <c r="D95" i="95"/>
  <c r="D74" i="95"/>
  <c r="D59" i="95"/>
  <c r="D54" i="95"/>
  <c r="D95" i="96"/>
  <c r="D74" i="96"/>
  <c r="D59" i="96"/>
  <c r="D54" i="96"/>
  <c r="D95" i="97"/>
  <c r="D74" i="97"/>
  <c r="D59" i="97"/>
  <c r="D54" i="97"/>
  <c r="D95" i="9"/>
  <c r="D74" i="9"/>
  <c r="D59" i="9"/>
  <c r="D54" i="9"/>
  <c r="D95" i="74"/>
  <c r="D74" i="74"/>
  <c r="D59" i="74"/>
  <c r="D54" i="74"/>
  <c r="D95" i="75"/>
  <c r="D74" i="75"/>
  <c r="D59" i="75"/>
  <c r="D54" i="75"/>
  <c r="D95" i="76"/>
  <c r="D74" i="76"/>
  <c r="D59" i="76"/>
  <c r="D54" i="76"/>
  <c r="D95" i="77"/>
  <c r="D74" i="77"/>
  <c r="D59" i="77"/>
  <c r="D54" i="77"/>
  <c r="D95" i="78"/>
  <c r="D74" i="78"/>
  <c r="D59" i="78"/>
  <c r="D54" i="78"/>
  <c r="D95" i="79"/>
  <c r="D74" i="79"/>
  <c r="D59" i="79"/>
  <c r="D54" i="79"/>
  <c r="D95" i="80"/>
  <c r="D74" i="80"/>
  <c r="D59" i="80"/>
  <c r="D54" i="80"/>
  <c r="D95" i="81"/>
  <c r="D74" i="81"/>
  <c r="D59" i="81"/>
  <c r="D54" i="81"/>
  <c r="D95" i="82"/>
  <c r="D74" i="82"/>
  <c r="D59" i="82"/>
  <c r="D54" i="82"/>
  <c r="D95" i="83"/>
  <c r="D74" i="83"/>
  <c r="D59" i="83"/>
  <c r="D54" i="83"/>
  <c r="D95" i="84"/>
  <c r="D74" i="84"/>
  <c r="D59" i="84"/>
  <c r="D54" i="84"/>
  <c r="D95" i="85"/>
  <c r="D74" i="85"/>
  <c r="D59" i="85"/>
  <c r="D54" i="85"/>
  <c r="D95" i="86"/>
  <c r="D74" i="86"/>
  <c r="D59" i="86"/>
  <c r="D54" i="86"/>
  <c r="D95" i="87"/>
  <c r="D74" i="87"/>
  <c r="D59" i="87"/>
  <c r="D54" i="87"/>
  <c r="D95" i="88"/>
  <c r="D74" i="88"/>
  <c r="D59" i="88"/>
  <c r="D54" i="88"/>
  <c r="D95" i="107"/>
  <c r="D74" i="107"/>
  <c r="D59" i="107"/>
  <c r="D54" i="107"/>
  <c r="D95" i="108"/>
  <c r="D74" i="108"/>
  <c r="D59" i="108"/>
  <c r="D54" i="108"/>
  <c r="D95" i="109"/>
  <c r="D74" i="109"/>
  <c r="D59" i="109"/>
  <c r="D54" i="109"/>
  <c r="D95" i="110"/>
  <c r="D74" i="110"/>
  <c r="D59" i="110"/>
  <c r="D54" i="110"/>
  <c r="D95" i="99"/>
  <c r="D74" i="99"/>
  <c r="D59" i="99"/>
  <c r="D54" i="99"/>
  <c r="D95" i="98"/>
  <c r="D74" i="98"/>
  <c r="D59" i="98"/>
  <c r="D11" i="101"/>
  <c r="D11" i="102"/>
  <c r="D11" i="103"/>
  <c r="D11" i="104"/>
  <c r="D11" i="105"/>
  <c r="D11" i="106"/>
  <c r="D11" i="89"/>
  <c r="D11" i="90"/>
  <c r="D11" i="91"/>
  <c r="D11" i="92"/>
  <c r="D11" i="93"/>
  <c r="D11" i="94"/>
  <c r="D11" i="95"/>
  <c r="D11" i="96"/>
  <c r="D11" i="97"/>
  <c r="D11" i="9"/>
  <c r="D11" i="74"/>
  <c r="D11" i="75"/>
  <c r="D11" i="76"/>
  <c r="D11" i="77"/>
  <c r="D11" i="78"/>
  <c r="D11" i="79"/>
  <c r="D11" i="80"/>
  <c r="D11" i="81"/>
  <c r="D11" i="82"/>
  <c r="D11" i="83"/>
  <c r="D11" i="84"/>
  <c r="D11" i="85"/>
  <c r="D11" i="86"/>
  <c r="D11" i="87"/>
  <c r="D11" i="88"/>
  <c r="D11" i="107"/>
  <c r="D11" i="108"/>
  <c r="D11" i="109"/>
  <c r="D11" i="110"/>
  <c r="D11" i="100"/>
  <c r="D11" i="99"/>
  <c r="D11" i="98"/>
  <c r="D54" i="98"/>
  <c r="AC6" i="16"/>
  <c r="AB6" i="16"/>
  <c r="AA6" i="16"/>
  <c r="AH50" i="16"/>
  <c r="AT50" i="16"/>
  <c r="AH49" i="16"/>
  <c r="AT49" i="16"/>
  <c r="AH48" i="16"/>
  <c r="AT48" i="16"/>
  <c r="AH47" i="16"/>
  <c r="AT47" i="16"/>
  <c r="AH45" i="16"/>
  <c r="AT45" i="16"/>
  <c r="AH44" i="16"/>
  <c r="AT44" i="16"/>
  <c r="AH43" i="16"/>
  <c r="AT43" i="16"/>
  <c r="AH42" i="16"/>
  <c r="AT42" i="16"/>
  <c r="AH41" i="16"/>
  <c r="AT41" i="16"/>
  <c r="AH40" i="16"/>
  <c r="AT40" i="16"/>
  <c r="AH39" i="16"/>
  <c r="AT39" i="16"/>
  <c r="AH38" i="16"/>
  <c r="AT38" i="16"/>
  <c r="AH37" i="16"/>
  <c r="AT37" i="16"/>
  <c r="AH36" i="16"/>
  <c r="AT36" i="16"/>
  <c r="AH35" i="16"/>
  <c r="AT35" i="16"/>
  <c r="AH34" i="16"/>
  <c r="AT34" i="16"/>
  <c r="AH33" i="16"/>
  <c r="AT33" i="16"/>
  <c r="AH32" i="16"/>
  <c r="AT32" i="16"/>
  <c r="AH31" i="16"/>
  <c r="AT31" i="16"/>
  <c r="AH30" i="16"/>
  <c r="AT30" i="16"/>
  <c r="AH29" i="16"/>
  <c r="AT29" i="16"/>
  <c r="AH28" i="16"/>
  <c r="AT28" i="16"/>
  <c r="AH27" i="16"/>
  <c r="AT27" i="16"/>
  <c r="AH26" i="16"/>
  <c r="AT26" i="16"/>
  <c r="AH25" i="16"/>
  <c r="AT25" i="16"/>
  <c r="AH24" i="16"/>
  <c r="AT24" i="16"/>
  <c r="AH16" i="16"/>
  <c r="AT16" i="16"/>
  <c r="AH15" i="16"/>
  <c r="AT15" i="16"/>
  <c r="AH13" i="16"/>
  <c r="AT13" i="16"/>
  <c r="AH12" i="16"/>
  <c r="AT12" i="16"/>
  <c r="AH11" i="16"/>
  <c r="AT11" i="16"/>
  <c r="AH10" i="16"/>
  <c r="AT10" i="16"/>
  <c r="AH8" i="16"/>
  <c r="AH5" i="16"/>
  <c r="AH7" i="16"/>
  <c r="AH6" i="16"/>
  <c r="D22" i="2"/>
  <c r="D87" i="2" s="1"/>
  <c r="D89" i="2" s="1"/>
  <c r="F19" i="2"/>
  <c r="E19" i="2"/>
  <c r="H28" i="2"/>
  <c r="H46" i="107" s="1"/>
  <c r="H30" i="2"/>
  <c r="H47" i="109" s="1"/>
  <c r="N27" i="2"/>
  <c r="N29" i="2"/>
  <c r="D7" i="110"/>
  <c r="D6" i="110"/>
  <c r="D7" i="109"/>
  <c r="D6" i="109"/>
  <c r="D7" i="108"/>
  <c r="D6" i="108"/>
  <c r="D7" i="107"/>
  <c r="D6" i="107"/>
  <c r="D7" i="88"/>
  <c r="D6" i="88"/>
  <c r="D7" i="87"/>
  <c r="D6" i="87"/>
  <c r="D7" i="86"/>
  <c r="D6" i="86"/>
  <c r="D7" i="85"/>
  <c r="D6" i="85"/>
  <c r="D7" i="84"/>
  <c r="D6" i="84"/>
  <c r="D7" i="83"/>
  <c r="D6" i="83"/>
  <c r="D7" i="82"/>
  <c r="D6" i="82"/>
  <c r="D7" i="81"/>
  <c r="D6" i="81"/>
  <c r="D7" i="80"/>
  <c r="D6" i="80"/>
  <c r="D7" i="79"/>
  <c r="D6" i="79"/>
  <c r="D7" i="78"/>
  <c r="D6" i="78"/>
  <c r="D7" i="77"/>
  <c r="D6" i="77"/>
  <c r="D7" i="76"/>
  <c r="D6" i="76"/>
  <c r="D7" i="75"/>
  <c r="D6" i="75"/>
  <c r="D6" i="74"/>
  <c r="D7" i="74"/>
  <c r="D6" i="9"/>
  <c r="D7" i="9"/>
  <c r="D7" i="97"/>
  <c r="D6" i="97"/>
  <c r="D7" i="96"/>
  <c r="D6" i="96"/>
  <c r="D7" i="95"/>
  <c r="D6" i="95"/>
  <c r="D7" i="94"/>
  <c r="D6" i="94"/>
  <c r="D7" i="93"/>
  <c r="D6" i="93"/>
  <c r="D7" i="92"/>
  <c r="D6" i="92"/>
  <c r="D7" i="91"/>
  <c r="D6" i="91"/>
  <c r="D7" i="90"/>
  <c r="D6" i="90"/>
  <c r="D7" i="89"/>
  <c r="D6" i="89"/>
  <c r="D7" i="106"/>
  <c r="D6" i="106"/>
  <c r="D7" i="105"/>
  <c r="D6" i="105"/>
  <c r="D7" i="104"/>
  <c r="D6" i="104"/>
  <c r="D7" i="103"/>
  <c r="D6" i="103"/>
  <c r="D7" i="102"/>
  <c r="D6" i="102"/>
  <c r="D7" i="101"/>
  <c r="D6" i="101"/>
  <c r="D7" i="100"/>
  <c r="D7" i="99"/>
  <c r="D6" i="99"/>
  <c r="D7" i="98"/>
  <c r="D6" i="98"/>
  <c r="H65" i="2"/>
  <c r="I65" i="2" s="1"/>
  <c r="J65" i="2" s="1"/>
  <c r="K65" i="2" s="1"/>
  <c r="L65" i="2" s="1"/>
  <c r="M65" i="2" s="1"/>
  <c r="W5" i="16"/>
  <c r="W14" i="16"/>
  <c r="W10" i="16"/>
  <c r="W6" i="16"/>
  <c r="G3" i="91"/>
  <c r="G3" i="90"/>
  <c r="T51" i="16"/>
  <c r="G3" i="108"/>
  <c r="G3" i="110"/>
  <c r="G3" i="107"/>
  <c r="G3" i="109"/>
  <c r="G3" i="98"/>
  <c r="G3" i="99"/>
  <c r="G3" i="100"/>
  <c r="G3" i="101"/>
  <c r="G3" i="103"/>
  <c r="G3" i="104"/>
  <c r="G3" i="105"/>
  <c r="G3" i="106"/>
  <c r="G3" i="89"/>
  <c r="G3" i="92"/>
  <c r="G3" i="93"/>
  <c r="G3" i="94"/>
  <c r="G3" i="95"/>
  <c r="G3" i="96"/>
  <c r="G3" i="97"/>
  <c r="G3" i="9"/>
  <c r="G3" i="74"/>
  <c r="G3" i="75"/>
  <c r="G3" i="76"/>
  <c r="G3" i="77"/>
  <c r="G3" i="78"/>
  <c r="G3" i="79"/>
  <c r="G3" i="80"/>
  <c r="G3" i="81"/>
  <c r="G3" i="82"/>
  <c r="G3" i="83"/>
  <c r="G3" i="84"/>
  <c r="G3" i="85"/>
  <c r="G3" i="86"/>
  <c r="G3" i="87"/>
  <c r="G3" i="88"/>
  <c r="G3" i="102"/>
  <c r="D3" i="110"/>
  <c r="D3" i="109"/>
  <c r="D3" i="108"/>
  <c r="D3" i="107"/>
  <c r="N32" i="110"/>
  <c r="M32" i="110"/>
  <c r="L32" i="110"/>
  <c r="K32" i="110"/>
  <c r="J32" i="110"/>
  <c r="I32" i="110"/>
  <c r="H32" i="110"/>
  <c r="G32" i="110"/>
  <c r="F32" i="110"/>
  <c r="N27" i="110"/>
  <c r="M27" i="110"/>
  <c r="L27" i="110"/>
  <c r="K27" i="110"/>
  <c r="J27" i="110"/>
  <c r="I27" i="110"/>
  <c r="H27" i="110"/>
  <c r="G27" i="110"/>
  <c r="F27" i="110"/>
  <c r="N32" i="109"/>
  <c r="M32" i="109"/>
  <c r="L32" i="109"/>
  <c r="K32" i="109"/>
  <c r="J32" i="109"/>
  <c r="I32" i="109"/>
  <c r="H32" i="109"/>
  <c r="G32" i="109"/>
  <c r="F32" i="109"/>
  <c r="N27" i="109"/>
  <c r="M27" i="109"/>
  <c r="L27" i="109"/>
  <c r="K27" i="109"/>
  <c r="J27" i="109"/>
  <c r="I27" i="109"/>
  <c r="H27" i="109"/>
  <c r="G27" i="109"/>
  <c r="F27" i="109"/>
  <c r="N32" i="108"/>
  <c r="M32" i="108"/>
  <c r="L32" i="108"/>
  <c r="K32" i="108"/>
  <c r="J32" i="108"/>
  <c r="I32" i="108"/>
  <c r="H32" i="108"/>
  <c r="G32" i="108"/>
  <c r="F32" i="108"/>
  <c r="N27" i="108"/>
  <c r="M27" i="108"/>
  <c r="L27" i="108"/>
  <c r="K27" i="108"/>
  <c r="J27" i="108"/>
  <c r="I27" i="108"/>
  <c r="H27" i="108"/>
  <c r="G27" i="108"/>
  <c r="F27" i="108"/>
  <c r="D4" i="88"/>
  <c r="D3" i="88"/>
  <c r="D4" i="87"/>
  <c r="D3" i="87"/>
  <c r="D4" i="86"/>
  <c r="D3" i="86"/>
  <c r="D4" i="85"/>
  <c r="D3" i="85"/>
  <c r="D4" i="84"/>
  <c r="D3" i="84"/>
  <c r="D4" i="83"/>
  <c r="D3" i="83"/>
  <c r="D4" i="82"/>
  <c r="D3" i="82"/>
  <c r="D4" i="81"/>
  <c r="D3" i="81"/>
  <c r="D4" i="80"/>
  <c r="D3" i="80"/>
  <c r="D4" i="79"/>
  <c r="D3" i="79"/>
  <c r="D4" i="78"/>
  <c r="D3" i="78"/>
  <c r="D4" i="77"/>
  <c r="D3" i="77"/>
  <c r="D4" i="76"/>
  <c r="D3" i="76"/>
  <c r="D4" i="75"/>
  <c r="D3" i="75"/>
  <c r="D4" i="74"/>
  <c r="D3" i="74"/>
  <c r="D4" i="9"/>
  <c r="D3" i="9"/>
  <c r="D4" i="97"/>
  <c r="D3" i="97"/>
  <c r="D4" i="96"/>
  <c r="D3" i="96"/>
  <c r="D4" i="95"/>
  <c r="D3" i="95"/>
  <c r="D4" i="94"/>
  <c r="D3" i="94"/>
  <c r="D4" i="93"/>
  <c r="D3" i="93"/>
  <c r="D4" i="92"/>
  <c r="D3" i="92"/>
  <c r="D4" i="91"/>
  <c r="D3" i="91"/>
  <c r="D4" i="90"/>
  <c r="D3" i="90"/>
  <c r="D4" i="89"/>
  <c r="D3" i="89"/>
  <c r="D4" i="106"/>
  <c r="D3" i="106"/>
  <c r="D4" i="105"/>
  <c r="D3" i="105"/>
  <c r="D4" i="104"/>
  <c r="D3" i="104"/>
  <c r="D4" i="103"/>
  <c r="D3" i="103"/>
  <c r="D4" i="102"/>
  <c r="D4" i="101"/>
  <c r="D3" i="102"/>
  <c r="D3" i="101"/>
  <c r="D4" i="100"/>
  <c r="D3" i="100"/>
  <c r="D3" i="99"/>
  <c r="N32" i="107"/>
  <c r="M32" i="107"/>
  <c r="L32" i="107"/>
  <c r="K32" i="107"/>
  <c r="J32" i="107"/>
  <c r="I32" i="107"/>
  <c r="H32" i="107"/>
  <c r="G32" i="107"/>
  <c r="F32" i="107"/>
  <c r="N27" i="107"/>
  <c r="M27" i="107"/>
  <c r="L27" i="107"/>
  <c r="K27" i="107"/>
  <c r="J27" i="107"/>
  <c r="I27" i="107"/>
  <c r="H27" i="107"/>
  <c r="G27" i="107"/>
  <c r="F27" i="107"/>
  <c r="N32" i="106"/>
  <c r="M32" i="106"/>
  <c r="L32" i="106"/>
  <c r="K32" i="106"/>
  <c r="J32" i="106"/>
  <c r="I32" i="106"/>
  <c r="H32" i="106"/>
  <c r="G32" i="106"/>
  <c r="F32" i="106"/>
  <c r="N27" i="106"/>
  <c r="M27" i="106"/>
  <c r="L27" i="106"/>
  <c r="K27" i="106"/>
  <c r="J27" i="106"/>
  <c r="I27" i="106"/>
  <c r="H27" i="106"/>
  <c r="G27" i="106"/>
  <c r="F27" i="106"/>
  <c r="N32" i="105"/>
  <c r="M32" i="105"/>
  <c r="L32" i="105"/>
  <c r="K32" i="105"/>
  <c r="J32" i="105"/>
  <c r="I32" i="105"/>
  <c r="H32" i="105"/>
  <c r="G32" i="105"/>
  <c r="F32" i="105"/>
  <c r="N27" i="105"/>
  <c r="M27" i="105"/>
  <c r="L27" i="105"/>
  <c r="K27" i="105"/>
  <c r="J27" i="105"/>
  <c r="I27" i="105"/>
  <c r="H27" i="105"/>
  <c r="G27" i="105"/>
  <c r="F27" i="105"/>
  <c r="N32" i="104"/>
  <c r="M32" i="104"/>
  <c r="L32" i="104"/>
  <c r="K32" i="104"/>
  <c r="J32" i="104"/>
  <c r="I32" i="104"/>
  <c r="H32" i="104"/>
  <c r="G32" i="104"/>
  <c r="F32" i="104"/>
  <c r="N27" i="104"/>
  <c r="M27" i="104"/>
  <c r="L27" i="104"/>
  <c r="K27" i="104"/>
  <c r="J27" i="104"/>
  <c r="I27" i="104"/>
  <c r="H27" i="104"/>
  <c r="G27" i="104"/>
  <c r="F27" i="104"/>
  <c r="N32" i="103"/>
  <c r="M32" i="103"/>
  <c r="L32" i="103"/>
  <c r="K32" i="103"/>
  <c r="J32" i="103"/>
  <c r="I32" i="103"/>
  <c r="H32" i="103"/>
  <c r="G32" i="103"/>
  <c r="F32" i="103"/>
  <c r="N27" i="103"/>
  <c r="M27" i="103"/>
  <c r="L27" i="103"/>
  <c r="K27" i="103"/>
  <c r="J27" i="103"/>
  <c r="I27" i="103"/>
  <c r="H27" i="103"/>
  <c r="G27" i="103"/>
  <c r="F27" i="103"/>
  <c r="N32" i="102"/>
  <c r="M32" i="102"/>
  <c r="L32" i="102"/>
  <c r="K32" i="102"/>
  <c r="J32" i="102"/>
  <c r="I32" i="102"/>
  <c r="H32" i="102"/>
  <c r="G32" i="102"/>
  <c r="F32" i="102"/>
  <c r="N27" i="102"/>
  <c r="M27" i="102"/>
  <c r="L27" i="102"/>
  <c r="K27" i="102"/>
  <c r="J27" i="102"/>
  <c r="I27" i="102"/>
  <c r="H27" i="102"/>
  <c r="G27" i="102"/>
  <c r="F27" i="102"/>
  <c r="N32" i="101"/>
  <c r="M32" i="101"/>
  <c r="L32" i="101"/>
  <c r="K32" i="101"/>
  <c r="J32" i="101"/>
  <c r="I32" i="101"/>
  <c r="H32" i="101"/>
  <c r="G32" i="101"/>
  <c r="F32" i="101"/>
  <c r="N27" i="101"/>
  <c r="M27" i="101"/>
  <c r="L27" i="101"/>
  <c r="K27" i="101"/>
  <c r="J27" i="101"/>
  <c r="I27" i="101"/>
  <c r="H27" i="101"/>
  <c r="G27" i="101"/>
  <c r="F27" i="101"/>
  <c r="N32" i="100"/>
  <c r="M32" i="100"/>
  <c r="L32" i="100"/>
  <c r="K32" i="100"/>
  <c r="J32" i="100"/>
  <c r="I32" i="100"/>
  <c r="H32" i="100"/>
  <c r="G32" i="100"/>
  <c r="F32" i="100"/>
  <c r="N27" i="100"/>
  <c r="M27" i="100"/>
  <c r="L27" i="100"/>
  <c r="K27" i="100"/>
  <c r="J27" i="100"/>
  <c r="I27" i="100"/>
  <c r="H27" i="100"/>
  <c r="G27" i="100"/>
  <c r="F27" i="100"/>
  <c r="N32" i="99"/>
  <c r="M32" i="99"/>
  <c r="L32" i="99"/>
  <c r="K32" i="99"/>
  <c r="J32" i="99"/>
  <c r="I32" i="99"/>
  <c r="H32" i="99"/>
  <c r="G32" i="99"/>
  <c r="F32" i="99"/>
  <c r="N27" i="99"/>
  <c r="M27" i="99"/>
  <c r="L27" i="99"/>
  <c r="K27" i="99"/>
  <c r="J27" i="99"/>
  <c r="I27" i="99"/>
  <c r="H27" i="99"/>
  <c r="G27" i="99"/>
  <c r="F27" i="99"/>
  <c r="N32" i="98"/>
  <c r="M32" i="98"/>
  <c r="L32" i="98"/>
  <c r="K32" i="98"/>
  <c r="J32" i="98"/>
  <c r="I32" i="98"/>
  <c r="H32" i="98"/>
  <c r="G32" i="98"/>
  <c r="F32" i="98"/>
  <c r="N27" i="98"/>
  <c r="M27" i="98"/>
  <c r="L27" i="98"/>
  <c r="K27" i="98"/>
  <c r="J27" i="98"/>
  <c r="I27" i="98"/>
  <c r="H27" i="98"/>
  <c r="G27" i="98"/>
  <c r="F27" i="98"/>
  <c r="D4" i="98"/>
  <c r="D3" i="98"/>
  <c r="N32" i="97"/>
  <c r="M32" i="97"/>
  <c r="L32" i="97"/>
  <c r="K32" i="97"/>
  <c r="J32" i="97"/>
  <c r="I32" i="97"/>
  <c r="H32" i="97"/>
  <c r="G32" i="97"/>
  <c r="F32" i="97"/>
  <c r="N27" i="97"/>
  <c r="M27" i="97"/>
  <c r="L27" i="97"/>
  <c r="K27" i="97"/>
  <c r="J27" i="97"/>
  <c r="I27" i="97"/>
  <c r="H27" i="97"/>
  <c r="G27" i="97"/>
  <c r="F27" i="97"/>
  <c r="N32" i="96"/>
  <c r="M32" i="96"/>
  <c r="L32" i="96"/>
  <c r="K32" i="96"/>
  <c r="J32" i="96"/>
  <c r="I32" i="96"/>
  <c r="H32" i="96"/>
  <c r="G32" i="96"/>
  <c r="F32" i="96"/>
  <c r="N27" i="96"/>
  <c r="M27" i="96"/>
  <c r="L27" i="96"/>
  <c r="K27" i="96"/>
  <c r="J27" i="96"/>
  <c r="I27" i="96"/>
  <c r="H27" i="96"/>
  <c r="G27" i="96"/>
  <c r="F27" i="96"/>
  <c r="N32" i="95"/>
  <c r="M32" i="95"/>
  <c r="L32" i="95"/>
  <c r="K32" i="95"/>
  <c r="J32" i="95"/>
  <c r="I32" i="95"/>
  <c r="H32" i="95"/>
  <c r="G32" i="95"/>
  <c r="F32" i="95"/>
  <c r="N27" i="95"/>
  <c r="M27" i="95"/>
  <c r="L27" i="95"/>
  <c r="K27" i="95"/>
  <c r="J27" i="95"/>
  <c r="I27" i="95"/>
  <c r="H27" i="95"/>
  <c r="G27" i="95"/>
  <c r="F27" i="95"/>
  <c r="N32" i="94"/>
  <c r="M32" i="94"/>
  <c r="L32" i="94"/>
  <c r="K32" i="94"/>
  <c r="J32" i="94"/>
  <c r="I32" i="94"/>
  <c r="H32" i="94"/>
  <c r="G32" i="94"/>
  <c r="F32" i="94"/>
  <c r="N27" i="94"/>
  <c r="M27" i="94"/>
  <c r="L27" i="94"/>
  <c r="K27" i="94"/>
  <c r="J27" i="94"/>
  <c r="I27" i="94"/>
  <c r="H27" i="94"/>
  <c r="G27" i="94"/>
  <c r="F27" i="94"/>
  <c r="N32" i="93"/>
  <c r="M32" i="93"/>
  <c r="L32" i="93"/>
  <c r="K32" i="93"/>
  <c r="J32" i="93"/>
  <c r="I32" i="93"/>
  <c r="H32" i="93"/>
  <c r="G32" i="93"/>
  <c r="F32" i="93"/>
  <c r="N27" i="93"/>
  <c r="M27" i="93"/>
  <c r="L27" i="93"/>
  <c r="K27" i="93"/>
  <c r="J27" i="93"/>
  <c r="I27" i="93"/>
  <c r="H27" i="93"/>
  <c r="G27" i="93"/>
  <c r="F27" i="93"/>
  <c r="N32" i="92"/>
  <c r="M32" i="92"/>
  <c r="L32" i="92"/>
  <c r="K32" i="92"/>
  <c r="J32" i="92"/>
  <c r="I32" i="92"/>
  <c r="H32" i="92"/>
  <c r="G32" i="92"/>
  <c r="F32" i="92"/>
  <c r="N27" i="92"/>
  <c r="M27" i="92"/>
  <c r="L27" i="92"/>
  <c r="K27" i="92"/>
  <c r="J27" i="92"/>
  <c r="I27" i="92"/>
  <c r="H27" i="92"/>
  <c r="G27" i="92"/>
  <c r="F27" i="92"/>
  <c r="N32" i="91"/>
  <c r="M32" i="91"/>
  <c r="L32" i="91"/>
  <c r="K32" i="91"/>
  <c r="J32" i="91"/>
  <c r="I32" i="91"/>
  <c r="H32" i="91"/>
  <c r="G32" i="91"/>
  <c r="F32" i="91"/>
  <c r="N27" i="91"/>
  <c r="M27" i="91"/>
  <c r="L27" i="91"/>
  <c r="K27" i="91"/>
  <c r="J27" i="91"/>
  <c r="I27" i="91"/>
  <c r="H27" i="91"/>
  <c r="G27" i="91"/>
  <c r="F27" i="91"/>
  <c r="N32" i="90"/>
  <c r="M32" i="90"/>
  <c r="L32" i="90"/>
  <c r="K32" i="90"/>
  <c r="J32" i="90"/>
  <c r="I32" i="90"/>
  <c r="H32" i="90"/>
  <c r="G32" i="90"/>
  <c r="F32" i="90"/>
  <c r="N27" i="90"/>
  <c r="M27" i="90"/>
  <c r="L27" i="90"/>
  <c r="K27" i="90"/>
  <c r="J27" i="90"/>
  <c r="I27" i="90"/>
  <c r="H27" i="90"/>
  <c r="G27" i="90"/>
  <c r="F27" i="90"/>
  <c r="N32" i="89"/>
  <c r="M32" i="89"/>
  <c r="L32" i="89"/>
  <c r="K32" i="89"/>
  <c r="J32" i="89"/>
  <c r="I32" i="89"/>
  <c r="H32" i="89"/>
  <c r="G32" i="89"/>
  <c r="F32" i="89"/>
  <c r="N27" i="89"/>
  <c r="M27" i="89"/>
  <c r="L27" i="89"/>
  <c r="K27" i="89"/>
  <c r="J27" i="89"/>
  <c r="I27" i="89"/>
  <c r="H27" i="89"/>
  <c r="G27" i="89"/>
  <c r="F27" i="89"/>
  <c r="N32" i="88"/>
  <c r="M32" i="88"/>
  <c r="L32" i="88"/>
  <c r="K32" i="88"/>
  <c r="J32" i="88"/>
  <c r="I32" i="88"/>
  <c r="H32" i="88"/>
  <c r="G32" i="88"/>
  <c r="F32" i="88"/>
  <c r="N27" i="88"/>
  <c r="M27" i="88"/>
  <c r="L27" i="88"/>
  <c r="K27" i="88"/>
  <c r="J27" i="88"/>
  <c r="I27" i="88"/>
  <c r="H27" i="88"/>
  <c r="G27" i="88"/>
  <c r="F27" i="88"/>
  <c r="N32" i="87"/>
  <c r="M32" i="87"/>
  <c r="L32" i="87"/>
  <c r="K32" i="87"/>
  <c r="J32" i="87"/>
  <c r="I32" i="87"/>
  <c r="H32" i="87"/>
  <c r="G32" i="87"/>
  <c r="F32" i="87"/>
  <c r="N27" i="87"/>
  <c r="M27" i="87"/>
  <c r="L27" i="87"/>
  <c r="K27" i="87"/>
  <c r="J27" i="87"/>
  <c r="I27" i="87"/>
  <c r="H27" i="87"/>
  <c r="G27" i="87"/>
  <c r="F27" i="87"/>
  <c r="N32" i="86"/>
  <c r="M32" i="86"/>
  <c r="L32" i="86"/>
  <c r="K32" i="86"/>
  <c r="J32" i="86"/>
  <c r="I32" i="86"/>
  <c r="H32" i="86"/>
  <c r="G32" i="86"/>
  <c r="F32" i="86"/>
  <c r="N27" i="86"/>
  <c r="M27" i="86"/>
  <c r="L27" i="86"/>
  <c r="K27" i="86"/>
  <c r="J27" i="86"/>
  <c r="I27" i="86"/>
  <c r="H27" i="86"/>
  <c r="G27" i="86"/>
  <c r="F27" i="86"/>
  <c r="N32" i="85"/>
  <c r="M32" i="85"/>
  <c r="L32" i="85"/>
  <c r="K32" i="85"/>
  <c r="J32" i="85"/>
  <c r="I32" i="85"/>
  <c r="H32" i="85"/>
  <c r="G32" i="85"/>
  <c r="F32" i="85"/>
  <c r="N27" i="85"/>
  <c r="M27" i="85"/>
  <c r="L27" i="85"/>
  <c r="K27" i="85"/>
  <c r="J27" i="85"/>
  <c r="I27" i="85"/>
  <c r="H27" i="85"/>
  <c r="G27" i="85"/>
  <c r="F27" i="85"/>
  <c r="N32" i="84"/>
  <c r="M32" i="84"/>
  <c r="L32" i="84"/>
  <c r="K32" i="84"/>
  <c r="J32" i="84"/>
  <c r="I32" i="84"/>
  <c r="H32" i="84"/>
  <c r="G32" i="84"/>
  <c r="F32" i="84"/>
  <c r="N27" i="84"/>
  <c r="M27" i="84"/>
  <c r="L27" i="84"/>
  <c r="K27" i="84"/>
  <c r="J27" i="84"/>
  <c r="I27" i="84"/>
  <c r="H27" i="84"/>
  <c r="G27" i="84"/>
  <c r="F27" i="84"/>
  <c r="N32" i="83"/>
  <c r="M32" i="83"/>
  <c r="L32" i="83"/>
  <c r="K32" i="83"/>
  <c r="J32" i="83"/>
  <c r="I32" i="83"/>
  <c r="H32" i="83"/>
  <c r="G32" i="83"/>
  <c r="F32" i="83"/>
  <c r="N27" i="83"/>
  <c r="M27" i="83"/>
  <c r="L27" i="83"/>
  <c r="K27" i="83"/>
  <c r="J27" i="83"/>
  <c r="I27" i="83"/>
  <c r="H27" i="83"/>
  <c r="G27" i="83"/>
  <c r="F27" i="83"/>
  <c r="N32" i="82"/>
  <c r="M32" i="82"/>
  <c r="L32" i="82"/>
  <c r="K32" i="82"/>
  <c r="J32" i="82"/>
  <c r="I32" i="82"/>
  <c r="H32" i="82"/>
  <c r="G32" i="82"/>
  <c r="F32" i="82"/>
  <c r="N27" i="82"/>
  <c r="M27" i="82"/>
  <c r="L27" i="82"/>
  <c r="K27" i="82"/>
  <c r="J27" i="82"/>
  <c r="I27" i="82"/>
  <c r="H27" i="82"/>
  <c r="G27" i="82"/>
  <c r="F27" i="82"/>
  <c r="N32" i="81"/>
  <c r="M32" i="81"/>
  <c r="L32" i="81"/>
  <c r="K32" i="81"/>
  <c r="J32" i="81"/>
  <c r="I32" i="81"/>
  <c r="H32" i="81"/>
  <c r="G32" i="81"/>
  <c r="F32" i="81"/>
  <c r="N27" i="81"/>
  <c r="M27" i="81"/>
  <c r="L27" i="81"/>
  <c r="K27" i="81"/>
  <c r="J27" i="81"/>
  <c r="I27" i="81"/>
  <c r="H27" i="81"/>
  <c r="G27" i="81"/>
  <c r="F27" i="81"/>
  <c r="N32" i="80"/>
  <c r="M32" i="80"/>
  <c r="L32" i="80"/>
  <c r="K32" i="80"/>
  <c r="J32" i="80"/>
  <c r="I32" i="80"/>
  <c r="H32" i="80"/>
  <c r="G32" i="80"/>
  <c r="F32" i="80"/>
  <c r="N27" i="80"/>
  <c r="M27" i="80"/>
  <c r="L27" i="80"/>
  <c r="K27" i="80"/>
  <c r="J27" i="80"/>
  <c r="I27" i="80"/>
  <c r="H27" i="80"/>
  <c r="G27" i="80"/>
  <c r="F27" i="80"/>
  <c r="N32" i="79"/>
  <c r="M32" i="79"/>
  <c r="L32" i="79"/>
  <c r="K32" i="79"/>
  <c r="J32" i="79"/>
  <c r="I32" i="79"/>
  <c r="H32" i="79"/>
  <c r="G32" i="79"/>
  <c r="F32" i="79"/>
  <c r="N27" i="79"/>
  <c r="M27" i="79"/>
  <c r="L27" i="79"/>
  <c r="K27" i="79"/>
  <c r="J27" i="79"/>
  <c r="I27" i="79"/>
  <c r="H27" i="79"/>
  <c r="G27" i="79"/>
  <c r="F27" i="79"/>
  <c r="N32" i="78"/>
  <c r="M32" i="78"/>
  <c r="L32" i="78"/>
  <c r="K32" i="78"/>
  <c r="J32" i="78"/>
  <c r="I32" i="78"/>
  <c r="H32" i="78"/>
  <c r="G32" i="78"/>
  <c r="F32" i="78"/>
  <c r="N27" i="78"/>
  <c r="M27" i="78"/>
  <c r="L27" i="78"/>
  <c r="K27" i="78"/>
  <c r="J27" i="78"/>
  <c r="I27" i="78"/>
  <c r="H27" i="78"/>
  <c r="G27" i="78"/>
  <c r="F27" i="78"/>
  <c r="N32" i="77"/>
  <c r="M32" i="77"/>
  <c r="L32" i="77"/>
  <c r="K32" i="77"/>
  <c r="J32" i="77"/>
  <c r="I32" i="77"/>
  <c r="H32" i="77"/>
  <c r="G32" i="77"/>
  <c r="F32" i="77"/>
  <c r="N27" i="77"/>
  <c r="M27" i="77"/>
  <c r="L27" i="77"/>
  <c r="K27" i="77"/>
  <c r="J27" i="77"/>
  <c r="I27" i="77"/>
  <c r="H27" i="77"/>
  <c r="G27" i="77"/>
  <c r="F27" i="77"/>
  <c r="N32" i="76"/>
  <c r="M32" i="76"/>
  <c r="L32" i="76"/>
  <c r="K32" i="76"/>
  <c r="J32" i="76"/>
  <c r="I32" i="76"/>
  <c r="H32" i="76"/>
  <c r="G32" i="76"/>
  <c r="F32" i="76"/>
  <c r="N27" i="76"/>
  <c r="M27" i="76"/>
  <c r="L27" i="76"/>
  <c r="K27" i="76"/>
  <c r="J27" i="76"/>
  <c r="I27" i="76"/>
  <c r="H27" i="76"/>
  <c r="G27" i="76"/>
  <c r="F27" i="76"/>
  <c r="N32" i="75"/>
  <c r="M32" i="75"/>
  <c r="L32" i="75"/>
  <c r="K32" i="75"/>
  <c r="J32" i="75"/>
  <c r="I32" i="75"/>
  <c r="H32" i="75"/>
  <c r="G32" i="75"/>
  <c r="F32" i="75"/>
  <c r="N27" i="75"/>
  <c r="M27" i="75"/>
  <c r="L27" i="75"/>
  <c r="K27" i="75"/>
  <c r="J27" i="75"/>
  <c r="I27" i="75"/>
  <c r="H27" i="75"/>
  <c r="G27" i="75"/>
  <c r="F27" i="75"/>
  <c r="N32" i="74"/>
  <c r="M32" i="74"/>
  <c r="L32" i="74"/>
  <c r="K32" i="74"/>
  <c r="J32" i="74"/>
  <c r="I32" i="74"/>
  <c r="H32" i="74"/>
  <c r="G32" i="74"/>
  <c r="F32" i="74"/>
  <c r="N27" i="74"/>
  <c r="M27" i="74"/>
  <c r="L27" i="74"/>
  <c r="K27" i="74"/>
  <c r="J27" i="74"/>
  <c r="I27" i="74"/>
  <c r="H27" i="74"/>
  <c r="G27" i="74"/>
  <c r="F27" i="74"/>
  <c r="G27" i="9"/>
  <c r="H27" i="9"/>
  <c r="I27" i="9"/>
  <c r="J27" i="9"/>
  <c r="K27" i="9"/>
  <c r="L27" i="9"/>
  <c r="M27" i="9"/>
  <c r="N27" i="9"/>
  <c r="L32" i="9"/>
  <c r="M32" i="9"/>
  <c r="N32" i="9"/>
  <c r="K32" i="9"/>
  <c r="J32" i="9"/>
  <c r="G32" i="9"/>
  <c r="I32" i="9"/>
  <c r="H32" i="9"/>
  <c r="F32" i="9"/>
  <c r="F27" i="9"/>
  <c r="H64" i="2"/>
  <c r="I64" i="2" s="1"/>
  <c r="J64" i="2" s="1"/>
  <c r="K64" i="2" s="1"/>
  <c r="L64" i="2" s="1"/>
  <c r="M64" i="2" s="1"/>
  <c r="H47" i="129"/>
  <c r="H47" i="127"/>
  <c r="H47" i="126"/>
  <c r="H47" i="121"/>
  <c r="H46" i="129"/>
  <c r="H46" i="124"/>
  <c r="H46" i="125"/>
  <c r="H46" i="126"/>
  <c r="H46" i="123"/>
  <c r="H46" i="128"/>
  <c r="H46" i="127"/>
  <c r="H46" i="121"/>
  <c r="W7" i="16"/>
  <c r="F11" i="100"/>
  <c r="W15" i="16"/>
  <c r="F11" i="90"/>
  <c r="W9" i="16"/>
  <c r="F11" i="102"/>
  <c r="W13" i="16"/>
  <c r="F11" i="106"/>
  <c r="W24" i="16"/>
  <c r="F11" i="92"/>
  <c r="W11" i="16"/>
  <c r="F11" i="104"/>
  <c r="W8" i="16"/>
  <c r="F11" i="101"/>
  <c r="W12" i="16"/>
  <c r="F11" i="105"/>
  <c r="W16" i="16"/>
  <c r="F11" i="91"/>
  <c r="N11" i="98"/>
  <c r="F11" i="98"/>
  <c r="H11" i="98"/>
  <c r="G11" i="98"/>
  <c r="G11" i="100"/>
  <c r="N11" i="100"/>
  <c r="H11" i="100"/>
  <c r="G11" i="104"/>
  <c r="N11" i="104"/>
  <c r="H11" i="104"/>
  <c r="G11" i="90"/>
  <c r="N11" i="90"/>
  <c r="H11" i="90"/>
  <c r="G11" i="94"/>
  <c r="N11" i="94"/>
  <c r="F11" i="94"/>
  <c r="H11" i="94"/>
  <c r="G11" i="9"/>
  <c r="N11" i="9"/>
  <c r="H11" i="9"/>
  <c r="N11" i="77"/>
  <c r="F11" i="77"/>
  <c r="G11" i="77"/>
  <c r="H11" i="77"/>
  <c r="H11" i="81"/>
  <c r="G11" i="81"/>
  <c r="N11" i="81"/>
  <c r="G11" i="85"/>
  <c r="H11" i="85"/>
  <c r="N11" i="85"/>
  <c r="N11" i="110"/>
  <c r="K14" i="103"/>
  <c r="K76" i="103" s="1"/>
  <c r="F14" i="103"/>
  <c r="F76" i="103" s="1"/>
  <c r="N14" i="103"/>
  <c r="N76" i="103" s="1"/>
  <c r="J14" i="103"/>
  <c r="J76" i="103" s="1"/>
  <c r="M14" i="103"/>
  <c r="L14" i="103"/>
  <c r="L76" i="103" s="1"/>
  <c r="H14" i="103"/>
  <c r="H76" i="103" s="1"/>
  <c r="G14" i="103"/>
  <c r="G76" i="103" s="1"/>
  <c r="N11" i="99"/>
  <c r="F11" i="99"/>
  <c r="G11" i="99"/>
  <c r="H11" i="99"/>
  <c r="N11" i="103"/>
  <c r="F11" i="103"/>
  <c r="H11" i="103"/>
  <c r="G11" i="103"/>
  <c r="H11" i="105"/>
  <c r="G11" i="105"/>
  <c r="N11" i="105"/>
  <c r="N11" i="89"/>
  <c r="F11" i="89"/>
  <c r="G11" i="89"/>
  <c r="H11" i="89"/>
  <c r="H11" i="91"/>
  <c r="G11" i="91"/>
  <c r="N11" i="91"/>
  <c r="N11" i="93"/>
  <c r="F11" i="93"/>
  <c r="H11" i="93"/>
  <c r="G11" i="93"/>
  <c r="H11" i="95"/>
  <c r="G11" i="95"/>
  <c r="N11" i="95"/>
  <c r="N11" i="97"/>
  <c r="F11" i="97"/>
  <c r="G11" i="97"/>
  <c r="H11" i="97"/>
  <c r="H11" i="74"/>
  <c r="G11" i="74"/>
  <c r="N11" i="74"/>
  <c r="N11" i="76"/>
  <c r="H11" i="76"/>
  <c r="G11" i="76"/>
  <c r="G11" i="78"/>
  <c r="N11" i="78"/>
  <c r="H11" i="78"/>
  <c r="H11" i="80"/>
  <c r="G11" i="80"/>
  <c r="N11" i="80"/>
  <c r="N11" i="82"/>
  <c r="N37" i="82" s="1"/>
  <c r="H11" i="82"/>
  <c r="G11" i="82"/>
  <c r="H11" i="84"/>
  <c r="G11" i="84"/>
  <c r="N11" i="84"/>
  <c r="N11" i="86"/>
  <c r="H11" i="86"/>
  <c r="G11" i="86"/>
  <c r="H11" i="88"/>
  <c r="N11" i="88"/>
  <c r="G11" i="88"/>
  <c r="N11" i="107"/>
  <c r="N11" i="109"/>
  <c r="N34" i="109" s="1"/>
  <c r="F14" i="97"/>
  <c r="G14" i="97" s="1"/>
  <c r="F14" i="93"/>
  <c r="F76" i="93" s="1"/>
  <c r="N14" i="93"/>
  <c r="N76" i="93" s="1"/>
  <c r="I14" i="105"/>
  <c r="I76" i="105" s="1"/>
  <c r="N14" i="105"/>
  <c r="N76" i="105" s="1"/>
  <c r="H14" i="105"/>
  <c r="H76" i="105" s="1"/>
  <c r="K14" i="105"/>
  <c r="K76" i="105" s="1"/>
  <c r="J14" i="105"/>
  <c r="J76" i="105" s="1"/>
  <c r="G14" i="105"/>
  <c r="G76" i="105" s="1"/>
  <c r="F14" i="105"/>
  <c r="F76" i="105" s="1"/>
  <c r="H11" i="102"/>
  <c r="G11" i="102"/>
  <c r="N11" i="102"/>
  <c r="H11" i="106"/>
  <c r="N11" i="106"/>
  <c r="G11" i="106"/>
  <c r="H11" i="92"/>
  <c r="G11" i="92"/>
  <c r="N11" i="92"/>
  <c r="H11" i="96"/>
  <c r="N11" i="96"/>
  <c r="G11" i="96"/>
  <c r="H11" i="75"/>
  <c r="G11" i="75"/>
  <c r="N11" i="75"/>
  <c r="F11" i="75"/>
  <c r="H11" i="79"/>
  <c r="N11" i="79"/>
  <c r="G11" i="79"/>
  <c r="G11" i="83"/>
  <c r="N11" i="83"/>
  <c r="H11" i="83"/>
  <c r="G11" i="87"/>
  <c r="N11" i="87"/>
  <c r="F11" i="87"/>
  <c r="H11" i="87"/>
  <c r="N11" i="108"/>
  <c r="F14" i="77"/>
  <c r="F14" i="94"/>
  <c r="F76" i="94" s="1"/>
  <c r="N14" i="106"/>
  <c r="N76" i="106" s="1"/>
  <c r="G14" i="106"/>
  <c r="J14" i="106"/>
  <c r="J76" i="106" s="1"/>
  <c r="F14" i="106"/>
  <c r="I14" i="106"/>
  <c r="I76" i="106" s="1"/>
  <c r="H14" i="106"/>
  <c r="H76" i="106" s="1"/>
  <c r="M14" i="90"/>
  <c r="M76" i="90" s="1"/>
  <c r="H14" i="90"/>
  <c r="H76" i="90" s="1"/>
  <c r="L14" i="90"/>
  <c r="L76" i="90" s="1"/>
  <c r="G14" i="90"/>
  <c r="G76" i="90" s="1"/>
  <c r="K14" i="90"/>
  <c r="K76" i="90" s="1"/>
  <c r="F14" i="90"/>
  <c r="F76" i="90" s="1"/>
  <c r="N14" i="90"/>
  <c r="H11" i="101"/>
  <c r="G11" i="101"/>
  <c r="N11" i="101"/>
  <c r="F14" i="87"/>
  <c r="G14" i="83"/>
  <c r="G76" i="83" s="1"/>
  <c r="F14" i="79"/>
  <c r="F14" i="75"/>
  <c r="N14" i="92"/>
  <c r="K14" i="104"/>
  <c r="K76" i="104" s="1"/>
  <c r="F14" i="104"/>
  <c r="F76" i="104" s="1"/>
  <c r="N14" i="104"/>
  <c r="N76" i="104" s="1"/>
  <c r="I14" i="104"/>
  <c r="I76" i="104" s="1"/>
  <c r="M14" i="104"/>
  <c r="M76" i="104" s="1"/>
  <c r="L14" i="104"/>
  <c r="L76" i="104" s="1"/>
  <c r="H14" i="104"/>
  <c r="H76" i="104" s="1"/>
  <c r="G14" i="104"/>
  <c r="G76" i="104" s="1"/>
  <c r="N37" i="87"/>
  <c r="I28" i="2"/>
  <c r="E22" i="2"/>
  <c r="G22" i="2"/>
  <c r="F22" i="2"/>
  <c r="G19" i="134" s="1"/>
  <c r="N42" i="92"/>
  <c r="N36" i="102"/>
  <c r="N34" i="86"/>
  <c r="N36" i="84"/>
  <c r="N40" i="82"/>
  <c r="G37" i="80"/>
  <c r="N41" i="76"/>
  <c r="G42" i="97"/>
  <c r="G46" i="91"/>
  <c r="N35" i="89"/>
  <c r="G39" i="9"/>
  <c r="N34" i="94"/>
  <c r="N41" i="90"/>
  <c r="N39" i="104"/>
  <c r="G42" i="98"/>
  <c r="N39" i="108"/>
  <c r="N42" i="87"/>
  <c r="G40" i="102"/>
  <c r="G43" i="86"/>
  <c r="G38" i="84"/>
  <c r="N42" i="80"/>
  <c r="N43" i="78"/>
  <c r="G40" i="74"/>
  <c r="N43" i="97"/>
  <c r="G42" i="105"/>
  <c r="N40" i="103"/>
  <c r="G37" i="99"/>
  <c r="N43" i="85"/>
  <c r="N35" i="81"/>
  <c r="G47" i="77"/>
  <c r="N36" i="77"/>
  <c r="G47" i="94"/>
  <c r="G43" i="90"/>
  <c r="G42" i="104"/>
  <c r="N36" i="100"/>
  <c r="G42" i="75"/>
  <c r="N39" i="79"/>
  <c r="H47" i="75"/>
  <c r="G34" i="96"/>
  <c r="N37" i="106"/>
  <c r="G36" i="82"/>
  <c r="G42" i="76"/>
  <c r="N36" i="95"/>
  <c r="G41" i="95"/>
  <c r="N39" i="93"/>
  <c r="N42" i="91"/>
  <c r="G39" i="103"/>
  <c r="N43" i="99"/>
  <c r="G42" i="85"/>
  <c r="G37" i="100"/>
  <c r="G36" i="101"/>
  <c r="G36" i="87"/>
  <c r="G35" i="83"/>
  <c r="G42" i="79"/>
  <c r="N42" i="75"/>
  <c r="F14" i="92"/>
  <c r="G14" i="92" s="1"/>
  <c r="G39" i="106"/>
  <c r="H46" i="102"/>
  <c r="N35" i="107"/>
  <c r="G41" i="88"/>
  <c r="H46" i="86"/>
  <c r="H46" i="84"/>
  <c r="G41" i="78"/>
  <c r="N43" i="74"/>
  <c r="G40" i="93"/>
  <c r="G43" i="89"/>
  <c r="N43" i="110"/>
  <c r="G46" i="81"/>
  <c r="N40" i="9"/>
  <c r="N37" i="98"/>
  <c r="W38" i="16"/>
  <c r="F11" i="81"/>
  <c r="W28" i="16"/>
  <c r="F11" i="96"/>
  <c r="W43" i="16"/>
  <c r="F11" i="86"/>
  <c r="W37" i="16"/>
  <c r="F11" i="80"/>
  <c r="W27" i="16"/>
  <c r="F11" i="95"/>
  <c r="W36" i="16"/>
  <c r="F11" i="79"/>
  <c r="W40" i="16"/>
  <c r="F11" i="83"/>
  <c r="W39" i="16"/>
  <c r="F11" i="82"/>
  <c r="W41" i="16"/>
  <c r="F11" i="84"/>
  <c r="W49" i="16"/>
  <c r="F11" i="109"/>
  <c r="G14" i="109" s="1"/>
  <c r="W50" i="16"/>
  <c r="F11" i="110"/>
  <c r="W47" i="16"/>
  <c r="F11" i="107"/>
  <c r="W48" i="16"/>
  <c r="F11" i="108"/>
  <c r="F79" i="2"/>
  <c r="N36" i="103"/>
  <c r="N43" i="100"/>
  <c r="N34" i="81"/>
  <c r="N36" i="78"/>
  <c r="N42" i="103"/>
  <c r="G40" i="104"/>
  <c r="G39" i="102"/>
  <c r="H48" i="121"/>
  <c r="G38" i="104"/>
  <c r="G34" i="104"/>
  <c r="N40" i="98"/>
  <c r="N38" i="99"/>
  <c r="N41" i="98"/>
  <c r="N34" i="98"/>
  <c r="G46" i="98"/>
  <c r="N40" i="95"/>
  <c r="N41" i="9"/>
  <c r="N40" i="107"/>
  <c r="N35" i="99"/>
  <c r="G47" i="79"/>
  <c r="N38" i="106"/>
  <c r="G37" i="103"/>
  <c r="H47" i="78"/>
  <c r="G39" i="79"/>
  <c r="N39" i="98"/>
  <c r="N40" i="75"/>
  <c r="N39" i="107"/>
  <c r="G40" i="98"/>
  <c r="N38" i="82"/>
  <c r="G46" i="79"/>
  <c r="N35" i="98"/>
  <c r="N34" i="75"/>
  <c r="G43" i="88"/>
  <c r="G34" i="98"/>
  <c r="N43" i="95"/>
  <c r="N36" i="106"/>
  <c r="N41" i="95"/>
  <c r="G41" i="79"/>
  <c r="N39" i="106"/>
  <c r="N36" i="75"/>
  <c r="G36" i="78"/>
  <c r="G36" i="88"/>
  <c r="G35" i="103"/>
  <c r="G37" i="76"/>
  <c r="N40" i="99"/>
  <c r="N34" i="95"/>
  <c r="G43" i="103"/>
  <c r="H46" i="96"/>
  <c r="N34" i="99"/>
  <c r="G35" i="79"/>
  <c r="G34" i="79"/>
  <c r="N42" i="106"/>
  <c r="N35" i="75"/>
  <c r="G46" i="103"/>
  <c r="G47" i="76"/>
  <c r="H47" i="88"/>
  <c r="N41" i="87"/>
  <c r="N41" i="89"/>
  <c r="N38" i="98"/>
  <c r="N43" i="98"/>
  <c r="N42" i="102"/>
  <c r="G42" i="88"/>
  <c r="N34" i="107"/>
  <c r="G38" i="98"/>
  <c r="N40" i="97"/>
  <c r="N43" i="87"/>
  <c r="N36" i="98"/>
  <c r="N42" i="98"/>
  <c r="G36" i="76"/>
  <c r="G43" i="98"/>
  <c r="G36" i="98"/>
  <c r="G42" i="102"/>
  <c r="N41" i="97"/>
  <c r="N35" i="87"/>
  <c r="N43" i="76"/>
  <c r="N35" i="102"/>
  <c r="N41" i="78"/>
  <c r="N40" i="87"/>
  <c r="N35" i="88"/>
  <c r="N42" i="77"/>
  <c r="N37" i="76"/>
  <c r="N34" i="87"/>
  <c r="G43" i="101"/>
  <c r="N37" i="77"/>
  <c r="N34" i="74"/>
  <c r="N34" i="76"/>
  <c r="N40" i="76"/>
  <c r="N43" i="77"/>
  <c r="N34" i="85"/>
  <c r="N41" i="102"/>
  <c r="G42" i="84"/>
  <c r="N39" i="87"/>
  <c r="N38" i="87"/>
  <c r="N36" i="88"/>
  <c r="H47" i="74"/>
  <c r="N40" i="81"/>
  <c r="N39" i="85"/>
  <c r="G37" i="97"/>
  <c r="N42" i="78"/>
  <c r="N36" i="87"/>
  <c r="H46" i="87"/>
  <c r="G34" i="97"/>
  <c r="G37" i="88"/>
  <c r="G47" i="88"/>
  <c r="G40" i="76"/>
  <c r="G35" i="76"/>
  <c r="G37" i="85"/>
  <c r="G35" i="98"/>
  <c r="G41" i="98"/>
  <c r="G47" i="98"/>
  <c r="G40" i="97"/>
  <c r="G38" i="97"/>
  <c r="H46" i="83"/>
  <c r="G39" i="98"/>
  <c r="G37" i="98"/>
  <c r="G36" i="97"/>
  <c r="G43" i="77"/>
  <c r="G40" i="85"/>
  <c r="G34" i="93"/>
  <c r="G34" i="9"/>
  <c r="G38" i="100"/>
  <c r="G43" i="9"/>
  <c r="H46" i="74"/>
  <c r="G35" i="89"/>
  <c r="G36" i="93"/>
  <c r="G47" i="75"/>
  <c r="G41" i="84"/>
  <c r="G40" i="89"/>
  <c r="G36" i="75"/>
  <c r="G41" i="9"/>
  <c r="G41" i="106"/>
  <c r="G38" i="93"/>
  <c r="G34" i="89"/>
  <c r="G39" i="77"/>
  <c r="H46" i="99"/>
  <c r="G36" i="102"/>
  <c r="G47" i="106"/>
  <c r="G36" i="84"/>
  <c r="N38" i="102"/>
  <c r="N37" i="102"/>
  <c r="N43" i="102"/>
  <c r="N40" i="102"/>
  <c r="N34" i="102"/>
  <c r="N39" i="102"/>
  <c r="H46" i="81"/>
  <c r="H47" i="81"/>
  <c r="N38" i="77"/>
  <c r="N39" i="77"/>
  <c r="N34" i="77"/>
  <c r="N41" i="77"/>
  <c r="H46" i="9"/>
  <c r="G37" i="9"/>
  <c r="G35" i="9"/>
  <c r="G42" i="9"/>
  <c r="G47" i="9"/>
  <c r="G38" i="9"/>
  <c r="N43" i="94"/>
  <c r="N40" i="94"/>
  <c r="G35" i="100"/>
  <c r="G40" i="100"/>
  <c r="N42" i="105"/>
  <c r="N37" i="105"/>
  <c r="N36" i="105"/>
  <c r="N39" i="103"/>
  <c r="N41" i="103"/>
  <c r="G35" i="105"/>
  <c r="N35" i="105"/>
  <c r="N41" i="101"/>
  <c r="N38" i="101"/>
  <c r="N39" i="101"/>
  <c r="N43" i="84"/>
  <c r="N41" i="84"/>
  <c r="N43" i="82"/>
  <c r="N36" i="82"/>
  <c r="N42" i="82"/>
  <c r="N35" i="95"/>
  <c r="N42" i="95"/>
  <c r="N39" i="95"/>
  <c r="N37" i="93"/>
  <c r="N35" i="93"/>
  <c r="N39" i="91"/>
  <c r="N42" i="99"/>
  <c r="N37" i="99"/>
  <c r="N39" i="99"/>
  <c r="G36" i="79"/>
  <c r="G40" i="79"/>
  <c r="G37" i="79"/>
  <c r="N43" i="106"/>
  <c r="N34" i="106"/>
  <c r="N41" i="106"/>
  <c r="N37" i="74"/>
  <c r="N37" i="75"/>
  <c r="N38" i="75"/>
  <c r="N39" i="75"/>
  <c r="H46" i="79"/>
  <c r="N40" i="80"/>
  <c r="G38" i="103"/>
  <c r="G47" i="89"/>
  <c r="G37" i="89"/>
  <c r="G35" i="85"/>
  <c r="G38" i="102"/>
  <c r="G43" i="102"/>
  <c r="N38" i="90"/>
  <c r="G42" i="93"/>
  <c r="G40" i="84"/>
  <c r="G35" i="84"/>
  <c r="N36" i="99"/>
  <c r="N41" i="99"/>
  <c r="G43" i="79"/>
  <c r="G38" i="79"/>
  <c r="N35" i="106"/>
  <c r="N40" i="74"/>
  <c r="N41" i="75"/>
  <c r="N44" i="75" s="1"/>
  <c r="N43" i="75"/>
  <c r="N43" i="80"/>
  <c r="G43" i="93"/>
  <c r="H46" i="101"/>
  <c r="H46" i="92"/>
  <c r="G34" i="91"/>
  <c r="G40" i="91"/>
  <c r="N42" i="89"/>
  <c r="G41" i="91"/>
  <c r="N37" i="101"/>
  <c r="G34" i="75"/>
  <c r="N34" i="89"/>
  <c r="N39" i="89"/>
  <c r="G35" i="91"/>
  <c r="N36" i="92"/>
  <c r="G38" i="74"/>
  <c r="G43" i="82"/>
  <c r="G42" i="82"/>
  <c r="N38" i="95"/>
  <c r="N37" i="95"/>
  <c r="G39" i="85"/>
  <c r="G38" i="85"/>
  <c r="G46" i="77"/>
  <c r="G34" i="77"/>
  <c r="G38" i="77"/>
  <c r="N40" i="77"/>
  <c r="N35" i="77"/>
  <c r="G40" i="9"/>
  <c r="G36" i="9"/>
  <c r="G46" i="9"/>
  <c r="N36" i="94"/>
  <c r="G47" i="100"/>
  <c r="G34" i="100"/>
  <c r="N42" i="101"/>
  <c r="N36" i="101"/>
  <c r="N35" i="101"/>
  <c r="N40" i="101"/>
  <c r="N43" i="101"/>
  <c r="G40" i="75"/>
  <c r="G43" i="75"/>
  <c r="G38" i="75"/>
  <c r="G46" i="75"/>
  <c r="G35" i="75"/>
  <c r="G39" i="75"/>
  <c r="G35" i="106"/>
  <c r="G38" i="106"/>
  <c r="G42" i="106"/>
  <c r="G40" i="106"/>
  <c r="G46" i="106"/>
  <c r="G37" i="106"/>
  <c r="N43" i="109"/>
  <c r="N37" i="109"/>
  <c r="G47" i="91"/>
  <c r="G37" i="86"/>
  <c r="N40" i="109"/>
  <c r="G36" i="106"/>
  <c r="G41" i="75"/>
  <c r="N38" i="83"/>
  <c r="G36" i="80"/>
  <c r="G38" i="80"/>
  <c r="N38" i="89"/>
  <c r="N40" i="89"/>
  <c r="G38" i="91"/>
  <c r="G38" i="78"/>
  <c r="N34" i="101"/>
  <c r="G34" i="106"/>
  <c r="G43" i="106"/>
  <c r="G34" i="74"/>
  <c r="G37" i="75"/>
  <c r="N40" i="106"/>
  <c r="G41" i="102"/>
  <c r="G47" i="102"/>
  <c r="G34" i="102"/>
  <c r="G46" i="102"/>
  <c r="G35" i="102"/>
  <c r="G37" i="102"/>
  <c r="N36" i="86"/>
  <c r="N35" i="86"/>
  <c r="N39" i="86"/>
  <c r="H47" i="104"/>
  <c r="H46" i="106"/>
  <c r="H47" i="106"/>
  <c r="G42" i="94"/>
  <c r="G40" i="105"/>
  <c r="G46" i="99"/>
  <c r="G34" i="95"/>
  <c r="G36" i="105"/>
  <c r="G46" i="95"/>
  <c r="H46" i="93"/>
  <c r="H47" i="9"/>
  <c r="H47" i="100"/>
  <c r="H47" i="105"/>
  <c r="H46" i="100"/>
  <c r="H47" i="92"/>
  <c r="H47" i="84"/>
  <c r="G47" i="105"/>
  <c r="G42" i="86"/>
  <c r="G47" i="86"/>
  <c r="G43" i="99"/>
  <c r="G36" i="95"/>
  <c r="G41" i="86"/>
  <c r="G46" i="105"/>
  <c r="G36" i="90"/>
  <c r="G38" i="86"/>
  <c r="G47" i="95"/>
  <c r="G76" i="106"/>
  <c r="F76" i="77"/>
  <c r="N35" i="96"/>
  <c r="N37" i="96"/>
  <c r="G46" i="92"/>
  <c r="G47" i="92"/>
  <c r="H47" i="77"/>
  <c r="H46" i="77"/>
  <c r="G40" i="94"/>
  <c r="G34" i="94"/>
  <c r="G41" i="94"/>
  <c r="G36" i="94"/>
  <c r="G43" i="94"/>
  <c r="G37" i="94"/>
  <c r="N40" i="90"/>
  <c r="N35" i="90"/>
  <c r="N42" i="90"/>
  <c r="N36" i="90"/>
  <c r="G46" i="83"/>
  <c r="N37" i="90"/>
  <c r="G35" i="94"/>
  <c r="N42" i="88"/>
  <c r="N37" i="88"/>
  <c r="N38" i="88"/>
  <c r="N43" i="88"/>
  <c r="N34" i="88"/>
  <c r="N42" i="84"/>
  <c r="N39" i="84"/>
  <c r="N40" i="84"/>
  <c r="N38" i="84"/>
  <c r="N35" i="84"/>
  <c r="N36" i="93"/>
  <c r="N43" i="93"/>
  <c r="N41" i="93"/>
  <c r="N38" i="93"/>
  <c r="N42" i="93"/>
  <c r="H47" i="91"/>
  <c r="H46" i="91"/>
  <c r="G42" i="99"/>
  <c r="G40" i="99"/>
  <c r="G35" i="99"/>
  <c r="G38" i="99"/>
  <c r="G36" i="99"/>
  <c r="G47" i="99"/>
  <c r="G38" i="101"/>
  <c r="G39" i="101"/>
  <c r="N43" i="103"/>
  <c r="N37" i="103"/>
  <c r="N38" i="103"/>
  <c r="G43" i="105"/>
  <c r="G41" i="105"/>
  <c r="G38" i="105"/>
  <c r="N39" i="76"/>
  <c r="N38" i="76"/>
  <c r="N36" i="76"/>
  <c r="H46" i="80"/>
  <c r="N40" i="93"/>
  <c r="N34" i="93"/>
  <c r="N37" i="84"/>
  <c r="G39" i="99"/>
  <c r="N39" i="90"/>
  <c r="N34" i="90"/>
  <c r="G46" i="94"/>
  <c r="G38" i="94"/>
  <c r="N41" i="88"/>
  <c r="F76" i="79"/>
  <c r="G37" i="87"/>
  <c r="G42" i="87"/>
  <c r="N43" i="83"/>
  <c r="N41" i="83"/>
  <c r="N40" i="92"/>
  <c r="N41" i="92"/>
  <c r="N35" i="92"/>
  <c r="G36" i="85"/>
  <c r="G34" i="85"/>
  <c r="G46" i="85"/>
  <c r="G47" i="85"/>
  <c r="G43" i="85"/>
  <c r="G41" i="85"/>
  <c r="G41" i="77"/>
  <c r="G35" i="77"/>
  <c r="G40" i="77"/>
  <c r="G37" i="77"/>
  <c r="G42" i="77"/>
  <c r="G36" i="77"/>
  <c r="N41" i="94"/>
  <c r="N39" i="94"/>
  <c r="N42" i="94"/>
  <c r="N37" i="94"/>
  <c r="N35" i="94"/>
  <c r="N38" i="94"/>
  <c r="G42" i="100"/>
  <c r="G36" i="100"/>
  <c r="G46" i="100"/>
  <c r="G43" i="100"/>
  <c r="G39" i="100"/>
  <c r="G41" i="100"/>
  <c r="N76" i="90"/>
  <c r="N37" i="108"/>
  <c r="G35" i="96"/>
  <c r="G42" i="96"/>
  <c r="H46" i="104"/>
  <c r="N43" i="108"/>
  <c r="G40" i="101"/>
  <c r="G37" i="101"/>
  <c r="N37" i="78"/>
  <c r="N35" i="78"/>
  <c r="N38" i="78"/>
  <c r="N40" i="78"/>
  <c r="N34" i="78"/>
  <c r="N41" i="74"/>
  <c r="N35" i="74"/>
  <c r="N39" i="74"/>
  <c r="N36" i="74"/>
  <c r="N42" i="74"/>
  <c r="G42" i="95"/>
  <c r="G38" i="95"/>
  <c r="G43" i="95"/>
  <c r="G37" i="95"/>
  <c r="G40" i="95"/>
  <c r="G35" i="95"/>
  <c r="N43" i="91"/>
  <c r="N37" i="91"/>
  <c r="N41" i="91"/>
  <c r="N40" i="91"/>
  <c r="N34" i="91"/>
  <c r="N38" i="91"/>
  <c r="N38" i="105"/>
  <c r="N43" i="105"/>
  <c r="N41" i="105"/>
  <c r="N34" i="105"/>
  <c r="G34" i="101"/>
  <c r="G46" i="101"/>
  <c r="G47" i="101"/>
  <c r="N35" i="103"/>
  <c r="N34" i="103"/>
  <c r="G39" i="105"/>
  <c r="G37" i="105"/>
  <c r="G34" i="105"/>
  <c r="N42" i="76"/>
  <c r="N35" i="76"/>
  <c r="H47" i="80"/>
  <c r="N38" i="74"/>
  <c r="N34" i="84"/>
  <c r="G41" i="99"/>
  <c r="G34" i="99"/>
  <c r="N40" i="105"/>
  <c r="N39" i="105"/>
  <c r="N36" i="91"/>
  <c r="N35" i="91"/>
  <c r="G39" i="95"/>
  <c r="N43" i="90"/>
  <c r="G39" i="94"/>
  <c r="N39" i="78"/>
  <c r="N40" i="88"/>
  <c r="N39" i="88"/>
  <c r="N36" i="107"/>
  <c r="N42" i="107"/>
  <c r="N41" i="107"/>
  <c r="N43" i="107"/>
  <c r="N38" i="107"/>
  <c r="N37" i="107"/>
  <c r="G38" i="88"/>
  <c r="G46" i="88"/>
  <c r="G39" i="88"/>
  <c r="G34" i="88"/>
  <c r="G40" i="88"/>
  <c r="G35" i="88"/>
  <c r="H46" i="88"/>
  <c r="H48" i="88" s="1"/>
  <c r="H47" i="86"/>
  <c r="G43" i="84"/>
  <c r="G37" i="84"/>
  <c r="G34" i="84"/>
  <c r="G39" i="84"/>
  <c r="G47" i="84"/>
  <c r="G46" i="84"/>
  <c r="N39" i="82"/>
  <c r="N34" i="82"/>
  <c r="N41" i="82"/>
  <c r="N35" i="82"/>
  <c r="H46" i="78"/>
  <c r="G43" i="76"/>
  <c r="G39" i="76"/>
  <c r="G46" i="76"/>
  <c r="G38" i="76"/>
  <c r="G34" i="76"/>
  <c r="G41" i="76"/>
  <c r="G47" i="97"/>
  <c r="G41" i="97"/>
  <c r="G35" i="97"/>
  <c r="G46" i="97"/>
  <c r="G43" i="97"/>
  <c r="G39" i="97"/>
  <c r="G47" i="93"/>
  <c r="G39" i="93"/>
  <c r="G35" i="93"/>
  <c r="G41" i="93"/>
  <c r="G46" i="93"/>
  <c r="G48" i="93" s="1"/>
  <c r="G37" i="93"/>
  <c r="G46" i="89"/>
  <c r="G41" i="89"/>
  <c r="G36" i="89"/>
  <c r="G42" i="89"/>
  <c r="G38" i="89"/>
  <c r="G39" i="89"/>
  <c r="G47" i="103"/>
  <c r="G40" i="103"/>
  <c r="G34" i="103"/>
  <c r="G41" i="103"/>
  <c r="G36" i="103"/>
  <c r="G42" i="103"/>
  <c r="N38" i="110"/>
  <c r="H46" i="90"/>
  <c r="M76" i="103"/>
  <c r="N38" i="100"/>
  <c r="H46" i="98"/>
  <c r="H47" i="98"/>
  <c r="G42" i="83"/>
  <c r="G38" i="83"/>
  <c r="G40" i="83"/>
  <c r="G47" i="83"/>
  <c r="G37" i="83"/>
  <c r="G43" i="83"/>
  <c r="N40" i="79"/>
  <c r="N37" i="79"/>
  <c r="N35" i="79"/>
  <c r="N41" i="79"/>
  <c r="N42" i="79"/>
  <c r="N38" i="79"/>
  <c r="N43" i="79"/>
  <c r="N34" i="79"/>
  <c r="H46" i="85"/>
  <c r="G37" i="81"/>
  <c r="G47" i="81"/>
  <c r="G36" i="81"/>
  <c r="G43" i="81"/>
  <c r="G42" i="81"/>
  <c r="G34" i="81"/>
  <c r="G39" i="81"/>
  <c r="G35" i="81"/>
  <c r="G47" i="90"/>
  <c r="G35" i="90"/>
  <c r="G38" i="90"/>
  <c r="G41" i="90"/>
  <c r="G42" i="90"/>
  <c r="G34" i="90"/>
  <c r="N42" i="104"/>
  <c r="N35" i="104"/>
  <c r="N37" i="104"/>
  <c r="N38" i="104"/>
  <c r="N36" i="104"/>
  <c r="N43" i="104"/>
  <c r="N34" i="104"/>
  <c r="G39" i="83"/>
  <c r="G41" i="104"/>
  <c r="G43" i="104"/>
  <c r="G47" i="104"/>
  <c r="G37" i="104"/>
  <c r="G39" i="104"/>
  <c r="G35" i="104"/>
  <c r="G39" i="90"/>
  <c r="G40" i="81"/>
  <c r="N41" i="104"/>
  <c r="H47" i="85"/>
  <c r="G41" i="101"/>
  <c r="G35" i="101"/>
  <c r="G42" i="101"/>
  <c r="G47" i="82"/>
  <c r="G34" i="82"/>
  <c r="G39" i="82"/>
  <c r="G46" i="82"/>
  <c r="G41" i="82"/>
  <c r="G35" i="82"/>
  <c r="G38" i="82"/>
  <c r="G40" i="82"/>
  <c r="G37" i="82"/>
  <c r="N35" i="80"/>
  <c r="N36" i="80"/>
  <c r="N34" i="80"/>
  <c r="N41" i="80"/>
  <c r="N39" i="80"/>
  <c r="N38" i="80"/>
  <c r="N37" i="80"/>
  <c r="G47" i="80"/>
  <c r="G39" i="80"/>
  <c r="G34" i="80"/>
  <c r="G46" i="80"/>
  <c r="G40" i="80"/>
  <c r="G35" i="80"/>
  <c r="G43" i="80"/>
  <c r="G42" i="80"/>
  <c r="G41" i="80"/>
  <c r="G46" i="78"/>
  <c r="G43" i="78"/>
  <c r="G37" i="78"/>
  <c r="G42" i="78"/>
  <c r="G39" i="78"/>
  <c r="G47" i="78"/>
  <c r="G34" i="78"/>
  <c r="G40" i="78"/>
  <c r="G35" i="78"/>
  <c r="H46" i="76"/>
  <c r="G47" i="74"/>
  <c r="G36" i="74"/>
  <c r="G46" i="74"/>
  <c r="G42" i="74"/>
  <c r="G43" i="74"/>
  <c r="G37" i="74"/>
  <c r="G35" i="74"/>
  <c r="G39" i="74"/>
  <c r="G41" i="74"/>
  <c r="H47" i="97"/>
  <c r="H46" i="97"/>
  <c r="N35" i="97"/>
  <c r="N34" i="97"/>
  <c r="N36" i="97"/>
  <c r="N39" i="97"/>
  <c r="N42" i="97"/>
  <c r="N38" i="97"/>
  <c r="N37" i="97"/>
  <c r="H46" i="95"/>
  <c r="H47" i="95"/>
  <c r="H47" i="93"/>
  <c r="G14" i="93"/>
  <c r="G42" i="91"/>
  <c r="G39" i="91"/>
  <c r="G43" i="91"/>
  <c r="G37" i="91"/>
  <c r="G36" i="91"/>
  <c r="H46" i="89"/>
  <c r="H47" i="89"/>
  <c r="N43" i="89"/>
  <c r="N36" i="89"/>
  <c r="N37" i="89"/>
  <c r="H46" i="105"/>
  <c r="H47" i="103"/>
  <c r="H46" i="103"/>
  <c r="H47" i="99"/>
  <c r="N41" i="108"/>
  <c r="N40" i="108"/>
  <c r="N42" i="108"/>
  <c r="G43" i="96"/>
  <c r="G39" i="96"/>
  <c r="G40" i="96"/>
  <c r="G37" i="96"/>
  <c r="G47" i="96"/>
  <c r="G46" i="96"/>
  <c r="G36" i="96"/>
  <c r="N41" i="96"/>
  <c r="N42" i="96"/>
  <c r="N38" i="96"/>
  <c r="N36" i="96"/>
  <c r="N39" i="96"/>
  <c r="N40" i="96"/>
  <c r="N43" i="96"/>
  <c r="G42" i="92"/>
  <c r="G37" i="92"/>
  <c r="G36" i="92"/>
  <c r="G43" i="92"/>
  <c r="G38" i="92"/>
  <c r="G35" i="92"/>
  <c r="G41" i="92"/>
  <c r="G39" i="92"/>
  <c r="G40" i="92"/>
  <c r="H47" i="102"/>
  <c r="N37" i="110"/>
  <c r="N36" i="110"/>
  <c r="N35" i="110"/>
  <c r="N42" i="110"/>
  <c r="N34" i="110"/>
  <c r="N41" i="110"/>
  <c r="N40" i="110"/>
  <c r="N39" i="110"/>
  <c r="G14" i="77"/>
  <c r="G14" i="94"/>
  <c r="G76" i="94" s="1"/>
  <c r="H47" i="90"/>
  <c r="N34" i="108"/>
  <c r="H46" i="75"/>
  <c r="G40" i="90"/>
  <c r="G46" i="90"/>
  <c r="G41" i="96"/>
  <c r="G38" i="81"/>
  <c r="G34" i="92"/>
  <c r="N41" i="85"/>
  <c r="N35" i="85"/>
  <c r="N42" i="85"/>
  <c r="N37" i="85"/>
  <c r="N38" i="85"/>
  <c r="N40" i="85"/>
  <c r="N42" i="81"/>
  <c r="N36" i="81"/>
  <c r="N39" i="81"/>
  <c r="N38" i="81"/>
  <c r="N37" i="81"/>
  <c r="N42" i="9"/>
  <c r="N34" i="9"/>
  <c r="N35" i="9"/>
  <c r="N43" i="9"/>
  <c r="N37" i="9"/>
  <c r="N39" i="9"/>
  <c r="N38" i="9"/>
  <c r="N34" i="100"/>
  <c r="N42" i="100"/>
  <c r="N40" i="100"/>
  <c r="N39" i="100"/>
  <c r="N37" i="100"/>
  <c r="N41" i="100"/>
  <c r="N35" i="100"/>
  <c r="N38" i="108"/>
  <c r="H46" i="94"/>
  <c r="N41" i="81"/>
  <c r="G41" i="83"/>
  <c r="G46" i="104"/>
  <c r="N35" i="108"/>
  <c r="N36" i="108"/>
  <c r="N43" i="81"/>
  <c r="G36" i="83"/>
  <c r="G34" i="83"/>
  <c r="N36" i="85"/>
  <c r="G36" i="104"/>
  <c r="G37" i="90"/>
  <c r="G38" i="96"/>
  <c r="G44" i="96" s="1"/>
  <c r="N36" i="9"/>
  <c r="N36" i="79"/>
  <c r="G41" i="81"/>
  <c r="N40" i="104"/>
  <c r="N44" i="104" s="1"/>
  <c r="N34" i="96"/>
  <c r="H14" i="83"/>
  <c r="G47" i="87"/>
  <c r="G39" i="87"/>
  <c r="G38" i="87"/>
  <c r="G41" i="87"/>
  <c r="G35" i="87"/>
  <c r="G34" i="87"/>
  <c r="G43" i="87"/>
  <c r="G40" i="87"/>
  <c r="G46" i="87"/>
  <c r="N40" i="83"/>
  <c r="N42" i="83"/>
  <c r="N37" i="83"/>
  <c r="N35" i="83"/>
  <c r="N34" i="83"/>
  <c r="N39" i="83"/>
  <c r="N36" i="83"/>
  <c r="N43" i="92"/>
  <c r="N38" i="92"/>
  <c r="N39" i="92"/>
  <c r="N34" i="92"/>
  <c r="N37" i="92"/>
  <c r="N44" i="92" s="1"/>
  <c r="N36" i="109"/>
  <c r="N35" i="109"/>
  <c r="N42" i="109"/>
  <c r="N39" i="109"/>
  <c r="N38" i="109"/>
  <c r="G39" i="86"/>
  <c r="G40" i="86"/>
  <c r="G34" i="86"/>
  <c r="G35" i="86"/>
  <c r="G36" i="86"/>
  <c r="G44" i="86" s="1"/>
  <c r="G46" i="86"/>
  <c r="N42" i="86"/>
  <c r="N37" i="86"/>
  <c r="N40" i="86"/>
  <c r="N38" i="86"/>
  <c r="N43" i="86"/>
  <c r="H46" i="82"/>
  <c r="N41" i="109"/>
  <c r="N41" i="86"/>
  <c r="N76" i="92"/>
  <c r="F50" i="92"/>
  <c r="F50" i="104"/>
  <c r="F50" i="90"/>
  <c r="F50" i="105"/>
  <c r="J28" i="2"/>
  <c r="K14" i="91"/>
  <c r="K76" i="91" s="1"/>
  <c r="G14" i="91"/>
  <c r="G76" i="91" s="1"/>
  <c r="N14" i="91"/>
  <c r="N76" i="91" s="1"/>
  <c r="I14" i="91"/>
  <c r="I76" i="91" s="1"/>
  <c r="H14" i="91"/>
  <c r="H76" i="91" s="1"/>
  <c r="M14" i="91"/>
  <c r="M76" i="91" s="1"/>
  <c r="F14" i="91"/>
  <c r="F76" i="91" s="1"/>
  <c r="J14" i="91"/>
  <c r="J76" i="91" s="1"/>
  <c r="W35" i="16"/>
  <c r="F11" i="78"/>
  <c r="W33" i="16"/>
  <c r="F11" i="76"/>
  <c r="W42" i="16"/>
  <c r="F11" i="85"/>
  <c r="D21" i="2"/>
  <c r="H48" i="86"/>
  <c r="H48" i="102"/>
  <c r="H48" i="84"/>
  <c r="F14" i="110"/>
  <c r="F76" i="110" s="1"/>
  <c r="F14" i="80"/>
  <c r="G48" i="91"/>
  <c r="F14" i="108"/>
  <c r="F76" i="108" s="1"/>
  <c r="F14" i="84"/>
  <c r="F76" i="84" s="1"/>
  <c r="F14" i="95"/>
  <c r="F76" i="95" s="1"/>
  <c r="F14" i="81"/>
  <c r="G14" i="81" s="1"/>
  <c r="G76" i="81" s="1"/>
  <c r="F14" i="82"/>
  <c r="F14" i="85"/>
  <c r="F76" i="85" s="1"/>
  <c r="F14" i="76"/>
  <c r="F76" i="76" s="1"/>
  <c r="F14" i="107"/>
  <c r="F76" i="107" s="1"/>
  <c r="F78" i="107" s="1"/>
  <c r="F14" i="78"/>
  <c r="F14" i="83"/>
  <c r="F14" i="86"/>
  <c r="F76" i="86" s="1"/>
  <c r="G48" i="77"/>
  <c r="F76" i="109"/>
  <c r="F78" i="109" s="1"/>
  <c r="G14" i="79"/>
  <c r="F14" i="96"/>
  <c r="F76" i="96" s="1"/>
  <c r="H48" i="74"/>
  <c r="G48" i="98"/>
  <c r="N44" i="98"/>
  <c r="G48" i="79"/>
  <c r="G44" i="98"/>
  <c r="H48" i="78"/>
  <c r="H48" i="85"/>
  <c r="G48" i="76"/>
  <c r="G48" i="96"/>
  <c r="G48" i="103"/>
  <c r="W31" i="16"/>
  <c r="F11" i="74"/>
  <c r="W30" i="16"/>
  <c r="F11" i="9"/>
  <c r="H48" i="99"/>
  <c r="H48" i="91"/>
  <c r="N44" i="95"/>
  <c r="H48" i="81"/>
  <c r="N44" i="93"/>
  <c r="N44" i="77"/>
  <c r="N44" i="102"/>
  <c r="G48" i="75"/>
  <c r="G48" i="99"/>
  <c r="G48" i="101"/>
  <c r="H48" i="9"/>
  <c r="G48" i="105"/>
  <c r="H48" i="106"/>
  <c r="G44" i="106"/>
  <c r="G48" i="106"/>
  <c r="G48" i="97"/>
  <c r="H48" i="104"/>
  <c r="G48" i="85"/>
  <c r="H48" i="80"/>
  <c r="G48" i="86"/>
  <c r="G44" i="102"/>
  <c r="G44" i="75"/>
  <c r="G44" i="9"/>
  <c r="G48" i="9"/>
  <c r="N44" i="91"/>
  <c r="G48" i="95"/>
  <c r="H48" i="92"/>
  <c r="N44" i="88"/>
  <c r="H48" i="93"/>
  <c r="G48" i="92"/>
  <c r="G48" i="81"/>
  <c r="G48" i="102"/>
  <c r="N44" i="86"/>
  <c r="H48" i="89"/>
  <c r="N44" i="107"/>
  <c r="N44" i="84"/>
  <c r="N44" i="103"/>
  <c r="N44" i="105"/>
  <c r="N44" i="78"/>
  <c r="N44" i="80"/>
  <c r="G48" i="84"/>
  <c r="H48" i="77"/>
  <c r="N44" i="96"/>
  <c r="N44" i="94"/>
  <c r="H48" i="75"/>
  <c r="G44" i="104"/>
  <c r="G44" i="97"/>
  <c r="G44" i="105"/>
  <c r="G44" i="77"/>
  <c r="G44" i="85"/>
  <c r="G48" i="83"/>
  <c r="G48" i="74"/>
  <c r="H48" i="103"/>
  <c r="H48" i="105"/>
  <c r="G48" i="104"/>
  <c r="G44" i="76"/>
  <c r="G44" i="88"/>
  <c r="G44" i="99"/>
  <c r="G44" i="95"/>
  <c r="G44" i="94"/>
  <c r="G44" i="89"/>
  <c r="G44" i="84"/>
  <c r="G44" i="80"/>
  <c r="N44" i="81"/>
  <c r="G76" i="93"/>
  <c r="N44" i="85"/>
  <c r="N44" i="79"/>
  <c r="G48" i="89"/>
  <c r="G44" i="92"/>
  <c r="N44" i="89"/>
  <c r="N44" i="97"/>
  <c r="G44" i="82"/>
  <c r="G44" i="74"/>
  <c r="H14" i="93"/>
  <c r="G44" i="83"/>
  <c r="H48" i="90"/>
  <c r="G48" i="82"/>
  <c r="G44" i="101"/>
  <c r="G44" i="90"/>
  <c r="H48" i="98"/>
  <c r="H14" i="77"/>
  <c r="I14" i="83"/>
  <c r="H48" i="97"/>
  <c r="G76" i="77"/>
  <c r="G77" i="77" s="1"/>
  <c r="K28" i="2"/>
  <c r="F81" i="2"/>
  <c r="I22" i="2"/>
  <c r="F21" i="2"/>
  <c r="I21" i="2"/>
  <c r="E21" i="2"/>
  <c r="G21" i="2"/>
  <c r="N53" i="102" s="1"/>
  <c r="F52" i="86"/>
  <c r="G53" i="105"/>
  <c r="N53" i="80"/>
  <c r="N53" i="77"/>
  <c r="N113" i="77" s="1"/>
  <c r="F51" i="79"/>
  <c r="H52" i="102"/>
  <c r="F51" i="107"/>
  <c r="F51" i="82"/>
  <c r="G52" i="91"/>
  <c r="G53" i="80"/>
  <c r="G53" i="97"/>
  <c r="G53" i="9"/>
  <c r="N53" i="95"/>
  <c r="N116" i="95" s="1"/>
  <c r="F53" i="96"/>
  <c r="F51" i="86"/>
  <c r="F53" i="78"/>
  <c r="F53" i="76"/>
  <c r="F52" i="81"/>
  <c r="F52" i="128"/>
  <c r="F53" i="125"/>
  <c r="F51" i="127"/>
  <c r="F51" i="124"/>
  <c r="F52" i="126"/>
  <c r="F52" i="127"/>
  <c r="F53" i="127"/>
  <c r="N53" i="123"/>
  <c r="N119" i="123" s="1"/>
  <c r="G51" i="126"/>
  <c r="G52" i="126"/>
  <c r="G139" i="126" s="1"/>
  <c r="G51" i="124"/>
  <c r="G51" i="129"/>
  <c r="G53" i="126"/>
  <c r="G116" i="126" s="1"/>
  <c r="G53" i="127"/>
  <c r="G119" i="127" s="1"/>
  <c r="H51" i="128"/>
  <c r="F51" i="105"/>
  <c r="F51" i="94"/>
  <c r="F51" i="87"/>
  <c r="F52" i="103"/>
  <c r="F53" i="90"/>
  <c r="H51" i="123"/>
  <c r="H52" i="126"/>
  <c r="H135" i="126" s="1"/>
  <c r="F52" i="99"/>
  <c r="F53" i="106"/>
  <c r="F53" i="98"/>
  <c r="F53" i="103"/>
  <c r="F51" i="100"/>
  <c r="F52" i="90"/>
  <c r="F52" i="75"/>
  <c r="F51" i="101"/>
  <c r="F51" i="92"/>
  <c r="F53" i="77"/>
  <c r="F51" i="90"/>
  <c r="H51" i="126"/>
  <c r="F51" i="75"/>
  <c r="H52" i="127"/>
  <c r="F52" i="93"/>
  <c r="F52" i="98"/>
  <c r="F52" i="97"/>
  <c r="H51" i="127"/>
  <c r="H129" i="127" s="1"/>
  <c r="F51" i="93"/>
  <c r="F53" i="89"/>
  <c r="F52" i="92"/>
  <c r="F52" i="104"/>
  <c r="G51" i="80"/>
  <c r="G51" i="85"/>
  <c r="G129" i="85" s="1"/>
  <c r="G51" i="74"/>
  <c r="H52" i="103"/>
  <c r="H139" i="103" s="1"/>
  <c r="G51" i="101"/>
  <c r="H52" i="92"/>
  <c r="G51" i="98"/>
  <c r="G51" i="90"/>
  <c r="G128" i="90" s="1"/>
  <c r="G52" i="82"/>
  <c r="H52" i="9"/>
  <c r="H139" i="9" s="1"/>
  <c r="H52" i="78"/>
  <c r="H143" i="78" s="1"/>
  <c r="H51" i="9"/>
  <c r="H129" i="9" s="1"/>
  <c r="H51" i="102"/>
  <c r="H124" i="102" s="1"/>
  <c r="G51" i="95"/>
  <c r="H51" i="90"/>
  <c r="H124" i="90" s="1"/>
  <c r="H51" i="95"/>
  <c r="H125" i="95" s="1"/>
  <c r="G51" i="92"/>
  <c r="G51" i="78"/>
  <c r="G124" i="78" s="1"/>
  <c r="H51" i="80"/>
  <c r="H51" i="88"/>
  <c r="H51" i="93"/>
  <c r="G52" i="76"/>
  <c r="G143" i="76" s="1"/>
  <c r="G52" i="77"/>
  <c r="H52" i="89"/>
  <c r="G52" i="74"/>
  <c r="G136" i="74" s="1"/>
  <c r="G51" i="99"/>
  <c r="G131" i="99" s="1"/>
  <c r="H52" i="77"/>
  <c r="G52" i="102"/>
  <c r="G51" i="91"/>
  <c r="G52" i="9"/>
  <c r="H51" i="103"/>
  <c r="G51" i="86"/>
  <c r="G129" i="86" s="1"/>
  <c r="H52" i="95"/>
  <c r="H51" i="101"/>
  <c r="H124" i="101" s="1"/>
  <c r="H52" i="74"/>
  <c r="G51" i="87"/>
  <c r="G128" i="87" s="1"/>
  <c r="H51" i="84"/>
  <c r="H51" i="81"/>
  <c r="H52" i="104"/>
  <c r="H51" i="97"/>
  <c r="H129" i="97" s="1"/>
  <c r="G52" i="100"/>
  <c r="G52" i="78"/>
  <c r="G141" i="78" s="1"/>
  <c r="G52" i="101"/>
  <c r="G143" i="101" s="1"/>
  <c r="G52" i="90"/>
  <c r="H51" i="91"/>
  <c r="G51" i="104"/>
  <c r="G128" i="104" s="1"/>
  <c r="G52" i="80"/>
  <c r="G52" i="97"/>
  <c r="G140" i="97" s="1"/>
  <c r="G52" i="95"/>
  <c r="G142" i="95" s="1"/>
  <c r="H52" i="85"/>
  <c r="H51" i="78"/>
  <c r="H52" i="90"/>
  <c r="H140" i="90" s="1"/>
  <c r="H52" i="98"/>
  <c r="H51" i="98"/>
  <c r="H125" i="98" s="1"/>
  <c r="G51" i="79"/>
  <c r="G127" i="79" s="1"/>
  <c r="H51" i="105"/>
  <c r="G52" i="104"/>
  <c r="G51" i="106"/>
  <c r="H52" i="105"/>
  <c r="G52" i="88"/>
  <c r="G142" i="88" s="1"/>
  <c r="G51" i="75"/>
  <c r="G52" i="85"/>
  <c r="G51" i="76"/>
  <c r="H51" i="75"/>
  <c r="H123" i="75" s="1"/>
  <c r="H51" i="99"/>
  <c r="H52" i="75"/>
  <c r="H142" i="75" s="1"/>
  <c r="H52" i="97"/>
  <c r="H143" i="97" s="1"/>
  <c r="G52" i="103"/>
  <c r="H52" i="99"/>
  <c r="H135" i="99" s="1"/>
  <c r="H51" i="104"/>
  <c r="H129" i="104" s="1"/>
  <c r="H51" i="85"/>
  <c r="F53" i="108"/>
  <c r="F53" i="95"/>
  <c r="F53" i="81"/>
  <c r="G51" i="89"/>
  <c r="G128" i="89" s="1"/>
  <c r="F53" i="110"/>
  <c r="H51" i="94"/>
  <c r="F53" i="82"/>
  <c r="N53" i="79"/>
  <c r="N111" i="79" s="1"/>
  <c r="N53" i="85"/>
  <c r="G53" i="99"/>
  <c r="G119" i="99" s="1"/>
  <c r="G53" i="75"/>
  <c r="G117" i="75" s="1"/>
  <c r="G53" i="98"/>
  <c r="F52" i="96"/>
  <c r="F52" i="109"/>
  <c r="G51" i="94"/>
  <c r="G124" i="94" s="1"/>
  <c r="F53" i="83"/>
  <c r="F52" i="107"/>
  <c r="F52" i="76"/>
  <c r="F52" i="85"/>
  <c r="F52" i="108"/>
  <c r="F51" i="80"/>
  <c r="F52" i="110"/>
  <c r="N119" i="85"/>
  <c r="G136" i="91"/>
  <c r="G142" i="91"/>
  <c r="G140" i="91"/>
  <c r="G14" i="86"/>
  <c r="H14" i="86" s="1"/>
  <c r="H76" i="86" s="1"/>
  <c r="G14" i="95"/>
  <c r="H14" i="95" s="1"/>
  <c r="H76" i="95" s="1"/>
  <c r="H14" i="80"/>
  <c r="H76" i="80" s="1"/>
  <c r="G14" i="76"/>
  <c r="H14" i="76" s="1"/>
  <c r="F14" i="74"/>
  <c r="F52" i="74"/>
  <c r="F53" i="74"/>
  <c r="F52" i="9"/>
  <c r="F53" i="9"/>
  <c r="F51" i="9"/>
  <c r="G49" i="77"/>
  <c r="G50" i="77" s="1"/>
  <c r="G53" i="77"/>
  <c r="G53" i="94"/>
  <c r="N38" i="14"/>
  <c r="G49" i="98"/>
  <c r="G49" i="84"/>
  <c r="G49" i="76"/>
  <c r="G49" i="9"/>
  <c r="G49" i="74"/>
  <c r="F14" i="9"/>
  <c r="G49" i="75"/>
  <c r="G49" i="104"/>
  <c r="G49" i="105"/>
  <c r="G49" i="99"/>
  <c r="G49" i="101"/>
  <c r="G49" i="106"/>
  <c r="G49" i="102"/>
  <c r="G49" i="97"/>
  <c r="G49" i="95"/>
  <c r="G49" i="85"/>
  <c r="G49" i="83"/>
  <c r="G49" i="92"/>
  <c r="G61" i="92" s="1"/>
  <c r="G49" i="89"/>
  <c r="G49" i="82"/>
  <c r="I14" i="79"/>
  <c r="F50" i="79"/>
  <c r="F50" i="81"/>
  <c r="F50" i="107"/>
  <c r="F50" i="108"/>
  <c r="F50" i="82"/>
  <c r="F50" i="83"/>
  <c r="F50" i="95"/>
  <c r="L28" i="2"/>
  <c r="G140" i="78"/>
  <c r="G115" i="97"/>
  <c r="G114" i="99"/>
  <c r="H127" i="94"/>
  <c r="G113" i="97"/>
  <c r="H131" i="78"/>
  <c r="G111" i="97"/>
  <c r="G112" i="98"/>
  <c r="H140" i="99"/>
  <c r="H141" i="99"/>
  <c r="G142" i="78"/>
  <c r="G143" i="78"/>
  <c r="G123" i="87"/>
  <c r="G129" i="87"/>
  <c r="H127" i="102"/>
  <c r="H129" i="102"/>
  <c r="G112" i="126"/>
  <c r="G119" i="126"/>
  <c r="G114" i="126"/>
  <c r="G129" i="129"/>
  <c r="N114" i="95"/>
  <c r="N113" i="95"/>
  <c r="G118" i="98"/>
  <c r="H128" i="85"/>
  <c r="H124" i="99"/>
  <c r="H125" i="99"/>
  <c r="G141" i="97"/>
  <c r="G135" i="97"/>
  <c r="G142" i="97"/>
  <c r="G141" i="102"/>
  <c r="H128" i="90"/>
  <c r="H123" i="90"/>
  <c r="G128" i="124"/>
  <c r="G130" i="124"/>
  <c r="G127" i="124"/>
  <c r="N116" i="80"/>
  <c r="N112" i="80"/>
  <c r="N119" i="80"/>
  <c r="N115" i="80"/>
  <c r="N111" i="80"/>
  <c r="N111" i="95"/>
  <c r="N118" i="80"/>
  <c r="N115" i="95"/>
  <c r="N114" i="80"/>
  <c r="H143" i="98"/>
  <c r="H137" i="98"/>
  <c r="G143" i="80"/>
  <c r="G139" i="80"/>
  <c r="G138" i="90"/>
  <c r="G137" i="74"/>
  <c r="G139" i="74"/>
  <c r="G142" i="74"/>
  <c r="G138" i="74"/>
  <c r="G130" i="85"/>
  <c r="G137" i="103"/>
  <c r="G138" i="103"/>
  <c r="H138" i="75"/>
  <c r="H136" i="75"/>
  <c r="H135" i="75"/>
  <c r="H141" i="75"/>
  <c r="G137" i="85"/>
  <c r="G138" i="88"/>
  <c r="G140" i="88"/>
  <c r="G137" i="88"/>
  <c r="G143" i="88"/>
  <c r="G139" i="88"/>
  <c r="G127" i="106"/>
  <c r="H128" i="98"/>
  <c r="H126" i="98"/>
  <c r="H123" i="98"/>
  <c r="H130" i="98"/>
  <c r="H131" i="81"/>
  <c r="H125" i="81"/>
  <c r="H124" i="81"/>
  <c r="H129" i="103"/>
  <c r="H125" i="103"/>
  <c r="H128" i="103"/>
  <c r="H124" i="103"/>
  <c r="H131" i="103"/>
  <c r="H127" i="103"/>
  <c r="H123" i="103"/>
  <c r="H126" i="103"/>
  <c r="H130" i="103"/>
  <c r="G126" i="91"/>
  <c r="G131" i="91"/>
  <c r="G125" i="91"/>
  <c r="G130" i="91"/>
  <c r="G124" i="91"/>
  <c r="G128" i="91"/>
  <c r="G127" i="91"/>
  <c r="G123" i="91"/>
  <c r="G129" i="91"/>
  <c r="H143" i="77"/>
  <c r="H139" i="77"/>
  <c r="H135" i="77"/>
  <c r="H142" i="77"/>
  <c r="H138" i="77"/>
  <c r="H141" i="77"/>
  <c r="H137" i="77"/>
  <c r="H140" i="77"/>
  <c r="H136" i="77"/>
  <c r="H130" i="93"/>
  <c r="H125" i="93"/>
  <c r="H127" i="93"/>
  <c r="H128" i="93"/>
  <c r="H131" i="93"/>
  <c r="H126" i="93"/>
  <c r="H123" i="93"/>
  <c r="H124" i="93"/>
  <c r="H129" i="93"/>
  <c r="H128" i="80"/>
  <c r="H123" i="80"/>
  <c r="H129" i="80"/>
  <c r="H124" i="80"/>
  <c r="H126" i="80"/>
  <c r="H125" i="80"/>
  <c r="H131" i="80"/>
  <c r="H127" i="80"/>
  <c r="H130" i="80"/>
  <c r="G130" i="95"/>
  <c r="G141" i="82"/>
  <c r="G138" i="82"/>
  <c r="G137" i="82"/>
  <c r="G142" i="82"/>
  <c r="G135" i="82"/>
  <c r="G139" i="82"/>
  <c r="G140" i="82"/>
  <c r="G143" i="82"/>
  <c r="G136" i="82"/>
  <c r="G126" i="101"/>
  <c r="G123" i="101"/>
  <c r="G124" i="101"/>
  <c r="G125" i="101"/>
  <c r="G130" i="101"/>
  <c r="G131" i="101"/>
  <c r="G129" i="101"/>
  <c r="G128" i="101"/>
  <c r="G127" i="101"/>
  <c r="G129" i="80"/>
  <c r="G125" i="80"/>
  <c r="G131" i="80"/>
  <c r="G127" i="80"/>
  <c r="G123" i="80"/>
  <c r="G128" i="80"/>
  <c r="G126" i="80"/>
  <c r="G124" i="80"/>
  <c r="G130" i="80"/>
  <c r="H128" i="126"/>
  <c r="H131" i="123"/>
  <c r="H127" i="123"/>
  <c r="H123" i="123"/>
  <c r="H129" i="123"/>
  <c r="H125" i="123"/>
  <c r="H130" i="123"/>
  <c r="H128" i="123"/>
  <c r="H126" i="123"/>
  <c r="H124" i="123"/>
  <c r="G142" i="104"/>
  <c r="G137" i="104"/>
  <c r="G141" i="104"/>
  <c r="G138" i="104"/>
  <c r="G135" i="104"/>
  <c r="G136" i="104"/>
  <c r="G143" i="104"/>
  <c r="G139" i="104"/>
  <c r="G140" i="104"/>
  <c r="H129" i="78"/>
  <c r="H125" i="78"/>
  <c r="H127" i="78"/>
  <c r="H123" i="78"/>
  <c r="H124" i="78"/>
  <c r="H130" i="78"/>
  <c r="H128" i="78"/>
  <c r="H126" i="78"/>
  <c r="G135" i="100"/>
  <c r="G140" i="100"/>
  <c r="H127" i="88"/>
  <c r="H143" i="127"/>
  <c r="G129" i="89"/>
  <c r="G127" i="89"/>
  <c r="G124" i="89"/>
  <c r="G125" i="89"/>
  <c r="G130" i="89"/>
  <c r="G126" i="89"/>
  <c r="G131" i="89"/>
  <c r="G123" i="89"/>
  <c r="G127" i="76"/>
  <c r="G129" i="76"/>
  <c r="G125" i="76"/>
  <c r="G123" i="76"/>
  <c r="G126" i="76"/>
  <c r="G128" i="76"/>
  <c r="G124" i="76"/>
  <c r="G130" i="76"/>
  <c r="G131" i="76"/>
  <c r="H142" i="105"/>
  <c r="H128" i="105"/>
  <c r="H130" i="105"/>
  <c r="H143" i="85"/>
  <c r="H129" i="91"/>
  <c r="H123" i="91"/>
  <c r="H130" i="91"/>
  <c r="H126" i="91"/>
  <c r="H127" i="91"/>
  <c r="H128" i="91"/>
  <c r="H124" i="91"/>
  <c r="H131" i="91"/>
  <c r="H125" i="91"/>
  <c r="H142" i="104"/>
  <c r="H138" i="104"/>
  <c r="H141" i="104"/>
  <c r="H137" i="104"/>
  <c r="H140" i="104"/>
  <c r="H136" i="104"/>
  <c r="H143" i="104"/>
  <c r="H139" i="104"/>
  <c r="H135" i="104"/>
  <c r="H135" i="74"/>
  <c r="H140" i="95"/>
  <c r="H136" i="95"/>
  <c r="H143" i="95"/>
  <c r="H139" i="95"/>
  <c r="H135" i="95"/>
  <c r="H142" i="95"/>
  <c r="H138" i="95"/>
  <c r="H141" i="95"/>
  <c r="H137" i="95"/>
  <c r="G141" i="77"/>
  <c r="G137" i="77"/>
  <c r="G143" i="77"/>
  <c r="G139" i="77"/>
  <c r="G135" i="77"/>
  <c r="G140" i="77"/>
  <c r="G138" i="77"/>
  <c r="G136" i="77"/>
  <c r="G142" i="77"/>
  <c r="G136" i="76"/>
  <c r="G127" i="92"/>
  <c r="G124" i="92"/>
  <c r="G131" i="92"/>
  <c r="G123" i="92"/>
  <c r="G126" i="92"/>
  <c r="G125" i="92"/>
  <c r="G128" i="92"/>
  <c r="G130" i="92"/>
  <c r="G129" i="92"/>
  <c r="H136" i="78"/>
  <c r="H135" i="78"/>
  <c r="H138" i="78"/>
  <c r="H140" i="78"/>
  <c r="H141" i="78"/>
  <c r="H137" i="78"/>
  <c r="H139" i="78"/>
  <c r="H142" i="78"/>
  <c r="G131" i="98"/>
  <c r="G127" i="98"/>
  <c r="G123" i="98"/>
  <c r="G130" i="98"/>
  <c r="G126" i="98"/>
  <c r="G129" i="98"/>
  <c r="G125" i="98"/>
  <c r="G124" i="98"/>
  <c r="G128" i="98"/>
  <c r="G129" i="74"/>
  <c r="G124" i="74"/>
  <c r="G126" i="74"/>
  <c r="G128" i="74"/>
  <c r="G123" i="74"/>
  <c r="G131" i="74"/>
  <c r="G130" i="74"/>
  <c r="G127" i="74"/>
  <c r="G125" i="74"/>
  <c r="H139" i="126"/>
  <c r="H126" i="128"/>
  <c r="H123" i="128"/>
  <c r="H130" i="128"/>
  <c r="H131" i="128"/>
  <c r="H125" i="128"/>
  <c r="H129" i="128"/>
  <c r="H128" i="128"/>
  <c r="H124" i="128"/>
  <c r="H127" i="128"/>
  <c r="G137" i="126"/>
  <c r="G131" i="126"/>
  <c r="G123" i="126"/>
  <c r="G124" i="126"/>
  <c r="G129" i="126"/>
  <c r="G130" i="126"/>
  <c r="G125" i="126"/>
  <c r="G127" i="126"/>
  <c r="G126" i="126"/>
  <c r="G128" i="126"/>
  <c r="G119" i="94"/>
  <c r="G118" i="94"/>
  <c r="G117" i="94"/>
  <c r="G115" i="94"/>
  <c r="G114" i="94"/>
  <c r="G113" i="94"/>
  <c r="G111" i="94"/>
  <c r="G119" i="77"/>
  <c r="G117" i="77"/>
  <c r="G114" i="77"/>
  <c r="G112" i="77"/>
  <c r="G118" i="77"/>
  <c r="G116" i="77"/>
  <c r="G115" i="77"/>
  <c r="G113" i="77"/>
  <c r="G111" i="77"/>
  <c r="G76" i="86"/>
  <c r="G50" i="98"/>
  <c r="G50" i="74"/>
  <c r="G50" i="99"/>
  <c r="G50" i="84"/>
  <c r="G50" i="76"/>
  <c r="G50" i="9"/>
  <c r="G50" i="104"/>
  <c r="G50" i="101"/>
  <c r="G50" i="75"/>
  <c r="G50" i="102"/>
  <c r="G50" i="83"/>
  <c r="G50" i="89"/>
  <c r="G50" i="105"/>
  <c r="G50" i="106"/>
  <c r="G50" i="95"/>
  <c r="G50" i="97"/>
  <c r="G50" i="92"/>
  <c r="G50" i="85"/>
  <c r="G50" i="82"/>
  <c r="H76" i="76"/>
  <c r="H76" i="83"/>
  <c r="M28" i="2"/>
  <c r="G48" i="87"/>
  <c r="I76" i="83"/>
  <c r="I76" i="79"/>
  <c r="F54" i="9"/>
  <c r="N28" i="2"/>
  <c r="F48" i="87"/>
  <c r="N44" i="87"/>
  <c r="N53" i="87" s="1"/>
  <c r="G44" i="87"/>
  <c r="G49" i="87" s="1"/>
  <c r="G50" i="87" s="1"/>
  <c r="F44" i="87"/>
  <c r="F53" i="87" s="1"/>
  <c r="G53" i="87"/>
  <c r="G118" i="87" s="1"/>
  <c r="N46" i="128"/>
  <c r="N51" i="128" s="1"/>
  <c r="N46" i="125"/>
  <c r="N51" i="125" s="1"/>
  <c r="N123" i="125" s="1"/>
  <c r="N46" i="129"/>
  <c r="N46" i="126"/>
  <c r="N51" i="126" s="1"/>
  <c r="N46" i="123"/>
  <c r="N51" i="123" s="1"/>
  <c r="N46" i="127"/>
  <c r="N51" i="127" s="1"/>
  <c r="N46" i="124"/>
  <c r="N51" i="124" s="1"/>
  <c r="N46" i="121"/>
  <c r="N51" i="121" s="1"/>
  <c r="N46" i="77"/>
  <c r="N51" i="77" s="1"/>
  <c r="N46" i="86"/>
  <c r="N51" i="86" s="1"/>
  <c r="N46" i="75"/>
  <c r="N46" i="102"/>
  <c r="N51" i="102" s="1"/>
  <c r="N130" i="102" s="1"/>
  <c r="N46" i="94"/>
  <c r="N51" i="94" s="1"/>
  <c r="N46" i="101"/>
  <c r="N51" i="101" s="1"/>
  <c r="N46" i="88"/>
  <c r="N46" i="93"/>
  <c r="N46" i="76"/>
  <c r="N51" i="76" s="1"/>
  <c r="N46" i="82"/>
  <c r="N51" i="82" s="1"/>
  <c r="N128" i="82" s="1"/>
  <c r="N46" i="80"/>
  <c r="N46" i="96"/>
  <c r="N51" i="96" s="1"/>
  <c r="N46" i="100"/>
  <c r="N51" i="100" s="1"/>
  <c r="N46" i="85"/>
  <c r="N51" i="85" s="1"/>
  <c r="N46" i="108"/>
  <c r="N51" i="108" s="1"/>
  <c r="N46" i="83"/>
  <c r="N46" i="92"/>
  <c r="N51" i="92" s="1"/>
  <c r="N46" i="109"/>
  <c r="N51" i="109" s="1"/>
  <c r="N46" i="98"/>
  <c r="N51" i="98" s="1"/>
  <c r="N46" i="99"/>
  <c r="N46" i="107"/>
  <c r="N51" i="107" s="1"/>
  <c r="N46" i="106"/>
  <c r="N51" i="106" s="1"/>
  <c r="N128" i="106" s="1"/>
  <c r="N46" i="91"/>
  <c r="N51" i="91" s="1"/>
  <c r="N46" i="78"/>
  <c r="N46" i="97"/>
  <c r="N51" i="97" s="1"/>
  <c r="N127" i="97" s="1"/>
  <c r="N46" i="81"/>
  <c r="N51" i="81" s="1"/>
  <c r="N125" i="81" s="1"/>
  <c r="N46" i="89"/>
  <c r="N46" i="90"/>
  <c r="N51" i="90" s="1"/>
  <c r="N46" i="105"/>
  <c r="N51" i="105" s="1"/>
  <c r="N46" i="103"/>
  <c r="N46" i="104"/>
  <c r="N46" i="110"/>
  <c r="N51" i="110" s="1"/>
  <c r="N46" i="95"/>
  <c r="N51" i="95" s="1"/>
  <c r="N46" i="9"/>
  <c r="N51" i="9" s="1"/>
  <c r="N131" i="9" s="1"/>
  <c r="N46" i="84"/>
  <c r="N51" i="84" s="1"/>
  <c r="N46" i="74"/>
  <c r="N51" i="74" s="1"/>
  <c r="N46" i="79"/>
  <c r="N51" i="79" s="1"/>
  <c r="N131" i="79" s="1"/>
  <c r="N46" i="87"/>
  <c r="N51" i="87" s="1"/>
  <c r="F49" i="87"/>
  <c r="F61" i="87" s="1"/>
  <c r="G61" i="87" s="1"/>
  <c r="N51" i="78"/>
  <c r="N128" i="78" s="1"/>
  <c r="N51" i="99"/>
  <c r="N129" i="99" s="1"/>
  <c r="N51" i="83"/>
  <c r="N131" i="83" s="1"/>
  <c r="N51" i="93"/>
  <c r="N131" i="93" s="1"/>
  <c r="N51" i="104"/>
  <c r="N125" i="104" s="1"/>
  <c r="N51" i="89"/>
  <c r="N128" i="89" s="1"/>
  <c r="N51" i="80"/>
  <c r="N130" i="80" s="1"/>
  <c r="N51" i="88"/>
  <c r="N131" i="88" s="1"/>
  <c r="N51" i="75"/>
  <c r="N131" i="75" s="1"/>
  <c r="N51" i="129"/>
  <c r="N129" i="129" s="1"/>
  <c r="N51" i="103"/>
  <c r="N130" i="103" s="1"/>
  <c r="F50" i="87"/>
  <c r="N126" i="99"/>
  <c r="N131" i="129"/>
  <c r="G78" i="2"/>
  <c r="G86" i="2"/>
  <c r="G91" i="2"/>
  <c r="G92" i="2" s="1"/>
  <c r="H91" i="2"/>
  <c r="AH14" i="16"/>
  <c r="G14" i="108"/>
  <c r="H14" i="108" s="1"/>
  <c r="M51" i="16"/>
  <c r="N51" i="16"/>
  <c r="W46" i="16"/>
  <c r="F11" i="121"/>
  <c r="K51" i="16"/>
  <c r="F52" i="121"/>
  <c r="F51" i="121"/>
  <c r="M14" i="121"/>
  <c r="M76" i="121" s="1"/>
  <c r="J14" i="121"/>
  <c r="H14" i="121"/>
  <c r="H76" i="121" s="1"/>
  <c r="I14" i="121"/>
  <c r="I76" i="121" s="1"/>
  <c r="L14" i="121"/>
  <c r="L76" i="121" s="1"/>
  <c r="K14" i="121"/>
  <c r="K76" i="121" s="1"/>
  <c r="N14" i="121"/>
  <c r="N76" i="121" s="1"/>
  <c r="G14" i="121"/>
  <c r="G76" i="121" s="1"/>
  <c r="F14" i="121"/>
  <c r="F76" i="121" s="1"/>
  <c r="AT46" i="16"/>
  <c r="W45" i="16"/>
  <c r="F11" i="88"/>
  <c r="F14" i="88"/>
  <c r="G14" i="88" s="1"/>
  <c r="H14" i="88" s="1"/>
  <c r="H76" i="88" s="1"/>
  <c r="F51" i="88"/>
  <c r="F52" i="88"/>
  <c r="F53" i="88"/>
  <c r="F50" i="88"/>
  <c r="W23" i="16"/>
  <c r="F11" i="123"/>
  <c r="L51" i="16"/>
  <c r="F52" i="123"/>
  <c r="F53" i="123"/>
  <c r="F51" i="123"/>
  <c r="F14" i="123"/>
  <c r="G14" i="123" s="1"/>
  <c r="G76" i="123" s="1"/>
  <c r="F50" i="123"/>
  <c r="N14" i="123"/>
  <c r="N76" i="123" s="1"/>
  <c r="K14" i="123"/>
  <c r="K76" i="123" s="1"/>
  <c r="N124" i="129" l="1"/>
  <c r="N125" i="89"/>
  <c r="N126" i="79"/>
  <c r="N127" i="78"/>
  <c r="N128" i="104"/>
  <c r="N131" i="82"/>
  <c r="N124" i="75"/>
  <c r="N117" i="102"/>
  <c r="N116" i="102"/>
  <c r="G127" i="94"/>
  <c r="G119" i="97"/>
  <c r="G116" i="97"/>
  <c r="G117" i="97"/>
  <c r="N113" i="80"/>
  <c r="N117" i="80"/>
  <c r="F52" i="80"/>
  <c r="G51" i="93"/>
  <c r="G53" i="76"/>
  <c r="N53" i="107"/>
  <c r="F51" i="109"/>
  <c r="F51" i="85"/>
  <c r="G53" i="82"/>
  <c r="N53" i="103"/>
  <c r="N53" i="75"/>
  <c r="F51" i="83"/>
  <c r="F52" i="82"/>
  <c r="F53" i="128"/>
  <c r="F51" i="125"/>
  <c r="F51" i="126"/>
  <c r="N53" i="128"/>
  <c r="G51" i="127"/>
  <c r="G52" i="123"/>
  <c r="G53" i="121"/>
  <c r="F51" i="99"/>
  <c r="F51" i="102"/>
  <c r="F52" i="77"/>
  <c r="H52" i="121"/>
  <c r="F52" i="91"/>
  <c r="F52" i="101"/>
  <c r="F51" i="104"/>
  <c r="F52" i="89"/>
  <c r="F51" i="103"/>
  <c r="H51" i="129"/>
  <c r="F53" i="94"/>
  <c r="F51" i="91"/>
  <c r="F53" i="104"/>
  <c r="F53" i="105"/>
  <c r="F51" i="97"/>
  <c r="G51" i="97"/>
  <c r="H52" i="91"/>
  <c r="G51" i="100"/>
  <c r="G51" i="96"/>
  <c r="G52" i="84"/>
  <c r="G52" i="86"/>
  <c r="G52" i="93"/>
  <c r="G51" i="105"/>
  <c r="G51" i="81"/>
  <c r="H51" i="82"/>
  <c r="G52" i="89"/>
  <c r="G52" i="87"/>
  <c r="G52" i="105"/>
  <c r="H52" i="100"/>
  <c r="G51" i="82"/>
  <c r="G51" i="83"/>
  <c r="G51" i="84"/>
  <c r="H52" i="93"/>
  <c r="H51" i="96"/>
  <c r="G52" i="81"/>
  <c r="H51" i="79"/>
  <c r="H52" i="106"/>
  <c r="G52" i="106"/>
  <c r="H52" i="81"/>
  <c r="G52" i="92"/>
  <c r="H51" i="106"/>
  <c r="G52" i="94"/>
  <c r="H51" i="86"/>
  <c r="H51" i="100"/>
  <c r="F53" i="84"/>
  <c r="H51" i="92"/>
  <c r="G53" i="101"/>
  <c r="N53" i="96"/>
  <c r="F52" i="79"/>
  <c r="F52" i="78"/>
  <c r="F51" i="84"/>
  <c r="F51" i="74"/>
  <c r="F54" i="74" s="1"/>
  <c r="G53" i="88"/>
  <c r="G53" i="74"/>
  <c r="N53" i="94"/>
  <c r="F51" i="96"/>
  <c r="F51" i="78"/>
  <c r="F51" i="81"/>
  <c r="G53" i="95"/>
  <c r="G53" i="106"/>
  <c r="G112" i="106" s="1"/>
  <c r="F53" i="109"/>
  <c r="F53" i="107"/>
  <c r="F54" i="107" s="1"/>
  <c r="F57" i="107" s="1"/>
  <c r="F51" i="108"/>
  <c r="F53" i="126"/>
  <c r="F53" i="124"/>
  <c r="F52" i="125"/>
  <c r="G51" i="123"/>
  <c r="G51" i="128"/>
  <c r="G52" i="128"/>
  <c r="H51" i="125"/>
  <c r="F52" i="106"/>
  <c r="F53" i="92"/>
  <c r="F54" i="92" s="1"/>
  <c r="H51" i="121"/>
  <c r="F53" i="93"/>
  <c r="F54" i="93" s="1"/>
  <c r="F52" i="94"/>
  <c r="F54" i="94" s="1"/>
  <c r="F51" i="77"/>
  <c r="F54" i="77" s="1"/>
  <c r="F52" i="105"/>
  <c r="F52" i="87"/>
  <c r="F52" i="100"/>
  <c r="F51" i="106"/>
  <c r="F54" i="106" s="1"/>
  <c r="H51" i="124"/>
  <c r="F52" i="102"/>
  <c r="H52" i="129"/>
  <c r="H139" i="129" s="1"/>
  <c r="F51" i="98"/>
  <c r="F54" i="98" s="1"/>
  <c r="G51" i="9"/>
  <c r="G51" i="103"/>
  <c r="G52" i="83"/>
  <c r="H51" i="74"/>
  <c r="H130" i="74" s="1"/>
  <c r="H51" i="89"/>
  <c r="G51" i="102"/>
  <c r="H52" i="88"/>
  <c r="G52" i="98"/>
  <c r="G51" i="88"/>
  <c r="H52" i="80"/>
  <c r="G52" i="99"/>
  <c r="G52" i="79"/>
  <c r="G139" i="79" s="1"/>
  <c r="G52" i="96"/>
  <c r="G52" i="75"/>
  <c r="H51" i="87"/>
  <c r="H51" i="77"/>
  <c r="H51" i="76"/>
  <c r="F54" i="108"/>
  <c r="F57" i="108" s="1"/>
  <c r="G135" i="91"/>
  <c r="G139" i="91"/>
  <c r="G53" i="89"/>
  <c r="N131" i="97"/>
  <c r="F54" i="90"/>
  <c r="F54" i="103"/>
  <c r="F54" i="127"/>
  <c r="N53" i="93"/>
  <c r="F54" i="105"/>
  <c r="F54" i="81"/>
  <c r="F54" i="78"/>
  <c r="F54" i="96"/>
  <c r="F54" i="82"/>
  <c r="G54" i="105"/>
  <c r="N125" i="103"/>
  <c r="H132" i="93"/>
  <c r="H144" i="77"/>
  <c r="G132" i="91"/>
  <c r="N131" i="78"/>
  <c r="N124" i="88"/>
  <c r="N124" i="103"/>
  <c r="G113" i="87"/>
  <c r="G141" i="126"/>
  <c r="H124" i="127"/>
  <c r="G130" i="86"/>
  <c r="H142" i="97"/>
  <c r="G132" i="80"/>
  <c r="G144" i="82"/>
  <c r="N127" i="80"/>
  <c r="G117" i="87"/>
  <c r="G136" i="126"/>
  <c r="H123" i="127"/>
  <c r="G144" i="77"/>
  <c r="G124" i="86"/>
  <c r="G137" i="101"/>
  <c r="G126" i="104"/>
  <c r="H136" i="97"/>
  <c r="G129" i="79"/>
  <c r="F76" i="92"/>
  <c r="F78" i="92" s="1"/>
  <c r="F79" i="92" s="1"/>
  <c r="N124" i="83"/>
  <c r="N123" i="78"/>
  <c r="N128" i="83"/>
  <c r="N123" i="104"/>
  <c r="N123" i="102"/>
  <c r="H138" i="126"/>
  <c r="G142" i="76"/>
  <c r="G141" i="101"/>
  <c r="G127" i="104"/>
  <c r="G132" i="101"/>
  <c r="H126" i="75"/>
  <c r="H127" i="75"/>
  <c r="H129" i="75"/>
  <c r="H131" i="75"/>
  <c r="G131" i="106"/>
  <c r="G125" i="106"/>
  <c r="G128" i="106"/>
  <c r="G123" i="106"/>
  <c r="G126" i="106"/>
  <c r="H135" i="90"/>
  <c r="H141" i="90"/>
  <c r="H143" i="90"/>
  <c r="H136" i="90"/>
  <c r="H124" i="84"/>
  <c r="H130" i="84"/>
  <c r="H127" i="84"/>
  <c r="H129" i="84"/>
  <c r="H126" i="84"/>
  <c r="H131" i="84"/>
  <c r="G124" i="99"/>
  <c r="G123" i="99"/>
  <c r="G126" i="99"/>
  <c r="G125" i="99"/>
  <c r="G130" i="99"/>
  <c r="G127" i="99"/>
  <c r="H143" i="89"/>
  <c r="H140" i="89"/>
  <c r="H138" i="89"/>
  <c r="H142" i="89"/>
  <c r="H136" i="89"/>
  <c r="H135" i="89"/>
  <c r="H139" i="89"/>
  <c r="H131" i="88"/>
  <c r="H130" i="88"/>
  <c r="H126" i="88"/>
  <c r="H124" i="88"/>
  <c r="H128" i="88"/>
  <c r="H129" i="95"/>
  <c r="H130" i="95"/>
  <c r="H127" i="95"/>
  <c r="H126" i="95"/>
  <c r="H136" i="9"/>
  <c r="H143" i="9"/>
  <c r="H138" i="9"/>
  <c r="H141" i="9"/>
  <c r="G123" i="90"/>
  <c r="G129" i="90"/>
  <c r="G124" i="90"/>
  <c r="G125" i="90"/>
  <c r="G131" i="90"/>
  <c r="G126" i="90"/>
  <c r="G125" i="85"/>
  <c r="G127" i="85"/>
  <c r="G124" i="85"/>
  <c r="G126" i="85"/>
  <c r="H129" i="126"/>
  <c r="H123" i="126"/>
  <c r="H126" i="126"/>
  <c r="H131" i="126"/>
  <c r="H130" i="126"/>
  <c r="G117" i="127"/>
  <c r="G111" i="127"/>
  <c r="G115" i="127"/>
  <c r="G118" i="127"/>
  <c r="G116" i="127"/>
  <c r="G117" i="9"/>
  <c r="G114" i="9"/>
  <c r="G113" i="9"/>
  <c r="G115" i="9"/>
  <c r="G118" i="9"/>
  <c r="G112" i="9"/>
  <c r="G116" i="9"/>
  <c r="G111" i="9"/>
  <c r="G119" i="9"/>
  <c r="G117" i="105"/>
  <c r="G118" i="105"/>
  <c r="G112" i="105"/>
  <c r="G111" i="105"/>
  <c r="G119" i="105"/>
  <c r="G115" i="105"/>
  <c r="G113" i="105"/>
  <c r="G116" i="105"/>
  <c r="N130" i="93"/>
  <c r="G148" i="126"/>
  <c r="G119" i="75"/>
  <c r="G112" i="75"/>
  <c r="G118" i="75"/>
  <c r="G113" i="75"/>
  <c r="G115" i="75"/>
  <c r="G116" i="75"/>
  <c r="G114" i="75"/>
  <c r="N112" i="79"/>
  <c r="N116" i="79"/>
  <c r="N113" i="79"/>
  <c r="N115" i="79"/>
  <c r="N114" i="79"/>
  <c r="H131" i="104"/>
  <c r="H125" i="104"/>
  <c r="H128" i="104"/>
  <c r="H126" i="104"/>
  <c r="H123" i="104"/>
  <c r="G124" i="75"/>
  <c r="G130" i="75"/>
  <c r="G127" i="75"/>
  <c r="G129" i="75"/>
  <c r="G128" i="75"/>
  <c r="G125" i="75"/>
  <c r="G131" i="75"/>
  <c r="G123" i="75"/>
  <c r="G128" i="79"/>
  <c r="G125" i="79"/>
  <c r="G130" i="79"/>
  <c r="G124" i="79"/>
  <c r="G143" i="95"/>
  <c r="G136" i="95"/>
  <c r="G135" i="95"/>
  <c r="G141" i="95"/>
  <c r="G137" i="95"/>
  <c r="G140" i="95"/>
  <c r="G138" i="95"/>
  <c r="G139" i="95"/>
  <c r="H125" i="97"/>
  <c r="H127" i="97"/>
  <c r="H126" i="97"/>
  <c r="H124" i="97"/>
  <c r="H129" i="101"/>
  <c r="H131" i="101"/>
  <c r="H126" i="101"/>
  <c r="H128" i="101"/>
  <c r="H123" i="101"/>
  <c r="H127" i="101"/>
  <c r="H125" i="101"/>
  <c r="G143" i="9"/>
  <c r="G136" i="9"/>
  <c r="G135" i="9"/>
  <c r="G137" i="9"/>
  <c r="G141" i="9"/>
  <c r="G138" i="9"/>
  <c r="G139" i="9"/>
  <c r="G135" i="102"/>
  <c r="G139" i="102"/>
  <c r="G142" i="102"/>
  <c r="G137" i="102"/>
  <c r="G136" i="102"/>
  <c r="G140" i="102"/>
  <c r="G143" i="102"/>
  <c r="G128" i="78"/>
  <c r="G125" i="78"/>
  <c r="G123" i="78"/>
  <c r="G126" i="78"/>
  <c r="G131" i="78"/>
  <c r="G129" i="95"/>
  <c r="G125" i="95"/>
  <c r="G126" i="95"/>
  <c r="G127" i="95"/>
  <c r="G131" i="95"/>
  <c r="H124" i="9"/>
  <c r="H125" i="9"/>
  <c r="H126" i="9"/>
  <c r="H130" i="9"/>
  <c r="H128" i="9"/>
  <c r="H141" i="92"/>
  <c r="H143" i="92"/>
  <c r="H142" i="92"/>
  <c r="H140" i="92"/>
  <c r="H135" i="92"/>
  <c r="H136" i="92"/>
  <c r="H139" i="92"/>
  <c r="H138" i="92"/>
  <c r="H140" i="103"/>
  <c r="H135" i="103"/>
  <c r="H141" i="103"/>
  <c r="H143" i="103"/>
  <c r="H138" i="103"/>
  <c r="H137" i="127"/>
  <c r="H142" i="127"/>
  <c r="H135" i="127"/>
  <c r="H138" i="127"/>
  <c r="G123" i="129"/>
  <c r="G124" i="129"/>
  <c r="G131" i="129"/>
  <c r="G130" i="129"/>
  <c r="G125" i="129"/>
  <c r="G127" i="129"/>
  <c r="G126" i="129"/>
  <c r="N116" i="123"/>
  <c r="N115" i="123"/>
  <c r="N117" i="123"/>
  <c r="N113" i="123"/>
  <c r="N118" i="123"/>
  <c r="G116" i="80"/>
  <c r="G118" i="80"/>
  <c r="G112" i="80"/>
  <c r="G115" i="80"/>
  <c r="G117" i="80"/>
  <c r="G119" i="80"/>
  <c r="G155" i="80" s="1"/>
  <c r="G114" i="80"/>
  <c r="G113" i="80"/>
  <c r="H140" i="102"/>
  <c r="H143" i="102"/>
  <c r="H142" i="102"/>
  <c r="H137" i="102"/>
  <c r="H135" i="102"/>
  <c r="H141" i="102"/>
  <c r="H138" i="102"/>
  <c r="H136" i="102"/>
  <c r="N116" i="77"/>
  <c r="N115" i="77"/>
  <c r="N118" i="77"/>
  <c r="N112" i="77"/>
  <c r="N117" i="77"/>
  <c r="N119" i="77"/>
  <c r="N114" i="77"/>
  <c r="G116" i="88"/>
  <c r="G114" i="88"/>
  <c r="G118" i="88"/>
  <c r="G112" i="88"/>
  <c r="G119" i="88"/>
  <c r="G113" i="88"/>
  <c r="G117" i="88"/>
  <c r="G115" i="88"/>
  <c r="N126" i="88"/>
  <c r="N123" i="129"/>
  <c r="N124" i="93"/>
  <c r="N130" i="99"/>
  <c r="N130" i="125"/>
  <c r="N130" i="106"/>
  <c r="G115" i="87"/>
  <c r="G54" i="76"/>
  <c r="G54" i="75"/>
  <c r="G54" i="88"/>
  <c r="G140" i="126"/>
  <c r="G142" i="126"/>
  <c r="H140" i="126"/>
  <c r="H137" i="126"/>
  <c r="H143" i="126"/>
  <c r="H126" i="127"/>
  <c r="H127" i="127"/>
  <c r="G135" i="76"/>
  <c r="G140" i="76"/>
  <c r="G123" i="86"/>
  <c r="G128" i="86"/>
  <c r="G138" i="101"/>
  <c r="G140" i="101"/>
  <c r="G124" i="104"/>
  <c r="G130" i="104"/>
  <c r="H137" i="97"/>
  <c r="H135" i="97"/>
  <c r="H140" i="97"/>
  <c r="N112" i="123"/>
  <c r="H136" i="127"/>
  <c r="H136" i="103"/>
  <c r="H123" i="9"/>
  <c r="H123" i="95"/>
  <c r="G129" i="78"/>
  <c r="H129" i="88"/>
  <c r="H130" i="104"/>
  <c r="G113" i="127"/>
  <c r="H132" i="123"/>
  <c r="H124" i="126"/>
  <c r="H140" i="9"/>
  <c r="G124" i="95"/>
  <c r="H123" i="97"/>
  <c r="H130" i="97"/>
  <c r="H137" i="90"/>
  <c r="G131" i="79"/>
  <c r="G130" i="106"/>
  <c r="G123" i="85"/>
  <c r="H124" i="75"/>
  <c r="H130" i="75"/>
  <c r="G129" i="99"/>
  <c r="G140" i="9"/>
  <c r="H125" i="84"/>
  <c r="G128" i="129"/>
  <c r="G132" i="129" s="1"/>
  <c r="H137" i="92"/>
  <c r="H144" i="92" s="1"/>
  <c r="N117" i="79"/>
  <c r="G111" i="88"/>
  <c r="N128" i="88"/>
  <c r="N126" i="93"/>
  <c r="N127" i="125"/>
  <c r="N125" i="9"/>
  <c r="G143" i="126"/>
  <c r="G138" i="126"/>
  <c r="H142" i="126"/>
  <c r="H141" i="126"/>
  <c r="H128" i="127"/>
  <c r="H125" i="127"/>
  <c r="H131" i="127"/>
  <c r="G139" i="76"/>
  <c r="G137" i="76"/>
  <c r="G127" i="86"/>
  <c r="G125" i="86"/>
  <c r="G139" i="101"/>
  <c r="G135" i="101"/>
  <c r="G123" i="104"/>
  <c r="G125" i="104"/>
  <c r="G129" i="104"/>
  <c r="G141" i="76"/>
  <c r="H141" i="97"/>
  <c r="H139" i="97"/>
  <c r="N114" i="123"/>
  <c r="H141" i="127"/>
  <c r="H140" i="127"/>
  <c r="H137" i="103"/>
  <c r="H127" i="9"/>
  <c r="H128" i="95"/>
  <c r="H131" i="95"/>
  <c r="G130" i="78"/>
  <c r="H123" i="88"/>
  <c r="H127" i="104"/>
  <c r="G112" i="127"/>
  <c r="H127" i="126"/>
  <c r="H135" i="9"/>
  <c r="H142" i="9"/>
  <c r="G128" i="95"/>
  <c r="H131" i="97"/>
  <c r="H142" i="90"/>
  <c r="G123" i="79"/>
  <c r="G124" i="106"/>
  <c r="G131" i="85"/>
  <c r="H128" i="75"/>
  <c r="N119" i="79"/>
  <c r="G130" i="90"/>
  <c r="H137" i="89"/>
  <c r="G128" i="99"/>
  <c r="G142" i="9"/>
  <c r="H123" i="84"/>
  <c r="G111" i="75"/>
  <c r="G120" i="75" s="1"/>
  <c r="G126" i="75"/>
  <c r="G132" i="75" s="1"/>
  <c r="N111" i="77"/>
  <c r="G54" i="106"/>
  <c r="G54" i="99"/>
  <c r="G54" i="9"/>
  <c r="G54" i="101"/>
  <c r="G54" i="126"/>
  <c r="N129" i="89"/>
  <c r="N130" i="88"/>
  <c r="N128" i="93"/>
  <c r="N123" i="82"/>
  <c r="G111" i="87"/>
  <c r="G119" i="87"/>
  <c r="F54" i="87"/>
  <c r="G54" i="80"/>
  <c r="G54" i="95"/>
  <c r="G152" i="126"/>
  <c r="G135" i="126"/>
  <c r="H136" i="126"/>
  <c r="H144" i="126" s="1"/>
  <c r="H130" i="127"/>
  <c r="H144" i="78"/>
  <c r="G138" i="76"/>
  <c r="G126" i="86"/>
  <c r="G131" i="86"/>
  <c r="H144" i="95"/>
  <c r="H144" i="104"/>
  <c r="G136" i="101"/>
  <c r="G142" i="101"/>
  <c r="H132" i="91"/>
  <c r="G131" i="104"/>
  <c r="H138" i="97"/>
  <c r="H144" i="97" s="1"/>
  <c r="G132" i="89"/>
  <c r="N111" i="123"/>
  <c r="N120" i="123" s="1"/>
  <c r="H139" i="127"/>
  <c r="H142" i="103"/>
  <c r="H131" i="9"/>
  <c r="H124" i="95"/>
  <c r="G127" i="78"/>
  <c r="G132" i="78" s="1"/>
  <c r="H125" i="88"/>
  <c r="H132" i="78"/>
  <c r="G144" i="104"/>
  <c r="H124" i="104"/>
  <c r="G114" i="127"/>
  <c r="H125" i="126"/>
  <c r="H137" i="9"/>
  <c r="H144" i="9" s="1"/>
  <c r="G123" i="95"/>
  <c r="H132" i="103"/>
  <c r="H128" i="97"/>
  <c r="H139" i="90"/>
  <c r="H138" i="90"/>
  <c r="G126" i="79"/>
  <c r="G132" i="79" s="1"/>
  <c r="G129" i="106"/>
  <c r="G128" i="85"/>
  <c r="H125" i="75"/>
  <c r="N118" i="79"/>
  <c r="G127" i="90"/>
  <c r="G132" i="90" s="1"/>
  <c r="H141" i="89"/>
  <c r="G138" i="102"/>
  <c r="H130" i="101"/>
  <c r="H128" i="84"/>
  <c r="G111" i="80"/>
  <c r="G155" i="126"/>
  <c r="H139" i="102"/>
  <c r="G114" i="105"/>
  <c r="H129" i="98"/>
  <c r="H131" i="98"/>
  <c r="H127" i="98"/>
  <c r="G141" i="88"/>
  <c r="G136" i="88"/>
  <c r="H137" i="75"/>
  <c r="H140" i="75"/>
  <c r="G141" i="74"/>
  <c r="G140" i="74"/>
  <c r="F76" i="87"/>
  <c r="G14" i="87"/>
  <c r="G76" i="87" s="1"/>
  <c r="G115" i="99"/>
  <c r="G116" i="99"/>
  <c r="G118" i="99"/>
  <c r="G117" i="99"/>
  <c r="H137" i="99"/>
  <c r="H136" i="99"/>
  <c r="H139" i="99"/>
  <c r="H143" i="99"/>
  <c r="H142" i="99"/>
  <c r="G139" i="97"/>
  <c r="G136" i="97"/>
  <c r="G137" i="97"/>
  <c r="G138" i="97"/>
  <c r="G138" i="78"/>
  <c r="G135" i="78"/>
  <c r="G136" i="78"/>
  <c r="G137" i="78"/>
  <c r="G130" i="87"/>
  <c r="G125" i="87"/>
  <c r="G127" i="87"/>
  <c r="G131" i="87"/>
  <c r="G124" i="87"/>
  <c r="H125" i="90"/>
  <c r="H126" i="90"/>
  <c r="H129" i="90"/>
  <c r="H127" i="90"/>
  <c r="H130" i="90"/>
  <c r="H131" i="102"/>
  <c r="H126" i="102"/>
  <c r="H128" i="102"/>
  <c r="H123" i="102"/>
  <c r="H125" i="102"/>
  <c r="G118" i="126"/>
  <c r="G154" i="126" s="1"/>
  <c r="G115" i="126"/>
  <c r="G151" i="126" s="1"/>
  <c r="G117" i="126"/>
  <c r="G153" i="126" s="1"/>
  <c r="G113" i="126"/>
  <c r="G149" i="126" s="1"/>
  <c r="G124" i="124"/>
  <c r="G125" i="124"/>
  <c r="G131" i="124"/>
  <c r="G129" i="124"/>
  <c r="H124" i="98"/>
  <c r="H132" i="98" s="1"/>
  <c r="G135" i="88"/>
  <c r="H139" i="75"/>
  <c r="H143" i="75"/>
  <c r="G143" i="74"/>
  <c r="G135" i="74"/>
  <c r="G126" i="124"/>
  <c r="G123" i="124"/>
  <c r="H131" i="90"/>
  <c r="G143" i="97"/>
  <c r="G111" i="126"/>
  <c r="H130" i="102"/>
  <c r="G126" i="87"/>
  <c r="G139" i="78"/>
  <c r="H138" i="99"/>
  <c r="G112" i="99"/>
  <c r="N112" i="95"/>
  <c r="N117" i="95"/>
  <c r="G118" i="97"/>
  <c r="G117" i="89"/>
  <c r="G114" i="97"/>
  <c r="G114" i="89"/>
  <c r="G14" i="85"/>
  <c r="G137" i="91"/>
  <c r="G141" i="91"/>
  <c r="G143" i="91"/>
  <c r="N111" i="93"/>
  <c r="N119" i="93"/>
  <c r="F78" i="96"/>
  <c r="F79" i="96" s="1"/>
  <c r="F78" i="86"/>
  <c r="G77" i="105"/>
  <c r="F78" i="94"/>
  <c r="F78" i="84"/>
  <c r="F79" i="84" s="1"/>
  <c r="F78" i="110"/>
  <c r="N119" i="95"/>
  <c r="N118" i="95"/>
  <c r="G118" i="89"/>
  <c r="G116" i="89"/>
  <c r="G112" i="97"/>
  <c r="N113" i="93"/>
  <c r="N112" i="93"/>
  <c r="G138" i="91"/>
  <c r="N115" i="93"/>
  <c r="F54" i="125"/>
  <c r="N125" i="78"/>
  <c r="N129" i="78"/>
  <c r="N124" i="104"/>
  <c r="N126" i="104"/>
  <c r="N127" i="104"/>
  <c r="N126" i="75"/>
  <c r="N130" i="75"/>
  <c r="G132" i="126"/>
  <c r="G132" i="92"/>
  <c r="G151" i="80"/>
  <c r="H144" i="102"/>
  <c r="N128" i="75"/>
  <c r="N126" i="78"/>
  <c r="N130" i="78"/>
  <c r="N130" i="104"/>
  <c r="N131" i="104"/>
  <c r="N123" i="75"/>
  <c r="N127" i="75"/>
  <c r="N131" i="80"/>
  <c r="G132" i="95"/>
  <c r="H132" i="128"/>
  <c r="G132" i="104"/>
  <c r="G132" i="124"/>
  <c r="N124" i="78"/>
  <c r="N129" i="104"/>
  <c r="N125" i="75"/>
  <c r="N129" i="75"/>
  <c r="N123" i="80"/>
  <c r="G132" i="76"/>
  <c r="G120" i="77"/>
  <c r="G150" i="126"/>
  <c r="G144" i="126"/>
  <c r="H132" i="127"/>
  <c r="G132" i="74"/>
  <c r="G132" i="98"/>
  <c r="G120" i="126"/>
  <c r="G120" i="88"/>
  <c r="N126" i="89"/>
  <c r="N130" i="89"/>
  <c r="N125" i="88"/>
  <c r="N129" i="88"/>
  <c r="N128" i="129"/>
  <c r="N125" i="129"/>
  <c r="N125" i="93"/>
  <c r="N129" i="93"/>
  <c r="N123" i="99"/>
  <c r="N127" i="99"/>
  <c r="N131" i="99"/>
  <c r="G54" i="87"/>
  <c r="N124" i="125"/>
  <c r="N129" i="125"/>
  <c r="N125" i="82"/>
  <c r="N124" i="106"/>
  <c r="N124" i="81"/>
  <c r="N127" i="9"/>
  <c r="G112" i="87"/>
  <c r="G116" i="87"/>
  <c r="N126" i="102"/>
  <c r="G144" i="76"/>
  <c r="G132" i="86"/>
  <c r="G78" i="105"/>
  <c r="G79" i="105" s="1"/>
  <c r="G83" i="105"/>
  <c r="F76" i="75"/>
  <c r="F78" i="75" s="1"/>
  <c r="G14" i="75"/>
  <c r="G76" i="75" s="1"/>
  <c r="H132" i="80"/>
  <c r="G132" i="106"/>
  <c r="N120" i="79"/>
  <c r="G116" i="94"/>
  <c r="G112" i="94"/>
  <c r="N123" i="89"/>
  <c r="N127" i="89"/>
  <c r="N131" i="89"/>
  <c r="N126" i="129"/>
  <c r="N127" i="129"/>
  <c r="N124" i="99"/>
  <c r="N128" i="99"/>
  <c r="N128" i="125"/>
  <c r="N131" i="125"/>
  <c r="N127" i="82"/>
  <c r="N126" i="106"/>
  <c r="N129" i="9"/>
  <c r="N124" i="89"/>
  <c r="N123" i="88"/>
  <c r="N127" i="88"/>
  <c r="N130" i="129"/>
  <c r="N123" i="93"/>
  <c r="N127" i="93"/>
  <c r="N125" i="99"/>
  <c r="N126" i="125"/>
  <c r="N125" i="125"/>
  <c r="N129" i="82"/>
  <c r="N123" i="9"/>
  <c r="G114" i="87"/>
  <c r="N127" i="102"/>
  <c r="G131" i="94"/>
  <c r="G128" i="94"/>
  <c r="G125" i="94"/>
  <c r="G123" i="94"/>
  <c r="G129" i="94"/>
  <c r="G130" i="94"/>
  <c r="G126" i="94"/>
  <c r="G114" i="98"/>
  <c r="G113" i="98"/>
  <c r="G115" i="98"/>
  <c r="G111" i="98"/>
  <c r="G116" i="98"/>
  <c r="G119" i="98"/>
  <c r="G117" i="98"/>
  <c r="N118" i="85"/>
  <c r="N115" i="85"/>
  <c r="N113" i="85"/>
  <c r="N112" i="85"/>
  <c r="N117" i="85"/>
  <c r="N116" i="85"/>
  <c r="N114" i="85"/>
  <c r="N111" i="85"/>
  <c r="H128" i="94"/>
  <c r="H130" i="94"/>
  <c r="H126" i="94"/>
  <c r="H125" i="94"/>
  <c r="H124" i="94"/>
  <c r="H131" i="94"/>
  <c r="H129" i="94"/>
  <c r="H123" i="94"/>
  <c r="H129" i="85"/>
  <c r="H123" i="85"/>
  <c r="H124" i="85"/>
  <c r="H125" i="85"/>
  <c r="H130" i="85"/>
  <c r="H127" i="85"/>
  <c r="H126" i="85"/>
  <c r="H131" i="85"/>
  <c r="G143" i="103"/>
  <c r="G140" i="103"/>
  <c r="G135" i="103"/>
  <c r="G139" i="103"/>
  <c r="G142" i="103"/>
  <c r="G141" i="103"/>
  <c r="G136" i="103"/>
  <c r="H129" i="99"/>
  <c r="H123" i="99"/>
  <c r="H128" i="99"/>
  <c r="H131" i="99"/>
  <c r="H130" i="99"/>
  <c r="H126" i="99"/>
  <c r="H127" i="99"/>
  <c r="G139" i="85"/>
  <c r="G138" i="85"/>
  <c r="G141" i="85"/>
  <c r="G135" i="85"/>
  <c r="G136" i="85"/>
  <c r="G143" i="85"/>
  <c r="G140" i="85"/>
  <c r="G142" i="85"/>
  <c r="H137" i="105"/>
  <c r="H136" i="105"/>
  <c r="H138" i="105"/>
  <c r="H140" i="105"/>
  <c r="H141" i="105"/>
  <c r="H135" i="105"/>
  <c r="H139" i="105"/>
  <c r="H143" i="105"/>
  <c r="H126" i="105"/>
  <c r="H131" i="105"/>
  <c r="H123" i="105"/>
  <c r="H125" i="105"/>
  <c r="H127" i="105"/>
  <c r="H129" i="105"/>
  <c r="H124" i="105"/>
  <c r="H135" i="98"/>
  <c r="H136" i="98"/>
  <c r="H139" i="98"/>
  <c r="H141" i="98"/>
  <c r="H142" i="98"/>
  <c r="H140" i="98"/>
  <c r="H138" i="98"/>
  <c r="H142" i="85"/>
  <c r="H137" i="85"/>
  <c r="H136" i="85"/>
  <c r="H141" i="85"/>
  <c r="H139" i="85"/>
  <c r="H140" i="85"/>
  <c r="H135" i="85"/>
  <c r="H138" i="85"/>
  <c r="G140" i="80"/>
  <c r="G152" i="80" s="1"/>
  <c r="G141" i="80"/>
  <c r="G153" i="80" s="1"/>
  <c r="G142" i="80"/>
  <c r="G154" i="80" s="1"/>
  <c r="G138" i="80"/>
  <c r="G150" i="80" s="1"/>
  <c r="G137" i="80"/>
  <c r="G149" i="80" s="1"/>
  <c r="G136" i="80"/>
  <c r="G148" i="80" s="1"/>
  <c r="G135" i="80"/>
  <c r="G143" i="90"/>
  <c r="G142" i="90"/>
  <c r="G137" i="90"/>
  <c r="G135" i="90"/>
  <c r="G139" i="90"/>
  <c r="G141" i="90"/>
  <c r="G136" i="90"/>
  <c r="G140" i="90"/>
  <c r="G143" i="100"/>
  <c r="G137" i="100"/>
  <c r="G136" i="100"/>
  <c r="G139" i="100"/>
  <c r="G142" i="100"/>
  <c r="G141" i="100"/>
  <c r="G138" i="100"/>
  <c r="H123" i="81"/>
  <c r="H130" i="81"/>
  <c r="H129" i="81"/>
  <c r="H126" i="81"/>
  <c r="H127" i="81"/>
  <c r="H128" i="81"/>
  <c r="H138" i="74"/>
  <c r="H141" i="74"/>
  <c r="H143" i="74"/>
  <c r="H140" i="74"/>
  <c r="H137" i="74"/>
  <c r="H142" i="74"/>
  <c r="H136" i="74"/>
  <c r="H139" i="74"/>
  <c r="H124" i="76"/>
  <c r="H126" i="76"/>
  <c r="H129" i="76"/>
  <c r="H131" i="76"/>
  <c r="H130" i="76"/>
  <c r="H128" i="76"/>
  <c r="H123" i="76"/>
  <c r="H130" i="77"/>
  <c r="H126" i="77"/>
  <c r="H123" i="77"/>
  <c r="H124" i="77"/>
  <c r="H125" i="77"/>
  <c r="H127" i="77"/>
  <c r="H129" i="87"/>
  <c r="H131" i="87"/>
  <c r="H130" i="87"/>
  <c r="H128" i="87"/>
  <c r="H125" i="87"/>
  <c r="G142" i="75"/>
  <c r="G154" i="75" s="1"/>
  <c r="G135" i="75"/>
  <c r="G138" i="75"/>
  <c r="G150" i="75" s="1"/>
  <c r="G139" i="75"/>
  <c r="G151" i="75" s="1"/>
  <c r="G141" i="75"/>
  <c r="G153" i="75" s="1"/>
  <c r="G136" i="75"/>
  <c r="G148" i="75" s="1"/>
  <c r="G140" i="75"/>
  <c r="G152" i="75" s="1"/>
  <c r="G136" i="96"/>
  <c r="G142" i="96"/>
  <c r="G143" i="96"/>
  <c r="G138" i="96"/>
  <c r="G140" i="96"/>
  <c r="G135" i="96"/>
  <c r="G137" i="96"/>
  <c r="G136" i="79"/>
  <c r="G138" i="79"/>
  <c r="G142" i="79"/>
  <c r="G135" i="79"/>
  <c r="G143" i="79"/>
  <c r="G141" i="79"/>
  <c r="G137" i="79"/>
  <c r="G140" i="79"/>
  <c r="G142" i="99"/>
  <c r="G154" i="99" s="1"/>
  <c r="G136" i="99"/>
  <c r="H140" i="80"/>
  <c r="H137" i="80"/>
  <c r="G128" i="88"/>
  <c r="G152" i="88" s="1"/>
  <c r="G129" i="88"/>
  <c r="G153" i="88" s="1"/>
  <c r="G131" i="88"/>
  <c r="G155" i="88" s="1"/>
  <c r="G126" i="88"/>
  <c r="G150" i="88" s="1"/>
  <c r="G124" i="88"/>
  <c r="G148" i="88" s="1"/>
  <c r="G123" i="88"/>
  <c r="G125" i="88"/>
  <c r="G149" i="88" s="1"/>
  <c r="G139" i="98"/>
  <c r="G141" i="98"/>
  <c r="G135" i="98"/>
  <c r="G137" i="98"/>
  <c r="G143" i="98"/>
  <c r="G138" i="98"/>
  <c r="G136" i="98"/>
  <c r="G148" i="98" s="1"/>
  <c r="G142" i="98"/>
  <c r="G154" i="98" s="1"/>
  <c r="H141" i="88"/>
  <c r="H135" i="88"/>
  <c r="H142" i="88"/>
  <c r="H137" i="88"/>
  <c r="H140" i="88"/>
  <c r="H139" i="88"/>
  <c r="H136" i="88"/>
  <c r="G126" i="102"/>
  <c r="G130" i="102"/>
  <c r="G123" i="102"/>
  <c r="G124" i="102"/>
  <c r="G128" i="102"/>
  <c r="G127" i="102"/>
  <c r="G129" i="102"/>
  <c r="H125" i="89"/>
  <c r="H131" i="89"/>
  <c r="H127" i="74"/>
  <c r="H129" i="74"/>
  <c r="H123" i="74"/>
  <c r="H125" i="74"/>
  <c r="H131" i="74"/>
  <c r="H126" i="74"/>
  <c r="H124" i="74"/>
  <c r="H128" i="74"/>
  <c r="G139" i="83"/>
  <c r="G141" i="83"/>
  <c r="G140" i="83"/>
  <c r="G135" i="83"/>
  <c r="G137" i="83"/>
  <c r="G143" i="83"/>
  <c r="G138" i="83"/>
  <c r="G130" i="103"/>
  <c r="G125" i="103"/>
  <c r="G123" i="9"/>
  <c r="G131" i="9"/>
  <c r="G155" i="9" s="1"/>
  <c r="H137" i="129"/>
  <c r="H135" i="129"/>
  <c r="H140" i="129"/>
  <c r="H142" i="129"/>
  <c r="H136" i="129"/>
  <c r="H143" i="129"/>
  <c r="H138" i="129"/>
  <c r="H141" i="129"/>
  <c r="H128" i="124"/>
  <c r="H127" i="124"/>
  <c r="H130" i="125"/>
  <c r="H131" i="125"/>
  <c r="H126" i="125"/>
  <c r="H123" i="125"/>
  <c r="H124" i="125"/>
  <c r="H125" i="125"/>
  <c r="H128" i="125"/>
  <c r="G139" i="128"/>
  <c r="G136" i="128"/>
  <c r="G128" i="128"/>
  <c r="G131" i="128"/>
  <c r="G126" i="128"/>
  <c r="G124" i="128"/>
  <c r="G127" i="128"/>
  <c r="G125" i="128"/>
  <c r="G130" i="128"/>
  <c r="G123" i="123"/>
  <c r="G125" i="123"/>
  <c r="G130" i="123"/>
  <c r="G127" i="123"/>
  <c r="G131" i="123"/>
  <c r="G128" i="123"/>
  <c r="G126" i="123"/>
  <c r="G119" i="106"/>
  <c r="G116" i="106"/>
  <c r="G114" i="106"/>
  <c r="G118" i="106"/>
  <c r="G115" i="95"/>
  <c r="G116" i="95"/>
  <c r="G152" i="95" s="1"/>
  <c r="G112" i="95"/>
  <c r="G148" i="95" s="1"/>
  <c r="G114" i="95"/>
  <c r="G150" i="95" s="1"/>
  <c r="G119" i="95"/>
  <c r="G155" i="95" s="1"/>
  <c r="N117" i="94"/>
  <c r="N113" i="94"/>
  <c r="N114" i="94"/>
  <c r="N112" i="94"/>
  <c r="N118" i="94"/>
  <c r="N111" i="94"/>
  <c r="N116" i="94"/>
  <c r="G118" i="74"/>
  <c r="G154" i="74" s="1"/>
  <c r="G119" i="74"/>
  <c r="G155" i="74" s="1"/>
  <c r="G117" i="74"/>
  <c r="G153" i="74" s="1"/>
  <c r="G116" i="74"/>
  <c r="G152" i="74" s="1"/>
  <c r="G114" i="74"/>
  <c r="G150" i="74" s="1"/>
  <c r="G112" i="74"/>
  <c r="G148" i="74" s="1"/>
  <c r="G111" i="74"/>
  <c r="G115" i="74"/>
  <c r="G151" i="74" s="1"/>
  <c r="N113" i="102"/>
  <c r="N119" i="102"/>
  <c r="N118" i="102"/>
  <c r="N114" i="102"/>
  <c r="N112" i="102"/>
  <c r="N111" i="102"/>
  <c r="N115" i="102"/>
  <c r="F78" i="79"/>
  <c r="F78" i="95"/>
  <c r="F79" i="95" s="1"/>
  <c r="N125" i="83"/>
  <c r="N129" i="83"/>
  <c r="N123" i="103"/>
  <c r="N126" i="103"/>
  <c r="N124" i="80"/>
  <c r="N128" i="80"/>
  <c r="N126" i="83"/>
  <c r="N130" i="83"/>
  <c r="N127" i="103"/>
  <c r="N128" i="103"/>
  <c r="N125" i="80"/>
  <c r="N129" i="80"/>
  <c r="N123" i="83"/>
  <c r="N127" i="83"/>
  <c r="N129" i="103"/>
  <c r="N131" i="103"/>
  <c r="N126" i="80"/>
  <c r="N53" i="88"/>
  <c r="H52" i="86"/>
  <c r="H77" i="104"/>
  <c r="H78" i="104" s="1"/>
  <c r="H79" i="104" s="1"/>
  <c r="N132" i="75"/>
  <c r="H14" i="97"/>
  <c r="G76" i="97"/>
  <c r="G76" i="95"/>
  <c r="F76" i="97"/>
  <c r="F78" i="97" s="1"/>
  <c r="F79" i="97" s="1"/>
  <c r="G77" i="87"/>
  <c r="F76" i="106"/>
  <c r="F78" i="106" s="1"/>
  <c r="F79" i="106" s="1"/>
  <c r="G14" i="110"/>
  <c r="H14" i="110" s="1"/>
  <c r="G76" i="76"/>
  <c r="H76" i="77"/>
  <c r="H77" i="77" s="1"/>
  <c r="H78" i="77" s="1"/>
  <c r="H79" i="77" s="1"/>
  <c r="G14" i="96"/>
  <c r="H14" i="96" s="1"/>
  <c r="H76" i="96" s="1"/>
  <c r="G14" i="84"/>
  <c r="F78" i="108"/>
  <c r="F78" i="77"/>
  <c r="G76" i="108"/>
  <c r="N53" i="81"/>
  <c r="F44" i="102"/>
  <c r="F53" i="102" s="1"/>
  <c r="F54" i="102" s="1"/>
  <c r="F44" i="101"/>
  <c r="F53" i="101" s="1"/>
  <c r="F54" i="101" s="1"/>
  <c r="N44" i="108"/>
  <c r="N44" i="100"/>
  <c r="N53" i="84"/>
  <c r="H52" i="84"/>
  <c r="G53" i="92"/>
  <c r="H48" i="126"/>
  <c r="N53" i="89"/>
  <c r="N117" i="89" s="1"/>
  <c r="N53" i="86"/>
  <c r="N116" i="86" s="1"/>
  <c r="N53" i="91"/>
  <c r="G53" i="102"/>
  <c r="G54" i="102" s="1"/>
  <c r="N44" i="110"/>
  <c r="N53" i="110" s="1"/>
  <c r="H48" i="95"/>
  <c r="G44" i="78"/>
  <c r="G48" i="90"/>
  <c r="G49" i="90" s="1"/>
  <c r="G50" i="90" s="1"/>
  <c r="G44" i="81"/>
  <c r="G44" i="100"/>
  <c r="G53" i="100" s="1"/>
  <c r="G48" i="88"/>
  <c r="G49" i="88" s="1"/>
  <c r="G50" i="88" s="1"/>
  <c r="N44" i="76"/>
  <c r="N53" i="76" s="1"/>
  <c r="H48" i="127"/>
  <c r="N44" i="127"/>
  <c r="N44" i="126"/>
  <c r="N53" i="126" s="1"/>
  <c r="N53" i="92"/>
  <c r="N116" i="92" s="1"/>
  <c r="G49" i="96"/>
  <c r="G50" i="96" s="1"/>
  <c r="N53" i="108"/>
  <c r="N53" i="100"/>
  <c r="N44" i="90"/>
  <c r="N53" i="90" s="1"/>
  <c r="N44" i="101"/>
  <c r="H48" i="129"/>
  <c r="F49" i="110"/>
  <c r="F49" i="109"/>
  <c r="F49" i="78"/>
  <c r="F49" i="9"/>
  <c r="F49" i="96"/>
  <c r="F49" i="94"/>
  <c r="F49" i="91"/>
  <c r="F44" i="100"/>
  <c r="F44" i="99"/>
  <c r="F49" i="126"/>
  <c r="G53" i="90"/>
  <c r="G117" i="90" s="1"/>
  <c r="G153" i="90" s="1"/>
  <c r="G53" i="84"/>
  <c r="N53" i="78"/>
  <c r="N44" i="83"/>
  <c r="G44" i="91"/>
  <c r="G48" i="78"/>
  <c r="G48" i="80"/>
  <c r="G49" i="80" s="1"/>
  <c r="G50" i="80" s="1"/>
  <c r="G48" i="94"/>
  <c r="G49" i="94" s="1"/>
  <c r="G50" i="94" s="1"/>
  <c r="F49" i="89"/>
  <c r="N44" i="124"/>
  <c r="N53" i="124" s="1"/>
  <c r="F49" i="124"/>
  <c r="G53" i="83"/>
  <c r="N53" i="97"/>
  <c r="N119" i="97" s="1"/>
  <c r="G53" i="85"/>
  <c r="G113" i="85" s="1"/>
  <c r="G53" i="104"/>
  <c r="G54" i="104" s="1"/>
  <c r="H48" i="100"/>
  <c r="N44" i="125"/>
  <c r="N53" i="125" s="1"/>
  <c r="F76" i="88"/>
  <c r="F78" i="88" s="1"/>
  <c r="F79" i="88" s="1"/>
  <c r="H14" i="92"/>
  <c r="H76" i="92" s="1"/>
  <c r="G76" i="92"/>
  <c r="F78" i="103"/>
  <c r="F79" i="103" s="1"/>
  <c r="G77" i="103"/>
  <c r="G14" i="107"/>
  <c r="H14" i="107" s="1"/>
  <c r="H76" i="107" s="1"/>
  <c r="F78" i="76"/>
  <c r="F78" i="93"/>
  <c r="F79" i="93" s="1"/>
  <c r="G77" i="94"/>
  <c r="G78" i="94" s="1"/>
  <c r="G79" i="94" s="1"/>
  <c r="H14" i="94"/>
  <c r="F78" i="85"/>
  <c r="F79" i="85" s="1"/>
  <c r="N113" i="89"/>
  <c r="G49" i="86"/>
  <c r="G50" i="86" s="1"/>
  <c r="G53" i="86"/>
  <c r="N115" i="92"/>
  <c r="N116" i="100"/>
  <c r="N117" i="100"/>
  <c r="N114" i="100"/>
  <c r="N113" i="100"/>
  <c r="N118" i="100"/>
  <c r="G49" i="78"/>
  <c r="G50" i="78" s="1"/>
  <c r="G53" i="78"/>
  <c r="G53" i="81"/>
  <c r="G49" i="81"/>
  <c r="G50" i="81" s="1"/>
  <c r="G111" i="92"/>
  <c r="G117" i="92"/>
  <c r="G113" i="92"/>
  <c r="G118" i="92"/>
  <c r="G116" i="92"/>
  <c r="G114" i="92"/>
  <c r="G117" i="85"/>
  <c r="G153" i="85" s="1"/>
  <c r="G112" i="104"/>
  <c r="G115" i="104"/>
  <c r="G151" i="104" s="1"/>
  <c r="G111" i="104"/>
  <c r="G147" i="104" s="1"/>
  <c r="G116" i="104"/>
  <c r="G152" i="104" s="1"/>
  <c r="G117" i="104"/>
  <c r="G153" i="104" s="1"/>
  <c r="G114" i="104"/>
  <c r="G150" i="104" s="1"/>
  <c r="G118" i="104"/>
  <c r="G154" i="104" s="1"/>
  <c r="G113" i="104"/>
  <c r="G149" i="104" s="1"/>
  <c r="G119" i="104"/>
  <c r="G155" i="104" s="1"/>
  <c r="N118" i="78"/>
  <c r="N111" i="78"/>
  <c r="N113" i="78"/>
  <c r="N117" i="78"/>
  <c r="N116" i="78"/>
  <c r="N115" i="78"/>
  <c r="N114" i="78"/>
  <c r="G49" i="91"/>
  <c r="G50" i="91" s="1"/>
  <c r="G53" i="91"/>
  <c r="G49" i="123"/>
  <c r="G53" i="123"/>
  <c r="F49" i="86"/>
  <c r="F53" i="86"/>
  <c r="F54" i="86" s="1"/>
  <c r="F61" i="84"/>
  <c r="F50" i="84"/>
  <c r="F49" i="80"/>
  <c r="F53" i="80"/>
  <c r="F54" i="80" s="1"/>
  <c r="F49" i="75"/>
  <c r="F53" i="75"/>
  <c r="F54" i="75" s="1"/>
  <c r="F49" i="97"/>
  <c r="F53" i="97"/>
  <c r="F54" i="97" s="1"/>
  <c r="N115" i="97"/>
  <c r="N114" i="97"/>
  <c r="G112" i="84"/>
  <c r="G118" i="84"/>
  <c r="G114" i="84"/>
  <c r="G117" i="84"/>
  <c r="G111" i="84"/>
  <c r="G113" i="84"/>
  <c r="G115" i="84"/>
  <c r="N117" i="86"/>
  <c r="N113" i="86"/>
  <c r="N119" i="86"/>
  <c r="N114" i="86"/>
  <c r="N118" i="86"/>
  <c r="N112" i="86"/>
  <c r="N115" i="86"/>
  <c r="N111" i="86"/>
  <c r="N114" i="91"/>
  <c r="N113" i="91"/>
  <c r="G119" i="102"/>
  <c r="G113" i="102"/>
  <c r="G112" i="102"/>
  <c r="G117" i="102"/>
  <c r="G153" i="102" s="1"/>
  <c r="G116" i="102"/>
  <c r="G152" i="102" s="1"/>
  <c r="G111" i="102"/>
  <c r="G115" i="102"/>
  <c r="G151" i="102" s="1"/>
  <c r="G114" i="102"/>
  <c r="G150" i="102" s="1"/>
  <c r="G118" i="102"/>
  <c r="G154" i="102" s="1"/>
  <c r="F61" i="103"/>
  <c r="F50" i="103"/>
  <c r="G120" i="105"/>
  <c r="N119" i="90"/>
  <c r="G113" i="99"/>
  <c r="G113" i="106"/>
  <c r="G117" i="106"/>
  <c r="F51" i="89"/>
  <c r="F54" i="89" s="1"/>
  <c r="F53" i="91"/>
  <c r="F54" i="91" s="1"/>
  <c r="G53" i="125"/>
  <c r="G52" i="127"/>
  <c r="G51" i="121"/>
  <c r="G51" i="125"/>
  <c r="N53" i="127"/>
  <c r="F52" i="129"/>
  <c r="F51" i="129"/>
  <c r="F53" i="129"/>
  <c r="F52" i="124"/>
  <c r="F54" i="124" s="1"/>
  <c r="F51" i="128"/>
  <c r="F54" i="128" s="1"/>
  <c r="F53" i="85"/>
  <c r="F54" i="85" s="1"/>
  <c r="H51" i="83"/>
  <c r="F53" i="79"/>
  <c r="F54" i="79" s="1"/>
  <c r="N53" i="101"/>
  <c r="F52" i="95"/>
  <c r="F51" i="76"/>
  <c r="F54" i="76" s="1"/>
  <c r="G51" i="77"/>
  <c r="N53" i="98"/>
  <c r="N53" i="105"/>
  <c r="F52" i="83"/>
  <c r="F54" i="83" s="1"/>
  <c r="N44" i="99"/>
  <c r="N53" i="99" s="1"/>
  <c r="D20" i="134"/>
  <c r="E20" i="134"/>
  <c r="D79" i="2"/>
  <c r="E19" i="134"/>
  <c r="E21" i="134" s="1"/>
  <c r="E13" i="134" s="1"/>
  <c r="G44" i="124"/>
  <c r="G44" i="129"/>
  <c r="F50" i="124"/>
  <c r="F61" i="124"/>
  <c r="F50" i="129"/>
  <c r="F61" i="129"/>
  <c r="G48" i="100"/>
  <c r="G49" i="100" s="1"/>
  <c r="G50" i="100" s="1"/>
  <c r="N44" i="74"/>
  <c r="N53" i="74" s="1"/>
  <c r="G44" i="79"/>
  <c r="F19" i="134"/>
  <c r="E79" i="2"/>
  <c r="E87" i="2"/>
  <c r="E89" i="2" s="1"/>
  <c r="D19" i="134"/>
  <c r="D21" i="134" s="1"/>
  <c r="D13" i="134" s="1"/>
  <c r="G111" i="99"/>
  <c r="G111" i="106"/>
  <c r="G115" i="106"/>
  <c r="G50" i="127"/>
  <c r="G61" i="127"/>
  <c r="G44" i="128"/>
  <c r="G49" i="126"/>
  <c r="F49" i="85"/>
  <c r="F61" i="77"/>
  <c r="F50" i="77"/>
  <c r="F61" i="93"/>
  <c r="F50" i="93"/>
  <c r="F49" i="106"/>
  <c r="F49" i="102"/>
  <c r="J56" i="110"/>
  <c r="J56" i="107"/>
  <c r="N56" i="110"/>
  <c r="N56" i="107"/>
  <c r="N44" i="9"/>
  <c r="N53" i="9" s="1"/>
  <c r="G44" i="103"/>
  <c r="G44" i="93"/>
  <c r="G53" i="93" s="1"/>
  <c r="N44" i="106"/>
  <c r="N53" i="106" s="1"/>
  <c r="G61" i="81"/>
  <c r="F50" i="126"/>
  <c r="F61" i="126"/>
  <c r="F50" i="125"/>
  <c r="F61" i="125"/>
  <c r="H47" i="76"/>
  <c r="H47" i="101"/>
  <c r="H52" i="101" s="1"/>
  <c r="H47" i="82"/>
  <c r="H47" i="96"/>
  <c r="H47" i="83"/>
  <c r="I30" i="2"/>
  <c r="J30" i="2" s="1"/>
  <c r="K30" i="2" s="1"/>
  <c r="L30" i="2" s="1"/>
  <c r="M30" i="2" s="1"/>
  <c r="N30" i="2" s="1"/>
  <c r="H47" i="123"/>
  <c r="H47" i="128"/>
  <c r="H52" i="128" s="1"/>
  <c r="H56" i="110"/>
  <c r="L56" i="108"/>
  <c r="G47" i="124"/>
  <c r="G47" i="125"/>
  <c r="F44" i="121"/>
  <c r="F50" i="128"/>
  <c r="H47" i="79"/>
  <c r="F87" i="2"/>
  <c r="H47" i="94"/>
  <c r="H52" i="94" s="1"/>
  <c r="H47" i="87"/>
  <c r="H47" i="125"/>
  <c r="H47" i="124"/>
  <c r="H52" i="124" s="1"/>
  <c r="G47" i="121"/>
  <c r="G47" i="129"/>
  <c r="F78" i="87"/>
  <c r="F79" i="87" s="1"/>
  <c r="N130" i="97"/>
  <c r="G61" i="77"/>
  <c r="N127" i="79"/>
  <c r="N47" i="123"/>
  <c r="N131" i="102"/>
  <c r="G83" i="87"/>
  <c r="G78" i="87"/>
  <c r="G79" i="87" s="1"/>
  <c r="G49" i="93"/>
  <c r="G20" i="134"/>
  <c r="N130" i="9"/>
  <c r="N126" i="9"/>
  <c r="N128" i="9"/>
  <c r="N124" i="9"/>
  <c r="N131" i="81"/>
  <c r="N129" i="81"/>
  <c r="N128" i="81"/>
  <c r="N131" i="106"/>
  <c r="N127" i="106"/>
  <c r="N123" i="106"/>
  <c r="N129" i="106"/>
  <c r="N125" i="106"/>
  <c r="N129" i="79"/>
  <c r="N128" i="79"/>
  <c r="N125" i="79"/>
  <c r="N124" i="79"/>
  <c r="N124" i="97"/>
  <c r="N125" i="97"/>
  <c r="N126" i="97"/>
  <c r="N129" i="97"/>
  <c r="N123" i="97"/>
  <c r="N123" i="79"/>
  <c r="N130" i="79"/>
  <c r="N128" i="97"/>
  <c r="N128" i="102"/>
  <c r="N124" i="102"/>
  <c r="N129" i="102"/>
  <c r="N125" i="102"/>
  <c r="N47" i="110"/>
  <c r="N47" i="82"/>
  <c r="N47" i="9"/>
  <c r="N47" i="81"/>
  <c r="N47" i="103"/>
  <c r="N47" i="98"/>
  <c r="N47" i="86"/>
  <c r="N47" i="85"/>
  <c r="N47" i="94"/>
  <c r="N47" i="88"/>
  <c r="N47" i="124"/>
  <c r="N47" i="129"/>
  <c r="G61" i="93"/>
  <c r="G50" i="93"/>
  <c r="G21" i="134"/>
  <c r="G13" i="134" s="1"/>
  <c r="F50" i="74"/>
  <c r="F61" i="74"/>
  <c r="F61" i="75"/>
  <c r="F50" i="75"/>
  <c r="N47" i="79"/>
  <c r="N47" i="77"/>
  <c r="N47" i="108"/>
  <c r="N47" i="106"/>
  <c r="N47" i="90"/>
  <c r="N47" i="107"/>
  <c r="N47" i="100"/>
  <c r="N47" i="105"/>
  <c r="N47" i="102"/>
  <c r="N47" i="127"/>
  <c r="F61" i="96"/>
  <c r="F50" i="96"/>
  <c r="G46" i="107"/>
  <c r="G47" i="110"/>
  <c r="H47" i="108"/>
  <c r="G46" i="109"/>
  <c r="N53" i="83"/>
  <c r="G53" i="96"/>
  <c r="F51" i="95"/>
  <c r="F54" i="95" s="1"/>
  <c r="H46" i="110"/>
  <c r="G47" i="108"/>
  <c r="H47" i="107"/>
  <c r="H46" i="109"/>
  <c r="H48" i="109" s="1"/>
  <c r="G61" i="74"/>
  <c r="G61" i="88"/>
  <c r="G61" i="105"/>
  <c r="G46" i="110"/>
  <c r="H46" i="108"/>
  <c r="G36" i="109"/>
  <c r="N53" i="104"/>
  <c r="F52" i="84"/>
  <c r="F54" i="84" s="1"/>
  <c r="F51" i="110"/>
  <c r="F54" i="110" s="1"/>
  <c r="F57" i="110" s="1"/>
  <c r="F20" i="134"/>
  <c r="H47" i="110"/>
  <c r="N130" i="74"/>
  <c r="N124" i="74"/>
  <c r="N131" i="74"/>
  <c r="N128" i="74"/>
  <c r="N123" i="74"/>
  <c r="N129" i="74"/>
  <c r="N126" i="74"/>
  <c r="N127" i="74"/>
  <c r="N125" i="74"/>
  <c r="N126" i="105"/>
  <c r="N131" i="105"/>
  <c r="N124" i="105"/>
  <c r="N123" i="105"/>
  <c r="N130" i="105"/>
  <c r="N129" i="105"/>
  <c r="N127" i="105"/>
  <c r="N128" i="105"/>
  <c r="N125" i="105"/>
  <c r="N128" i="96"/>
  <c r="N124" i="96"/>
  <c r="N131" i="96"/>
  <c r="N127" i="96"/>
  <c r="N123" i="96"/>
  <c r="N130" i="96"/>
  <c r="N126" i="96"/>
  <c r="N129" i="96"/>
  <c r="N125" i="96"/>
  <c r="N131" i="77"/>
  <c r="N127" i="77"/>
  <c r="N123" i="77"/>
  <c r="N130" i="77"/>
  <c r="N126" i="77"/>
  <c r="N129" i="77"/>
  <c r="N125" i="77"/>
  <c r="N128" i="77"/>
  <c r="N124" i="77"/>
  <c r="N130" i="123"/>
  <c r="N131" i="123"/>
  <c r="N129" i="123"/>
  <c r="N128" i="123"/>
  <c r="N127" i="123"/>
  <c r="N126" i="123"/>
  <c r="N123" i="123"/>
  <c r="N124" i="123"/>
  <c r="N125" i="123"/>
  <c r="F61" i="98"/>
  <c r="G61" i="98" s="1"/>
  <c r="F50" i="98"/>
  <c r="N128" i="126"/>
  <c r="N125" i="126"/>
  <c r="N126" i="126"/>
  <c r="N131" i="126"/>
  <c r="N124" i="126"/>
  <c r="N127" i="126"/>
  <c r="N130" i="126"/>
  <c r="N129" i="126"/>
  <c r="N123" i="126"/>
  <c r="F50" i="97"/>
  <c r="F61" i="97"/>
  <c r="G61" i="97" s="1"/>
  <c r="N131" i="85"/>
  <c r="N123" i="85"/>
  <c r="N124" i="85"/>
  <c r="N129" i="85"/>
  <c r="N130" i="85"/>
  <c r="N127" i="85"/>
  <c r="N128" i="85"/>
  <c r="N125" i="85"/>
  <c r="N126" i="85"/>
  <c r="N126" i="101"/>
  <c r="N127" i="101"/>
  <c r="N124" i="101"/>
  <c r="N123" i="101"/>
  <c r="N130" i="101"/>
  <c r="N129" i="101"/>
  <c r="N131" i="101"/>
  <c r="N128" i="101"/>
  <c r="N125" i="101"/>
  <c r="N128" i="124"/>
  <c r="N124" i="124"/>
  <c r="N131" i="124"/>
  <c r="N127" i="124"/>
  <c r="N123" i="124"/>
  <c r="N130" i="124"/>
  <c r="N126" i="124"/>
  <c r="N129" i="124"/>
  <c r="N125" i="124"/>
  <c r="F61" i="76"/>
  <c r="G61" i="76" s="1"/>
  <c r="F50" i="76"/>
  <c r="N128" i="100"/>
  <c r="N129" i="100"/>
  <c r="N126" i="100"/>
  <c r="N127" i="100"/>
  <c r="N124" i="100"/>
  <c r="N125" i="100"/>
  <c r="N130" i="100"/>
  <c r="N131" i="100"/>
  <c r="N123" i="100"/>
  <c r="N125" i="76"/>
  <c r="N131" i="76"/>
  <c r="N130" i="76"/>
  <c r="N127" i="76"/>
  <c r="N128" i="76"/>
  <c r="N123" i="76"/>
  <c r="N129" i="76"/>
  <c r="N124" i="76"/>
  <c r="N126" i="76"/>
  <c r="N130" i="86"/>
  <c r="N126" i="86"/>
  <c r="N129" i="86"/>
  <c r="N125" i="86"/>
  <c r="N128" i="86"/>
  <c r="N124" i="86"/>
  <c r="N131" i="86"/>
  <c r="N127" i="86"/>
  <c r="N123" i="86"/>
  <c r="N131" i="127"/>
  <c r="N123" i="127"/>
  <c r="N128" i="127"/>
  <c r="N129" i="127"/>
  <c r="N130" i="127"/>
  <c r="N127" i="127"/>
  <c r="N126" i="127"/>
  <c r="N125" i="127"/>
  <c r="N124" i="127"/>
  <c r="G61" i="90"/>
  <c r="G61" i="104"/>
  <c r="G61" i="96"/>
  <c r="N44" i="109"/>
  <c r="G61" i="95"/>
  <c r="G61" i="75"/>
  <c r="N44" i="82"/>
  <c r="G61" i="84"/>
  <c r="N44" i="129"/>
  <c r="G61" i="82"/>
  <c r="G61" i="83"/>
  <c r="G50" i="126"/>
  <c r="P16" i="14"/>
  <c r="T16" i="14"/>
  <c r="P16" i="111"/>
  <c r="T16" i="111"/>
  <c r="Q16" i="14"/>
  <c r="Q16" i="111"/>
  <c r="G132" i="94"/>
  <c r="N120" i="77"/>
  <c r="F21" i="134"/>
  <c r="F13" i="134" s="1"/>
  <c r="H13" i="134" s="1"/>
  <c r="D12" i="134"/>
  <c r="E12" i="134"/>
  <c r="E14" i="134" s="1"/>
  <c r="F79" i="77"/>
  <c r="J77" i="106"/>
  <c r="J78" i="106" s="1"/>
  <c r="J79" i="106" s="1"/>
  <c r="G83" i="94"/>
  <c r="N120" i="80"/>
  <c r="F54" i="123"/>
  <c r="F54" i="88"/>
  <c r="F79" i="94"/>
  <c r="F79" i="79"/>
  <c r="F79" i="75"/>
  <c r="F79" i="86"/>
  <c r="F79" i="110"/>
  <c r="N53" i="109"/>
  <c r="G51" i="108"/>
  <c r="H51" i="110"/>
  <c r="N22" i="133" s="1"/>
  <c r="H51" i="107"/>
  <c r="N23" i="133" s="1"/>
  <c r="G52" i="108"/>
  <c r="H52" i="110"/>
  <c r="U22" i="133" s="1"/>
  <c r="G51" i="109"/>
  <c r="F79" i="109"/>
  <c r="F79" i="107"/>
  <c r="F79" i="108"/>
  <c r="F80" i="108" s="1"/>
  <c r="F82" i="108" s="1"/>
  <c r="N53" i="82"/>
  <c r="H52" i="109"/>
  <c r="F79" i="76"/>
  <c r="N53" i="129"/>
  <c r="N38" i="111"/>
  <c r="G51" i="110"/>
  <c r="G51" i="107"/>
  <c r="H51" i="108"/>
  <c r="N24" i="133" s="1"/>
  <c r="G52" i="110"/>
  <c r="G52" i="107"/>
  <c r="H52" i="108"/>
  <c r="U24" i="133" s="1"/>
  <c r="G76" i="110"/>
  <c r="F76" i="123"/>
  <c r="F78" i="123" s="1"/>
  <c r="F79" i="123" s="1"/>
  <c r="G76" i="107"/>
  <c r="G77" i="121"/>
  <c r="G83" i="121" s="1"/>
  <c r="P14" i="121"/>
  <c r="G14" i="9"/>
  <c r="G76" i="9" s="1"/>
  <c r="F76" i="9"/>
  <c r="F78" i="9" s="1"/>
  <c r="F79" i="9" s="1"/>
  <c r="H14" i="85"/>
  <c r="G76" i="85"/>
  <c r="G78" i="77"/>
  <c r="G79" i="77" s="1"/>
  <c r="G83" i="77"/>
  <c r="H83" i="77" s="1"/>
  <c r="H77" i="121"/>
  <c r="H78" i="121" s="1"/>
  <c r="H79" i="121" s="1"/>
  <c r="H14" i="123"/>
  <c r="O14" i="123" s="1"/>
  <c r="O14" i="121"/>
  <c r="H76" i="93"/>
  <c r="G77" i="93"/>
  <c r="G83" i="93" s="1"/>
  <c r="H14" i="79"/>
  <c r="G76" i="79"/>
  <c r="F76" i="78"/>
  <c r="F78" i="78" s="1"/>
  <c r="F79" i="78" s="1"/>
  <c r="G14" i="78"/>
  <c r="F76" i="80"/>
  <c r="G14" i="80"/>
  <c r="F76" i="74"/>
  <c r="F78" i="74" s="1"/>
  <c r="F79" i="74" s="1"/>
  <c r="G14" i="74"/>
  <c r="F76" i="82"/>
  <c r="G14" i="82"/>
  <c r="F78" i="104"/>
  <c r="F79" i="104" s="1"/>
  <c r="G77" i="104"/>
  <c r="F78" i="90"/>
  <c r="F79" i="90" s="1"/>
  <c r="G77" i="90"/>
  <c r="F76" i="83"/>
  <c r="F76" i="81"/>
  <c r="H14" i="81"/>
  <c r="H76" i="94"/>
  <c r="H77" i="90"/>
  <c r="H78" i="90" s="1"/>
  <c r="H79" i="90" s="1"/>
  <c r="K77" i="105"/>
  <c r="K78" i="105" s="1"/>
  <c r="K79" i="105" s="1"/>
  <c r="H77" i="91"/>
  <c r="H78" i="91" s="1"/>
  <c r="H79" i="91" s="1"/>
  <c r="M21" i="133"/>
  <c r="U21" i="133"/>
  <c r="H14" i="109"/>
  <c r="H76" i="109" s="1"/>
  <c r="G76" i="109"/>
  <c r="G43" i="109"/>
  <c r="G39" i="109"/>
  <c r="G35" i="109"/>
  <c r="H51" i="109"/>
  <c r="G47" i="109"/>
  <c r="G52" i="109" s="1"/>
  <c r="G40" i="109"/>
  <c r="P76" i="123"/>
  <c r="H76" i="108"/>
  <c r="H76" i="110"/>
  <c r="G76" i="88"/>
  <c r="F78" i="121"/>
  <c r="F79" i="121" s="1"/>
  <c r="I77" i="121"/>
  <c r="I78" i="121" s="1"/>
  <c r="I79" i="121" s="1"/>
  <c r="J76" i="121"/>
  <c r="N132" i="103"/>
  <c r="P14" i="123"/>
  <c r="N132" i="83"/>
  <c r="N126" i="82"/>
  <c r="N130" i="82"/>
  <c r="N130" i="81"/>
  <c r="N127" i="81"/>
  <c r="N124" i="92"/>
  <c r="N125" i="92"/>
  <c r="N130" i="92"/>
  <c r="N129" i="92"/>
  <c r="N131" i="92"/>
  <c r="N128" i="92"/>
  <c r="N123" i="92"/>
  <c r="N126" i="92"/>
  <c r="N127" i="92"/>
  <c r="N131" i="90"/>
  <c r="N127" i="90"/>
  <c r="N124" i="90"/>
  <c r="N130" i="90"/>
  <c r="N123" i="90"/>
  <c r="N129" i="90"/>
  <c r="N126" i="90"/>
  <c r="N128" i="90"/>
  <c r="N125" i="90"/>
  <c r="N131" i="98"/>
  <c r="N127" i="98"/>
  <c r="N123" i="98"/>
  <c r="N130" i="98"/>
  <c r="N126" i="98"/>
  <c r="N129" i="98"/>
  <c r="N125" i="98"/>
  <c r="N128" i="98"/>
  <c r="N124" i="98"/>
  <c r="N124" i="82"/>
  <c r="N126" i="81"/>
  <c r="N123" i="81"/>
  <c r="N131" i="95"/>
  <c r="N125" i="95"/>
  <c r="N128" i="95"/>
  <c r="N123" i="95"/>
  <c r="N126" i="95"/>
  <c r="N129" i="95"/>
  <c r="N130" i="95"/>
  <c r="N124" i="95"/>
  <c r="N127" i="95"/>
  <c r="N128" i="94"/>
  <c r="N124" i="94"/>
  <c r="N131" i="94"/>
  <c r="N127" i="94"/>
  <c r="N123" i="94"/>
  <c r="N130" i="94"/>
  <c r="N126" i="94"/>
  <c r="N129" i="94"/>
  <c r="N125" i="94"/>
  <c r="N126" i="128"/>
  <c r="N131" i="128"/>
  <c r="N124" i="128"/>
  <c r="N123" i="128"/>
  <c r="N130" i="128"/>
  <c r="N129" i="128"/>
  <c r="N127" i="128"/>
  <c r="N128" i="128"/>
  <c r="N125" i="128"/>
  <c r="N116" i="87"/>
  <c r="N112" i="87"/>
  <c r="N119" i="87"/>
  <c r="N115" i="87"/>
  <c r="N111" i="87"/>
  <c r="N118" i="87"/>
  <c r="N114" i="87"/>
  <c r="N117" i="87"/>
  <c r="N113" i="87"/>
  <c r="H14" i="9"/>
  <c r="N129" i="87"/>
  <c r="N130" i="87"/>
  <c r="N126" i="87"/>
  <c r="N131" i="87"/>
  <c r="N125" i="87"/>
  <c r="N123" i="87"/>
  <c r="N128" i="87"/>
  <c r="N124" i="87"/>
  <c r="N127" i="87"/>
  <c r="N128" i="84"/>
  <c r="N124" i="84"/>
  <c r="N127" i="84"/>
  <c r="N123" i="84"/>
  <c r="N130" i="84"/>
  <c r="N126" i="84"/>
  <c r="N131" i="84"/>
  <c r="N129" i="84"/>
  <c r="N125" i="84"/>
  <c r="N130" i="91"/>
  <c r="N126" i="91"/>
  <c r="N129" i="91"/>
  <c r="N124" i="91"/>
  <c r="N128" i="91"/>
  <c r="N123" i="91"/>
  <c r="N131" i="91"/>
  <c r="N127" i="91"/>
  <c r="N125" i="91"/>
  <c r="G77" i="95"/>
  <c r="K77" i="91"/>
  <c r="K78" i="91" s="1"/>
  <c r="K79" i="91" s="1"/>
  <c r="H77" i="105"/>
  <c r="H78" i="105" s="1"/>
  <c r="H79" i="105" s="1"/>
  <c r="F78" i="105"/>
  <c r="F79" i="105" s="1"/>
  <c r="I77" i="105"/>
  <c r="I78" i="105" s="1"/>
  <c r="I79" i="105" s="1"/>
  <c r="J77" i="105"/>
  <c r="J78" i="105" s="1"/>
  <c r="J79" i="105" s="1"/>
  <c r="N112" i="82"/>
  <c r="N115" i="82"/>
  <c r="N116" i="82"/>
  <c r="N114" i="82"/>
  <c r="N111" i="82"/>
  <c r="G77" i="91"/>
  <c r="J77" i="91"/>
  <c r="J78" i="91" s="1"/>
  <c r="J79" i="91" s="1"/>
  <c r="F78" i="91"/>
  <c r="F79" i="91" s="1"/>
  <c r="I77" i="91"/>
  <c r="I78" i="91" s="1"/>
  <c r="I79" i="91" s="1"/>
  <c r="I77" i="104"/>
  <c r="I78" i="104" s="1"/>
  <c r="I79" i="104" s="1"/>
  <c r="H77" i="103"/>
  <c r="H78" i="103" s="1"/>
  <c r="H79" i="103" s="1"/>
  <c r="N35" i="121"/>
  <c r="N37" i="121"/>
  <c r="N38" i="121"/>
  <c r="N40" i="121"/>
  <c r="N43" i="121"/>
  <c r="N36" i="121"/>
  <c r="I56" i="2"/>
  <c r="H36" i="129"/>
  <c r="H36" i="123"/>
  <c r="H36" i="93"/>
  <c r="H36" i="79"/>
  <c r="H36" i="87"/>
  <c r="H36" i="88"/>
  <c r="H36" i="84"/>
  <c r="H36" i="105"/>
  <c r="H36" i="100"/>
  <c r="H36" i="85"/>
  <c r="H36" i="95"/>
  <c r="H36" i="99"/>
  <c r="H36" i="90"/>
  <c r="H36" i="75"/>
  <c r="H36" i="110"/>
  <c r="H36" i="124"/>
  <c r="H36" i="127"/>
  <c r="H36" i="83"/>
  <c r="H36" i="74"/>
  <c r="H36" i="104"/>
  <c r="H36" i="89"/>
  <c r="H36" i="9"/>
  <c r="H36" i="102"/>
  <c r="H36" i="94"/>
  <c r="H36" i="97"/>
  <c r="H36" i="103"/>
  <c r="H36" i="108"/>
  <c r="H36" i="126"/>
  <c r="H36" i="128"/>
  <c r="H36" i="78"/>
  <c r="H36" i="80"/>
  <c r="H36" i="82"/>
  <c r="H36" i="106"/>
  <c r="H36" i="81"/>
  <c r="H36" i="86"/>
  <c r="H36" i="98"/>
  <c r="H36" i="76"/>
  <c r="H36" i="109"/>
  <c r="H36" i="107"/>
  <c r="H36" i="125"/>
  <c r="H36" i="121"/>
  <c r="H36" i="96"/>
  <c r="H36" i="92"/>
  <c r="H36" i="101"/>
  <c r="H36" i="77"/>
  <c r="H36" i="91"/>
  <c r="I59" i="2"/>
  <c r="H39" i="109"/>
  <c r="H39" i="107"/>
  <c r="H39" i="124"/>
  <c r="H39" i="123"/>
  <c r="H39" i="81"/>
  <c r="H39" i="79"/>
  <c r="H39" i="95"/>
  <c r="H39" i="84"/>
  <c r="H39" i="91"/>
  <c r="H39" i="88"/>
  <c r="H39" i="94"/>
  <c r="H39" i="97"/>
  <c r="H39" i="82"/>
  <c r="H39" i="129"/>
  <c r="H39" i="126"/>
  <c r="H39" i="87"/>
  <c r="H39" i="100"/>
  <c r="H39" i="92"/>
  <c r="H39" i="75"/>
  <c r="H39" i="90"/>
  <c r="H39" i="85"/>
  <c r="H39" i="110"/>
  <c r="H39" i="125"/>
  <c r="H39" i="127"/>
  <c r="H39" i="96"/>
  <c r="H39" i="83"/>
  <c r="H39" i="103"/>
  <c r="H39" i="93"/>
  <c r="H39" i="105"/>
  <c r="H39" i="101"/>
  <c r="H39" i="78"/>
  <c r="H39" i="89"/>
  <c r="H39" i="106"/>
  <c r="H39" i="108"/>
  <c r="H39" i="128"/>
  <c r="H39" i="121"/>
  <c r="H39" i="98"/>
  <c r="H39" i="86"/>
  <c r="H39" i="80"/>
  <c r="H39" i="9"/>
  <c r="H39" i="74"/>
  <c r="H39" i="104"/>
  <c r="H39" i="77"/>
  <c r="H39" i="76"/>
  <c r="H39" i="99"/>
  <c r="H39" i="102"/>
  <c r="G44" i="108"/>
  <c r="G44" i="107"/>
  <c r="G120" i="104"/>
  <c r="G148" i="104"/>
  <c r="H40" i="108"/>
  <c r="H40" i="124"/>
  <c r="H40" i="126"/>
  <c r="H40" i="103"/>
  <c r="H40" i="88"/>
  <c r="H40" i="92"/>
  <c r="H40" i="106"/>
  <c r="H40" i="101"/>
  <c r="H40" i="77"/>
  <c r="H40" i="78"/>
  <c r="H40" i="102"/>
  <c r="H40" i="90"/>
  <c r="H40" i="82"/>
  <c r="H40" i="129"/>
  <c r="H40" i="123"/>
  <c r="H40" i="87"/>
  <c r="H40" i="91"/>
  <c r="H40" i="74"/>
  <c r="H40" i="100"/>
  <c r="H40" i="95"/>
  <c r="H40" i="105"/>
  <c r="H40" i="107"/>
  <c r="H40" i="110"/>
  <c r="H40" i="125"/>
  <c r="H40" i="127"/>
  <c r="H40" i="84"/>
  <c r="H40" i="75"/>
  <c r="H40" i="9"/>
  <c r="H40" i="80"/>
  <c r="H40" i="85"/>
  <c r="H40" i="94"/>
  <c r="H40" i="89"/>
  <c r="I60" i="2"/>
  <c r="H40" i="109"/>
  <c r="H40" i="128"/>
  <c r="H40" i="121"/>
  <c r="H40" i="76"/>
  <c r="H40" i="86"/>
  <c r="H40" i="83"/>
  <c r="H40" i="96"/>
  <c r="H40" i="98"/>
  <c r="H40" i="79"/>
  <c r="H40" i="81"/>
  <c r="H40" i="104"/>
  <c r="H40" i="97"/>
  <c r="H40" i="93"/>
  <c r="H40" i="99"/>
  <c r="G151" i="95"/>
  <c r="I63" i="2"/>
  <c r="H43" i="109"/>
  <c r="H43" i="124"/>
  <c r="H43" i="126"/>
  <c r="H43" i="101"/>
  <c r="H43" i="91"/>
  <c r="H43" i="87"/>
  <c r="H43" i="9"/>
  <c r="H43" i="79"/>
  <c r="H43" i="100"/>
  <c r="H43" i="77"/>
  <c r="H43" i="80"/>
  <c r="H43" i="85"/>
  <c r="H43" i="89"/>
  <c r="H43" i="108"/>
  <c r="H43" i="129"/>
  <c r="H43" i="127"/>
  <c r="H43" i="82"/>
  <c r="H43" i="83"/>
  <c r="H43" i="74"/>
  <c r="H43" i="96"/>
  <c r="H43" i="76"/>
  <c r="H43" i="81"/>
  <c r="H43" i="78"/>
  <c r="H43" i="93"/>
  <c r="H43" i="90"/>
  <c r="H43" i="125"/>
  <c r="H43" i="128"/>
  <c r="H43" i="88"/>
  <c r="H43" i="84"/>
  <c r="H43" i="106"/>
  <c r="H43" i="86"/>
  <c r="H43" i="98"/>
  <c r="H43" i="103"/>
  <c r="H43" i="99"/>
  <c r="H43" i="102"/>
  <c r="H43" i="107"/>
  <c r="H43" i="110"/>
  <c r="H43" i="123"/>
  <c r="H43" i="121"/>
  <c r="H43" i="105"/>
  <c r="H43" i="92"/>
  <c r="H43" i="104"/>
  <c r="H43" i="75"/>
  <c r="H43" i="94"/>
  <c r="H43" i="97"/>
  <c r="H43" i="95"/>
  <c r="G120" i="97"/>
  <c r="I55" i="2"/>
  <c r="H35" i="109"/>
  <c r="H35" i="124"/>
  <c r="H35" i="125"/>
  <c r="H35" i="78"/>
  <c r="H35" i="93"/>
  <c r="H35" i="103"/>
  <c r="H35" i="95"/>
  <c r="H35" i="75"/>
  <c r="H35" i="108"/>
  <c r="H35" i="129"/>
  <c r="H35" i="128"/>
  <c r="H35" i="98"/>
  <c r="H35" i="84"/>
  <c r="H35" i="81"/>
  <c r="H35" i="9"/>
  <c r="H35" i="104"/>
  <c r="H35" i="91"/>
  <c r="H35" i="85"/>
  <c r="H35" i="97"/>
  <c r="H35" i="89"/>
  <c r="H35" i="127"/>
  <c r="H35" i="123"/>
  <c r="H35" i="83"/>
  <c r="H35" i="79"/>
  <c r="H35" i="96"/>
  <c r="H35" i="106"/>
  <c r="H35" i="77"/>
  <c r="H35" i="88"/>
  <c r="H35" i="76"/>
  <c r="H35" i="105"/>
  <c r="H35" i="90"/>
  <c r="H35" i="102"/>
  <c r="H35" i="107"/>
  <c r="H35" i="110"/>
  <c r="H35" i="126"/>
  <c r="H35" i="121"/>
  <c r="H35" i="94"/>
  <c r="H35" i="87"/>
  <c r="H35" i="80"/>
  <c r="H35" i="86"/>
  <c r="H35" i="100"/>
  <c r="H35" i="101"/>
  <c r="H35" i="92"/>
  <c r="H35" i="74"/>
  <c r="H35" i="99"/>
  <c r="H35" i="82"/>
  <c r="G44" i="110"/>
  <c r="I61" i="2"/>
  <c r="H41" i="127"/>
  <c r="H41" i="125"/>
  <c r="H41" i="96"/>
  <c r="H41" i="106"/>
  <c r="H41" i="82"/>
  <c r="H41" i="74"/>
  <c r="H41" i="90"/>
  <c r="H41" i="107"/>
  <c r="H41" i="128"/>
  <c r="H41" i="121"/>
  <c r="H41" i="97"/>
  <c r="H41" i="79"/>
  <c r="H41" i="84"/>
  <c r="H41" i="87"/>
  <c r="H41" i="83"/>
  <c r="H41" i="104"/>
  <c r="H41" i="86"/>
  <c r="H41" i="98"/>
  <c r="H41" i="75"/>
  <c r="H41" i="108"/>
  <c r="H41" i="124"/>
  <c r="H41" i="126"/>
  <c r="H41" i="80"/>
  <c r="H41" i="99"/>
  <c r="H41" i="77"/>
  <c r="H41" i="91"/>
  <c r="H41" i="9"/>
  <c r="H41" i="88"/>
  <c r="H41" i="94"/>
  <c r="H41" i="93"/>
  <c r="H41" i="89"/>
  <c r="H41" i="109"/>
  <c r="H41" i="110"/>
  <c r="H41" i="129"/>
  <c r="H41" i="123"/>
  <c r="H41" i="78"/>
  <c r="H41" i="100"/>
  <c r="H41" i="105"/>
  <c r="H41" i="101"/>
  <c r="H41" i="92"/>
  <c r="H41" i="81"/>
  <c r="H41" i="85"/>
  <c r="H41" i="76"/>
  <c r="H41" i="95"/>
  <c r="H41" i="103"/>
  <c r="H41" i="102"/>
  <c r="J59" i="2"/>
  <c r="J63" i="2"/>
  <c r="H34" i="109"/>
  <c r="H34" i="110"/>
  <c r="H34" i="127"/>
  <c r="H34" i="128"/>
  <c r="H34" i="94"/>
  <c r="H34" i="84"/>
  <c r="H34" i="106"/>
  <c r="H34" i="92"/>
  <c r="H34" i="80"/>
  <c r="H34" i="88"/>
  <c r="H34" i="89"/>
  <c r="H34" i="90"/>
  <c r="H34" i="102"/>
  <c r="H34" i="125"/>
  <c r="H34" i="121"/>
  <c r="H34" i="87"/>
  <c r="H34" i="83"/>
  <c r="H34" i="93"/>
  <c r="H34" i="104"/>
  <c r="H34" i="81"/>
  <c r="H34" i="97"/>
  <c r="H34" i="95"/>
  <c r="H34" i="103"/>
  <c r="H34" i="107"/>
  <c r="H34" i="129"/>
  <c r="H34" i="126"/>
  <c r="H34" i="98"/>
  <c r="H34" i="101"/>
  <c r="H34" i="9"/>
  <c r="H34" i="77"/>
  <c r="H34" i="74"/>
  <c r="H34" i="78"/>
  <c r="H34" i="105"/>
  <c r="I54" i="2"/>
  <c r="H34" i="108"/>
  <c r="H34" i="124"/>
  <c r="H34" i="123"/>
  <c r="H34" i="96"/>
  <c r="H34" i="79"/>
  <c r="H34" i="86"/>
  <c r="H34" i="91"/>
  <c r="H34" i="100"/>
  <c r="H34" i="75"/>
  <c r="H34" i="76"/>
  <c r="H34" i="99"/>
  <c r="H34" i="85"/>
  <c r="H34" i="82"/>
  <c r="H38" i="109"/>
  <c r="H38" i="110"/>
  <c r="H38" i="125"/>
  <c r="H38" i="127"/>
  <c r="H38" i="91"/>
  <c r="H38" i="96"/>
  <c r="H38" i="87"/>
  <c r="H38" i="79"/>
  <c r="H38" i="100"/>
  <c r="H38" i="98"/>
  <c r="H38" i="75"/>
  <c r="H38" i="85"/>
  <c r="H38" i="97"/>
  <c r="H38" i="102"/>
  <c r="H38" i="82"/>
  <c r="H38" i="128"/>
  <c r="H38" i="121"/>
  <c r="H38" i="77"/>
  <c r="H38" i="74"/>
  <c r="H38" i="92"/>
  <c r="H38" i="89"/>
  <c r="H38" i="90"/>
  <c r="H38" i="107"/>
  <c r="H38" i="129"/>
  <c r="H38" i="126"/>
  <c r="H38" i="88"/>
  <c r="H38" i="78"/>
  <c r="H38" i="83"/>
  <c r="H38" i="80"/>
  <c r="H38" i="101"/>
  <c r="H38" i="76"/>
  <c r="H38" i="95"/>
  <c r="H38" i="105"/>
  <c r="H38" i="99"/>
  <c r="I58" i="2"/>
  <c r="H38" i="108"/>
  <c r="H38" i="124"/>
  <c r="H38" i="123"/>
  <c r="H38" i="84"/>
  <c r="H38" i="81"/>
  <c r="H38" i="9"/>
  <c r="H38" i="104"/>
  <c r="H38" i="86"/>
  <c r="H38" i="94"/>
  <c r="H38" i="93"/>
  <c r="H38" i="103"/>
  <c r="H38" i="106"/>
  <c r="H42" i="109"/>
  <c r="H42" i="110"/>
  <c r="H42" i="128"/>
  <c r="H42" i="126"/>
  <c r="H42" i="80"/>
  <c r="H42" i="92"/>
  <c r="H42" i="83"/>
  <c r="H42" i="93"/>
  <c r="H42" i="84"/>
  <c r="H42" i="82"/>
  <c r="H42" i="77"/>
  <c r="H42" i="91"/>
  <c r="H42" i="81"/>
  <c r="H42" i="9"/>
  <c r="H42" i="100"/>
  <c r="H42" i="104"/>
  <c r="H42" i="86"/>
  <c r="H42" i="85"/>
  <c r="H42" i="76"/>
  <c r="H42" i="103"/>
  <c r="H42" i="123"/>
  <c r="H42" i="121"/>
  <c r="H42" i="78"/>
  <c r="H42" i="88"/>
  <c r="H42" i="89"/>
  <c r="H42" i="79"/>
  <c r="H42" i="98"/>
  <c r="H42" i="94"/>
  <c r="H42" i="107"/>
  <c r="H42" i="129"/>
  <c r="H42" i="127"/>
  <c r="H42" i="90"/>
  <c r="H42" i="74"/>
  <c r="H42" i="87"/>
  <c r="H42" i="96"/>
  <c r="H42" i="75"/>
  <c r="H42" i="106"/>
  <c r="I62" i="2"/>
  <c r="H42" i="108"/>
  <c r="H42" i="124"/>
  <c r="H42" i="125"/>
  <c r="H42" i="99"/>
  <c r="H42" i="102"/>
  <c r="H42" i="101"/>
  <c r="H42" i="95"/>
  <c r="H42" i="105"/>
  <c r="H42" i="97"/>
  <c r="I57" i="2"/>
  <c r="H37" i="123"/>
  <c r="H37" i="126"/>
  <c r="H37" i="86"/>
  <c r="H37" i="89"/>
  <c r="H37" i="95"/>
  <c r="H37" i="9"/>
  <c r="H37" i="105"/>
  <c r="H37" i="107"/>
  <c r="H37" i="127"/>
  <c r="H37" i="121"/>
  <c r="H37" i="97"/>
  <c r="H37" i="101"/>
  <c r="H37" i="81"/>
  <c r="H37" i="92"/>
  <c r="H37" i="100"/>
  <c r="H37" i="77"/>
  <c r="H37" i="88"/>
  <c r="H37" i="78"/>
  <c r="H37" i="102"/>
  <c r="H37" i="76"/>
  <c r="H37" i="108"/>
  <c r="H37" i="129"/>
  <c r="H37" i="128"/>
  <c r="H37" i="79"/>
  <c r="H37" i="96"/>
  <c r="H37" i="80"/>
  <c r="H37" i="75"/>
  <c r="H37" i="94"/>
  <c r="H37" i="93"/>
  <c r="H37" i="103"/>
  <c r="H37" i="99"/>
  <c r="H37" i="90"/>
  <c r="H37" i="109"/>
  <c r="H37" i="110"/>
  <c r="H37" i="124"/>
  <c r="H37" i="125"/>
  <c r="H37" i="106"/>
  <c r="H37" i="82"/>
  <c r="H37" i="87"/>
  <c r="H37" i="104"/>
  <c r="H37" i="84"/>
  <c r="H37" i="83"/>
  <c r="H37" i="91"/>
  <c r="H37" i="74"/>
  <c r="H37" i="98"/>
  <c r="H37" i="85"/>
  <c r="J55" i="2"/>
  <c r="J60" i="2"/>
  <c r="J56" i="2"/>
  <c r="F59" i="108" l="1"/>
  <c r="F60" i="108"/>
  <c r="F54" i="104"/>
  <c r="F54" i="109"/>
  <c r="F59" i="107"/>
  <c r="F60" i="107"/>
  <c r="G137" i="75"/>
  <c r="G149" i="75" s="1"/>
  <c r="G143" i="75"/>
  <c r="H141" i="80"/>
  <c r="H138" i="80"/>
  <c r="H143" i="80"/>
  <c r="H142" i="80"/>
  <c r="H139" i="80"/>
  <c r="H136" i="80"/>
  <c r="H135" i="80"/>
  <c r="G131" i="102"/>
  <c r="G125" i="102"/>
  <c r="G149" i="102" s="1"/>
  <c r="G126" i="103"/>
  <c r="G124" i="103"/>
  <c r="G131" i="103"/>
  <c r="G129" i="103"/>
  <c r="G128" i="103"/>
  <c r="G123" i="103"/>
  <c r="G127" i="103"/>
  <c r="H127" i="125"/>
  <c r="H129" i="125"/>
  <c r="G113" i="74"/>
  <c r="G149" i="74" s="1"/>
  <c r="G54" i="74"/>
  <c r="H131" i="92"/>
  <c r="H124" i="92"/>
  <c r="H127" i="92"/>
  <c r="H130" i="92"/>
  <c r="H129" i="92"/>
  <c r="H123" i="92"/>
  <c r="H128" i="92"/>
  <c r="H125" i="92"/>
  <c r="H126" i="92"/>
  <c r="G142" i="94"/>
  <c r="G154" i="94" s="1"/>
  <c r="G140" i="94"/>
  <c r="G143" i="94"/>
  <c r="G155" i="94" s="1"/>
  <c r="G138" i="94"/>
  <c r="G136" i="94"/>
  <c r="G141" i="94"/>
  <c r="G153" i="94" s="1"/>
  <c r="G139" i="94"/>
  <c r="G151" i="94" s="1"/>
  <c r="G137" i="94"/>
  <c r="G135" i="94"/>
  <c r="G54" i="94"/>
  <c r="G142" i="106"/>
  <c r="G154" i="106" s="1"/>
  <c r="G137" i="106"/>
  <c r="G136" i="106"/>
  <c r="G141" i="106"/>
  <c r="G135" i="106"/>
  <c r="G138" i="106"/>
  <c r="G139" i="106"/>
  <c r="G143" i="106"/>
  <c r="G140" i="106"/>
  <c r="H130" i="96"/>
  <c r="H128" i="96"/>
  <c r="H131" i="96"/>
  <c r="H126" i="96"/>
  <c r="H124" i="96"/>
  <c r="H127" i="96"/>
  <c r="H129" i="96"/>
  <c r="H123" i="96"/>
  <c r="H125" i="96"/>
  <c r="G123" i="82"/>
  <c r="G127" i="82"/>
  <c r="G128" i="82"/>
  <c r="G124" i="82"/>
  <c r="G129" i="82"/>
  <c r="G125" i="82"/>
  <c r="G131" i="82"/>
  <c r="G130" i="82"/>
  <c r="G126" i="82"/>
  <c r="G54" i="82"/>
  <c r="G139" i="89"/>
  <c r="G141" i="89"/>
  <c r="G153" i="89" s="1"/>
  <c r="G140" i="89"/>
  <c r="G152" i="89" s="1"/>
  <c r="G138" i="89"/>
  <c r="G150" i="89" s="1"/>
  <c r="G137" i="89"/>
  <c r="G135" i="89"/>
  <c r="G142" i="89"/>
  <c r="G154" i="89" s="1"/>
  <c r="G136" i="89"/>
  <c r="G143" i="89"/>
  <c r="G54" i="89"/>
  <c r="G141" i="93"/>
  <c r="G138" i="93"/>
  <c r="G143" i="93"/>
  <c r="G137" i="93"/>
  <c r="G139" i="93"/>
  <c r="G142" i="93"/>
  <c r="G136" i="93"/>
  <c r="G135" i="93"/>
  <c r="G140" i="93"/>
  <c r="G128" i="100"/>
  <c r="G123" i="100"/>
  <c r="G124" i="100"/>
  <c r="G130" i="100"/>
  <c r="G129" i="100"/>
  <c r="G131" i="100"/>
  <c r="G126" i="100"/>
  <c r="G125" i="100"/>
  <c r="G127" i="100"/>
  <c r="H127" i="129"/>
  <c r="H128" i="129"/>
  <c r="H131" i="129"/>
  <c r="H126" i="129"/>
  <c r="H123" i="129"/>
  <c r="H129" i="129"/>
  <c r="H124" i="129"/>
  <c r="H130" i="129"/>
  <c r="H125" i="129"/>
  <c r="G123" i="127"/>
  <c r="G130" i="127"/>
  <c r="G127" i="127"/>
  <c r="G131" i="127"/>
  <c r="G124" i="127"/>
  <c r="G125" i="127"/>
  <c r="G126" i="127"/>
  <c r="G129" i="127"/>
  <c r="G128" i="127"/>
  <c r="N114" i="103"/>
  <c r="N118" i="103"/>
  <c r="N111" i="103"/>
  <c r="N115" i="103"/>
  <c r="N117" i="103"/>
  <c r="N119" i="103"/>
  <c r="N112" i="103"/>
  <c r="N113" i="103"/>
  <c r="N116" i="103"/>
  <c r="G155" i="102"/>
  <c r="G150" i="106"/>
  <c r="G148" i="106"/>
  <c r="G112" i="89"/>
  <c r="G115" i="89"/>
  <c r="G151" i="89" s="1"/>
  <c r="G119" i="89"/>
  <c r="G155" i="89" s="1"/>
  <c r="G111" i="89"/>
  <c r="G113" i="89"/>
  <c r="G149" i="89" s="1"/>
  <c r="H127" i="76"/>
  <c r="H125" i="76"/>
  <c r="G139" i="96"/>
  <c r="G141" i="96"/>
  <c r="G127" i="88"/>
  <c r="G151" i="88" s="1"/>
  <c r="G130" i="88"/>
  <c r="G154" i="88" s="1"/>
  <c r="H126" i="89"/>
  <c r="H129" i="89"/>
  <c r="H123" i="89"/>
  <c r="H124" i="89"/>
  <c r="H127" i="89"/>
  <c r="H128" i="89"/>
  <c r="H130" i="89"/>
  <c r="G124" i="9"/>
  <c r="G128" i="9"/>
  <c r="G127" i="9"/>
  <c r="G151" i="9" s="1"/>
  <c r="G130" i="9"/>
  <c r="G154" i="9" s="1"/>
  <c r="G126" i="9"/>
  <c r="G150" i="9" s="1"/>
  <c r="G129" i="9"/>
  <c r="G125" i="9"/>
  <c r="G149" i="9" s="1"/>
  <c r="H125" i="124"/>
  <c r="H123" i="124"/>
  <c r="H129" i="124"/>
  <c r="H131" i="124"/>
  <c r="H126" i="124"/>
  <c r="H130" i="124"/>
  <c r="H124" i="124"/>
  <c r="G142" i="128"/>
  <c r="G137" i="128"/>
  <c r="G143" i="128"/>
  <c r="G135" i="128"/>
  <c r="G140" i="128"/>
  <c r="G141" i="128"/>
  <c r="G138" i="128"/>
  <c r="H127" i="106"/>
  <c r="H131" i="106"/>
  <c r="H128" i="106"/>
  <c r="H124" i="106"/>
  <c r="H130" i="106"/>
  <c r="H125" i="106"/>
  <c r="H123" i="106"/>
  <c r="H129" i="106"/>
  <c r="H126" i="106"/>
  <c r="H143" i="106"/>
  <c r="H140" i="106"/>
  <c r="H142" i="106"/>
  <c r="H136" i="106"/>
  <c r="H141" i="106"/>
  <c r="H135" i="106"/>
  <c r="H138" i="106"/>
  <c r="H139" i="106"/>
  <c r="H137" i="106"/>
  <c r="H141" i="93"/>
  <c r="H142" i="93"/>
  <c r="H143" i="93"/>
  <c r="H136" i="93"/>
  <c r="H137" i="93"/>
  <c r="H135" i="93"/>
  <c r="H139" i="93"/>
  <c r="H140" i="93"/>
  <c r="H138" i="93"/>
  <c r="H143" i="100"/>
  <c r="H142" i="100"/>
  <c r="H137" i="100"/>
  <c r="H135" i="100"/>
  <c r="H139" i="100"/>
  <c r="H141" i="100"/>
  <c r="H136" i="100"/>
  <c r="H140" i="100"/>
  <c r="H138" i="100"/>
  <c r="H129" i="82"/>
  <c r="H125" i="82"/>
  <c r="H131" i="82"/>
  <c r="H130" i="82"/>
  <c r="H124" i="82"/>
  <c r="H123" i="82"/>
  <c r="H127" i="82"/>
  <c r="H128" i="82"/>
  <c r="H126" i="82"/>
  <c r="G140" i="86"/>
  <c r="G135" i="86"/>
  <c r="G136" i="86"/>
  <c r="G142" i="86"/>
  <c r="G137" i="86"/>
  <c r="G139" i="86"/>
  <c r="G141" i="86"/>
  <c r="G138" i="86"/>
  <c r="G143" i="86"/>
  <c r="H139" i="91"/>
  <c r="H135" i="91"/>
  <c r="H141" i="91"/>
  <c r="H137" i="91"/>
  <c r="H143" i="91"/>
  <c r="H140" i="91"/>
  <c r="H136" i="91"/>
  <c r="H142" i="91"/>
  <c r="H138" i="91"/>
  <c r="N115" i="128"/>
  <c r="N116" i="128"/>
  <c r="N114" i="128"/>
  <c r="N113" i="128"/>
  <c r="N117" i="128"/>
  <c r="N119" i="128"/>
  <c r="N112" i="128"/>
  <c r="N118" i="128"/>
  <c r="N111" i="128"/>
  <c r="G113" i="82"/>
  <c r="G149" i="82" s="1"/>
  <c r="G115" i="82"/>
  <c r="G118" i="82"/>
  <c r="G154" i="82" s="1"/>
  <c r="G114" i="82"/>
  <c r="G150" i="82" s="1"/>
  <c r="G117" i="82"/>
  <c r="G153" i="82" s="1"/>
  <c r="G112" i="82"/>
  <c r="G148" i="82" s="1"/>
  <c r="G116" i="82"/>
  <c r="G152" i="82" s="1"/>
  <c r="G111" i="82"/>
  <c r="G119" i="82"/>
  <c r="G155" i="82" s="1"/>
  <c r="G117" i="76"/>
  <c r="G153" i="76" s="1"/>
  <c r="G113" i="76"/>
  <c r="G149" i="76" s="1"/>
  <c r="G116" i="76"/>
  <c r="G111" i="76"/>
  <c r="G115" i="76"/>
  <c r="G119" i="76"/>
  <c r="G155" i="76" s="1"/>
  <c r="G114" i="76"/>
  <c r="G150" i="76" s="1"/>
  <c r="G118" i="76"/>
  <c r="G154" i="76" s="1"/>
  <c r="G112" i="76"/>
  <c r="G148" i="76" s="1"/>
  <c r="G153" i="106"/>
  <c r="G152" i="106"/>
  <c r="G147" i="94"/>
  <c r="G152" i="76"/>
  <c r="H128" i="77"/>
  <c r="H131" i="77"/>
  <c r="H129" i="77"/>
  <c r="G140" i="98"/>
  <c r="G152" i="98" s="1"/>
  <c r="G54" i="98"/>
  <c r="G129" i="128"/>
  <c r="G123" i="128"/>
  <c r="N118" i="96"/>
  <c r="N111" i="96"/>
  <c r="N112" i="96"/>
  <c r="N115" i="96"/>
  <c r="N117" i="96"/>
  <c r="N114" i="96"/>
  <c r="N113" i="96"/>
  <c r="N119" i="96"/>
  <c r="N116" i="96"/>
  <c r="H129" i="100"/>
  <c r="H123" i="100"/>
  <c r="H128" i="100"/>
  <c r="H125" i="100"/>
  <c r="H126" i="100"/>
  <c r="H131" i="100"/>
  <c r="H124" i="100"/>
  <c r="H127" i="100"/>
  <c r="H130" i="100"/>
  <c r="G143" i="92"/>
  <c r="G137" i="92"/>
  <c r="G139" i="92"/>
  <c r="G136" i="92"/>
  <c r="G135" i="92"/>
  <c r="G141" i="92"/>
  <c r="G153" i="92" s="1"/>
  <c r="G142" i="92"/>
  <c r="G154" i="92" s="1"/>
  <c r="G140" i="92"/>
  <c r="G152" i="92" s="1"/>
  <c r="G138" i="92"/>
  <c r="G150" i="92" s="1"/>
  <c r="H126" i="79"/>
  <c r="H129" i="79"/>
  <c r="H130" i="79"/>
  <c r="H127" i="79"/>
  <c r="H125" i="79"/>
  <c r="H131" i="79"/>
  <c r="H124" i="79"/>
  <c r="H123" i="79"/>
  <c r="H128" i="79"/>
  <c r="G130" i="84"/>
  <c r="G123" i="84"/>
  <c r="G131" i="84"/>
  <c r="G129" i="84"/>
  <c r="G125" i="84"/>
  <c r="G128" i="84"/>
  <c r="G126" i="84"/>
  <c r="G124" i="84"/>
  <c r="G127" i="84"/>
  <c r="G142" i="105"/>
  <c r="G137" i="105"/>
  <c r="G138" i="105"/>
  <c r="G135" i="105"/>
  <c r="G140" i="105"/>
  <c r="G143" i="105"/>
  <c r="G139" i="105"/>
  <c r="G141" i="105"/>
  <c r="G136" i="105"/>
  <c r="G126" i="81"/>
  <c r="G130" i="81"/>
  <c r="G125" i="81"/>
  <c r="G131" i="81"/>
  <c r="G129" i="81"/>
  <c r="G124" i="81"/>
  <c r="G123" i="81"/>
  <c r="G127" i="81"/>
  <c r="G128" i="81"/>
  <c r="G140" i="84"/>
  <c r="G137" i="84"/>
  <c r="G136" i="84"/>
  <c r="G143" i="84"/>
  <c r="G142" i="84"/>
  <c r="G139" i="84"/>
  <c r="G135" i="84"/>
  <c r="G138" i="84"/>
  <c r="G141" i="84"/>
  <c r="G131" i="97"/>
  <c r="G155" i="97" s="1"/>
  <c r="G126" i="97"/>
  <c r="G128" i="97"/>
  <c r="G152" i="97" s="1"/>
  <c r="G124" i="97"/>
  <c r="G127" i="97"/>
  <c r="G151" i="97" s="1"/>
  <c r="G123" i="97"/>
  <c r="G130" i="97"/>
  <c r="G125" i="97"/>
  <c r="G149" i="97" s="1"/>
  <c r="G129" i="97"/>
  <c r="G153" i="97" s="1"/>
  <c r="G54" i="97"/>
  <c r="F54" i="126"/>
  <c r="G128" i="93"/>
  <c r="G124" i="93"/>
  <c r="G130" i="93"/>
  <c r="G125" i="93"/>
  <c r="G129" i="93"/>
  <c r="G123" i="93"/>
  <c r="G127" i="93"/>
  <c r="G131" i="93"/>
  <c r="G126" i="93"/>
  <c r="G151" i="106"/>
  <c r="G149" i="106"/>
  <c r="G153" i="84"/>
  <c r="G149" i="92"/>
  <c r="G155" i="106"/>
  <c r="G150" i="94"/>
  <c r="G149" i="94"/>
  <c r="G148" i="97"/>
  <c r="G154" i="97"/>
  <c r="G151" i="76"/>
  <c r="G147" i="76"/>
  <c r="H126" i="87"/>
  <c r="H124" i="87"/>
  <c r="H127" i="87"/>
  <c r="H123" i="87"/>
  <c r="G135" i="99"/>
  <c r="G140" i="99"/>
  <c r="G152" i="99" s="1"/>
  <c r="G138" i="99"/>
  <c r="G150" i="99" s="1"/>
  <c r="G143" i="99"/>
  <c r="G155" i="99" s="1"/>
  <c r="G141" i="99"/>
  <c r="G153" i="99" s="1"/>
  <c r="G139" i="99"/>
  <c r="G151" i="99" s="1"/>
  <c r="G137" i="99"/>
  <c r="G149" i="99" s="1"/>
  <c r="H138" i="88"/>
  <c r="H143" i="88"/>
  <c r="G142" i="83"/>
  <c r="G136" i="83"/>
  <c r="G129" i="123"/>
  <c r="G124" i="123"/>
  <c r="G117" i="95"/>
  <c r="G153" i="95" s="1"/>
  <c r="G118" i="95"/>
  <c r="G154" i="95" s="1"/>
  <c r="G111" i="95"/>
  <c r="G120" i="95" s="1"/>
  <c r="G113" i="95"/>
  <c r="G149" i="95" s="1"/>
  <c r="N119" i="94"/>
  <c r="N115" i="94"/>
  <c r="G115" i="101"/>
  <c r="G151" i="101" s="1"/>
  <c r="G112" i="101"/>
  <c r="G111" i="101"/>
  <c r="G118" i="101"/>
  <c r="G154" i="101" s="1"/>
  <c r="G117" i="101"/>
  <c r="G153" i="101" s="1"/>
  <c r="G114" i="101"/>
  <c r="G150" i="101" s="1"/>
  <c r="G113" i="101"/>
  <c r="G149" i="101" s="1"/>
  <c r="G119" i="101"/>
  <c r="G155" i="101" s="1"/>
  <c r="G116" i="101"/>
  <c r="G152" i="101" s="1"/>
  <c r="H129" i="86"/>
  <c r="H123" i="86"/>
  <c r="H126" i="86"/>
  <c r="H131" i="86"/>
  <c r="H124" i="86"/>
  <c r="H127" i="86"/>
  <c r="H130" i="86"/>
  <c r="H128" i="86"/>
  <c r="H125" i="86"/>
  <c r="H142" i="81"/>
  <c r="H140" i="81"/>
  <c r="H143" i="81"/>
  <c r="H135" i="81"/>
  <c r="H137" i="81"/>
  <c r="H139" i="81"/>
  <c r="H136" i="81"/>
  <c r="H138" i="81"/>
  <c r="H141" i="81"/>
  <c r="G135" i="81"/>
  <c r="G137" i="81"/>
  <c r="G142" i="81"/>
  <c r="G140" i="81"/>
  <c r="G143" i="81"/>
  <c r="G136" i="81"/>
  <c r="G139" i="81"/>
  <c r="G138" i="81"/>
  <c r="G141" i="81"/>
  <c r="G130" i="83"/>
  <c r="G123" i="83"/>
  <c r="G129" i="83"/>
  <c r="G127" i="83"/>
  <c r="G125" i="83"/>
  <c r="G124" i="83"/>
  <c r="G128" i="83"/>
  <c r="G131" i="83"/>
  <c r="G126" i="83"/>
  <c r="G137" i="87"/>
  <c r="G149" i="87" s="1"/>
  <c r="G139" i="87"/>
  <c r="G140" i="87"/>
  <c r="G152" i="87" s="1"/>
  <c r="G135" i="87"/>
  <c r="G147" i="87" s="1"/>
  <c r="G136" i="87"/>
  <c r="G148" i="87" s="1"/>
  <c r="G142" i="87"/>
  <c r="G154" i="87" s="1"/>
  <c r="G141" i="87"/>
  <c r="G153" i="87" s="1"/>
  <c r="G143" i="87"/>
  <c r="G155" i="87" s="1"/>
  <c r="G138" i="87"/>
  <c r="G150" i="87" s="1"/>
  <c r="G124" i="105"/>
  <c r="G148" i="105" s="1"/>
  <c r="G126" i="105"/>
  <c r="G150" i="105" s="1"/>
  <c r="G125" i="105"/>
  <c r="G149" i="105" s="1"/>
  <c r="G127" i="105"/>
  <c r="G151" i="105" s="1"/>
  <c r="G123" i="105"/>
  <c r="G128" i="105"/>
  <c r="G152" i="105" s="1"/>
  <c r="G131" i="105"/>
  <c r="G155" i="105" s="1"/>
  <c r="G129" i="105"/>
  <c r="G130" i="105"/>
  <c r="G154" i="105" s="1"/>
  <c r="G127" i="96"/>
  <c r="G125" i="96"/>
  <c r="G128" i="96"/>
  <c r="G123" i="96"/>
  <c r="G129" i="96"/>
  <c r="G124" i="96"/>
  <c r="G130" i="96"/>
  <c r="G131" i="96"/>
  <c r="G126" i="96"/>
  <c r="G136" i="123"/>
  <c r="G143" i="123"/>
  <c r="G138" i="123"/>
  <c r="G137" i="123"/>
  <c r="G141" i="123"/>
  <c r="G135" i="123"/>
  <c r="G140" i="123"/>
  <c r="G142" i="123"/>
  <c r="G139" i="123"/>
  <c r="N112" i="75"/>
  <c r="N113" i="75"/>
  <c r="N119" i="75"/>
  <c r="N114" i="75"/>
  <c r="N115" i="75"/>
  <c r="N116" i="75"/>
  <c r="N111" i="75"/>
  <c r="N118" i="75"/>
  <c r="N117" i="75"/>
  <c r="G153" i="9"/>
  <c r="G77" i="92"/>
  <c r="I77" i="106"/>
  <c r="I78" i="106" s="1"/>
  <c r="I79" i="106" s="1"/>
  <c r="G77" i="106"/>
  <c r="G78" i="106" s="1"/>
  <c r="G79" i="106" s="1"/>
  <c r="G76" i="96"/>
  <c r="G77" i="96" s="1"/>
  <c r="G83" i="96" s="1"/>
  <c r="H77" i="106"/>
  <c r="H78" i="106" s="1"/>
  <c r="H79" i="106" s="1"/>
  <c r="N117" i="93"/>
  <c r="N118" i="93"/>
  <c r="N114" i="93"/>
  <c r="N116" i="93"/>
  <c r="N120" i="93" s="1"/>
  <c r="G120" i="9"/>
  <c r="G144" i="88"/>
  <c r="H132" i="124"/>
  <c r="G120" i="87"/>
  <c r="H144" i="80"/>
  <c r="H132" i="89"/>
  <c r="G77" i="75"/>
  <c r="G83" i="75" s="1"/>
  <c r="G132" i="87"/>
  <c r="H144" i="99"/>
  <c r="H144" i="75"/>
  <c r="G144" i="101"/>
  <c r="G152" i="9"/>
  <c r="H132" i="97"/>
  <c r="G148" i="9"/>
  <c r="N120" i="95"/>
  <c r="H132" i="75"/>
  <c r="G144" i="95"/>
  <c r="G144" i="74"/>
  <c r="H132" i="90"/>
  <c r="G144" i="97"/>
  <c r="G132" i="85"/>
  <c r="C10" i="119"/>
  <c r="N120" i="86"/>
  <c r="N132" i="78"/>
  <c r="G120" i="89"/>
  <c r="G147" i="126"/>
  <c r="G156" i="126" s="1"/>
  <c r="H132" i="126"/>
  <c r="H144" i="103"/>
  <c r="H144" i="90"/>
  <c r="H132" i="95"/>
  <c r="G120" i="80"/>
  <c r="H144" i="127"/>
  <c r="G144" i="102"/>
  <c r="H132" i="104"/>
  <c r="G155" i="75"/>
  <c r="H132" i="84"/>
  <c r="N132" i="125"/>
  <c r="G120" i="127"/>
  <c r="H132" i="9"/>
  <c r="G151" i="87"/>
  <c r="G132" i="99"/>
  <c r="C18" i="119"/>
  <c r="M18" i="119" s="1"/>
  <c r="G144" i="128"/>
  <c r="G150" i="97"/>
  <c r="G144" i="78"/>
  <c r="H14" i="87"/>
  <c r="H76" i="87" s="1"/>
  <c r="G148" i="101"/>
  <c r="N132" i="104"/>
  <c r="G144" i="91"/>
  <c r="H132" i="102"/>
  <c r="H132" i="88"/>
  <c r="G144" i="9"/>
  <c r="H132" i="101"/>
  <c r="H144" i="89"/>
  <c r="G78" i="75"/>
  <c r="G79" i="75" s="1"/>
  <c r="G80" i="75" s="1"/>
  <c r="G81" i="75" s="1"/>
  <c r="G144" i="100"/>
  <c r="N112" i="97"/>
  <c r="N118" i="97"/>
  <c r="G119" i="90"/>
  <c r="G155" i="90" s="1"/>
  <c r="H14" i="75"/>
  <c r="H76" i="75" s="1"/>
  <c r="G132" i="128"/>
  <c r="N132" i="93"/>
  <c r="N113" i="97"/>
  <c r="N117" i="97"/>
  <c r="G111" i="90"/>
  <c r="G78" i="121"/>
  <c r="G79" i="121" s="1"/>
  <c r="H80" i="121" s="1"/>
  <c r="G77" i="76"/>
  <c r="G148" i="102"/>
  <c r="N111" i="97"/>
  <c r="N116" i="97"/>
  <c r="N120" i="97" s="1"/>
  <c r="N120" i="94"/>
  <c r="G144" i="96"/>
  <c r="H132" i="76"/>
  <c r="H144" i="74"/>
  <c r="H144" i="85"/>
  <c r="N132" i="88"/>
  <c r="G152" i="94"/>
  <c r="H132" i="125"/>
  <c r="H144" i="129"/>
  <c r="G132" i="103"/>
  <c r="G144" i="79"/>
  <c r="G147" i="75"/>
  <c r="G156" i="75" s="1"/>
  <c r="G144" i="75"/>
  <c r="H144" i="105"/>
  <c r="H132" i="94"/>
  <c r="N120" i="85"/>
  <c r="G153" i="98"/>
  <c r="G151" i="98"/>
  <c r="N132" i="99"/>
  <c r="G120" i="94"/>
  <c r="G148" i="94"/>
  <c r="N132" i="80"/>
  <c r="G120" i="74"/>
  <c r="G147" i="74"/>
  <c r="G156" i="74" s="1"/>
  <c r="G144" i="83"/>
  <c r="H132" i="81"/>
  <c r="G144" i="90"/>
  <c r="G147" i="80"/>
  <c r="G156" i="80" s="1"/>
  <c r="G144" i="80"/>
  <c r="G144" i="103"/>
  <c r="G155" i="98"/>
  <c r="G149" i="98"/>
  <c r="N120" i="102"/>
  <c r="H132" i="74"/>
  <c r="G144" i="98"/>
  <c r="G132" i="88"/>
  <c r="G147" i="88"/>
  <c r="G156" i="88" s="1"/>
  <c r="G144" i="99"/>
  <c r="G148" i="99"/>
  <c r="H132" i="87"/>
  <c r="H132" i="77"/>
  <c r="H144" i="98"/>
  <c r="G144" i="85"/>
  <c r="H132" i="85"/>
  <c r="G150" i="98"/>
  <c r="N132" i="129"/>
  <c r="N132" i="89"/>
  <c r="G132" i="123"/>
  <c r="G132" i="9"/>
  <c r="G147" i="9"/>
  <c r="G132" i="102"/>
  <c r="H144" i="88"/>
  <c r="H132" i="105"/>
  <c r="H132" i="99"/>
  <c r="G120" i="98"/>
  <c r="G147" i="98"/>
  <c r="C26" i="119"/>
  <c r="M26" i="119" s="1"/>
  <c r="H141" i="86"/>
  <c r="H140" i="86"/>
  <c r="H139" i="86"/>
  <c r="H137" i="86"/>
  <c r="H142" i="86"/>
  <c r="H143" i="86"/>
  <c r="H138" i="86"/>
  <c r="H136" i="86"/>
  <c r="H135" i="86"/>
  <c r="N117" i="88"/>
  <c r="N113" i="88"/>
  <c r="N114" i="88"/>
  <c r="N118" i="88"/>
  <c r="N111" i="88"/>
  <c r="N115" i="88"/>
  <c r="N112" i="88"/>
  <c r="N116" i="88"/>
  <c r="N119" i="88"/>
  <c r="H83" i="121"/>
  <c r="F54" i="129"/>
  <c r="H14" i="84"/>
  <c r="G76" i="84"/>
  <c r="G77" i="84" s="1"/>
  <c r="G77" i="97"/>
  <c r="H76" i="97"/>
  <c r="H76" i="123"/>
  <c r="M77" i="123" s="1"/>
  <c r="M78" i="123" s="1"/>
  <c r="M79" i="123" s="1"/>
  <c r="G119" i="92"/>
  <c r="G155" i="92" s="1"/>
  <c r="G115" i="92"/>
  <c r="G151" i="92" s="1"/>
  <c r="G54" i="92"/>
  <c r="G112" i="92"/>
  <c r="G148" i="92" s="1"/>
  <c r="H143" i="84"/>
  <c r="H136" i="84"/>
  <c r="H142" i="84"/>
  <c r="H138" i="84"/>
  <c r="H135" i="84"/>
  <c r="H139" i="84"/>
  <c r="H137" i="84"/>
  <c r="H141" i="84"/>
  <c r="H140" i="84"/>
  <c r="F49" i="101"/>
  <c r="N117" i="84"/>
  <c r="N114" i="84"/>
  <c r="N113" i="84"/>
  <c r="N112" i="84"/>
  <c r="N118" i="84"/>
  <c r="N115" i="84"/>
  <c r="N119" i="84"/>
  <c r="N116" i="84"/>
  <c r="N111" i="84"/>
  <c r="N116" i="81"/>
  <c r="N114" i="81"/>
  <c r="N113" i="81"/>
  <c r="N111" i="81"/>
  <c r="N118" i="81"/>
  <c r="N115" i="81"/>
  <c r="N112" i="81"/>
  <c r="N117" i="81"/>
  <c r="N119" i="81"/>
  <c r="G116" i="83"/>
  <c r="G152" i="83" s="1"/>
  <c r="G114" i="83"/>
  <c r="G150" i="83" s="1"/>
  <c r="G111" i="83"/>
  <c r="G115" i="83"/>
  <c r="G151" i="83" s="1"/>
  <c r="G117" i="83"/>
  <c r="G153" i="83" s="1"/>
  <c r="G119" i="83"/>
  <c r="G155" i="83" s="1"/>
  <c r="G113" i="83"/>
  <c r="G149" i="83" s="1"/>
  <c r="G112" i="83"/>
  <c r="G148" i="83" s="1"/>
  <c r="G118" i="83"/>
  <c r="G154" i="83" s="1"/>
  <c r="G54" i="83"/>
  <c r="F61" i="91"/>
  <c r="G61" i="91" s="1"/>
  <c r="F50" i="91"/>
  <c r="F61" i="78"/>
  <c r="G61" i="78" s="1"/>
  <c r="F50" i="78"/>
  <c r="G119" i="100"/>
  <c r="G155" i="100" s="1"/>
  <c r="G113" i="100"/>
  <c r="G149" i="100" s="1"/>
  <c r="G118" i="100"/>
  <c r="G154" i="100" s="1"/>
  <c r="G117" i="100"/>
  <c r="G153" i="100" s="1"/>
  <c r="G112" i="100"/>
  <c r="G148" i="100" s="1"/>
  <c r="G114" i="100"/>
  <c r="G150" i="100" s="1"/>
  <c r="G54" i="100"/>
  <c r="G116" i="100"/>
  <c r="G152" i="100" s="1"/>
  <c r="G111" i="100"/>
  <c r="G115" i="100"/>
  <c r="G151" i="100" s="1"/>
  <c r="N112" i="78"/>
  <c r="N119" i="78"/>
  <c r="F61" i="94"/>
  <c r="G61" i="94" s="1"/>
  <c r="F50" i="94"/>
  <c r="F61" i="109"/>
  <c r="F50" i="109"/>
  <c r="N111" i="90"/>
  <c r="N117" i="90"/>
  <c r="N112" i="90"/>
  <c r="N113" i="90"/>
  <c r="N115" i="90"/>
  <c r="N116" i="90"/>
  <c r="N118" i="90"/>
  <c r="N114" i="90"/>
  <c r="N119" i="89"/>
  <c r="N118" i="89"/>
  <c r="N115" i="89"/>
  <c r="N114" i="89"/>
  <c r="N116" i="89"/>
  <c r="N111" i="89"/>
  <c r="N112" i="89"/>
  <c r="G118" i="85"/>
  <c r="G154" i="85" s="1"/>
  <c r="G119" i="85"/>
  <c r="G155" i="85" s="1"/>
  <c r="G114" i="85"/>
  <c r="G150" i="85" s="1"/>
  <c r="G115" i="85"/>
  <c r="G151" i="85" s="1"/>
  <c r="G116" i="85"/>
  <c r="G152" i="85" s="1"/>
  <c r="G112" i="85"/>
  <c r="G148" i="85" s="1"/>
  <c r="G54" i="85"/>
  <c r="G111" i="85"/>
  <c r="G147" i="85" s="1"/>
  <c r="N113" i="124"/>
  <c r="N118" i="124"/>
  <c r="N119" i="124"/>
  <c r="N114" i="124"/>
  <c r="N116" i="124"/>
  <c r="N115" i="124"/>
  <c r="N117" i="124"/>
  <c r="N112" i="124"/>
  <c r="N111" i="124"/>
  <c r="G116" i="84"/>
  <c r="G119" i="84"/>
  <c r="G155" i="84" s="1"/>
  <c r="G54" i="84"/>
  <c r="F53" i="99"/>
  <c r="F54" i="99" s="1"/>
  <c r="F49" i="99"/>
  <c r="F61" i="110"/>
  <c r="F50" i="110"/>
  <c r="N113" i="92"/>
  <c r="N112" i="92"/>
  <c r="N114" i="92"/>
  <c r="N119" i="92"/>
  <c r="N118" i="92"/>
  <c r="N111" i="92"/>
  <c r="N117" i="92"/>
  <c r="N118" i="76"/>
  <c r="N119" i="76"/>
  <c r="N111" i="76"/>
  <c r="N117" i="76"/>
  <c r="N116" i="76"/>
  <c r="N115" i="76"/>
  <c r="N114" i="76"/>
  <c r="N112" i="76"/>
  <c r="N113" i="76"/>
  <c r="G156" i="104"/>
  <c r="N111" i="125"/>
  <c r="N116" i="125"/>
  <c r="N112" i="125"/>
  <c r="N115" i="125"/>
  <c r="N113" i="125"/>
  <c r="N118" i="125"/>
  <c r="N114" i="125"/>
  <c r="N117" i="125"/>
  <c r="N119" i="125"/>
  <c r="F61" i="89"/>
  <c r="G61" i="89" s="1"/>
  <c r="F50" i="89"/>
  <c r="G113" i="90"/>
  <c r="G149" i="90" s="1"/>
  <c r="G116" i="90"/>
  <c r="G152" i="90" s="1"/>
  <c r="G112" i="90"/>
  <c r="G148" i="90" s="1"/>
  <c r="G114" i="90"/>
  <c r="G150" i="90" s="1"/>
  <c r="G54" i="90"/>
  <c r="G115" i="90"/>
  <c r="G151" i="90" s="1"/>
  <c r="G118" i="90"/>
  <c r="G154" i="90" s="1"/>
  <c r="F49" i="100"/>
  <c r="F53" i="100"/>
  <c r="F54" i="100" s="1"/>
  <c r="F61" i="9"/>
  <c r="G61" i="9" s="1"/>
  <c r="G77" i="9" s="1"/>
  <c r="F50" i="9"/>
  <c r="N111" i="100"/>
  <c r="N115" i="100"/>
  <c r="N112" i="100"/>
  <c r="N119" i="100"/>
  <c r="N115" i="126"/>
  <c r="N116" i="126"/>
  <c r="N117" i="126"/>
  <c r="N114" i="126"/>
  <c r="N119" i="126"/>
  <c r="N118" i="126"/>
  <c r="N112" i="126"/>
  <c r="N111" i="126"/>
  <c r="N113" i="126"/>
  <c r="N112" i="91"/>
  <c r="N111" i="91"/>
  <c r="N117" i="91"/>
  <c r="N119" i="91"/>
  <c r="N116" i="91"/>
  <c r="N118" i="91"/>
  <c r="N115" i="91"/>
  <c r="H83" i="105"/>
  <c r="I83" i="105" s="1"/>
  <c r="J83" i="105" s="1"/>
  <c r="K83" i="105" s="1"/>
  <c r="G78" i="103"/>
  <c r="G79" i="103" s="1"/>
  <c r="G80" i="103" s="1"/>
  <c r="G83" i="103"/>
  <c r="F12" i="134"/>
  <c r="F14" i="134" s="1"/>
  <c r="G48" i="129"/>
  <c r="G52" i="129"/>
  <c r="H52" i="87"/>
  <c r="H48" i="87"/>
  <c r="G48" i="124"/>
  <c r="G52" i="124"/>
  <c r="H48" i="123"/>
  <c r="H52" i="123"/>
  <c r="H52" i="82"/>
  <c r="H48" i="82"/>
  <c r="N118" i="106"/>
  <c r="N114" i="106"/>
  <c r="N117" i="106"/>
  <c r="N113" i="106"/>
  <c r="N116" i="106"/>
  <c r="N112" i="106"/>
  <c r="N119" i="106"/>
  <c r="N115" i="106"/>
  <c r="N111" i="106"/>
  <c r="F61" i="102"/>
  <c r="G61" i="102" s="1"/>
  <c r="F50" i="102"/>
  <c r="G49" i="128"/>
  <c r="G53" i="128"/>
  <c r="H48" i="101"/>
  <c r="G53" i="79"/>
  <c r="G49" i="79"/>
  <c r="G49" i="124"/>
  <c r="G53" i="124"/>
  <c r="H125" i="83"/>
  <c r="N14" i="133" s="1"/>
  <c r="H123" i="83"/>
  <c r="H127" i="83"/>
  <c r="N16" i="133" s="1"/>
  <c r="H129" i="83"/>
  <c r="N18" i="133" s="1"/>
  <c r="H128" i="83"/>
  <c r="N17" i="133" s="1"/>
  <c r="H131" i="83"/>
  <c r="N20" i="133" s="1"/>
  <c r="H130" i="83"/>
  <c r="N19" i="133" s="1"/>
  <c r="H124" i="83"/>
  <c r="N13" i="133" s="1"/>
  <c r="H126" i="83"/>
  <c r="N15" i="133" s="1"/>
  <c r="G125" i="125"/>
  <c r="G123" i="125"/>
  <c r="G126" i="125"/>
  <c r="G124" i="125"/>
  <c r="G131" i="125"/>
  <c r="G127" i="125"/>
  <c r="G128" i="125"/>
  <c r="G130" i="125"/>
  <c r="G129" i="125"/>
  <c r="G147" i="102"/>
  <c r="G120" i="102"/>
  <c r="F61" i="80"/>
  <c r="G61" i="80" s="1"/>
  <c r="F50" i="80"/>
  <c r="F61" i="86"/>
  <c r="G61" i="86" s="1"/>
  <c r="G77" i="86" s="1"/>
  <c r="F50" i="86"/>
  <c r="G116" i="91"/>
  <c r="G152" i="91" s="1"/>
  <c r="G112" i="91"/>
  <c r="G148" i="91" s="1"/>
  <c r="G119" i="91"/>
  <c r="G155" i="91" s="1"/>
  <c r="G115" i="91"/>
  <c r="G151" i="91" s="1"/>
  <c r="G111" i="91"/>
  <c r="G118" i="91"/>
  <c r="G154" i="91" s="1"/>
  <c r="G114" i="91"/>
  <c r="G150" i="91" s="1"/>
  <c r="G117" i="91"/>
  <c r="G153" i="91" s="1"/>
  <c r="G113" i="91"/>
  <c r="G149" i="91" s="1"/>
  <c r="G54" i="91"/>
  <c r="G114" i="78"/>
  <c r="G150" i="78" s="1"/>
  <c r="G119" i="78"/>
  <c r="G155" i="78" s="1"/>
  <c r="G116" i="78"/>
  <c r="G152" i="78" s="1"/>
  <c r="G118" i="78"/>
  <c r="G154" i="78" s="1"/>
  <c r="G113" i="78"/>
  <c r="G149" i="78" s="1"/>
  <c r="G111" i="78"/>
  <c r="G117" i="78"/>
  <c r="G153" i="78" s="1"/>
  <c r="G112" i="78"/>
  <c r="G148" i="78" s="1"/>
  <c r="G115" i="78"/>
  <c r="G151" i="78" s="1"/>
  <c r="G54" i="78"/>
  <c r="N120" i="92"/>
  <c r="G48" i="121"/>
  <c r="G49" i="121" s="1"/>
  <c r="G52" i="121"/>
  <c r="G54" i="121" s="1"/>
  <c r="H139" i="94"/>
  <c r="H141" i="94"/>
  <c r="H135" i="94"/>
  <c r="H137" i="94"/>
  <c r="H142" i="94"/>
  <c r="H140" i="94"/>
  <c r="H143" i="94"/>
  <c r="H138" i="94"/>
  <c r="H136" i="94"/>
  <c r="N47" i="128"/>
  <c r="N47" i="126"/>
  <c r="N47" i="78"/>
  <c r="N47" i="75"/>
  <c r="N47" i="101"/>
  <c r="N47" i="92"/>
  <c r="N47" i="121"/>
  <c r="N47" i="93"/>
  <c r="N47" i="95"/>
  <c r="N47" i="84"/>
  <c r="N47" i="83"/>
  <c r="N47" i="87"/>
  <c r="N47" i="99"/>
  <c r="N47" i="96"/>
  <c r="N47" i="91"/>
  <c r="N47" i="104"/>
  <c r="N47" i="76"/>
  <c r="N47" i="125"/>
  <c r="N47" i="89"/>
  <c r="N47" i="109"/>
  <c r="N47" i="74"/>
  <c r="N47" i="97"/>
  <c r="N47" i="80"/>
  <c r="H135" i="101"/>
  <c r="H138" i="101"/>
  <c r="H141" i="101"/>
  <c r="H142" i="101"/>
  <c r="H143" i="101"/>
  <c r="H137" i="101"/>
  <c r="H136" i="101"/>
  <c r="H139" i="101"/>
  <c r="H140" i="101"/>
  <c r="G117" i="93"/>
  <c r="G153" i="93" s="1"/>
  <c r="G113" i="93"/>
  <c r="G149" i="93" s="1"/>
  <c r="G116" i="93"/>
  <c r="G152" i="93" s="1"/>
  <c r="G112" i="93"/>
  <c r="G148" i="93" s="1"/>
  <c r="G119" i="93"/>
  <c r="G155" i="93" s="1"/>
  <c r="G115" i="93"/>
  <c r="G151" i="93" s="1"/>
  <c r="G111" i="93"/>
  <c r="G118" i="93"/>
  <c r="G154" i="93" s="1"/>
  <c r="G114" i="93"/>
  <c r="G150" i="93" s="1"/>
  <c r="G54" i="93"/>
  <c r="F61" i="106"/>
  <c r="G61" i="106" s="1"/>
  <c r="F50" i="106"/>
  <c r="N117" i="74"/>
  <c r="N114" i="74"/>
  <c r="N119" i="74"/>
  <c r="N111" i="74"/>
  <c r="N118" i="74"/>
  <c r="N115" i="74"/>
  <c r="N116" i="74"/>
  <c r="N113" i="74"/>
  <c r="N112" i="74"/>
  <c r="H48" i="124"/>
  <c r="N113" i="105"/>
  <c r="N114" i="105"/>
  <c r="N117" i="105"/>
  <c r="N119" i="105"/>
  <c r="N112" i="105"/>
  <c r="N115" i="105"/>
  <c r="N111" i="105"/>
  <c r="N118" i="105"/>
  <c r="N116" i="105"/>
  <c r="G116" i="123"/>
  <c r="G152" i="123" s="1"/>
  <c r="G115" i="123"/>
  <c r="G151" i="123" s="1"/>
  <c r="G119" i="123"/>
  <c r="G155" i="123" s="1"/>
  <c r="G117" i="123"/>
  <c r="G153" i="123" s="1"/>
  <c r="G113" i="123"/>
  <c r="G149" i="123" s="1"/>
  <c r="G112" i="123"/>
  <c r="G148" i="123" s="1"/>
  <c r="G111" i="123"/>
  <c r="G118" i="123"/>
  <c r="G154" i="123" s="1"/>
  <c r="G114" i="123"/>
  <c r="G150" i="123" s="1"/>
  <c r="G54" i="123"/>
  <c r="G120" i="92"/>
  <c r="G147" i="92"/>
  <c r="G118" i="86"/>
  <c r="G154" i="86" s="1"/>
  <c r="G112" i="86"/>
  <c r="G148" i="86" s="1"/>
  <c r="G117" i="86"/>
  <c r="G153" i="86" s="1"/>
  <c r="G116" i="86"/>
  <c r="G152" i="86" s="1"/>
  <c r="G113" i="86"/>
  <c r="G149" i="86" s="1"/>
  <c r="G115" i="86"/>
  <c r="G151" i="86" s="1"/>
  <c r="G119" i="86"/>
  <c r="G155" i="86" s="1"/>
  <c r="G111" i="86"/>
  <c r="G114" i="86"/>
  <c r="G150" i="86" s="1"/>
  <c r="G54" i="86"/>
  <c r="H136" i="124"/>
  <c r="H135" i="124"/>
  <c r="H142" i="124"/>
  <c r="H141" i="124"/>
  <c r="H138" i="124"/>
  <c r="H139" i="124"/>
  <c r="H140" i="124"/>
  <c r="H143" i="124"/>
  <c r="H137" i="124"/>
  <c r="F91" i="2"/>
  <c r="F92" i="2" s="1"/>
  <c r="F89" i="2"/>
  <c r="F97" i="2" s="1"/>
  <c r="F56" i="109" s="1"/>
  <c r="F49" i="121"/>
  <c r="F53" i="121"/>
  <c r="F54" i="121" s="1"/>
  <c r="H48" i="83"/>
  <c r="H52" i="83"/>
  <c r="H52" i="76"/>
  <c r="H48" i="76"/>
  <c r="G49" i="103"/>
  <c r="G53" i="103"/>
  <c r="F61" i="85"/>
  <c r="G61" i="85" s="1"/>
  <c r="G77" i="85" s="1"/>
  <c r="F50" i="85"/>
  <c r="G120" i="106"/>
  <c r="G147" i="106"/>
  <c r="E81" i="2"/>
  <c r="F95" i="2" s="1"/>
  <c r="E91" i="2"/>
  <c r="E92" i="2" s="1"/>
  <c r="D81" i="2"/>
  <c r="D91" i="2"/>
  <c r="D92" i="2" s="1"/>
  <c r="N119" i="99"/>
  <c r="N116" i="99"/>
  <c r="N115" i="99"/>
  <c r="N118" i="99"/>
  <c r="N113" i="99"/>
  <c r="N112" i="99"/>
  <c r="N114" i="99"/>
  <c r="N111" i="99"/>
  <c r="N117" i="99"/>
  <c r="N117" i="98"/>
  <c r="N111" i="98"/>
  <c r="N116" i="98"/>
  <c r="N115" i="98"/>
  <c r="N112" i="98"/>
  <c r="N119" i="98"/>
  <c r="N114" i="98"/>
  <c r="N118" i="98"/>
  <c r="N113" i="98"/>
  <c r="N118" i="101"/>
  <c r="N111" i="101"/>
  <c r="N115" i="101"/>
  <c r="N117" i="101"/>
  <c r="N119" i="101"/>
  <c r="N112" i="101"/>
  <c r="N113" i="101"/>
  <c r="N114" i="101"/>
  <c r="N116" i="101"/>
  <c r="G54" i="127"/>
  <c r="G140" i="127"/>
  <c r="G152" i="127" s="1"/>
  <c r="G139" i="127"/>
  <c r="G151" i="127" s="1"/>
  <c r="G136" i="127"/>
  <c r="G148" i="127" s="1"/>
  <c r="G135" i="127"/>
  <c r="G141" i="127"/>
  <c r="G153" i="127" s="1"/>
  <c r="G138" i="127"/>
  <c r="G150" i="127" s="1"/>
  <c r="G142" i="127"/>
  <c r="G154" i="127" s="1"/>
  <c r="G137" i="127"/>
  <c r="G149" i="127" s="1"/>
  <c r="G143" i="127"/>
  <c r="G155" i="127" s="1"/>
  <c r="N120" i="91"/>
  <c r="G61" i="123"/>
  <c r="G77" i="123" s="1"/>
  <c r="G50" i="123"/>
  <c r="G149" i="85"/>
  <c r="G156" i="85" s="1"/>
  <c r="G120" i="85"/>
  <c r="H48" i="125"/>
  <c r="H52" i="125"/>
  <c r="H52" i="79"/>
  <c r="H48" i="79"/>
  <c r="G48" i="125"/>
  <c r="G49" i="125" s="1"/>
  <c r="G52" i="125"/>
  <c r="G54" i="125" s="1"/>
  <c r="H141" i="128"/>
  <c r="H139" i="128"/>
  <c r="H136" i="128"/>
  <c r="H142" i="128"/>
  <c r="H135" i="128"/>
  <c r="H137" i="128"/>
  <c r="H138" i="128"/>
  <c r="H140" i="128"/>
  <c r="H143" i="128"/>
  <c r="H48" i="96"/>
  <c r="H52" i="96"/>
  <c r="N115" i="9"/>
  <c r="N117" i="9"/>
  <c r="N112" i="9"/>
  <c r="N111" i="9"/>
  <c r="N118" i="9"/>
  <c r="N114" i="9"/>
  <c r="N116" i="9"/>
  <c r="N113" i="9"/>
  <c r="N119" i="9"/>
  <c r="G61" i="126"/>
  <c r="G147" i="99"/>
  <c r="G120" i="99"/>
  <c r="G49" i="129"/>
  <c r="G53" i="129"/>
  <c r="H48" i="94"/>
  <c r="G129" i="77"/>
  <c r="G153" i="77" s="1"/>
  <c r="G125" i="77"/>
  <c r="G149" i="77" s="1"/>
  <c r="G131" i="77"/>
  <c r="G155" i="77" s="1"/>
  <c r="G126" i="77"/>
  <c r="G150" i="77" s="1"/>
  <c r="G128" i="77"/>
  <c r="G152" i="77" s="1"/>
  <c r="G123" i="77"/>
  <c r="G127" i="77"/>
  <c r="G151" i="77" s="1"/>
  <c r="G124" i="77"/>
  <c r="G148" i="77" s="1"/>
  <c r="G130" i="77"/>
  <c r="G154" i="77" s="1"/>
  <c r="G54" i="77"/>
  <c r="N114" i="127"/>
  <c r="N117" i="127"/>
  <c r="N113" i="127"/>
  <c r="N111" i="127"/>
  <c r="N116" i="127"/>
  <c r="N115" i="127"/>
  <c r="N118" i="127"/>
  <c r="N112" i="127"/>
  <c r="N119" i="127"/>
  <c r="G114" i="125"/>
  <c r="G118" i="125"/>
  <c r="G116" i="125"/>
  <c r="G119" i="125"/>
  <c r="G115" i="125"/>
  <c r="G113" i="125"/>
  <c r="G112" i="125"/>
  <c r="G117" i="125"/>
  <c r="G111" i="125"/>
  <c r="H48" i="128"/>
  <c r="N120" i="78"/>
  <c r="G120" i="90"/>
  <c r="G147" i="90"/>
  <c r="G156" i="90" s="1"/>
  <c r="G116" i="81"/>
  <c r="G152" i="81" s="1"/>
  <c r="G113" i="81"/>
  <c r="G149" i="81" s="1"/>
  <c r="G114" i="81"/>
  <c r="G150" i="81" s="1"/>
  <c r="G119" i="81"/>
  <c r="G155" i="81" s="1"/>
  <c r="G112" i="81"/>
  <c r="G148" i="81" s="1"/>
  <c r="G115" i="81"/>
  <c r="G151" i="81" s="1"/>
  <c r="G118" i="81"/>
  <c r="G154" i="81" s="1"/>
  <c r="G117" i="81"/>
  <c r="G153" i="81" s="1"/>
  <c r="G111" i="81"/>
  <c r="G54" i="81"/>
  <c r="N120" i="89"/>
  <c r="N52" i="123"/>
  <c r="N48" i="123"/>
  <c r="N49" i="123" s="1"/>
  <c r="N50" i="123" s="1"/>
  <c r="G12" i="134"/>
  <c r="G14" i="134" s="1"/>
  <c r="G83" i="76"/>
  <c r="G78" i="76"/>
  <c r="G79" i="76" s="1"/>
  <c r="F59" i="110"/>
  <c r="F60" i="110"/>
  <c r="G48" i="110"/>
  <c r="H48" i="107"/>
  <c r="N112" i="83"/>
  <c r="N116" i="83"/>
  <c r="N114" i="83"/>
  <c r="N111" i="83"/>
  <c r="N119" i="83"/>
  <c r="N118" i="83"/>
  <c r="N115" i="83"/>
  <c r="N113" i="83"/>
  <c r="N117" i="83"/>
  <c r="N52" i="127"/>
  <c r="N48" i="127"/>
  <c r="N49" i="127" s="1"/>
  <c r="N50" i="127" s="1"/>
  <c r="N52" i="107"/>
  <c r="N54" i="107" s="1"/>
  <c r="N57" i="107" s="1"/>
  <c r="N59" i="107" s="1"/>
  <c r="N48" i="107"/>
  <c r="N49" i="107" s="1"/>
  <c r="N50" i="107" s="1"/>
  <c r="N52" i="77"/>
  <c r="N48" i="77"/>
  <c r="N49" i="77" s="1"/>
  <c r="N50" i="77" s="1"/>
  <c r="N52" i="88"/>
  <c r="N48" i="88"/>
  <c r="N49" i="88" s="1"/>
  <c r="N50" i="88" s="1"/>
  <c r="N52" i="98"/>
  <c r="N48" i="98"/>
  <c r="N49" i="98" s="1"/>
  <c r="N50" i="98" s="1"/>
  <c r="N52" i="82"/>
  <c r="N48" i="82"/>
  <c r="N49" i="82" s="1"/>
  <c r="N50" i="82" s="1"/>
  <c r="N132" i="102"/>
  <c r="N132" i="79"/>
  <c r="N132" i="106"/>
  <c r="G48" i="108"/>
  <c r="N52" i="102"/>
  <c r="N48" i="102"/>
  <c r="N49" i="102" s="1"/>
  <c r="N50" i="102" s="1"/>
  <c r="N52" i="90"/>
  <c r="N48" i="90"/>
  <c r="N49" i="90" s="1"/>
  <c r="N50" i="90" s="1"/>
  <c r="N52" i="79"/>
  <c r="N48" i="79"/>
  <c r="N49" i="79" s="1"/>
  <c r="N50" i="79" s="1"/>
  <c r="N48" i="94"/>
  <c r="N49" i="94" s="1"/>
  <c r="N50" i="94" s="1"/>
  <c r="N52" i="94"/>
  <c r="N52" i="103"/>
  <c r="N48" i="103"/>
  <c r="N49" i="103" s="1"/>
  <c r="N50" i="103" s="1"/>
  <c r="N52" i="110"/>
  <c r="N54" i="110" s="1"/>
  <c r="N57" i="110" s="1"/>
  <c r="N59" i="110" s="1"/>
  <c r="N48" i="110"/>
  <c r="N49" i="110" s="1"/>
  <c r="N50" i="110" s="1"/>
  <c r="N132" i="97"/>
  <c r="N112" i="104"/>
  <c r="N119" i="104"/>
  <c r="N114" i="104"/>
  <c r="N118" i="104"/>
  <c r="N113" i="104"/>
  <c r="N116" i="104"/>
  <c r="N117" i="104"/>
  <c r="N115" i="104"/>
  <c r="N111" i="104"/>
  <c r="H48" i="110"/>
  <c r="N52" i="105"/>
  <c r="N48" i="105"/>
  <c r="N49" i="105" s="1"/>
  <c r="N50" i="105" s="1"/>
  <c r="N52" i="106"/>
  <c r="N48" i="106"/>
  <c r="N49" i="106" s="1"/>
  <c r="N50" i="106" s="1"/>
  <c r="N52" i="129"/>
  <c r="N48" i="129"/>
  <c r="N49" i="129" s="1"/>
  <c r="N50" i="129" s="1"/>
  <c r="N52" i="85"/>
  <c r="N48" i="85"/>
  <c r="N49" i="85" s="1"/>
  <c r="N50" i="85" s="1"/>
  <c r="N52" i="81"/>
  <c r="N48" i="81"/>
  <c r="N49" i="81" s="1"/>
  <c r="N50" i="81" s="1"/>
  <c r="N132" i="9"/>
  <c r="H48" i="108"/>
  <c r="G118" i="96"/>
  <c r="G111" i="96"/>
  <c r="G115" i="96"/>
  <c r="G112" i="96"/>
  <c r="G117" i="96"/>
  <c r="G119" i="96"/>
  <c r="G113" i="96"/>
  <c r="G114" i="96"/>
  <c r="G116" i="96"/>
  <c r="G54" i="96"/>
  <c r="G48" i="107"/>
  <c r="H52" i="107"/>
  <c r="N52" i="100"/>
  <c r="N48" i="100"/>
  <c r="N49" i="100" s="1"/>
  <c r="N50" i="100" s="1"/>
  <c r="N52" i="108"/>
  <c r="N54" i="108" s="1"/>
  <c r="N57" i="108" s="1"/>
  <c r="N59" i="108" s="1"/>
  <c r="N48" i="108"/>
  <c r="N49" i="108" s="1"/>
  <c r="N50" i="108" s="1"/>
  <c r="N52" i="124"/>
  <c r="N48" i="124"/>
  <c r="N49" i="124" s="1"/>
  <c r="N50" i="124" s="1"/>
  <c r="N52" i="86"/>
  <c r="N48" i="86"/>
  <c r="N49" i="86" s="1"/>
  <c r="N50" i="86" s="1"/>
  <c r="N52" i="9"/>
  <c r="N48" i="9"/>
  <c r="N49" i="9" s="1"/>
  <c r="N50" i="9" s="1"/>
  <c r="N44" i="121"/>
  <c r="N132" i="127"/>
  <c r="N132" i="100"/>
  <c r="N132" i="85"/>
  <c r="G44" i="109"/>
  <c r="N132" i="101"/>
  <c r="N132" i="126"/>
  <c r="N132" i="123"/>
  <c r="N132" i="96"/>
  <c r="N132" i="86"/>
  <c r="N132" i="76"/>
  <c r="N132" i="77"/>
  <c r="N132" i="124"/>
  <c r="N132" i="105"/>
  <c r="N132" i="74"/>
  <c r="H20" i="134"/>
  <c r="I20" i="134"/>
  <c r="D14" i="134"/>
  <c r="H12" i="134"/>
  <c r="F81" i="108"/>
  <c r="M23" i="133"/>
  <c r="N118" i="82"/>
  <c r="N117" i="82"/>
  <c r="N119" i="82"/>
  <c r="N113" i="82"/>
  <c r="N54" i="82"/>
  <c r="T23" i="133"/>
  <c r="M22" i="133"/>
  <c r="M24" i="133"/>
  <c r="F80" i="110"/>
  <c r="F82" i="110" s="1"/>
  <c r="T22" i="133"/>
  <c r="F80" i="107"/>
  <c r="F82" i="107" s="1"/>
  <c r="T24" i="133"/>
  <c r="N114" i="129"/>
  <c r="N117" i="129"/>
  <c r="N115" i="129"/>
  <c r="N111" i="129"/>
  <c r="N118" i="129"/>
  <c r="N116" i="129"/>
  <c r="N119" i="129"/>
  <c r="N112" i="129"/>
  <c r="N113" i="129"/>
  <c r="N54" i="129"/>
  <c r="G80" i="94"/>
  <c r="G80" i="77"/>
  <c r="H80" i="77"/>
  <c r="H76" i="85"/>
  <c r="F78" i="83"/>
  <c r="F79" i="83" s="1"/>
  <c r="G77" i="83"/>
  <c r="I77" i="83"/>
  <c r="I78" i="83" s="1"/>
  <c r="I79" i="83" s="1"/>
  <c r="G78" i="104"/>
  <c r="G79" i="104" s="1"/>
  <c r="G83" i="104"/>
  <c r="H83" i="104" s="1"/>
  <c r="I83" i="104" s="1"/>
  <c r="G76" i="82"/>
  <c r="H14" i="82"/>
  <c r="H14" i="78"/>
  <c r="G76" i="78"/>
  <c r="G78" i="93"/>
  <c r="G79" i="93" s="1"/>
  <c r="H77" i="93"/>
  <c r="G78" i="92"/>
  <c r="G79" i="92" s="1"/>
  <c r="G83" i="92"/>
  <c r="H76" i="81"/>
  <c r="G78" i="90"/>
  <c r="G79" i="90" s="1"/>
  <c r="G83" i="90"/>
  <c r="H83" i="90" s="1"/>
  <c r="F78" i="82"/>
  <c r="F79" i="82" s="1"/>
  <c r="H14" i="74"/>
  <c r="G76" i="74"/>
  <c r="G77" i="74" s="1"/>
  <c r="G83" i="74" s="1"/>
  <c r="F78" i="81"/>
  <c r="F79" i="81" s="1"/>
  <c r="G77" i="81"/>
  <c r="H77" i="83"/>
  <c r="G83" i="84"/>
  <c r="G76" i="80"/>
  <c r="H77" i="80" s="1"/>
  <c r="H76" i="79"/>
  <c r="F78" i="80"/>
  <c r="F79" i="80" s="1"/>
  <c r="T21" i="133"/>
  <c r="C19" i="119"/>
  <c r="M19" i="119" s="1"/>
  <c r="C11" i="119"/>
  <c r="G53" i="109"/>
  <c r="F21" i="133" s="1"/>
  <c r="M10" i="119"/>
  <c r="N21" i="133"/>
  <c r="N29" i="133" s="1"/>
  <c r="D10" i="119"/>
  <c r="D18" i="119"/>
  <c r="N18" i="119" s="1"/>
  <c r="G48" i="109"/>
  <c r="G49" i="109" s="1"/>
  <c r="N53" i="121"/>
  <c r="G80" i="105"/>
  <c r="K80" i="105"/>
  <c r="K81" i="105" s="1"/>
  <c r="G78" i="95"/>
  <c r="G79" i="95" s="1"/>
  <c r="G83" i="95"/>
  <c r="N132" i="84"/>
  <c r="N132" i="92"/>
  <c r="G78" i="123"/>
  <c r="G79" i="123" s="1"/>
  <c r="G83" i="123"/>
  <c r="G77" i="88"/>
  <c r="G83" i="91"/>
  <c r="H83" i="91" s="1"/>
  <c r="I83" i="91" s="1"/>
  <c r="J83" i="91" s="1"/>
  <c r="K83" i="91" s="1"/>
  <c r="G78" i="91"/>
  <c r="G79" i="91" s="1"/>
  <c r="J80" i="91" s="1"/>
  <c r="J81" i="91" s="1"/>
  <c r="N120" i="82"/>
  <c r="H80" i="105"/>
  <c r="H81" i="105" s="1"/>
  <c r="N132" i="91"/>
  <c r="H76" i="9"/>
  <c r="N132" i="128"/>
  <c r="N132" i="94"/>
  <c r="N132" i="82"/>
  <c r="J77" i="121"/>
  <c r="J78" i="121" s="1"/>
  <c r="P76" i="121"/>
  <c r="O76" i="123"/>
  <c r="M77" i="121"/>
  <c r="M78" i="121" s="1"/>
  <c r="M79" i="121" s="1"/>
  <c r="O76" i="121"/>
  <c r="K77" i="121"/>
  <c r="H83" i="103"/>
  <c r="J80" i="105"/>
  <c r="J81" i="105" s="1"/>
  <c r="N132" i="90"/>
  <c r="L77" i="121"/>
  <c r="L78" i="121" s="1"/>
  <c r="L79" i="121" s="1"/>
  <c r="N77" i="121"/>
  <c r="N78" i="121" s="1"/>
  <c r="N79" i="121" s="1"/>
  <c r="G78" i="86"/>
  <c r="G79" i="86" s="1"/>
  <c r="G83" i="86"/>
  <c r="I80" i="105"/>
  <c r="I81" i="105" s="1"/>
  <c r="G78" i="74"/>
  <c r="G79" i="74" s="1"/>
  <c r="N132" i="87"/>
  <c r="N120" i="87"/>
  <c r="N132" i="95"/>
  <c r="N132" i="81"/>
  <c r="N132" i="98"/>
  <c r="J77" i="123"/>
  <c r="J78" i="123" s="1"/>
  <c r="J79" i="123" s="1"/>
  <c r="I83" i="121"/>
  <c r="G53" i="107"/>
  <c r="G49" i="107"/>
  <c r="G53" i="108"/>
  <c r="G49" i="108"/>
  <c r="G53" i="110"/>
  <c r="G49" i="110"/>
  <c r="K55" i="2"/>
  <c r="H44" i="82"/>
  <c r="H44" i="75"/>
  <c r="H44" i="79"/>
  <c r="H44" i="108"/>
  <c r="H44" i="74"/>
  <c r="H44" i="98"/>
  <c r="H44" i="103"/>
  <c r="H44" i="104"/>
  <c r="H44" i="121"/>
  <c r="H44" i="89"/>
  <c r="H44" i="106"/>
  <c r="H44" i="127"/>
  <c r="J57" i="2"/>
  <c r="J58" i="2"/>
  <c r="H44" i="85"/>
  <c r="H44" i="100"/>
  <c r="H44" i="96"/>
  <c r="J54" i="2"/>
  <c r="H44" i="77"/>
  <c r="H44" i="126"/>
  <c r="H44" i="95"/>
  <c r="H44" i="93"/>
  <c r="H44" i="125"/>
  <c r="H44" i="88"/>
  <c r="H44" i="84"/>
  <c r="H44" i="110"/>
  <c r="K59" i="2"/>
  <c r="K56" i="2"/>
  <c r="H44" i="99"/>
  <c r="H44" i="91"/>
  <c r="H44" i="123"/>
  <c r="H44" i="105"/>
  <c r="H44" i="9"/>
  <c r="H44" i="129"/>
  <c r="H44" i="97"/>
  <c r="H44" i="83"/>
  <c r="H44" i="102"/>
  <c r="H44" i="80"/>
  <c r="H44" i="94"/>
  <c r="H44" i="109"/>
  <c r="J61" i="2"/>
  <c r="K60" i="2"/>
  <c r="J62" i="2"/>
  <c r="H44" i="76"/>
  <c r="H44" i="86"/>
  <c r="H44" i="124"/>
  <c r="H44" i="78"/>
  <c r="H44" i="101"/>
  <c r="H44" i="107"/>
  <c r="H44" i="81"/>
  <c r="H44" i="87"/>
  <c r="H44" i="90"/>
  <c r="H44" i="92"/>
  <c r="H44" i="128"/>
  <c r="K63" i="2"/>
  <c r="G80" i="121"/>
  <c r="G144" i="93" l="1"/>
  <c r="G147" i="84"/>
  <c r="G150" i="84"/>
  <c r="H132" i="79"/>
  <c r="G148" i="89"/>
  <c r="G144" i="89"/>
  <c r="G132" i="93"/>
  <c r="G132" i="81"/>
  <c r="G151" i="84"/>
  <c r="G149" i="84"/>
  <c r="G154" i="84"/>
  <c r="N120" i="128"/>
  <c r="H144" i="93"/>
  <c r="G156" i="94"/>
  <c r="F64" i="108"/>
  <c r="F68" i="108"/>
  <c r="F69" i="108"/>
  <c r="F65" i="108"/>
  <c r="F71" i="108"/>
  <c r="F72" i="108"/>
  <c r="F66" i="108"/>
  <c r="F73" i="108"/>
  <c r="F67" i="108"/>
  <c r="F70" i="108"/>
  <c r="N120" i="75"/>
  <c r="G144" i="81"/>
  <c r="G147" i="97"/>
  <c r="G156" i="97" s="1"/>
  <c r="G132" i="97"/>
  <c r="G144" i="84"/>
  <c r="G132" i="84"/>
  <c r="N120" i="96"/>
  <c r="G144" i="86"/>
  <c r="H144" i="100"/>
  <c r="H144" i="106"/>
  <c r="H132" i="106"/>
  <c r="N120" i="103"/>
  <c r="H132" i="129"/>
  <c r="G132" i="100"/>
  <c r="H132" i="96"/>
  <c r="G144" i="106"/>
  <c r="G156" i="106"/>
  <c r="G156" i="87"/>
  <c r="G132" i="96"/>
  <c r="G132" i="105"/>
  <c r="H132" i="86"/>
  <c r="G120" i="101"/>
  <c r="G144" i="105"/>
  <c r="G156" i="76"/>
  <c r="H132" i="82"/>
  <c r="G151" i="82"/>
  <c r="G156" i="92"/>
  <c r="G156" i="102"/>
  <c r="G156" i="9"/>
  <c r="G144" i="123"/>
  <c r="G153" i="105"/>
  <c r="G132" i="83"/>
  <c r="H144" i="81"/>
  <c r="G148" i="84"/>
  <c r="G120" i="76"/>
  <c r="G147" i="89"/>
  <c r="G156" i="89" s="1"/>
  <c r="G147" i="95"/>
  <c r="G156" i="95" s="1"/>
  <c r="G132" i="82"/>
  <c r="G144" i="94"/>
  <c r="H132" i="92"/>
  <c r="G156" i="99"/>
  <c r="G144" i="87"/>
  <c r="G147" i="105"/>
  <c r="G144" i="92"/>
  <c r="H132" i="100"/>
  <c r="G147" i="101"/>
  <c r="G156" i="101" s="1"/>
  <c r="G120" i="82"/>
  <c r="G147" i="82"/>
  <c r="G156" i="82" s="1"/>
  <c r="H144" i="91"/>
  <c r="G132" i="127"/>
  <c r="F72" i="107"/>
  <c r="F71" i="107"/>
  <c r="F70" i="107"/>
  <c r="F64" i="107"/>
  <c r="F66" i="107"/>
  <c r="F73" i="107"/>
  <c r="F67" i="107"/>
  <c r="F68" i="107"/>
  <c r="F69" i="107"/>
  <c r="F65" i="107"/>
  <c r="J80" i="106"/>
  <c r="J81" i="106" s="1"/>
  <c r="G78" i="84"/>
  <c r="G79" i="84" s="1"/>
  <c r="K77" i="123"/>
  <c r="K78" i="123" s="1"/>
  <c r="K79" i="123" s="1"/>
  <c r="I77" i="123"/>
  <c r="G83" i="106"/>
  <c r="H83" i="106" s="1"/>
  <c r="I83" i="106" s="1"/>
  <c r="J83" i="106" s="1"/>
  <c r="I80" i="121"/>
  <c r="G81" i="103"/>
  <c r="N77" i="123"/>
  <c r="N78" i="123" s="1"/>
  <c r="N79" i="123" s="1"/>
  <c r="G78" i="96"/>
  <c r="G79" i="96" s="1"/>
  <c r="L77" i="123"/>
  <c r="L78" i="123" s="1"/>
  <c r="L79" i="123" s="1"/>
  <c r="H77" i="75"/>
  <c r="H83" i="75" s="1"/>
  <c r="G156" i="98"/>
  <c r="N120" i="90"/>
  <c r="H144" i="86"/>
  <c r="N120" i="88"/>
  <c r="N120" i="74"/>
  <c r="N120" i="81"/>
  <c r="H77" i="97"/>
  <c r="H78" i="97" s="1"/>
  <c r="H79" i="97" s="1"/>
  <c r="G78" i="97"/>
  <c r="G79" i="97" s="1"/>
  <c r="G80" i="97" s="1"/>
  <c r="G81" i="97" s="1"/>
  <c r="G83" i="97"/>
  <c r="H76" i="84"/>
  <c r="N120" i="100"/>
  <c r="N120" i="84"/>
  <c r="F61" i="101"/>
  <c r="G61" i="101" s="1"/>
  <c r="F50" i="101"/>
  <c r="H144" i="84"/>
  <c r="G78" i="9"/>
  <c r="G79" i="9" s="1"/>
  <c r="G83" i="9"/>
  <c r="N120" i="125"/>
  <c r="G120" i="100"/>
  <c r="G147" i="100"/>
  <c r="G156" i="100" s="1"/>
  <c r="G147" i="83"/>
  <c r="G156" i="83" s="1"/>
  <c r="G120" i="83"/>
  <c r="N120" i="106"/>
  <c r="F61" i="100"/>
  <c r="G61" i="100" s="1"/>
  <c r="F50" i="100"/>
  <c r="N120" i="76"/>
  <c r="F61" i="99"/>
  <c r="G61" i="99" s="1"/>
  <c r="F50" i="99"/>
  <c r="G152" i="84"/>
  <c r="G156" i="84" s="1"/>
  <c r="G120" i="84"/>
  <c r="J83" i="121"/>
  <c r="N120" i="126"/>
  <c r="N120" i="124"/>
  <c r="H80" i="103"/>
  <c r="H81" i="103" s="1"/>
  <c r="G80" i="106"/>
  <c r="G81" i="106" s="1"/>
  <c r="I80" i="106"/>
  <c r="I81" i="106" s="1"/>
  <c r="H80" i="106"/>
  <c r="H81" i="106" s="1"/>
  <c r="G78" i="85"/>
  <c r="G79" i="85" s="1"/>
  <c r="G83" i="85"/>
  <c r="N120" i="127"/>
  <c r="G111" i="129"/>
  <c r="G116" i="129"/>
  <c r="G118" i="129"/>
  <c r="G117" i="129"/>
  <c r="G112" i="129"/>
  <c r="G114" i="129"/>
  <c r="G113" i="129"/>
  <c r="G115" i="129"/>
  <c r="G119" i="129"/>
  <c r="H144" i="128"/>
  <c r="H136" i="79"/>
  <c r="H138" i="79"/>
  <c r="H140" i="79"/>
  <c r="H141" i="79"/>
  <c r="H137" i="79"/>
  <c r="H135" i="79"/>
  <c r="H143" i="79"/>
  <c r="H142" i="79"/>
  <c r="H139" i="79"/>
  <c r="G144" i="127"/>
  <c r="G147" i="127"/>
  <c r="G156" i="127" s="1"/>
  <c r="N120" i="105"/>
  <c r="N52" i="97"/>
  <c r="N48" i="97"/>
  <c r="N49" i="97" s="1"/>
  <c r="N50" i="97" s="1"/>
  <c r="N52" i="125"/>
  <c r="N48" i="125"/>
  <c r="N49" i="125" s="1"/>
  <c r="N50" i="125" s="1"/>
  <c r="N52" i="96"/>
  <c r="N48" i="96"/>
  <c r="N49" i="96" s="1"/>
  <c r="N50" i="96" s="1"/>
  <c r="N52" i="84"/>
  <c r="N48" i="84"/>
  <c r="N49" i="84" s="1"/>
  <c r="N50" i="84" s="1"/>
  <c r="N52" i="92"/>
  <c r="N48" i="92"/>
  <c r="N49" i="92" s="1"/>
  <c r="N50" i="92" s="1"/>
  <c r="N52" i="126"/>
  <c r="N48" i="126"/>
  <c r="N49" i="126" s="1"/>
  <c r="N50" i="126" s="1"/>
  <c r="H144" i="94"/>
  <c r="G50" i="121"/>
  <c r="G147" i="91"/>
  <c r="G156" i="91" s="1"/>
  <c r="G120" i="91"/>
  <c r="M15" i="133"/>
  <c r="G50" i="79"/>
  <c r="G61" i="79"/>
  <c r="G77" i="79" s="1"/>
  <c r="G50" i="128"/>
  <c r="G61" i="128"/>
  <c r="G142" i="124"/>
  <c r="G135" i="124"/>
  <c r="G143" i="124"/>
  <c r="G137" i="124"/>
  <c r="G54" i="124"/>
  <c r="G139" i="124"/>
  <c r="G136" i="124"/>
  <c r="G141" i="124"/>
  <c r="G138" i="124"/>
  <c r="G140" i="124"/>
  <c r="G136" i="129"/>
  <c r="G135" i="129"/>
  <c r="G54" i="129"/>
  <c r="G141" i="129"/>
  <c r="G142" i="129"/>
  <c r="G143" i="129"/>
  <c r="G138" i="129"/>
  <c r="G140" i="129"/>
  <c r="G139" i="129"/>
  <c r="G137" i="129"/>
  <c r="G147" i="77"/>
  <c r="G132" i="77"/>
  <c r="G61" i="129"/>
  <c r="G50" i="129"/>
  <c r="G138" i="125"/>
  <c r="G137" i="125"/>
  <c r="G149" i="125" s="1"/>
  <c r="G139" i="125"/>
  <c r="G142" i="125"/>
  <c r="G154" i="125" s="1"/>
  <c r="G141" i="125"/>
  <c r="G136" i="125"/>
  <c r="G148" i="125" s="1"/>
  <c r="G135" i="125"/>
  <c r="G140" i="125"/>
  <c r="G152" i="125" s="1"/>
  <c r="G143" i="125"/>
  <c r="H138" i="125"/>
  <c r="H139" i="125"/>
  <c r="H140" i="125"/>
  <c r="H143" i="125"/>
  <c r="H137" i="125"/>
  <c r="H136" i="125"/>
  <c r="H135" i="125"/>
  <c r="H142" i="125"/>
  <c r="H141" i="125"/>
  <c r="F56" i="123"/>
  <c r="F56" i="129"/>
  <c r="F56" i="121"/>
  <c r="F80" i="121" s="1"/>
  <c r="F56" i="9"/>
  <c r="F56" i="89"/>
  <c r="F56" i="93"/>
  <c r="F56" i="96"/>
  <c r="F56" i="97"/>
  <c r="F56" i="75"/>
  <c r="F56" i="94"/>
  <c r="F56" i="103"/>
  <c r="F56" i="127"/>
  <c r="F56" i="124"/>
  <c r="F56" i="88"/>
  <c r="F56" i="74"/>
  <c r="F56" i="95"/>
  <c r="F56" i="104"/>
  <c r="F56" i="90"/>
  <c r="F56" i="87"/>
  <c r="F56" i="83"/>
  <c r="F57" i="83" s="1"/>
  <c r="F56" i="98"/>
  <c r="F56" i="84"/>
  <c r="F56" i="78"/>
  <c r="F56" i="126"/>
  <c r="F56" i="82"/>
  <c r="F57" i="82" s="1"/>
  <c r="F56" i="91"/>
  <c r="F56" i="86"/>
  <c r="F56" i="100"/>
  <c r="F57" i="100" s="1"/>
  <c r="F56" i="102"/>
  <c r="F56" i="101"/>
  <c r="F56" i="77"/>
  <c r="F56" i="76"/>
  <c r="F56" i="128"/>
  <c r="F56" i="125"/>
  <c r="F56" i="92"/>
  <c r="F56" i="81"/>
  <c r="F57" i="81" s="1"/>
  <c r="F56" i="79"/>
  <c r="F56" i="85"/>
  <c r="F56" i="80"/>
  <c r="F57" i="80" s="1"/>
  <c r="F56" i="99"/>
  <c r="F57" i="99" s="1"/>
  <c r="F56" i="106"/>
  <c r="F56" i="105"/>
  <c r="H141" i="76"/>
  <c r="H143" i="76"/>
  <c r="H137" i="76"/>
  <c r="H139" i="76"/>
  <c r="H138" i="76"/>
  <c r="H136" i="76"/>
  <c r="H142" i="76"/>
  <c r="H140" i="76"/>
  <c r="H135" i="76"/>
  <c r="F61" i="121"/>
  <c r="G61" i="121" s="1"/>
  <c r="F50" i="121"/>
  <c r="G120" i="123"/>
  <c r="G147" i="123"/>
  <c r="G156" i="123" s="1"/>
  <c r="F57" i="109"/>
  <c r="F80" i="109"/>
  <c r="N52" i="74"/>
  <c r="N48" i="74"/>
  <c r="N49" i="74" s="1"/>
  <c r="N50" i="74" s="1"/>
  <c r="N48" i="76"/>
  <c r="N49" i="76" s="1"/>
  <c r="N50" i="76" s="1"/>
  <c r="N52" i="76"/>
  <c r="N48" i="99"/>
  <c r="N49" i="99" s="1"/>
  <c r="N50" i="99" s="1"/>
  <c r="N52" i="99"/>
  <c r="N48" i="95"/>
  <c r="N49" i="95" s="1"/>
  <c r="N50" i="95" s="1"/>
  <c r="N52" i="95"/>
  <c r="N52" i="101"/>
  <c r="N48" i="101"/>
  <c r="N49" i="101" s="1"/>
  <c r="N50" i="101" s="1"/>
  <c r="N48" i="128"/>
  <c r="N49" i="128" s="1"/>
  <c r="N50" i="128" s="1"/>
  <c r="N52" i="128"/>
  <c r="G147" i="78"/>
  <c r="G120" i="78"/>
  <c r="M18" i="133"/>
  <c r="M16" i="133"/>
  <c r="M12" i="133"/>
  <c r="G132" i="125"/>
  <c r="G113" i="79"/>
  <c r="G149" i="79" s="1"/>
  <c r="G111" i="79"/>
  <c r="G118" i="79"/>
  <c r="G154" i="79" s="1"/>
  <c r="G119" i="79"/>
  <c r="G155" i="79" s="1"/>
  <c r="G112" i="79"/>
  <c r="G148" i="79" s="1"/>
  <c r="G114" i="79"/>
  <c r="G150" i="79" s="1"/>
  <c r="G117" i="79"/>
  <c r="G153" i="79" s="1"/>
  <c r="G115" i="79"/>
  <c r="G151" i="79" s="1"/>
  <c r="G116" i="79"/>
  <c r="G152" i="79" s="1"/>
  <c r="G54" i="79"/>
  <c r="H139" i="82"/>
  <c r="H138" i="82"/>
  <c r="H135" i="82"/>
  <c r="H136" i="82"/>
  <c r="H141" i="82"/>
  <c r="H142" i="82"/>
  <c r="H143" i="82"/>
  <c r="H137" i="82"/>
  <c r="H140" i="82"/>
  <c r="G147" i="125"/>
  <c r="G120" i="125"/>
  <c r="G151" i="125"/>
  <c r="G150" i="125"/>
  <c r="G156" i="77"/>
  <c r="N120" i="9"/>
  <c r="H139" i="96"/>
  <c r="H140" i="96"/>
  <c r="H136" i="96"/>
  <c r="H143" i="96"/>
  <c r="H141" i="96"/>
  <c r="H137" i="96"/>
  <c r="H135" i="96"/>
  <c r="H138" i="96"/>
  <c r="H142" i="96"/>
  <c r="G50" i="125"/>
  <c r="G61" i="125"/>
  <c r="N120" i="101"/>
  <c r="N120" i="99"/>
  <c r="G115" i="103"/>
  <c r="G151" i="103" s="1"/>
  <c r="G118" i="103"/>
  <c r="G154" i="103" s="1"/>
  <c r="G113" i="103"/>
  <c r="G149" i="103" s="1"/>
  <c r="G114" i="103"/>
  <c r="G150" i="103" s="1"/>
  <c r="G119" i="103"/>
  <c r="G155" i="103" s="1"/>
  <c r="G111" i="103"/>
  <c r="G116" i="103"/>
  <c r="G152" i="103" s="1"/>
  <c r="G117" i="103"/>
  <c r="G153" i="103" s="1"/>
  <c r="G112" i="103"/>
  <c r="G148" i="103" s="1"/>
  <c r="G54" i="103"/>
  <c r="H141" i="83"/>
  <c r="H140" i="83"/>
  <c r="H143" i="83"/>
  <c r="H137" i="83"/>
  <c r="H138" i="83"/>
  <c r="H135" i="83"/>
  <c r="H142" i="83"/>
  <c r="H139" i="83"/>
  <c r="H136" i="83"/>
  <c r="H144" i="101"/>
  <c r="N52" i="109"/>
  <c r="N48" i="109"/>
  <c r="N49" i="109" s="1"/>
  <c r="N50" i="109" s="1"/>
  <c r="N52" i="104"/>
  <c r="N48" i="104"/>
  <c r="N49" i="104" s="1"/>
  <c r="N50" i="104" s="1"/>
  <c r="N52" i="87"/>
  <c r="N48" i="87"/>
  <c r="N49" i="87" s="1"/>
  <c r="N50" i="87" s="1"/>
  <c r="N48" i="93"/>
  <c r="N49" i="93" s="1"/>
  <c r="N50" i="93" s="1"/>
  <c r="N52" i="93"/>
  <c r="N52" i="75"/>
  <c r="N48" i="75"/>
  <c r="N49" i="75" s="1"/>
  <c r="N50" i="75" s="1"/>
  <c r="G156" i="78"/>
  <c r="M19" i="133"/>
  <c r="M20" i="133"/>
  <c r="M14" i="133"/>
  <c r="N12" i="133"/>
  <c r="N26" i="133" s="1"/>
  <c r="H132" i="83"/>
  <c r="G114" i="124"/>
  <c r="G150" i="124" s="1"/>
  <c r="G116" i="124"/>
  <c r="G118" i="124"/>
  <c r="G154" i="124" s="1"/>
  <c r="G115" i="124"/>
  <c r="G112" i="124"/>
  <c r="G148" i="124" s="1"/>
  <c r="G119" i="124"/>
  <c r="G155" i="124" s="1"/>
  <c r="G111" i="124"/>
  <c r="G117" i="124"/>
  <c r="G153" i="124" s="1"/>
  <c r="G113" i="124"/>
  <c r="G149" i="124" s="1"/>
  <c r="H141" i="123"/>
  <c r="H135" i="123"/>
  <c r="H142" i="123"/>
  <c r="H137" i="123"/>
  <c r="H140" i="123"/>
  <c r="H143" i="123"/>
  <c r="H138" i="123"/>
  <c r="H139" i="123"/>
  <c r="H136" i="123"/>
  <c r="G120" i="81"/>
  <c r="G147" i="81"/>
  <c r="G156" i="81" s="1"/>
  <c r="G153" i="125"/>
  <c r="G155" i="125"/>
  <c r="N120" i="98"/>
  <c r="G50" i="103"/>
  <c r="G61" i="103"/>
  <c r="H144" i="124"/>
  <c r="G120" i="86"/>
  <c r="G147" i="86"/>
  <c r="G156" i="86" s="1"/>
  <c r="G147" i="93"/>
  <c r="G156" i="93" s="1"/>
  <c r="G120" i="93"/>
  <c r="N52" i="80"/>
  <c r="N48" i="80"/>
  <c r="N49" i="80" s="1"/>
  <c r="N50" i="80" s="1"/>
  <c r="N52" i="89"/>
  <c r="N48" i="89"/>
  <c r="N49" i="89" s="1"/>
  <c r="N50" i="89" s="1"/>
  <c r="N52" i="91"/>
  <c r="N48" i="91"/>
  <c r="N49" i="91" s="1"/>
  <c r="N50" i="91" s="1"/>
  <c r="N52" i="83"/>
  <c r="N48" i="83"/>
  <c r="N49" i="83" s="1"/>
  <c r="N50" i="83" s="1"/>
  <c r="N52" i="121"/>
  <c r="N48" i="121"/>
  <c r="N49" i="121" s="1"/>
  <c r="N50" i="121" s="1"/>
  <c r="N52" i="78"/>
  <c r="N48" i="78"/>
  <c r="N49" i="78" s="1"/>
  <c r="N50" i="78" s="1"/>
  <c r="M17" i="133"/>
  <c r="M13" i="133"/>
  <c r="G61" i="124"/>
  <c r="G50" i="124"/>
  <c r="G115" i="128"/>
  <c r="G151" i="128" s="1"/>
  <c r="G114" i="128"/>
  <c r="G150" i="128" s="1"/>
  <c r="G54" i="128"/>
  <c r="G111" i="128"/>
  <c r="G112" i="128"/>
  <c r="G148" i="128" s="1"/>
  <c r="G116" i="128"/>
  <c r="G152" i="128" s="1"/>
  <c r="G117" i="128"/>
  <c r="G153" i="128" s="1"/>
  <c r="G119" i="128"/>
  <c r="G155" i="128" s="1"/>
  <c r="G118" i="128"/>
  <c r="G154" i="128" s="1"/>
  <c r="G113" i="128"/>
  <c r="G149" i="128" s="1"/>
  <c r="H137" i="87"/>
  <c r="H140" i="87"/>
  <c r="H138" i="87"/>
  <c r="H142" i="87"/>
  <c r="U19" i="133" s="1"/>
  <c r="H141" i="87"/>
  <c r="H139" i="87"/>
  <c r="H143" i="87"/>
  <c r="H136" i="87"/>
  <c r="H135" i="87"/>
  <c r="N143" i="123"/>
  <c r="N155" i="123" s="1"/>
  <c r="N135" i="123"/>
  <c r="N140" i="123"/>
  <c r="N152" i="123" s="1"/>
  <c r="N141" i="123"/>
  <c r="N153" i="123" s="1"/>
  <c r="N142" i="123"/>
  <c r="N154" i="123" s="1"/>
  <c r="N54" i="123"/>
  <c r="N139" i="123"/>
  <c r="N151" i="123" s="1"/>
  <c r="N138" i="123"/>
  <c r="N150" i="123" s="1"/>
  <c r="N137" i="123"/>
  <c r="N149" i="123" s="1"/>
  <c r="N136" i="123"/>
  <c r="N148" i="123" s="1"/>
  <c r="N142" i="100"/>
  <c r="N154" i="100" s="1"/>
  <c r="N138" i="100"/>
  <c r="N150" i="100" s="1"/>
  <c r="N141" i="100"/>
  <c r="N153" i="100" s="1"/>
  <c r="N137" i="100"/>
  <c r="N149" i="100" s="1"/>
  <c r="N143" i="100"/>
  <c r="N155" i="100" s="1"/>
  <c r="N139" i="100"/>
  <c r="N151" i="100" s="1"/>
  <c r="N135" i="100"/>
  <c r="N140" i="100"/>
  <c r="N152" i="100" s="1"/>
  <c r="N136" i="100"/>
  <c r="N148" i="100" s="1"/>
  <c r="N54" i="100"/>
  <c r="G149" i="96"/>
  <c r="G151" i="96"/>
  <c r="F16" i="133"/>
  <c r="N140" i="85"/>
  <c r="N152" i="85" s="1"/>
  <c r="N136" i="85"/>
  <c r="N148" i="85" s="1"/>
  <c r="N143" i="85"/>
  <c r="N155" i="85" s="1"/>
  <c r="N139" i="85"/>
  <c r="N151" i="85" s="1"/>
  <c r="N135" i="85"/>
  <c r="N142" i="85"/>
  <c r="N154" i="85" s="1"/>
  <c r="N138" i="85"/>
  <c r="N150" i="85" s="1"/>
  <c r="N141" i="85"/>
  <c r="N153" i="85" s="1"/>
  <c r="N137" i="85"/>
  <c r="N149" i="85" s="1"/>
  <c r="N54" i="85"/>
  <c r="N142" i="106"/>
  <c r="N154" i="106" s="1"/>
  <c r="N143" i="106"/>
  <c r="N155" i="106" s="1"/>
  <c r="N141" i="106"/>
  <c r="N153" i="106" s="1"/>
  <c r="N140" i="106"/>
  <c r="N152" i="106" s="1"/>
  <c r="N139" i="106"/>
  <c r="N151" i="106" s="1"/>
  <c r="N136" i="106"/>
  <c r="N148" i="106" s="1"/>
  <c r="N137" i="106"/>
  <c r="N149" i="106" s="1"/>
  <c r="N135" i="106"/>
  <c r="N138" i="106"/>
  <c r="N150" i="106" s="1"/>
  <c r="N54" i="106"/>
  <c r="N71" i="110"/>
  <c r="N72" i="110"/>
  <c r="N68" i="110"/>
  <c r="N73" i="110"/>
  <c r="N64" i="110"/>
  <c r="N66" i="110"/>
  <c r="N70" i="110"/>
  <c r="N65" i="110"/>
  <c r="N67" i="110"/>
  <c r="N69" i="110"/>
  <c r="N143" i="90"/>
  <c r="N155" i="90" s="1"/>
  <c r="N139" i="90"/>
  <c r="N151" i="90" s="1"/>
  <c r="N135" i="90"/>
  <c r="N142" i="90"/>
  <c r="N154" i="90" s="1"/>
  <c r="N138" i="90"/>
  <c r="N150" i="90" s="1"/>
  <c r="N141" i="90"/>
  <c r="N153" i="90" s="1"/>
  <c r="N137" i="90"/>
  <c r="N149" i="90" s="1"/>
  <c r="N140" i="90"/>
  <c r="N152" i="90" s="1"/>
  <c r="N136" i="90"/>
  <c r="N148" i="90" s="1"/>
  <c r="N54" i="90"/>
  <c r="N139" i="82"/>
  <c r="N142" i="82"/>
  <c r="N154" i="82" s="1"/>
  <c r="N137" i="82"/>
  <c r="N149" i="82" s="1"/>
  <c r="N140" i="82"/>
  <c r="N152" i="82" s="1"/>
  <c r="N143" i="82"/>
  <c r="N155" i="82" s="1"/>
  <c r="N135" i="82"/>
  <c r="N138" i="82"/>
  <c r="N150" i="82" s="1"/>
  <c r="N141" i="82"/>
  <c r="N136" i="82"/>
  <c r="N148" i="82" s="1"/>
  <c r="N143" i="88"/>
  <c r="N155" i="88" s="1"/>
  <c r="N135" i="88"/>
  <c r="N136" i="88"/>
  <c r="N148" i="88" s="1"/>
  <c r="N141" i="88"/>
  <c r="N153" i="88" s="1"/>
  <c r="N142" i="88"/>
  <c r="N154" i="88" s="1"/>
  <c r="N139" i="88"/>
  <c r="N151" i="88" s="1"/>
  <c r="N140" i="88"/>
  <c r="N152" i="88" s="1"/>
  <c r="N137" i="88"/>
  <c r="N149" i="88" s="1"/>
  <c r="N138" i="88"/>
  <c r="N150" i="88" s="1"/>
  <c r="N54" i="88"/>
  <c r="N68" i="107"/>
  <c r="N71" i="107"/>
  <c r="N72" i="107"/>
  <c r="N66" i="107"/>
  <c r="N73" i="107"/>
  <c r="N65" i="107"/>
  <c r="N70" i="107"/>
  <c r="N64" i="107"/>
  <c r="N67" i="107"/>
  <c r="N69" i="107"/>
  <c r="N140" i="86"/>
  <c r="N152" i="86" s="1"/>
  <c r="N143" i="86"/>
  <c r="N141" i="86"/>
  <c r="N153" i="86" s="1"/>
  <c r="N142" i="86"/>
  <c r="N154" i="86" s="1"/>
  <c r="N54" i="86"/>
  <c r="N139" i="86"/>
  <c r="N151" i="86" s="1"/>
  <c r="N138" i="86"/>
  <c r="N150" i="86" s="1"/>
  <c r="N137" i="86"/>
  <c r="N149" i="86" s="1"/>
  <c r="N136" i="86"/>
  <c r="N148" i="86" s="1"/>
  <c r="N135" i="86"/>
  <c r="U23" i="133"/>
  <c r="U29" i="133" s="1"/>
  <c r="D19" i="119"/>
  <c r="N19" i="119" s="1"/>
  <c r="D11" i="119"/>
  <c r="G155" i="96"/>
  <c r="G120" i="96"/>
  <c r="G147" i="96"/>
  <c r="F12" i="133"/>
  <c r="N67" i="108"/>
  <c r="N70" i="108"/>
  <c r="N68" i="108"/>
  <c r="N66" i="108"/>
  <c r="N69" i="108"/>
  <c r="N72" i="108"/>
  <c r="N65" i="108"/>
  <c r="N64" i="108"/>
  <c r="N73" i="108"/>
  <c r="N71" i="108"/>
  <c r="J19" i="14" s="1"/>
  <c r="U19" i="14" s="1"/>
  <c r="G152" i="96"/>
  <c r="F17" i="133"/>
  <c r="G153" i="96"/>
  <c r="G154" i="96"/>
  <c r="F19" i="133"/>
  <c r="N141" i="81"/>
  <c r="N153" i="81" s="1"/>
  <c r="N137" i="81"/>
  <c r="N149" i="81" s="1"/>
  <c r="N140" i="81"/>
  <c r="N152" i="81" s="1"/>
  <c r="N136" i="81"/>
  <c r="N148" i="81" s="1"/>
  <c r="N143" i="81"/>
  <c r="N155" i="81" s="1"/>
  <c r="N139" i="81"/>
  <c r="N151" i="81" s="1"/>
  <c r="N135" i="81"/>
  <c r="N142" i="81"/>
  <c r="N154" i="81" s="1"/>
  <c r="N138" i="81"/>
  <c r="N150" i="81" s="1"/>
  <c r="N54" i="81"/>
  <c r="N142" i="129"/>
  <c r="N154" i="129" s="1"/>
  <c r="N141" i="129"/>
  <c r="N153" i="129" s="1"/>
  <c r="N135" i="129"/>
  <c r="N140" i="129"/>
  <c r="N152" i="129" s="1"/>
  <c r="N137" i="129"/>
  <c r="N149" i="129" s="1"/>
  <c r="N138" i="129"/>
  <c r="N150" i="129" s="1"/>
  <c r="N139" i="129"/>
  <c r="N151" i="129" s="1"/>
  <c r="N136" i="129"/>
  <c r="N148" i="129" s="1"/>
  <c r="N143" i="129"/>
  <c r="N155" i="129" s="1"/>
  <c r="N143" i="105"/>
  <c r="N155" i="105" s="1"/>
  <c r="N135" i="105"/>
  <c r="N138" i="105"/>
  <c r="N150" i="105" s="1"/>
  <c r="N141" i="105"/>
  <c r="N153" i="105" s="1"/>
  <c r="N140" i="105"/>
  <c r="N152" i="105" s="1"/>
  <c r="N139" i="105"/>
  <c r="N151" i="105" s="1"/>
  <c r="N136" i="105"/>
  <c r="N148" i="105" s="1"/>
  <c r="N137" i="105"/>
  <c r="N149" i="105" s="1"/>
  <c r="N142" i="105"/>
  <c r="N154" i="105" s="1"/>
  <c r="N54" i="105"/>
  <c r="N139" i="103"/>
  <c r="N151" i="103" s="1"/>
  <c r="N138" i="103"/>
  <c r="N150" i="103" s="1"/>
  <c r="N137" i="103"/>
  <c r="N149" i="103" s="1"/>
  <c r="N136" i="103"/>
  <c r="N148" i="103" s="1"/>
  <c r="N54" i="103"/>
  <c r="N143" i="103"/>
  <c r="N155" i="103" s="1"/>
  <c r="N135" i="103"/>
  <c r="N140" i="103"/>
  <c r="N152" i="103" s="1"/>
  <c r="N141" i="103"/>
  <c r="N153" i="103" s="1"/>
  <c r="N142" i="103"/>
  <c r="N154" i="103" s="1"/>
  <c r="N136" i="79"/>
  <c r="N148" i="79" s="1"/>
  <c r="N135" i="79"/>
  <c r="N137" i="79"/>
  <c r="N149" i="79" s="1"/>
  <c r="N140" i="79"/>
  <c r="N152" i="79" s="1"/>
  <c r="N142" i="79"/>
  <c r="N154" i="79" s="1"/>
  <c r="N141" i="79"/>
  <c r="N153" i="79" s="1"/>
  <c r="N138" i="79"/>
  <c r="N150" i="79" s="1"/>
  <c r="N139" i="79"/>
  <c r="N151" i="79" s="1"/>
  <c r="N143" i="79"/>
  <c r="N155" i="79" s="1"/>
  <c r="N54" i="79"/>
  <c r="N138" i="102"/>
  <c r="N150" i="102" s="1"/>
  <c r="N135" i="102"/>
  <c r="N136" i="102"/>
  <c r="N148" i="102" s="1"/>
  <c r="N141" i="102"/>
  <c r="N153" i="102" s="1"/>
  <c r="N140" i="102"/>
  <c r="N152" i="102" s="1"/>
  <c r="N139" i="102"/>
  <c r="N151" i="102" s="1"/>
  <c r="N137" i="102"/>
  <c r="N149" i="102" s="1"/>
  <c r="N54" i="102"/>
  <c r="N142" i="102"/>
  <c r="N154" i="102" s="1"/>
  <c r="N143" i="102"/>
  <c r="N155" i="102" s="1"/>
  <c r="N140" i="98"/>
  <c r="N152" i="98" s="1"/>
  <c r="N136" i="98"/>
  <c r="N148" i="98" s="1"/>
  <c r="N143" i="98"/>
  <c r="N155" i="98" s="1"/>
  <c r="N139" i="98"/>
  <c r="N151" i="98" s="1"/>
  <c r="N135" i="98"/>
  <c r="N142" i="98"/>
  <c r="N154" i="98" s="1"/>
  <c r="N138" i="98"/>
  <c r="N150" i="98" s="1"/>
  <c r="N141" i="98"/>
  <c r="N153" i="98" s="1"/>
  <c r="N137" i="98"/>
  <c r="N149" i="98" s="1"/>
  <c r="N54" i="98"/>
  <c r="N140" i="77"/>
  <c r="N152" i="77" s="1"/>
  <c r="N136" i="77"/>
  <c r="N148" i="77" s="1"/>
  <c r="N143" i="77"/>
  <c r="N155" i="77" s="1"/>
  <c r="N139" i="77"/>
  <c r="N151" i="77" s="1"/>
  <c r="N135" i="77"/>
  <c r="N142" i="77"/>
  <c r="N154" i="77" s="1"/>
  <c r="N138" i="77"/>
  <c r="N150" i="77" s="1"/>
  <c r="N141" i="77"/>
  <c r="N153" i="77" s="1"/>
  <c r="N137" i="77"/>
  <c r="N149" i="77" s="1"/>
  <c r="N54" i="77"/>
  <c r="N140" i="127"/>
  <c r="N152" i="127" s="1"/>
  <c r="N139" i="127"/>
  <c r="N151" i="127" s="1"/>
  <c r="N138" i="127"/>
  <c r="N150" i="127" s="1"/>
  <c r="N135" i="127"/>
  <c r="N136" i="127"/>
  <c r="N148" i="127" s="1"/>
  <c r="N137" i="127"/>
  <c r="N149" i="127" s="1"/>
  <c r="N142" i="127"/>
  <c r="N154" i="127" s="1"/>
  <c r="N143" i="127"/>
  <c r="N155" i="127" s="1"/>
  <c r="N141" i="127"/>
  <c r="N153" i="127" s="1"/>
  <c r="N54" i="127"/>
  <c r="N120" i="83"/>
  <c r="N153" i="82"/>
  <c r="N140" i="9"/>
  <c r="N152" i="9" s="1"/>
  <c r="N137" i="9"/>
  <c r="N149" i="9" s="1"/>
  <c r="N138" i="9"/>
  <c r="N150" i="9" s="1"/>
  <c r="N139" i="9"/>
  <c r="N151" i="9" s="1"/>
  <c r="N136" i="9"/>
  <c r="N148" i="9" s="1"/>
  <c r="N143" i="9"/>
  <c r="N155" i="9" s="1"/>
  <c r="N142" i="9"/>
  <c r="N154" i="9" s="1"/>
  <c r="N141" i="9"/>
  <c r="N153" i="9" s="1"/>
  <c r="N135" i="9"/>
  <c r="N54" i="9"/>
  <c r="N141" i="124"/>
  <c r="N153" i="124" s="1"/>
  <c r="N140" i="124"/>
  <c r="N139" i="124"/>
  <c r="N151" i="124" s="1"/>
  <c r="N136" i="124"/>
  <c r="N148" i="124" s="1"/>
  <c r="N143" i="124"/>
  <c r="N155" i="124" s="1"/>
  <c r="N135" i="124"/>
  <c r="N142" i="124"/>
  <c r="N154" i="124" s="1"/>
  <c r="N138" i="124"/>
  <c r="N150" i="124" s="1"/>
  <c r="N54" i="124"/>
  <c r="N137" i="124"/>
  <c r="N149" i="124" s="1"/>
  <c r="G150" i="96"/>
  <c r="F15" i="133"/>
  <c r="G148" i="96"/>
  <c r="N120" i="104"/>
  <c r="N143" i="94"/>
  <c r="N155" i="94" s="1"/>
  <c r="N139" i="94"/>
  <c r="N151" i="94" s="1"/>
  <c r="N135" i="94"/>
  <c r="N142" i="94"/>
  <c r="N154" i="94" s="1"/>
  <c r="N138" i="94"/>
  <c r="N150" i="94" s="1"/>
  <c r="N140" i="94"/>
  <c r="N152" i="94" s="1"/>
  <c r="N136" i="94"/>
  <c r="N148" i="94" s="1"/>
  <c r="N141" i="94"/>
  <c r="N153" i="94" s="1"/>
  <c r="N54" i="94"/>
  <c r="N137" i="94"/>
  <c r="N149" i="94" s="1"/>
  <c r="F64" i="110"/>
  <c r="F69" i="110"/>
  <c r="F65" i="110"/>
  <c r="F71" i="110"/>
  <c r="F73" i="110"/>
  <c r="F72" i="110"/>
  <c r="F70" i="110"/>
  <c r="F66" i="110"/>
  <c r="F67" i="110"/>
  <c r="F68" i="110"/>
  <c r="M29" i="133"/>
  <c r="M30" i="133" s="1"/>
  <c r="F81" i="107"/>
  <c r="D26" i="119"/>
  <c r="N26" i="119" s="1"/>
  <c r="T29" i="133"/>
  <c r="T30" i="133" s="1"/>
  <c r="H14" i="134"/>
  <c r="I19" i="134"/>
  <c r="I21" i="134" s="1"/>
  <c r="I22" i="134" s="1"/>
  <c r="H19" i="134"/>
  <c r="H21" i="134" s="1"/>
  <c r="H22" i="134" s="1"/>
  <c r="N30" i="133"/>
  <c r="G54" i="109"/>
  <c r="C27" i="119"/>
  <c r="M27" i="119" s="1"/>
  <c r="M11" i="119" s="1"/>
  <c r="N120" i="129"/>
  <c r="N147" i="129"/>
  <c r="F81" i="110"/>
  <c r="G81" i="94"/>
  <c r="H81" i="77"/>
  <c r="G81" i="77"/>
  <c r="H78" i="83"/>
  <c r="H79" i="83" s="1"/>
  <c r="F80" i="81"/>
  <c r="F82" i="81" s="1"/>
  <c r="I77" i="79"/>
  <c r="I78" i="79" s="1"/>
  <c r="I79" i="79" s="1"/>
  <c r="H80" i="90"/>
  <c r="H81" i="90" s="1"/>
  <c r="G80" i="90"/>
  <c r="H76" i="78"/>
  <c r="G78" i="79"/>
  <c r="G79" i="79" s="1"/>
  <c r="G83" i="79"/>
  <c r="H78" i="93"/>
  <c r="H79" i="93" s="1"/>
  <c r="H80" i="93" s="1"/>
  <c r="H83" i="93"/>
  <c r="H76" i="82"/>
  <c r="H80" i="91"/>
  <c r="H81" i="91" s="1"/>
  <c r="K80" i="91"/>
  <c r="K81" i="91" s="1"/>
  <c r="G77" i="80"/>
  <c r="G80" i="93"/>
  <c r="H80" i="104"/>
  <c r="I80" i="104"/>
  <c r="I81" i="104" s="1"/>
  <c r="G80" i="104"/>
  <c r="G78" i="83"/>
  <c r="G79" i="83" s="1"/>
  <c r="G83" i="83"/>
  <c r="H83" i="83" s="1"/>
  <c r="I83" i="83" s="1"/>
  <c r="H78" i="80"/>
  <c r="H79" i="80" s="1"/>
  <c r="G78" i="81"/>
  <c r="G79" i="81" s="1"/>
  <c r="G83" i="81"/>
  <c r="H76" i="74"/>
  <c r="G77" i="78"/>
  <c r="G83" i="78" s="1"/>
  <c r="G77" i="82"/>
  <c r="G83" i="82" s="1"/>
  <c r="F80" i="83"/>
  <c r="F82" i="83" s="1"/>
  <c r="G61" i="109"/>
  <c r="G77" i="109" s="1"/>
  <c r="G50" i="109"/>
  <c r="N10" i="119"/>
  <c r="AW21" i="133"/>
  <c r="BE21" i="133" s="1"/>
  <c r="G88" i="2"/>
  <c r="G89" i="2" s="1"/>
  <c r="G97" i="2" s="1"/>
  <c r="G56" i="109" s="1"/>
  <c r="G57" i="109" s="1"/>
  <c r="J79" i="121"/>
  <c r="I78" i="123"/>
  <c r="P77" i="123"/>
  <c r="K78" i="121"/>
  <c r="K79" i="121" s="1"/>
  <c r="K83" i="121"/>
  <c r="L83" i="121" s="1"/>
  <c r="M83" i="121" s="1"/>
  <c r="N83" i="121" s="1"/>
  <c r="P77" i="121"/>
  <c r="O77" i="121"/>
  <c r="I80" i="91"/>
  <c r="I81" i="91" s="1"/>
  <c r="G80" i="91"/>
  <c r="G78" i="88"/>
  <c r="G79" i="88" s="1"/>
  <c r="G83" i="88"/>
  <c r="G81" i="105"/>
  <c r="G61" i="108"/>
  <c r="G77" i="108" s="1"/>
  <c r="G50" i="108"/>
  <c r="F24" i="133"/>
  <c r="AW24" i="133" s="1"/>
  <c r="G54" i="108"/>
  <c r="G50" i="107"/>
  <c r="G61" i="107"/>
  <c r="G77" i="107" s="1"/>
  <c r="F23" i="133"/>
  <c r="AW23" i="133" s="1"/>
  <c r="G54" i="107"/>
  <c r="F22" i="133"/>
  <c r="C12" i="119"/>
  <c r="C13" i="119" s="1"/>
  <c r="G54" i="110"/>
  <c r="C20" i="119"/>
  <c r="G61" i="110"/>
  <c r="G77" i="110" s="1"/>
  <c r="G50" i="110"/>
  <c r="H81" i="121"/>
  <c r="L63" i="2"/>
  <c r="H53" i="128"/>
  <c r="H49" i="128"/>
  <c r="H53" i="90"/>
  <c r="H49" i="90"/>
  <c r="H53" i="81"/>
  <c r="H49" i="81"/>
  <c r="H53" i="101"/>
  <c r="H49" i="101"/>
  <c r="H49" i="124"/>
  <c r="H53" i="124"/>
  <c r="H53" i="76"/>
  <c r="H49" i="76"/>
  <c r="H49" i="94"/>
  <c r="H53" i="94"/>
  <c r="H53" i="102"/>
  <c r="H49" i="102"/>
  <c r="H53" i="97"/>
  <c r="H49" i="97"/>
  <c r="H53" i="9"/>
  <c r="H49" i="9"/>
  <c r="H49" i="123"/>
  <c r="H53" i="123"/>
  <c r="H53" i="99"/>
  <c r="H49" i="99"/>
  <c r="L56" i="2"/>
  <c r="H53" i="84"/>
  <c r="H49" i="84"/>
  <c r="H53" i="125"/>
  <c r="H49" i="125"/>
  <c r="H53" i="95"/>
  <c r="H49" i="95"/>
  <c r="H53" i="77"/>
  <c r="H49" i="77"/>
  <c r="H53" i="106"/>
  <c r="H49" i="106"/>
  <c r="H49" i="121"/>
  <c r="H53" i="121"/>
  <c r="H53" i="103"/>
  <c r="H49" i="103"/>
  <c r="H53" i="74"/>
  <c r="H49" i="74"/>
  <c r="H53" i="79"/>
  <c r="H49" i="79"/>
  <c r="H53" i="82"/>
  <c r="H49" i="82"/>
  <c r="K54" i="2"/>
  <c r="H53" i="96"/>
  <c r="H49" i="96"/>
  <c r="H53" i="85"/>
  <c r="H49" i="85"/>
  <c r="G81" i="121"/>
  <c r="H53" i="92"/>
  <c r="H49" i="92"/>
  <c r="H53" i="87"/>
  <c r="H49" i="87"/>
  <c r="H53" i="107"/>
  <c r="H49" i="107"/>
  <c r="H53" i="78"/>
  <c r="H49" i="78"/>
  <c r="H49" i="86"/>
  <c r="H53" i="86"/>
  <c r="H53" i="109"/>
  <c r="H49" i="109"/>
  <c r="H53" i="80"/>
  <c r="H49" i="80"/>
  <c r="H53" i="83"/>
  <c r="H49" i="83"/>
  <c r="H49" i="129"/>
  <c r="H53" i="129"/>
  <c r="H53" i="105"/>
  <c r="H49" i="105"/>
  <c r="H53" i="91"/>
  <c r="H49" i="91"/>
  <c r="I81" i="121"/>
  <c r="L59" i="2"/>
  <c r="H53" i="110"/>
  <c r="H49" i="110"/>
  <c r="H53" i="88"/>
  <c r="H49" i="88"/>
  <c r="H53" i="93"/>
  <c r="H49" i="93"/>
  <c r="H49" i="126"/>
  <c r="H53" i="126"/>
  <c r="K57" i="2"/>
  <c r="H49" i="127"/>
  <c r="H53" i="127"/>
  <c r="H53" i="89"/>
  <c r="H49" i="89"/>
  <c r="H53" i="104"/>
  <c r="H49" i="104"/>
  <c r="H53" i="98"/>
  <c r="H49" i="98"/>
  <c r="H53" i="108"/>
  <c r="H49" i="108"/>
  <c r="H53" i="75"/>
  <c r="H49" i="75"/>
  <c r="L55" i="2"/>
  <c r="K62" i="2"/>
  <c r="L60" i="2"/>
  <c r="K61" i="2"/>
  <c r="H53" i="100"/>
  <c r="H49" i="100"/>
  <c r="K58" i="2"/>
  <c r="F80" i="80" l="1"/>
  <c r="F82" i="80" s="1"/>
  <c r="G156" i="105"/>
  <c r="F74" i="108"/>
  <c r="F75" i="108" s="1"/>
  <c r="F74" i="107"/>
  <c r="F75" i="107" s="1"/>
  <c r="F80" i="82"/>
  <c r="F82" i="82" s="1"/>
  <c r="H78" i="75"/>
  <c r="H79" i="75" s="1"/>
  <c r="F18" i="133"/>
  <c r="G151" i="124"/>
  <c r="F13" i="133"/>
  <c r="U17" i="133"/>
  <c r="T14" i="133"/>
  <c r="F20" i="133"/>
  <c r="G152" i="124"/>
  <c r="F14" i="133"/>
  <c r="H83" i="97"/>
  <c r="H80" i="97"/>
  <c r="H81" i="97" s="1"/>
  <c r="T17" i="133"/>
  <c r="AW17" i="133" s="1"/>
  <c r="N27" i="133"/>
  <c r="U15" i="133"/>
  <c r="H144" i="83"/>
  <c r="U20" i="133"/>
  <c r="H144" i="79"/>
  <c r="G150" i="129"/>
  <c r="U13" i="133"/>
  <c r="U16" i="133"/>
  <c r="U14" i="133"/>
  <c r="U18" i="133"/>
  <c r="H144" i="87"/>
  <c r="N141" i="91"/>
  <c r="N137" i="91"/>
  <c r="N140" i="91"/>
  <c r="N136" i="91"/>
  <c r="N143" i="91"/>
  <c r="N139" i="91"/>
  <c r="N135" i="91"/>
  <c r="N54" i="91"/>
  <c r="N142" i="91"/>
  <c r="N138" i="91"/>
  <c r="N139" i="80"/>
  <c r="N138" i="80"/>
  <c r="N135" i="80"/>
  <c r="N141" i="80"/>
  <c r="N140" i="80"/>
  <c r="N137" i="80"/>
  <c r="N54" i="80"/>
  <c r="N143" i="80"/>
  <c r="N142" i="80"/>
  <c r="N136" i="80"/>
  <c r="N142" i="93"/>
  <c r="N138" i="93"/>
  <c r="N141" i="93"/>
  <c r="N137" i="93"/>
  <c r="N140" i="93"/>
  <c r="N136" i="93"/>
  <c r="N54" i="93"/>
  <c r="N143" i="93"/>
  <c r="N139" i="93"/>
  <c r="N135" i="93"/>
  <c r="G147" i="79"/>
  <c r="G156" i="79" s="1"/>
  <c r="G120" i="79"/>
  <c r="N139" i="128"/>
  <c r="N136" i="128"/>
  <c r="N54" i="128"/>
  <c r="N137" i="128"/>
  <c r="N142" i="128"/>
  <c r="N143" i="128"/>
  <c r="N135" i="128"/>
  <c r="N138" i="128"/>
  <c r="N141" i="128"/>
  <c r="N140" i="128"/>
  <c r="N143" i="95"/>
  <c r="N135" i="95"/>
  <c r="N138" i="95"/>
  <c r="N54" i="95"/>
  <c r="N141" i="95"/>
  <c r="N142" i="95"/>
  <c r="N139" i="95"/>
  <c r="N136" i="95"/>
  <c r="N137" i="95"/>
  <c r="N140" i="95"/>
  <c r="N143" i="76"/>
  <c r="N139" i="76"/>
  <c r="N135" i="76"/>
  <c r="N54" i="76"/>
  <c r="N142" i="76"/>
  <c r="N138" i="76"/>
  <c r="N141" i="76"/>
  <c r="N137" i="76"/>
  <c r="N140" i="76"/>
  <c r="N136" i="76"/>
  <c r="H144" i="76"/>
  <c r="F59" i="80"/>
  <c r="F60" i="80"/>
  <c r="F57" i="92"/>
  <c r="F80" i="92"/>
  <c r="F57" i="77"/>
  <c r="F80" i="77"/>
  <c r="F80" i="86"/>
  <c r="F57" i="86"/>
  <c r="F57" i="78"/>
  <c r="F80" i="78"/>
  <c r="F57" i="87"/>
  <c r="F80" i="87"/>
  <c r="F57" i="74"/>
  <c r="F80" i="74"/>
  <c r="F80" i="103"/>
  <c r="F57" i="103"/>
  <c r="F57" i="96"/>
  <c r="F80" i="96"/>
  <c r="F81" i="121"/>
  <c r="F82" i="121"/>
  <c r="G82" i="121" s="1"/>
  <c r="H82" i="121" s="1"/>
  <c r="I82" i="121" s="1"/>
  <c r="H144" i="125"/>
  <c r="T16" i="133"/>
  <c r="AW16" i="133" s="1"/>
  <c r="T19" i="133"/>
  <c r="AW19" i="133" s="1"/>
  <c r="T13" i="133"/>
  <c r="G149" i="129"/>
  <c r="G154" i="129"/>
  <c r="N54" i="121"/>
  <c r="H144" i="123"/>
  <c r="G147" i="124"/>
  <c r="G120" i="124"/>
  <c r="N137" i="104"/>
  <c r="N141" i="104"/>
  <c r="N143" i="104"/>
  <c r="N139" i="104"/>
  <c r="N136" i="104"/>
  <c r="N142" i="104"/>
  <c r="N138" i="104"/>
  <c r="N135" i="104"/>
  <c r="N140" i="104"/>
  <c r="N54" i="104"/>
  <c r="U12" i="133"/>
  <c r="G120" i="103"/>
  <c r="G147" i="103"/>
  <c r="G156" i="103" s="1"/>
  <c r="H144" i="82"/>
  <c r="F57" i="105"/>
  <c r="F80" i="105"/>
  <c r="F80" i="85"/>
  <c r="F57" i="85"/>
  <c r="F57" i="125"/>
  <c r="F57" i="101"/>
  <c r="F80" i="91"/>
  <c r="F57" i="91"/>
  <c r="F80" i="84"/>
  <c r="F57" i="84"/>
  <c r="F57" i="90"/>
  <c r="F80" i="90"/>
  <c r="F80" i="88"/>
  <c r="F57" i="88"/>
  <c r="F57" i="94"/>
  <c r="F80" i="94"/>
  <c r="F57" i="93"/>
  <c r="F80" i="93"/>
  <c r="F57" i="129"/>
  <c r="G144" i="125"/>
  <c r="T18" i="133"/>
  <c r="AW18" i="133" s="1"/>
  <c r="G144" i="124"/>
  <c r="N142" i="92"/>
  <c r="N138" i="92"/>
  <c r="N141" i="92"/>
  <c r="N137" i="92"/>
  <c r="N54" i="92"/>
  <c r="N140" i="92"/>
  <c r="N136" i="92"/>
  <c r="N143" i="92"/>
  <c r="N139" i="92"/>
  <c r="N135" i="92"/>
  <c r="N140" i="96"/>
  <c r="N136" i="96"/>
  <c r="N143" i="96"/>
  <c r="N139" i="96"/>
  <c r="N151" i="96" s="1"/>
  <c r="N135" i="96"/>
  <c r="N142" i="96"/>
  <c r="N138" i="96"/>
  <c r="N141" i="96"/>
  <c r="N137" i="96"/>
  <c r="N54" i="96"/>
  <c r="N143" i="97"/>
  <c r="N139" i="97"/>
  <c r="N135" i="97"/>
  <c r="N142" i="97"/>
  <c r="N138" i="97"/>
  <c r="N141" i="97"/>
  <c r="N137" i="97"/>
  <c r="N140" i="97"/>
  <c r="N136" i="97"/>
  <c r="N54" i="97"/>
  <c r="F57" i="121"/>
  <c r="G152" i="129"/>
  <c r="N142" i="78"/>
  <c r="N138" i="78"/>
  <c r="N141" i="78"/>
  <c r="N137" i="78"/>
  <c r="N140" i="78"/>
  <c r="N136" i="78"/>
  <c r="N143" i="78"/>
  <c r="N139" i="78"/>
  <c r="N135" i="78"/>
  <c r="N54" i="78"/>
  <c r="N140" i="83"/>
  <c r="N136" i="83"/>
  <c r="N139" i="83"/>
  <c r="N135" i="83"/>
  <c r="N143" i="83"/>
  <c r="N138" i="83"/>
  <c r="N142" i="83"/>
  <c r="N141" i="83"/>
  <c r="N137" i="83"/>
  <c r="N54" i="83"/>
  <c r="N142" i="89"/>
  <c r="N138" i="89"/>
  <c r="N54" i="89"/>
  <c r="N141" i="89"/>
  <c r="N137" i="89"/>
  <c r="N140" i="89"/>
  <c r="N136" i="89"/>
  <c r="N143" i="89"/>
  <c r="N139" i="89"/>
  <c r="N135" i="89"/>
  <c r="N143" i="99"/>
  <c r="N139" i="99"/>
  <c r="N135" i="99"/>
  <c r="N142" i="99"/>
  <c r="N138" i="99"/>
  <c r="N54" i="99"/>
  <c r="N141" i="99"/>
  <c r="N137" i="99"/>
  <c r="N140" i="99"/>
  <c r="N136" i="99"/>
  <c r="F82" i="109"/>
  <c r="F81" i="109"/>
  <c r="F80" i="106"/>
  <c r="F57" i="106"/>
  <c r="F80" i="79"/>
  <c r="F57" i="79"/>
  <c r="F57" i="128"/>
  <c r="F57" i="102"/>
  <c r="F59" i="82"/>
  <c r="F60" i="82"/>
  <c r="F57" i="98"/>
  <c r="F57" i="104"/>
  <c r="F80" i="104"/>
  <c r="F57" i="124"/>
  <c r="F80" i="75"/>
  <c r="F57" i="75"/>
  <c r="F57" i="89"/>
  <c r="F57" i="123"/>
  <c r="F80" i="123"/>
  <c r="T15" i="133"/>
  <c r="AW15" i="133" s="1"/>
  <c r="G155" i="129"/>
  <c r="G148" i="129"/>
  <c r="G147" i="129"/>
  <c r="G120" i="129"/>
  <c r="G147" i="128"/>
  <c r="G156" i="128" s="1"/>
  <c r="G120" i="128"/>
  <c r="N141" i="75"/>
  <c r="N142" i="75"/>
  <c r="N143" i="75"/>
  <c r="N138" i="75"/>
  <c r="N54" i="75"/>
  <c r="N140" i="75"/>
  <c r="N139" i="75"/>
  <c r="N137" i="75"/>
  <c r="N136" i="75"/>
  <c r="N135" i="75"/>
  <c r="N141" i="87"/>
  <c r="N137" i="87"/>
  <c r="N54" i="87"/>
  <c r="N140" i="87"/>
  <c r="N136" i="87"/>
  <c r="N143" i="87"/>
  <c r="N139" i="87"/>
  <c r="N135" i="87"/>
  <c r="N142" i="87"/>
  <c r="N138" i="87"/>
  <c r="N54" i="109"/>
  <c r="H144" i="96"/>
  <c r="G156" i="125"/>
  <c r="M26" i="133"/>
  <c r="M27" i="133" s="1"/>
  <c r="N143" i="101"/>
  <c r="N135" i="101"/>
  <c r="N142" i="101"/>
  <c r="N54" i="101"/>
  <c r="N141" i="101"/>
  <c r="N140" i="101"/>
  <c r="N139" i="101"/>
  <c r="N136" i="101"/>
  <c r="N137" i="101"/>
  <c r="N138" i="101"/>
  <c r="N141" i="74"/>
  <c r="N137" i="74"/>
  <c r="N140" i="74"/>
  <c r="N136" i="74"/>
  <c r="N143" i="74"/>
  <c r="N139" i="74"/>
  <c r="N135" i="74"/>
  <c r="N54" i="74"/>
  <c r="N142" i="74"/>
  <c r="N138" i="74"/>
  <c r="F59" i="109"/>
  <c r="F60" i="109"/>
  <c r="G60" i="109" s="1"/>
  <c r="F59" i="99"/>
  <c r="F60" i="99"/>
  <c r="F59" i="81"/>
  <c r="F60" i="81"/>
  <c r="F80" i="76"/>
  <c r="F57" i="76"/>
  <c r="F59" i="100"/>
  <c r="F60" i="100"/>
  <c r="F57" i="126"/>
  <c r="F59" i="83"/>
  <c r="F60" i="83"/>
  <c r="F57" i="95"/>
  <c r="F80" i="95"/>
  <c r="F57" i="127"/>
  <c r="F80" i="97"/>
  <c r="F57" i="97"/>
  <c r="F57" i="9"/>
  <c r="F80" i="9"/>
  <c r="T20" i="133"/>
  <c r="AW20" i="133" s="1"/>
  <c r="G144" i="129"/>
  <c r="T12" i="133"/>
  <c r="N137" i="126"/>
  <c r="N138" i="126"/>
  <c r="N143" i="126"/>
  <c r="N135" i="126"/>
  <c r="N142" i="126"/>
  <c r="N54" i="126"/>
  <c r="N141" i="126"/>
  <c r="N140" i="126"/>
  <c r="N139" i="126"/>
  <c r="N136" i="126"/>
  <c r="N140" i="84"/>
  <c r="N136" i="84"/>
  <c r="N143" i="84"/>
  <c r="N139" i="84"/>
  <c r="N135" i="84"/>
  <c r="N54" i="84"/>
  <c r="N142" i="84"/>
  <c r="N138" i="84"/>
  <c r="N141" i="84"/>
  <c r="N137" i="84"/>
  <c r="N140" i="125"/>
  <c r="N139" i="125"/>
  <c r="N138" i="125"/>
  <c r="N135" i="125"/>
  <c r="N136" i="125"/>
  <c r="N141" i="125"/>
  <c r="N142" i="125"/>
  <c r="N143" i="125"/>
  <c r="N137" i="125"/>
  <c r="N54" i="125"/>
  <c r="G151" i="129"/>
  <c r="G153" i="129"/>
  <c r="N144" i="123"/>
  <c r="N147" i="123"/>
  <c r="N156" i="123" s="1"/>
  <c r="N74" i="108"/>
  <c r="N75" i="108" s="1"/>
  <c r="F74" i="110"/>
  <c r="F75" i="110" s="1"/>
  <c r="N144" i="124"/>
  <c r="N147" i="124"/>
  <c r="N152" i="124"/>
  <c r="N147" i="103"/>
  <c r="N156" i="103" s="1"/>
  <c r="N144" i="103"/>
  <c r="N144" i="81"/>
  <c r="N147" i="81"/>
  <c r="N156" i="81" s="1"/>
  <c r="U30" i="133"/>
  <c r="N144" i="100"/>
  <c r="N147" i="100"/>
  <c r="N156" i="100" s="1"/>
  <c r="N144" i="94"/>
  <c r="N147" i="94"/>
  <c r="N156" i="94" s="1"/>
  <c r="N144" i="98"/>
  <c r="N147" i="98"/>
  <c r="N156" i="98" s="1"/>
  <c r="N147" i="102"/>
  <c r="N156" i="102" s="1"/>
  <c r="N144" i="102"/>
  <c r="N144" i="86"/>
  <c r="N147" i="86"/>
  <c r="N155" i="86"/>
  <c r="N74" i="107"/>
  <c r="N144" i="88"/>
  <c r="N147" i="88"/>
  <c r="N156" i="88" s="1"/>
  <c r="N144" i="127"/>
  <c r="N147" i="127"/>
  <c r="N156" i="127" s="1"/>
  <c r="N144" i="105"/>
  <c r="N147" i="105"/>
  <c r="N156" i="105" s="1"/>
  <c r="N144" i="129"/>
  <c r="G156" i="96"/>
  <c r="D27" i="119"/>
  <c r="N27" i="119" s="1"/>
  <c r="N144" i="82"/>
  <c r="N147" i="82"/>
  <c r="N144" i="106"/>
  <c r="N147" i="106"/>
  <c r="N156" i="106" s="1"/>
  <c r="N156" i="129"/>
  <c r="N144" i="9"/>
  <c r="N147" i="9"/>
  <c r="N156" i="9" s="1"/>
  <c r="N144" i="77"/>
  <c r="N147" i="77"/>
  <c r="N156" i="77" s="1"/>
  <c r="N144" i="79"/>
  <c r="N147" i="79"/>
  <c r="N156" i="79" s="1"/>
  <c r="N151" i="82"/>
  <c r="N144" i="90"/>
  <c r="N147" i="90"/>
  <c r="N156" i="90" s="1"/>
  <c r="N74" i="110"/>
  <c r="N144" i="85"/>
  <c r="N147" i="85"/>
  <c r="N156" i="85" s="1"/>
  <c r="F81" i="83"/>
  <c r="I80" i="83"/>
  <c r="I81" i="83" s="1"/>
  <c r="G81" i="93"/>
  <c r="P78" i="121"/>
  <c r="G80" i="83"/>
  <c r="G82" i="83" s="1"/>
  <c r="F81" i="81"/>
  <c r="G81" i="104"/>
  <c r="G78" i="82"/>
  <c r="G79" i="82" s="1"/>
  <c r="G78" i="78"/>
  <c r="G79" i="78" s="1"/>
  <c r="G78" i="80"/>
  <c r="G79" i="80" s="1"/>
  <c r="H80" i="80" s="1"/>
  <c r="H81" i="80" s="1"/>
  <c r="G83" i="80"/>
  <c r="H83" i="80" s="1"/>
  <c r="H81" i="93"/>
  <c r="H80" i="83"/>
  <c r="F81" i="80"/>
  <c r="H81" i="104"/>
  <c r="G81" i="90"/>
  <c r="G59" i="109"/>
  <c r="G83" i="109"/>
  <c r="G78" i="109"/>
  <c r="G79" i="109" s="1"/>
  <c r="G81" i="91"/>
  <c r="I79" i="123"/>
  <c r="P79" i="123" s="1"/>
  <c r="P78" i="123"/>
  <c r="K80" i="121"/>
  <c r="K81" i="121" s="1"/>
  <c r="O78" i="121"/>
  <c r="L80" i="121"/>
  <c r="L81" i="121" s="1"/>
  <c r="P79" i="121"/>
  <c r="N80" i="121"/>
  <c r="N81" i="121" s="1"/>
  <c r="J80" i="121"/>
  <c r="J82" i="121" s="1"/>
  <c r="M80" i="121"/>
  <c r="M81" i="121" s="1"/>
  <c r="O79" i="121"/>
  <c r="BE23" i="133"/>
  <c r="G57" i="107"/>
  <c r="G60" i="107" s="1"/>
  <c r="G57" i="108"/>
  <c r="G60" i="108" s="1"/>
  <c r="BE24" i="133"/>
  <c r="G83" i="107"/>
  <c r="G78" i="107"/>
  <c r="G79" i="107" s="1"/>
  <c r="G78" i="108"/>
  <c r="G79" i="108" s="1"/>
  <c r="G83" i="108"/>
  <c r="AW22" i="133"/>
  <c r="AW29" i="133" s="1"/>
  <c r="F29" i="133"/>
  <c r="G83" i="110"/>
  <c r="G78" i="110"/>
  <c r="G79" i="110" s="1"/>
  <c r="C28" i="119"/>
  <c r="M20" i="119"/>
  <c r="C21" i="119"/>
  <c r="F14" i="132"/>
  <c r="G57" i="110"/>
  <c r="G60" i="110" s="1"/>
  <c r="F16" i="132"/>
  <c r="M60" i="2"/>
  <c r="M55" i="2"/>
  <c r="H50" i="108"/>
  <c r="H61" i="108"/>
  <c r="H50" i="104"/>
  <c r="H61" i="104"/>
  <c r="H118" i="127"/>
  <c r="H119" i="127"/>
  <c r="H114" i="127"/>
  <c r="H111" i="127"/>
  <c r="H116" i="127"/>
  <c r="H115" i="127"/>
  <c r="H117" i="127"/>
  <c r="H54" i="127"/>
  <c r="H112" i="127"/>
  <c r="H113" i="127"/>
  <c r="H50" i="93"/>
  <c r="H61" i="93"/>
  <c r="H50" i="110"/>
  <c r="H61" i="110"/>
  <c r="H113" i="91"/>
  <c r="H112" i="91"/>
  <c r="H119" i="91"/>
  <c r="H111" i="91"/>
  <c r="H116" i="91"/>
  <c r="H117" i="91"/>
  <c r="H118" i="91"/>
  <c r="H115" i="91"/>
  <c r="H114" i="91"/>
  <c r="H54" i="91"/>
  <c r="H50" i="129"/>
  <c r="H61" i="129"/>
  <c r="H117" i="80"/>
  <c r="H118" i="80"/>
  <c r="H115" i="80"/>
  <c r="H114" i="80"/>
  <c r="H119" i="80"/>
  <c r="H111" i="80"/>
  <c r="H112" i="80"/>
  <c r="H113" i="80"/>
  <c r="H116" i="80"/>
  <c r="H54" i="80"/>
  <c r="H50" i="78"/>
  <c r="H61" i="78"/>
  <c r="H77" i="78" s="1"/>
  <c r="H50" i="87"/>
  <c r="H61" i="87"/>
  <c r="H77" i="87" s="1"/>
  <c r="H50" i="96"/>
  <c r="H61" i="96"/>
  <c r="H77" i="96" s="1"/>
  <c r="H50" i="79"/>
  <c r="H61" i="79"/>
  <c r="H77" i="79" s="1"/>
  <c r="H50" i="103"/>
  <c r="H61" i="103"/>
  <c r="H61" i="106"/>
  <c r="H50" i="106"/>
  <c r="H50" i="77"/>
  <c r="H61" i="77"/>
  <c r="H61" i="125"/>
  <c r="H50" i="125"/>
  <c r="H50" i="99"/>
  <c r="H61" i="99"/>
  <c r="H50" i="9"/>
  <c r="H61" i="9"/>
  <c r="H77" i="9" s="1"/>
  <c r="H50" i="102"/>
  <c r="H61" i="102"/>
  <c r="H50" i="124"/>
  <c r="H61" i="124"/>
  <c r="H111" i="81"/>
  <c r="H117" i="81"/>
  <c r="H116" i="81"/>
  <c r="H118" i="81"/>
  <c r="H114" i="81"/>
  <c r="H113" i="81"/>
  <c r="H119" i="81"/>
  <c r="H112" i="81"/>
  <c r="H115" i="81"/>
  <c r="H54" i="81"/>
  <c r="H116" i="128"/>
  <c r="H118" i="128"/>
  <c r="H115" i="128"/>
  <c r="H111" i="128"/>
  <c r="H112" i="128"/>
  <c r="H114" i="128"/>
  <c r="H117" i="128"/>
  <c r="H113" i="128"/>
  <c r="H119" i="128"/>
  <c r="H54" i="128"/>
  <c r="L62" i="2"/>
  <c r="G24" i="133"/>
  <c r="AX24" i="133" s="1"/>
  <c r="H54" i="108"/>
  <c r="H117" i="104"/>
  <c r="H119" i="104"/>
  <c r="H112" i="104"/>
  <c r="H118" i="104"/>
  <c r="H111" i="104"/>
  <c r="H116" i="104"/>
  <c r="H113" i="104"/>
  <c r="H115" i="104"/>
  <c r="H114" i="104"/>
  <c r="H54" i="104"/>
  <c r="H50" i="127"/>
  <c r="H61" i="127"/>
  <c r="H115" i="93"/>
  <c r="H119" i="93"/>
  <c r="H113" i="93"/>
  <c r="H117" i="93"/>
  <c r="H112" i="93"/>
  <c r="H118" i="93"/>
  <c r="H116" i="93"/>
  <c r="H111" i="93"/>
  <c r="H114" i="93"/>
  <c r="H54" i="93"/>
  <c r="H54" i="110"/>
  <c r="G22" i="133"/>
  <c r="AX22" i="133" s="1"/>
  <c r="H61" i="105"/>
  <c r="H50" i="105"/>
  <c r="H50" i="83"/>
  <c r="H61" i="83"/>
  <c r="H50" i="109"/>
  <c r="H61" i="109"/>
  <c r="H77" i="109" s="1"/>
  <c r="H115" i="78"/>
  <c r="H113" i="78"/>
  <c r="H118" i="78"/>
  <c r="H111" i="78"/>
  <c r="H117" i="78"/>
  <c r="H114" i="78"/>
  <c r="H119" i="78"/>
  <c r="H116" i="78"/>
  <c r="H112" i="78"/>
  <c r="H54" i="78"/>
  <c r="H113" i="87"/>
  <c r="H112" i="87"/>
  <c r="H116" i="87"/>
  <c r="H115" i="87"/>
  <c r="H118" i="87"/>
  <c r="H114" i="87"/>
  <c r="H119" i="87"/>
  <c r="H117" i="87"/>
  <c r="H111" i="87"/>
  <c r="H54" i="87"/>
  <c r="H119" i="96"/>
  <c r="H114" i="96"/>
  <c r="H112" i="96"/>
  <c r="H117" i="96"/>
  <c r="H115" i="96"/>
  <c r="H113" i="96"/>
  <c r="H111" i="96"/>
  <c r="H118" i="96"/>
  <c r="H116" i="96"/>
  <c r="H54" i="96"/>
  <c r="H118" i="79"/>
  <c r="H111" i="79"/>
  <c r="H116" i="79"/>
  <c r="H112" i="79"/>
  <c r="H113" i="79"/>
  <c r="H119" i="79"/>
  <c r="H114" i="79"/>
  <c r="H117" i="79"/>
  <c r="H115" i="79"/>
  <c r="H54" i="79"/>
  <c r="H117" i="103"/>
  <c r="H111" i="103"/>
  <c r="H119" i="103"/>
  <c r="H118" i="103"/>
  <c r="H114" i="103"/>
  <c r="H115" i="103"/>
  <c r="H116" i="103"/>
  <c r="H112" i="103"/>
  <c r="H113" i="103"/>
  <c r="H54" i="103"/>
  <c r="H113" i="106"/>
  <c r="H111" i="106"/>
  <c r="H116" i="106"/>
  <c r="H119" i="106"/>
  <c r="H118" i="106"/>
  <c r="H117" i="106"/>
  <c r="H114" i="106"/>
  <c r="H115" i="106"/>
  <c r="H112" i="106"/>
  <c r="H54" i="106"/>
  <c r="H115" i="77"/>
  <c r="H116" i="77"/>
  <c r="H119" i="77"/>
  <c r="H118" i="77"/>
  <c r="H112" i="77"/>
  <c r="H111" i="77"/>
  <c r="H113" i="77"/>
  <c r="H117" i="77"/>
  <c r="H114" i="77"/>
  <c r="H54" i="77"/>
  <c r="H54" i="125"/>
  <c r="H116" i="125"/>
  <c r="H111" i="125"/>
  <c r="H112" i="125"/>
  <c r="H118" i="125"/>
  <c r="H117" i="125"/>
  <c r="H119" i="125"/>
  <c r="H114" i="125"/>
  <c r="H113" i="125"/>
  <c r="H115" i="125"/>
  <c r="M56" i="2"/>
  <c r="H111" i="99"/>
  <c r="H117" i="99"/>
  <c r="H112" i="99"/>
  <c r="H114" i="99"/>
  <c r="H119" i="99"/>
  <c r="H113" i="99"/>
  <c r="H116" i="99"/>
  <c r="H118" i="99"/>
  <c r="H115" i="99"/>
  <c r="H54" i="99"/>
  <c r="H115" i="9"/>
  <c r="H117" i="9"/>
  <c r="H111" i="9"/>
  <c r="H113" i="9"/>
  <c r="H116" i="9"/>
  <c r="H119" i="9"/>
  <c r="H118" i="9"/>
  <c r="H112" i="9"/>
  <c r="H114" i="9"/>
  <c r="H54" i="9"/>
  <c r="H118" i="102"/>
  <c r="H114" i="102"/>
  <c r="H111" i="102"/>
  <c r="H117" i="102"/>
  <c r="H116" i="102"/>
  <c r="H113" i="102"/>
  <c r="H119" i="102"/>
  <c r="H115" i="102"/>
  <c r="H112" i="102"/>
  <c r="H54" i="102"/>
  <c r="H50" i="76"/>
  <c r="H61" i="76"/>
  <c r="H77" i="76" s="1"/>
  <c r="H61" i="101"/>
  <c r="H50" i="101"/>
  <c r="H61" i="90"/>
  <c r="H50" i="90"/>
  <c r="M63" i="2"/>
  <c r="L58" i="2"/>
  <c r="H61" i="100"/>
  <c r="H50" i="100"/>
  <c r="L61" i="2"/>
  <c r="H50" i="75"/>
  <c r="H61" i="75"/>
  <c r="H50" i="98"/>
  <c r="H61" i="98"/>
  <c r="H50" i="89"/>
  <c r="H61" i="89"/>
  <c r="H115" i="126"/>
  <c r="H113" i="126"/>
  <c r="H54" i="126"/>
  <c r="H116" i="126"/>
  <c r="H111" i="126"/>
  <c r="H117" i="126"/>
  <c r="H112" i="126"/>
  <c r="H118" i="126"/>
  <c r="H119" i="126"/>
  <c r="H114" i="126"/>
  <c r="H50" i="88"/>
  <c r="H61" i="88"/>
  <c r="H77" i="88" s="1"/>
  <c r="M59" i="2"/>
  <c r="H117" i="105"/>
  <c r="H118" i="105"/>
  <c r="H119" i="105"/>
  <c r="H114" i="105"/>
  <c r="H113" i="105"/>
  <c r="H111" i="105"/>
  <c r="H116" i="105"/>
  <c r="H112" i="105"/>
  <c r="H115" i="105"/>
  <c r="H54" i="105"/>
  <c r="H117" i="83"/>
  <c r="H113" i="83"/>
  <c r="H116" i="83"/>
  <c r="H112" i="83"/>
  <c r="H119" i="83"/>
  <c r="H115" i="83"/>
  <c r="H111" i="83"/>
  <c r="H118" i="83"/>
  <c r="H114" i="83"/>
  <c r="H54" i="83"/>
  <c r="G21" i="133"/>
  <c r="H54" i="109"/>
  <c r="H119" i="86"/>
  <c r="H115" i="86"/>
  <c r="H112" i="86"/>
  <c r="H118" i="86"/>
  <c r="H114" i="86"/>
  <c r="H111" i="86"/>
  <c r="H117" i="86"/>
  <c r="H113" i="86"/>
  <c r="H116" i="86"/>
  <c r="H54" i="86"/>
  <c r="H50" i="107"/>
  <c r="H61" i="107"/>
  <c r="H61" i="92"/>
  <c r="H77" i="92" s="1"/>
  <c r="H50" i="92"/>
  <c r="H50" i="85"/>
  <c r="H61" i="85"/>
  <c r="H77" i="85" s="1"/>
  <c r="L54" i="2"/>
  <c r="H50" i="82"/>
  <c r="H61" i="82"/>
  <c r="H77" i="82" s="1"/>
  <c r="H50" i="74"/>
  <c r="H61" i="74"/>
  <c r="H77" i="74" s="1"/>
  <c r="H54" i="121"/>
  <c r="H50" i="95"/>
  <c r="H61" i="95"/>
  <c r="H77" i="95" s="1"/>
  <c r="H50" i="84"/>
  <c r="H61" i="84"/>
  <c r="H77" i="84" s="1"/>
  <c r="H54" i="123"/>
  <c r="H116" i="123"/>
  <c r="H117" i="123"/>
  <c r="H118" i="123"/>
  <c r="H112" i="123"/>
  <c r="H115" i="123"/>
  <c r="H113" i="123"/>
  <c r="H114" i="123"/>
  <c r="H119" i="123"/>
  <c r="H111" i="123"/>
  <c r="H50" i="97"/>
  <c r="H61" i="97"/>
  <c r="H118" i="94"/>
  <c r="H114" i="94"/>
  <c r="H117" i="94"/>
  <c r="H113" i="94"/>
  <c r="H116" i="94"/>
  <c r="H112" i="94"/>
  <c r="H119" i="94"/>
  <c r="H115" i="94"/>
  <c r="H111" i="94"/>
  <c r="H54" i="94"/>
  <c r="H119" i="76"/>
  <c r="H115" i="76"/>
  <c r="H116" i="76"/>
  <c r="H111" i="76"/>
  <c r="H118" i="76"/>
  <c r="H114" i="76"/>
  <c r="H113" i="76"/>
  <c r="H112" i="76"/>
  <c r="H117" i="76"/>
  <c r="H54" i="76"/>
  <c r="H115" i="101"/>
  <c r="H119" i="101"/>
  <c r="H118" i="101"/>
  <c r="H114" i="101"/>
  <c r="H117" i="101"/>
  <c r="H116" i="101"/>
  <c r="H112" i="101"/>
  <c r="H113" i="101"/>
  <c r="H111" i="101"/>
  <c r="H54" i="101"/>
  <c r="H114" i="90"/>
  <c r="H117" i="90"/>
  <c r="H115" i="90"/>
  <c r="H118" i="90"/>
  <c r="H111" i="90"/>
  <c r="H116" i="90"/>
  <c r="H113" i="90"/>
  <c r="H112" i="90"/>
  <c r="H119" i="90"/>
  <c r="H54" i="90"/>
  <c r="H111" i="100"/>
  <c r="H117" i="100"/>
  <c r="H118" i="100"/>
  <c r="H119" i="100"/>
  <c r="H116" i="100"/>
  <c r="H112" i="100"/>
  <c r="H114" i="100"/>
  <c r="H113" i="100"/>
  <c r="H115" i="100"/>
  <c r="H54" i="100"/>
  <c r="H119" i="75"/>
  <c r="H112" i="75"/>
  <c r="H118" i="75"/>
  <c r="H117" i="75"/>
  <c r="H116" i="75"/>
  <c r="H111" i="75"/>
  <c r="H113" i="75"/>
  <c r="H114" i="75"/>
  <c r="H115" i="75"/>
  <c r="H54" i="75"/>
  <c r="H116" i="98"/>
  <c r="H115" i="98"/>
  <c r="H118" i="98"/>
  <c r="H112" i="98"/>
  <c r="H113" i="98"/>
  <c r="H117" i="98"/>
  <c r="H119" i="98"/>
  <c r="H111" i="98"/>
  <c r="H114" i="98"/>
  <c r="H54" i="98"/>
  <c r="D12" i="119"/>
  <c r="H113" i="89"/>
  <c r="H116" i="89"/>
  <c r="H119" i="89"/>
  <c r="H114" i="89"/>
  <c r="H117" i="89"/>
  <c r="H111" i="89"/>
  <c r="H112" i="89"/>
  <c r="H118" i="89"/>
  <c r="H115" i="89"/>
  <c r="H54" i="89"/>
  <c r="L57" i="2"/>
  <c r="H50" i="126"/>
  <c r="H61" i="126"/>
  <c r="H115" i="88"/>
  <c r="H111" i="88"/>
  <c r="H114" i="88"/>
  <c r="H119" i="88"/>
  <c r="H117" i="88"/>
  <c r="H113" i="88"/>
  <c r="H118" i="88"/>
  <c r="H112" i="88"/>
  <c r="H116" i="88"/>
  <c r="H54" i="88"/>
  <c r="H61" i="91"/>
  <c r="H50" i="91"/>
  <c r="H112" i="129"/>
  <c r="H114" i="129"/>
  <c r="H113" i="129"/>
  <c r="H111" i="129"/>
  <c r="H118" i="129"/>
  <c r="H117" i="129"/>
  <c r="H116" i="129"/>
  <c r="H115" i="129"/>
  <c r="H119" i="129"/>
  <c r="H54" i="129"/>
  <c r="H50" i="80"/>
  <c r="H61" i="80"/>
  <c r="H50" i="86"/>
  <c r="H61" i="86"/>
  <c r="H77" i="86" s="1"/>
  <c r="D20" i="119"/>
  <c r="H54" i="107"/>
  <c r="G23" i="133"/>
  <c r="AX23" i="133" s="1"/>
  <c r="H117" i="92"/>
  <c r="H118" i="92"/>
  <c r="H112" i="92"/>
  <c r="H115" i="92"/>
  <c r="H116" i="92"/>
  <c r="H114" i="92"/>
  <c r="H113" i="92"/>
  <c r="H119" i="92"/>
  <c r="H111" i="92"/>
  <c r="H54" i="92"/>
  <c r="H117" i="85"/>
  <c r="H111" i="85"/>
  <c r="H113" i="85"/>
  <c r="H112" i="85"/>
  <c r="H116" i="85"/>
  <c r="H114" i="85"/>
  <c r="H118" i="85"/>
  <c r="H119" i="85"/>
  <c r="H115" i="85"/>
  <c r="H54" i="85"/>
  <c r="H118" i="82"/>
  <c r="H119" i="82"/>
  <c r="H111" i="82"/>
  <c r="H116" i="82"/>
  <c r="H114" i="82"/>
  <c r="H115" i="82"/>
  <c r="H113" i="82"/>
  <c r="H112" i="82"/>
  <c r="H117" i="82"/>
  <c r="H54" i="82"/>
  <c r="H118" i="74"/>
  <c r="H112" i="74"/>
  <c r="H116" i="74"/>
  <c r="H114" i="74"/>
  <c r="H111" i="74"/>
  <c r="H117" i="74"/>
  <c r="H115" i="74"/>
  <c r="H119" i="74"/>
  <c r="H113" i="74"/>
  <c r="H54" i="74"/>
  <c r="H61" i="121"/>
  <c r="H50" i="121"/>
  <c r="H118" i="95"/>
  <c r="H114" i="95"/>
  <c r="H113" i="95"/>
  <c r="H112" i="95"/>
  <c r="H119" i="95"/>
  <c r="H117" i="95"/>
  <c r="H116" i="95"/>
  <c r="H111" i="95"/>
  <c r="H115" i="95"/>
  <c r="H54" i="95"/>
  <c r="H118" i="84"/>
  <c r="H115" i="84"/>
  <c r="H111" i="84"/>
  <c r="H114" i="84"/>
  <c r="H117" i="84"/>
  <c r="H113" i="84"/>
  <c r="H119" i="84"/>
  <c r="H116" i="84"/>
  <c r="H112" i="84"/>
  <c r="H54" i="84"/>
  <c r="H50" i="123"/>
  <c r="H61" i="123"/>
  <c r="H77" i="123" s="1"/>
  <c r="H119" i="97"/>
  <c r="H118" i="97"/>
  <c r="H111" i="97"/>
  <c r="H114" i="97"/>
  <c r="H113" i="97"/>
  <c r="H116" i="97"/>
  <c r="H112" i="97"/>
  <c r="H117" i="97"/>
  <c r="H115" i="97"/>
  <c r="H54" i="97"/>
  <c r="H50" i="94"/>
  <c r="H61" i="94"/>
  <c r="H77" i="94" s="1"/>
  <c r="H118" i="124"/>
  <c r="H112" i="124"/>
  <c r="H119" i="124"/>
  <c r="H117" i="124"/>
  <c r="H114" i="124"/>
  <c r="H113" i="124"/>
  <c r="H115" i="124"/>
  <c r="H54" i="124"/>
  <c r="H111" i="124"/>
  <c r="H116" i="124"/>
  <c r="H50" i="81"/>
  <c r="H61" i="81"/>
  <c r="H77" i="81" s="1"/>
  <c r="H61" i="128"/>
  <c r="H50" i="128"/>
  <c r="F81" i="82" l="1"/>
  <c r="AW14" i="133"/>
  <c r="BE14" i="133" s="1"/>
  <c r="G156" i="124"/>
  <c r="H77" i="107"/>
  <c r="AW13" i="133"/>
  <c r="BE13" i="133" s="1"/>
  <c r="H80" i="75"/>
  <c r="H81" i="75" s="1"/>
  <c r="F26" i="133"/>
  <c r="BE15" i="133"/>
  <c r="T26" i="133"/>
  <c r="T27" i="133" s="1"/>
  <c r="U26" i="133"/>
  <c r="BE17" i="133"/>
  <c r="BE16" i="133"/>
  <c r="BE19" i="133"/>
  <c r="BE20" i="133"/>
  <c r="N155" i="125"/>
  <c r="N147" i="125"/>
  <c r="N144" i="125"/>
  <c r="N154" i="84"/>
  <c r="N155" i="84"/>
  <c r="N148" i="126"/>
  <c r="N150" i="126"/>
  <c r="F82" i="9"/>
  <c r="F81" i="9"/>
  <c r="N154" i="74"/>
  <c r="N155" i="74"/>
  <c r="N153" i="74"/>
  <c r="N148" i="101"/>
  <c r="N151" i="87"/>
  <c r="N147" i="75"/>
  <c r="N144" i="75"/>
  <c r="N152" i="75"/>
  <c r="N154" i="75"/>
  <c r="F59" i="98"/>
  <c r="F60" i="98"/>
  <c r="F59" i="79"/>
  <c r="F60" i="79"/>
  <c r="N152" i="99"/>
  <c r="N150" i="99"/>
  <c r="N155" i="99"/>
  <c r="N155" i="89"/>
  <c r="N153" i="89"/>
  <c r="N154" i="83"/>
  <c r="N151" i="83"/>
  <c r="N148" i="78"/>
  <c r="N150" i="78"/>
  <c r="F59" i="121"/>
  <c r="F60" i="121"/>
  <c r="N152" i="97"/>
  <c r="N154" i="97"/>
  <c r="N150" i="96"/>
  <c r="N155" i="96"/>
  <c r="N144" i="92"/>
  <c r="N147" i="92"/>
  <c r="N152" i="92"/>
  <c r="N150" i="92"/>
  <c r="F60" i="129"/>
  <c r="F59" i="129"/>
  <c r="F59" i="94"/>
  <c r="F60" i="94"/>
  <c r="F59" i="90"/>
  <c r="F60" i="90"/>
  <c r="F82" i="91"/>
  <c r="G82" i="91" s="1"/>
  <c r="H82" i="91" s="1"/>
  <c r="I82" i="91" s="1"/>
  <c r="J82" i="91" s="1"/>
  <c r="K82" i="91" s="1"/>
  <c r="F81" i="91"/>
  <c r="F60" i="125"/>
  <c r="F59" i="125"/>
  <c r="F59" i="105"/>
  <c r="F60" i="105"/>
  <c r="N152" i="104"/>
  <c r="N148" i="104"/>
  <c r="N149" i="104"/>
  <c r="F59" i="96"/>
  <c r="F60" i="96"/>
  <c r="F59" i="74"/>
  <c r="F60" i="74"/>
  <c r="F59" i="78"/>
  <c r="F60" i="78"/>
  <c r="F59" i="77"/>
  <c r="F60" i="77"/>
  <c r="F70" i="80"/>
  <c r="F71" i="80"/>
  <c r="F73" i="80"/>
  <c r="F68" i="80"/>
  <c r="F64" i="80"/>
  <c r="F69" i="80"/>
  <c r="F66" i="80"/>
  <c r="F67" i="80"/>
  <c r="F65" i="80"/>
  <c r="F72" i="80"/>
  <c r="N152" i="76"/>
  <c r="N154" i="76"/>
  <c r="N155" i="76"/>
  <c r="N148" i="95"/>
  <c r="N144" i="128"/>
  <c r="N147" i="128"/>
  <c r="N155" i="93"/>
  <c r="N149" i="93"/>
  <c r="N147" i="80"/>
  <c r="N144" i="80"/>
  <c r="N150" i="91"/>
  <c r="N151" i="91"/>
  <c r="N149" i="91"/>
  <c r="N154" i="125"/>
  <c r="N150" i="125"/>
  <c r="N149" i="84"/>
  <c r="N148" i="84"/>
  <c r="N151" i="126"/>
  <c r="N154" i="126"/>
  <c r="N149" i="126"/>
  <c r="F59" i="9"/>
  <c r="F60" i="9"/>
  <c r="F60" i="127"/>
  <c r="F59" i="127"/>
  <c r="F68" i="83"/>
  <c r="F69" i="83"/>
  <c r="F71" i="83"/>
  <c r="F70" i="83"/>
  <c r="F64" i="83"/>
  <c r="F67" i="83"/>
  <c r="F66" i="83"/>
  <c r="F65" i="83"/>
  <c r="F73" i="83"/>
  <c r="F72" i="83"/>
  <c r="F64" i="100"/>
  <c r="F68" i="100"/>
  <c r="F73" i="100"/>
  <c r="F66" i="100"/>
  <c r="F71" i="100"/>
  <c r="F72" i="100"/>
  <c r="F65" i="100"/>
  <c r="F67" i="100"/>
  <c r="F69" i="100"/>
  <c r="F70" i="100"/>
  <c r="F65" i="81"/>
  <c r="F72" i="81"/>
  <c r="F71" i="81"/>
  <c r="F73" i="81"/>
  <c r="F68" i="81"/>
  <c r="F70" i="81"/>
  <c r="F67" i="81"/>
  <c r="F66" i="81"/>
  <c r="F64" i="81"/>
  <c r="F69" i="81"/>
  <c r="F72" i="109"/>
  <c r="F70" i="109"/>
  <c r="F66" i="109"/>
  <c r="F73" i="109"/>
  <c r="F64" i="109"/>
  <c r="F65" i="109"/>
  <c r="F71" i="109"/>
  <c r="F67" i="109"/>
  <c r="F69" i="109"/>
  <c r="F68" i="109"/>
  <c r="N148" i="74"/>
  <c r="N151" i="101"/>
  <c r="N154" i="101"/>
  <c r="N150" i="87"/>
  <c r="N155" i="87"/>
  <c r="N149" i="87"/>
  <c r="N148" i="75"/>
  <c r="N153" i="75"/>
  <c r="BE18" i="133"/>
  <c r="F59" i="89"/>
  <c r="F60" i="89"/>
  <c r="F60" i="124"/>
  <c r="F59" i="124"/>
  <c r="F59" i="102"/>
  <c r="F60" i="102"/>
  <c r="F82" i="79"/>
  <c r="F81" i="79"/>
  <c r="N149" i="99"/>
  <c r="N154" i="99"/>
  <c r="N148" i="89"/>
  <c r="N150" i="83"/>
  <c r="N148" i="83"/>
  <c r="N144" i="78"/>
  <c r="N147" i="78"/>
  <c r="N152" i="78"/>
  <c r="N154" i="78"/>
  <c r="N149" i="97"/>
  <c r="N144" i="97"/>
  <c r="N147" i="97"/>
  <c r="N154" i="96"/>
  <c r="N148" i="96"/>
  <c r="N151" i="92"/>
  <c r="N154" i="92"/>
  <c r="F82" i="93"/>
  <c r="G82" i="93" s="1"/>
  <c r="H82" i="93" s="1"/>
  <c r="F81" i="93"/>
  <c r="F59" i="88"/>
  <c r="F60" i="88"/>
  <c r="F59" i="84"/>
  <c r="F60" i="84"/>
  <c r="F59" i="85"/>
  <c r="F60" i="85"/>
  <c r="N144" i="104"/>
  <c r="N147" i="104"/>
  <c r="N151" i="104"/>
  <c r="F59" i="103"/>
  <c r="F60" i="103"/>
  <c r="F82" i="87"/>
  <c r="F81" i="87"/>
  <c r="F59" i="86"/>
  <c r="F60" i="86"/>
  <c r="F81" i="92"/>
  <c r="F82" i="92"/>
  <c r="N149" i="76"/>
  <c r="N151" i="95"/>
  <c r="N150" i="95"/>
  <c r="N152" i="128"/>
  <c r="N155" i="128"/>
  <c r="N148" i="128"/>
  <c r="N153" i="93"/>
  <c r="N148" i="80"/>
  <c r="N149" i="80"/>
  <c r="N150" i="80"/>
  <c r="N154" i="91"/>
  <c r="N155" i="91"/>
  <c r="N153" i="91"/>
  <c r="N153" i="125"/>
  <c r="N151" i="125"/>
  <c r="N153" i="84"/>
  <c r="N144" i="84"/>
  <c r="N147" i="84"/>
  <c r="N152" i="84"/>
  <c r="N152" i="126"/>
  <c r="N144" i="126"/>
  <c r="N147" i="126"/>
  <c r="F59" i="97"/>
  <c r="F60" i="97"/>
  <c r="F82" i="95"/>
  <c r="F81" i="95"/>
  <c r="F59" i="76"/>
  <c r="F60" i="76"/>
  <c r="N144" i="74"/>
  <c r="N147" i="74"/>
  <c r="N152" i="74"/>
  <c r="N150" i="101"/>
  <c r="N152" i="101"/>
  <c r="N144" i="101"/>
  <c r="N147" i="101"/>
  <c r="N154" i="87"/>
  <c r="N148" i="87"/>
  <c r="N153" i="87"/>
  <c r="N149" i="75"/>
  <c r="N150" i="75"/>
  <c r="G156" i="129"/>
  <c r="F81" i="123"/>
  <c r="F82" i="123"/>
  <c r="F59" i="75"/>
  <c r="F60" i="75"/>
  <c r="F82" i="104"/>
  <c r="G82" i="104" s="1"/>
  <c r="H82" i="104" s="1"/>
  <c r="I82" i="104" s="1"/>
  <c r="F81" i="104"/>
  <c r="F60" i="128"/>
  <c r="F59" i="128"/>
  <c r="F59" i="106"/>
  <c r="F60" i="106"/>
  <c r="N153" i="99"/>
  <c r="N144" i="99"/>
  <c r="N147" i="99"/>
  <c r="N144" i="89"/>
  <c r="N147" i="89"/>
  <c r="N152" i="89"/>
  <c r="N150" i="89"/>
  <c r="N149" i="83"/>
  <c r="N155" i="83"/>
  <c r="N152" i="83"/>
  <c r="N151" i="78"/>
  <c r="N149" i="78"/>
  <c r="N153" i="97"/>
  <c r="N151" i="97"/>
  <c r="N149" i="96"/>
  <c r="N144" i="96"/>
  <c r="N147" i="96"/>
  <c r="N152" i="96"/>
  <c r="N155" i="92"/>
  <c r="N149" i="92"/>
  <c r="F59" i="93"/>
  <c r="F60" i="93"/>
  <c r="F81" i="88"/>
  <c r="F82" i="88"/>
  <c r="F81" i="84"/>
  <c r="F82" i="84"/>
  <c r="F59" i="101"/>
  <c r="F60" i="101"/>
  <c r="F81" i="85"/>
  <c r="F82" i="85"/>
  <c r="N150" i="104"/>
  <c r="N155" i="104"/>
  <c r="F81" i="103"/>
  <c r="F82" i="103"/>
  <c r="G82" i="103" s="1"/>
  <c r="H82" i="103" s="1"/>
  <c r="F60" i="87"/>
  <c r="F59" i="87"/>
  <c r="F81" i="86"/>
  <c r="F82" i="86"/>
  <c r="F59" i="92"/>
  <c r="F60" i="92"/>
  <c r="N153" i="76"/>
  <c r="N144" i="76"/>
  <c r="N147" i="76"/>
  <c r="N152" i="95"/>
  <c r="N154" i="95"/>
  <c r="N144" i="95"/>
  <c r="N147" i="95"/>
  <c r="N153" i="128"/>
  <c r="N154" i="128"/>
  <c r="N151" i="128"/>
  <c r="N147" i="93"/>
  <c r="N144" i="93"/>
  <c r="N148" i="93"/>
  <c r="N150" i="93"/>
  <c r="N154" i="80"/>
  <c r="N152" i="80"/>
  <c r="N151" i="80"/>
  <c r="N148" i="91"/>
  <c r="AW12" i="133"/>
  <c r="N149" i="125"/>
  <c r="N148" i="125"/>
  <c r="N152" i="125"/>
  <c r="N150" i="84"/>
  <c r="N151" i="84"/>
  <c r="N153" i="126"/>
  <c r="N155" i="126"/>
  <c r="F81" i="97"/>
  <c r="F82" i="97"/>
  <c r="G82" i="97" s="1"/>
  <c r="H82" i="97" s="1"/>
  <c r="F60" i="95"/>
  <c r="F59" i="95"/>
  <c r="F60" i="126"/>
  <c r="F59" i="126"/>
  <c r="F82" i="76"/>
  <c r="F81" i="76"/>
  <c r="F68" i="99"/>
  <c r="F73" i="99"/>
  <c r="F70" i="99"/>
  <c r="F71" i="99"/>
  <c r="F72" i="99"/>
  <c r="F66" i="99"/>
  <c r="F69" i="99"/>
  <c r="F67" i="99"/>
  <c r="F65" i="99"/>
  <c r="F64" i="99"/>
  <c r="N150" i="74"/>
  <c r="N151" i="74"/>
  <c r="N149" i="74"/>
  <c r="N149" i="101"/>
  <c r="N153" i="101"/>
  <c r="N155" i="101"/>
  <c r="N144" i="87"/>
  <c r="N147" i="87"/>
  <c r="N152" i="87"/>
  <c r="N151" i="75"/>
  <c r="N155" i="75"/>
  <c r="F59" i="123"/>
  <c r="F60" i="123"/>
  <c r="F81" i="75"/>
  <c r="F82" i="75"/>
  <c r="G82" i="75" s="1"/>
  <c r="F59" i="104"/>
  <c r="F60" i="104"/>
  <c r="F67" i="82"/>
  <c r="F64" i="82"/>
  <c r="F72" i="82"/>
  <c r="F66" i="82"/>
  <c r="F68" i="82"/>
  <c r="F69" i="82"/>
  <c r="F70" i="82"/>
  <c r="F65" i="82"/>
  <c r="F71" i="82"/>
  <c r="F73" i="82"/>
  <c r="F81" i="106"/>
  <c r="F82" i="106"/>
  <c r="G82" i="106" s="1"/>
  <c r="H82" i="106" s="1"/>
  <c r="I82" i="106" s="1"/>
  <c r="J82" i="106" s="1"/>
  <c r="N148" i="99"/>
  <c r="N151" i="99"/>
  <c r="N151" i="89"/>
  <c r="N149" i="89"/>
  <c r="N154" i="89"/>
  <c r="N153" i="83"/>
  <c r="N144" i="83"/>
  <c r="N147" i="83"/>
  <c r="N155" i="78"/>
  <c r="N153" i="78"/>
  <c r="N148" i="97"/>
  <c r="N150" i="97"/>
  <c r="N155" i="97"/>
  <c r="N153" i="96"/>
  <c r="N148" i="92"/>
  <c r="N153" i="92"/>
  <c r="F82" i="94"/>
  <c r="G82" i="94" s="1"/>
  <c r="F81" i="94"/>
  <c r="F81" i="90"/>
  <c r="F82" i="90"/>
  <c r="G82" i="90" s="1"/>
  <c r="H82" i="90" s="1"/>
  <c r="F59" i="91"/>
  <c r="F60" i="91"/>
  <c r="F82" i="105"/>
  <c r="G82" i="105" s="1"/>
  <c r="H82" i="105" s="1"/>
  <c r="I82" i="105" s="1"/>
  <c r="J82" i="105" s="1"/>
  <c r="K82" i="105" s="1"/>
  <c r="F81" i="105"/>
  <c r="N154" i="104"/>
  <c r="N153" i="104"/>
  <c r="F81" i="96"/>
  <c r="F82" i="96"/>
  <c r="F82" i="74"/>
  <c r="F81" i="74"/>
  <c r="F82" i="78"/>
  <c r="F81" i="78"/>
  <c r="F82" i="77"/>
  <c r="G82" i="77" s="1"/>
  <c r="H82" i="77" s="1"/>
  <c r="F81" i="77"/>
  <c r="N148" i="76"/>
  <c r="N150" i="76"/>
  <c r="N151" i="76"/>
  <c r="N149" i="95"/>
  <c r="N153" i="95"/>
  <c r="N155" i="95"/>
  <c r="N150" i="128"/>
  <c r="N149" i="128"/>
  <c r="N151" i="93"/>
  <c r="N152" i="93"/>
  <c r="N154" i="93"/>
  <c r="N155" i="80"/>
  <c r="N153" i="80"/>
  <c r="N144" i="91"/>
  <c r="N147" i="91"/>
  <c r="N152" i="91"/>
  <c r="J18" i="14"/>
  <c r="U18" i="14" s="1"/>
  <c r="N75" i="110"/>
  <c r="N156" i="82"/>
  <c r="N156" i="124"/>
  <c r="BE12" i="133"/>
  <c r="AW26" i="133"/>
  <c r="U27" i="133"/>
  <c r="N11" i="119"/>
  <c r="N156" i="86"/>
  <c r="J20" i="14"/>
  <c r="U20" i="14" s="1"/>
  <c r="N75" i="107"/>
  <c r="G80" i="110"/>
  <c r="G82" i="110" s="1"/>
  <c r="G80" i="109"/>
  <c r="H82" i="83"/>
  <c r="I82" i="83" s="1"/>
  <c r="H81" i="83"/>
  <c r="H77" i="110"/>
  <c r="H83" i="110" s="1"/>
  <c r="K82" i="121"/>
  <c r="L82" i="121" s="1"/>
  <c r="M82" i="121" s="1"/>
  <c r="N82" i="121" s="1"/>
  <c r="G81" i="83"/>
  <c r="G67" i="109"/>
  <c r="G66" i="109"/>
  <c r="G65" i="109"/>
  <c r="G71" i="109"/>
  <c r="G68" i="109"/>
  <c r="G69" i="109"/>
  <c r="G64" i="109"/>
  <c r="G72" i="109"/>
  <c r="G73" i="109"/>
  <c r="G70" i="109"/>
  <c r="G59" i="108"/>
  <c r="G72" i="108" s="1"/>
  <c r="G59" i="107"/>
  <c r="G70" i="107" s="1"/>
  <c r="BE22" i="133"/>
  <c r="BE29" i="133" s="1"/>
  <c r="G80" i="107"/>
  <c r="G82" i="107" s="1"/>
  <c r="P80" i="121"/>
  <c r="O80" i="121"/>
  <c r="O81" i="121" s="1"/>
  <c r="J81" i="121"/>
  <c r="H77" i="108"/>
  <c r="H78" i="108" s="1"/>
  <c r="G80" i="108"/>
  <c r="G82" i="108" s="1"/>
  <c r="G59" i="110"/>
  <c r="M21" i="119"/>
  <c r="D11" i="131" s="1"/>
  <c r="AW30" i="133" s="1"/>
  <c r="F30" i="133"/>
  <c r="C29" i="119"/>
  <c r="C31" i="119" s="1"/>
  <c r="G80" i="2" s="1"/>
  <c r="G81" i="2" s="1"/>
  <c r="G95" i="2" s="1"/>
  <c r="M28" i="119"/>
  <c r="M12" i="119" s="1"/>
  <c r="M13" i="119" s="1"/>
  <c r="H83" i="123"/>
  <c r="I83" i="123" s="1"/>
  <c r="J83" i="123" s="1"/>
  <c r="K83" i="123" s="1"/>
  <c r="L83" i="123" s="1"/>
  <c r="M83" i="123" s="1"/>
  <c r="N83" i="123" s="1"/>
  <c r="O77" i="123"/>
  <c r="H78" i="123"/>
  <c r="H150" i="95"/>
  <c r="H153" i="124"/>
  <c r="H148" i="97"/>
  <c r="H120" i="97"/>
  <c r="H147" i="97"/>
  <c r="H149" i="84"/>
  <c r="H151" i="84"/>
  <c r="H151" i="95"/>
  <c r="H155" i="95"/>
  <c r="H154" i="95"/>
  <c r="H153" i="74"/>
  <c r="H148" i="74"/>
  <c r="H153" i="82"/>
  <c r="H150" i="82"/>
  <c r="H154" i="82"/>
  <c r="H154" i="85"/>
  <c r="H149" i="85"/>
  <c r="H149" i="92"/>
  <c r="H148" i="92"/>
  <c r="H155" i="129"/>
  <c r="H154" i="129"/>
  <c r="H148" i="129"/>
  <c r="H149" i="88"/>
  <c r="H147" i="88"/>
  <c r="H120" i="88"/>
  <c r="H154" i="89"/>
  <c r="H150" i="89"/>
  <c r="D13" i="119"/>
  <c r="D28" i="119"/>
  <c r="H120" i="98"/>
  <c r="H147" i="98"/>
  <c r="G12" i="133"/>
  <c r="H148" i="98"/>
  <c r="G13" i="133"/>
  <c r="AX13" i="133" s="1"/>
  <c r="H149" i="75"/>
  <c r="H154" i="75"/>
  <c r="H150" i="100"/>
  <c r="H154" i="100"/>
  <c r="H155" i="90"/>
  <c r="H120" i="90"/>
  <c r="H147" i="90"/>
  <c r="H150" i="90"/>
  <c r="H149" i="101"/>
  <c r="H150" i="101"/>
  <c r="H149" i="76"/>
  <c r="H152" i="76"/>
  <c r="H155" i="94"/>
  <c r="H153" i="94"/>
  <c r="H150" i="123"/>
  <c r="H154" i="123"/>
  <c r="H83" i="95"/>
  <c r="H78" i="95"/>
  <c r="H78" i="82"/>
  <c r="H83" i="82"/>
  <c r="H78" i="85"/>
  <c r="H83" i="85"/>
  <c r="H153" i="86"/>
  <c r="H148" i="86"/>
  <c r="H120" i="83"/>
  <c r="H147" i="83"/>
  <c r="H152" i="83"/>
  <c r="H120" i="105"/>
  <c r="H147" i="105"/>
  <c r="H154" i="105"/>
  <c r="H154" i="126"/>
  <c r="H152" i="126"/>
  <c r="M58" i="2"/>
  <c r="H78" i="76"/>
  <c r="H83" i="76"/>
  <c r="H148" i="102"/>
  <c r="H152" i="102"/>
  <c r="H154" i="102"/>
  <c r="H148" i="9"/>
  <c r="H149" i="9"/>
  <c r="H152" i="99"/>
  <c r="H148" i="99"/>
  <c r="H155" i="125"/>
  <c r="H120" i="125"/>
  <c r="H147" i="125"/>
  <c r="H120" i="77"/>
  <c r="H147" i="77"/>
  <c r="H152" i="77"/>
  <c r="H151" i="106"/>
  <c r="H155" i="106"/>
  <c r="H152" i="103"/>
  <c r="H155" i="103"/>
  <c r="H155" i="79"/>
  <c r="H120" i="79"/>
  <c r="H147" i="79"/>
  <c r="H120" i="96"/>
  <c r="H147" i="96"/>
  <c r="H148" i="96"/>
  <c r="H147" i="87"/>
  <c r="H120" i="87"/>
  <c r="H154" i="87"/>
  <c r="H149" i="87"/>
  <c r="H152" i="78"/>
  <c r="H120" i="78"/>
  <c r="H147" i="78"/>
  <c r="H83" i="109"/>
  <c r="H78" i="109"/>
  <c r="H57" i="110"/>
  <c r="H59" i="110" s="1"/>
  <c r="BF22" i="133"/>
  <c r="G14" i="132"/>
  <c r="G16" i="132"/>
  <c r="H120" i="93"/>
  <c r="H147" i="93"/>
  <c r="H153" i="93"/>
  <c r="H150" i="104"/>
  <c r="H120" i="104"/>
  <c r="H147" i="104"/>
  <c r="H153" i="104"/>
  <c r="H153" i="128"/>
  <c r="H151" i="128"/>
  <c r="H149" i="81"/>
  <c r="H153" i="81"/>
  <c r="H78" i="9"/>
  <c r="H83" i="9"/>
  <c r="H78" i="79"/>
  <c r="H83" i="79"/>
  <c r="I83" i="79" s="1"/>
  <c r="H78" i="78"/>
  <c r="H83" i="78"/>
  <c r="H120" i="80"/>
  <c r="H147" i="80"/>
  <c r="H154" i="80"/>
  <c r="H154" i="91"/>
  <c r="H155" i="91"/>
  <c r="H153" i="127"/>
  <c r="H150" i="127"/>
  <c r="H155" i="124"/>
  <c r="H152" i="97"/>
  <c r="H153" i="84"/>
  <c r="H148" i="95"/>
  <c r="H149" i="74"/>
  <c r="H154" i="74"/>
  <c r="H152" i="82"/>
  <c r="H150" i="85"/>
  <c r="H120" i="85"/>
  <c r="H147" i="85"/>
  <c r="H150" i="92"/>
  <c r="H154" i="92"/>
  <c r="BF23" i="133"/>
  <c r="H57" i="107"/>
  <c r="H151" i="129"/>
  <c r="H147" i="129"/>
  <c r="H120" i="129"/>
  <c r="H152" i="88"/>
  <c r="H153" i="88"/>
  <c r="H151" i="88"/>
  <c r="H148" i="89"/>
  <c r="H155" i="89"/>
  <c r="H155" i="98"/>
  <c r="G20" i="133"/>
  <c r="AX20" i="133" s="1"/>
  <c r="H154" i="98"/>
  <c r="G19" i="133"/>
  <c r="AX19" i="133" s="1"/>
  <c r="H120" i="75"/>
  <c r="H147" i="75"/>
  <c r="H148" i="75"/>
  <c r="H148" i="100"/>
  <c r="H153" i="100"/>
  <c r="H148" i="90"/>
  <c r="H154" i="90"/>
  <c r="H148" i="101"/>
  <c r="H154" i="101"/>
  <c r="H150" i="76"/>
  <c r="H151" i="76"/>
  <c r="H148" i="94"/>
  <c r="H150" i="94"/>
  <c r="H149" i="123"/>
  <c r="H153" i="123"/>
  <c r="M54" i="2"/>
  <c r="H78" i="92"/>
  <c r="H83" i="92"/>
  <c r="H147" i="86"/>
  <c r="H120" i="86"/>
  <c r="H151" i="86"/>
  <c r="H151" i="83"/>
  <c r="H149" i="83"/>
  <c r="H151" i="105"/>
  <c r="H149" i="105"/>
  <c r="H153" i="105"/>
  <c r="H148" i="126"/>
  <c r="M61" i="2"/>
  <c r="H151" i="102"/>
  <c r="H153" i="102"/>
  <c r="H154" i="9"/>
  <c r="H120" i="9"/>
  <c r="H147" i="9"/>
  <c r="H149" i="99"/>
  <c r="H153" i="99"/>
  <c r="H151" i="125"/>
  <c r="H153" i="125"/>
  <c r="H152" i="125"/>
  <c r="H150" i="77"/>
  <c r="H148" i="77"/>
  <c r="H151" i="77"/>
  <c r="H150" i="106"/>
  <c r="H152" i="106"/>
  <c r="H151" i="103"/>
  <c r="H120" i="103"/>
  <c r="H147" i="103"/>
  <c r="H151" i="79"/>
  <c r="H149" i="79"/>
  <c r="H154" i="79"/>
  <c r="H149" i="96"/>
  <c r="H150" i="96"/>
  <c r="H153" i="87"/>
  <c r="H151" i="87"/>
  <c r="H155" i="78"/>
  <c r="H154" i="78"/>
  <c r="H152" i="93"/>
  <c r="H149" i="93"/>
  <c r="H151" i="104"/>
  <c r="H154" i="104"/>
  <c r="BF24" i="133"/>
  <c r="H57" i="108"/>
  <c r="H59" i="108" s="1"/>
  <c r="H150" i="128"/>
  <c r="H154" i="128"/>
  <c r="H151" i="81"/>
  <c r="H150" i="81"/>
  <c r="H120" i="81"/>
  <c r="H147" i="81"/>
  <c r="H78" i="96"/>
  <c r="H83" i="96"/>
  <c r="H152" i="80"/>
  <c r="H155" i="80"/>
  <c r="H153" i="80"/>
  <c r="H153" i="91"/>
  <c r="H148" i="91"/>
  <c r="H149" i="127"/>
  <c r="H151" i="127"/>
  <c r="H155" i="127"/>
  <c r="H83" i="108"/>
  <c r="H120" i="124"/>
  <c r="H147" i="124"/>
  <c r="H150" i="124"/>
  <c r="H153" i="97"/>
  <c r="H155" i="84"/>
  <c r="H151" i="124"/>
  <c r="H154" i="97"/>
  <c r="H148" i="84"/>
  <c r="H154" i="84"/>
  <c r="H120" i="95"/>
  <c r="H147" i="95"/>
  <c r="H120" i="74"/>
  <c r="H147" i="74"/>
  <c r="H148" i="82"/>
  <c r="H152" i="124"/>
  <c r="H149" i="124"/>
  <c r="H148" i="124"/>
  <c r="H83" i="94"/>
  <c r="H78" i="94"/>
  <c r="H151" i="97"/>
  <c r="H149" i="97"/>
  <c r="H155" i="97"/>
  <c r="H152" i="84"/>
  <c r="H150" i="84"/>
  <c r="H152" i="95"/>
  <c r="H149" i="95"/>
  <c r="H155" i="74"/>
  <c r="H150" i="74"/>
  <c r="H149" i="82"/>
  <c r="H120" i="82"/>
  <c r="H147" i="82"/>
  <c r="H151" i="85"/>
  <c r="H152" i="85"/>
  <c r="H153" i="85"/>
  <c r="H120" i="92"/>
  <c r="H147" i="92"/>
  <c r="H152" i="92"/>
  <c r="H153" i="92"/>
  <c r="N20" i="119"/>
  <c r="D21" i="119"/>
  <c r="H152" i="129"/>
  <c r="H149" i="129"/>
  <c r="H148" i="88"/>
  <c r="H155" i="88"/>
  <c r="M57" i="2"/>
  <c r="H120" i="89"/>
  <c r="H147" i="89"/>
  <c r="H152" i="89"/>
  <c r="H153" i="98"/>
  <c r="G18" i="133"/>
  <c r="AX18" i="133" s="1"/>
  <c r="H151" i="98"/>
  <c r="G16" i="133"/>
  <c r="AX16" i="133" s="1"/>
  <c r="H151" i="75"/>
  <c r="H152" i="75"/>
  <c r="H155" i="75"/>
  <c r="H151" i="100"/>
  <c r="H152" i="100"/>
  <c r="H120" i="100"/>
  <c r="H147" i="100"/>
  <c r="H149" i="90"/>
  <c r="H151" i="90"/>
  <c r="H152" i="101"/>
  <c r="H155" i="101"/>
  <c r="H153" i="76"/>
  <c r="H154" i="76"/>
  <c r="H155" i="76"/>
  <c r="H120" i="94"/>
  <c r="H147" i="94"/>
  <c r="H152" i="94"/>
  <c r="H154" i="94"/>
  <c r="H147" i="123"/>
  <c r="H120" i="123"/>
  <c r="H151" i="123"/>
  <c r="H152" i="123"/>
  <c r="H78" i="84"/>
  <c r="H83" i="84"/>
  <c r="H78" i="74"/>
  <c r="H83" i="74"/>
  <c r="H83" i="107"/>
  <c r="H78" i="107"/>
  <c r="H152" i="86"/>
  <c r="H150" i="86"/>
  <c r="H155" i="86"/>
  <c r="H88" i="2"/>
  <c r="H89" i="2" s="1"/>
  <c r="H150" i="83"/>
  <c r="H155" i="83"/>
  <c r="H153" i="83"/>
  <c r="H148" i="105"/>
  <c r="H150" i="105"/>
  <c r="H150" i="126"/>
  <c r="H153" i="126"/>
  <c r="H149" i="126"/>
  <c r="H155" i="102"/>
  <c r="H120" i="102"/>
  <c r="H147" i="102"/>
  <c r="H155" i="9"/>
  <c r="H153" i="9"/>
  <c r="H151" i="99"/>
  <c r="H155" i="99"/>
  <c r="H120" i="99"/>
  <c r="H147" i="99"/>
  <c r="H149" i="125"/>
  <c r="H154" i="125"/>
  <c r="H153" i="77"/>
  <c r="H154" i="77"/>
  <c r="H153" i="106"/>
  <c r="H120" i="106"/>
  <c r="H147" i="106"/>
  <c r="H149" i="103"/>
  <c r="H150" i="103"/>
  <c r="H153" i="103"/>
  <c r="H153" i="79"/>
  <c r="H148" i="79"/>
  <c r="H152" i="96"/>
  <c r="H151" i="96"/>
  <c r="H155" i="96"/>
  <c r="H155" i="87"/>
  <c r="H152" i="87"/>
  <c r="H150" i="78"/>
  <c r="H149" i="78"/>
  <c r="H154" i="93"/>
  <c r="H155" i="93"/>
  <c r="H149" i="104"/>
  <c r="H148" i="104"/>
  <c r="H155" i="128"/>
  <c r="H148" i="128"/>
  <c r="H152" i="128"/>
  <c r="H148" i="81"/>
  <c r="H154" i="81"/>
  <c r="H83" i="87"/>
  <c r="H78" i="87"/>
  <c r="H149" i="80"/>
  <c r="H150" i="80"/>
  <c r="H150" i="91"/>
  <c r="H152" i="91"/>
  <c r="H149" i="91"/>
  <c r="H148" i="127"/>
  <c r="H152" i="127"/>
  <c r="H154" i="127"/>
  <c r="H78" i="81"/>
  <c r="H83" i="81"/>
  <c r="H154" i="124"/>
  <c r="H150" i="97"/>
  <c r="H147" i="84"/>
  <c r="H120" i="84"/>
  <c r="H153" i="95"/>
  <c r="H151" i="74"/>
  <c r="H152" i="74"/>
  <c r="H151" i="82"/>
  <c r="H155" i="82"/>
  <c r="H155" i="85"/>
  <c r="H148" i="85"/>
  <c r="H155" i="92"/>
  <c r="H151" i="92"/>
  <c r="H83" i="86"/>
  <c r="H78" i="86"/>
  <c r="H153" i="129"/>
  <c r="H150" i="129"/>
  <c r="H154" i="88"/>
  <c r="H150" i="88"/>
  <c r="H151" i="89"/>
  <c r="H153" i="89"/>
  <c r="H149" i="89"/>
  <c r="H150" i="98"/>
  <c r="G15" i="133"/>
  <c r="AX15" i="133" s="1"/>
  <c r="H149" i="98"/>
  <c r="G14" i="133"/>
  <c r="AX14" i="133" s="1"/>
  <c r="H152" i="98"/>
  <c r="G17" i="133"/>
  <c r="AX17" i="133" s="1"/>
  <c r="H150" i="75"/>
  <c r="H153" i="75"/>
  <c r="H149" i="100"/>
  <c r="H155" i="100"/>
  <c r="H152" i="90"/>
  <c r="H153" i="90"/>
  <c r="H120" i="101"/>
  <c r="H147" i="101"/>
  <c r="H153" i="101"/>
  <c r="H151" i="101"/>
  <c r="H148" i="76"/>
  <c r="H120" i="76"/>
  <c r="H147" i="76"/>
  <c r="H151" i="94"/>
  <c r="H149" i="94"/>
  <c r="H155" i="123"/>
  <c r="H148" i="123"/>
  <c r="H149" i="86"/>
  <c r="H154" i="86"/>
  <c r="AX21" i="133"/>
  <c r="AX29" i="133" s="1"/>
  <c r="G29" i="133"/>
  <c r="H154" i="83"/>
  <c r="H148" i="83"/>
  <c r="H152" i="105"/>
  <c r="H155" i="105"/>
  <c r="H78" i="88"/>
  <c r="H83" i="88"/>
  <c r="H155" i="126"/>
  <c r="H147" i="126"/>
  <c r="H120" i="126"/>
  <c r="H151" i="126"/>
  <c r="H149" i="102"/>
  <c r="H150" i="102"/>
  <c r="H150" i="9"/>
  <c r="H152" i="9"/>
  <c r="H151" i="9"/>
  <c r="H154" i="99"/>
  <c r="H150" i="99"/>
  <c r="H150" i="125"/>
  <c r="H148" i="125"/>
  <c r="H149" i="77"/>
  <c r="H155" i="77"/>
  <c r="H148" i="106"/>
  <c r="H154" i="106"/>
  <c r="H149" i="106"/>
  <c r="H148" i="103"/>
  <c r="H154" i="103"/>
  <c r="H150" i="79"/>
  <c r="H152" i="79"/>
  <c r="H154" i="96"/>
  <c r="H153" i="96"/>
  <c r="H150" i="87"/>
  <c r="H148" i="87"/>
  <c r="H148" i="78"/>
  <c r="H153" i="78"/>
  <c r="H151" i="78"/>
  <c r="H150" i="93"/>
  <c r="H148" i="93"/>
  <c r="H151" i="93"/>
  <c r="H152" i="104"/>
  <c r="H155" i="104"/>
  <c r="M62" i="2"/>
  <c r="H149" i="128"/>
  <c r="H120" i="128"/>
  <c r="H147" i="128"/>
  <c r="H155" i="81"/>
  <c r="H152" i="81"/>
  <c r="H148" i="80"/>
  <c r="H151" i="80"/>
  <c r="H151" i="91"/>
  <c r="H120" i="91"/>
  <c r="H147" i="91"/>
  <c r="H147" i="127"/>
  <c r="H120" i="127"/>
  <c r="G30" i="133" l="1"/>
  <c r="H82" i="75"/>
  <c r="BE26" i="133"/>
  <c r="H78" i="110"/>
  <c r="G81" i="110"/>
  <c r="N156" i="91"/>
  <c r="N156" i="83"/>
  <c r="P81" i="121"/>
  <c r="G81" i="107"/>
  <c r="F74" i="99"/>
  <c r="F75" i="99" s="1"/>
  <c r="F69" i="126"/>
  <c r="F73" i="126"/>
  <c r="F70" i="126"/>
  <c r="F68" i="126"/>
  <c r="F71" i="126"/>
  <c r="F66" i="126"/>
  <c r="F65" i="126"/>
  <c r="F64" i="126"/>
  <c r="F72" i="126"/>
  <c r="F67" i="126"/>
  <c r="F70" i="93"/>
  <c r="F68" i="93"/>
  <c r="F65" i="93"/>
  <c r="F64" i="93"/>
  <c r="F69" i="93"/>
  <c r="F71" i="93"/>
  <c r="F73" i="93"/>
  <c r="F67" i="93"/>
  <c r="F72" i="93"/>
  <c r="F66" i="93"/>
  <c r="N156" i="96"/>
  <c r="F65" i="128"/>
  <c r="F71" i="128"/>
  <c r="F66" i="128"/>
  <c r="F73" i="128"/>
  <c r="F64" i="128"/>
  <c r="F68" i="128"/>
  <c r="F69" i="128"/>
  <c r="F70" i="128"/>
  <c r="F67" i="128"/>
  <c r="F72" i="128"/>
  <c r="N156" i="101"/>
  <c r="F64" i="76"/>
  <c r="F73" i="76"/>
  <c r="F66" i="76"/>
  <c r="F71" i="76"/>
  <c r="F68" i="76"/>
  <c r="F70" i="76"/>
  <c r="F67" i="76"/>
  <c r="F72" i="76"/>
  <c r="F65" i="76"/>
  <c r="F69" i="76"/>
  <c r="N156" i="126"/>
  <c r="N156" i="80"/>
  <c r="F70" i="86"/>
  <c r="F65" i="86"/>
  <c r="F66" i="86"/>
  <c r="F64" i="86"/>
  <c r="F68" i="86"/>
  <c r="F67" i="86"/>
  <c r="F72" i="86"/>
  <c r="F71" i="86"/>
  <c r="F69" i="86"/>
  <c r="F73" i="86"/>
  <c r="F67" i="103"/>
  <c r="F65" i="103"/>
  <c r="F72" i="103"/>
  <c r="F73" i="103"/>
  <c r="F70" i="103"/>
  <c r="F71" i="103"/>
  <c r="F64" i="103"/>
  <c r="F69" i="103"/>
  <c r="F66" i="103"/>
  <c r="F68" i="103"/>
  <c r="N156" i="104"/>
  <c r="F64" i="124"/>
  <c r="F67" i="124"/>
  <c r="F70" i="124"/>
  <c r="F73" i="124"/>
  <c r="F65" i="124"/>
  <c r="F71" i="124"/>
  <c r="F66" i="124"/>
  <c r="F68" i="124"/>
  <c r="F69" i="124"/>
  <c r="F72" i="124"/>
  <c r="F74" i="109"/>
  <c r="F75" i="109" s="1"/>
  <c r="F74" i="100"/>
  <c r="F75" i="100" s="1"/>
  <c r="F72" i="77"/>
  <c r="F67" i="77"/>
  <c r="F70" i="77"/>
  <c r="F65" i="77"/>
  <c r="F66" i="77"/>
  <c r="F68" i="77"/>
  <c r="F73" i="77"/>
  <c r="F69" i="77"/>
  <c r="F71" i="77"/>
  <c r="F64" i="77"/>
  <c r="F64" i="74"/>
  <c r="F66" i="74"/>
  <c r="F69" i="74"/>
  <c r="F67" i="74"/>
  <c r="F72" i="74"/>
  <c r="F65" i="74"/>
  <c r="F68" i="74"/>
  <c r="F71" i="74"/>
  <c r="F73" i="74"/>
  <c r="F70" i="74"/>
  <c r="F64" i="90"/>
  <c r="F69" i="90"/>
  <c r="F68" i="90"/>
  <c r="F71" i="90"/>
  <c r="F72" i="90"/>
  <c r="F73" i="90"/>
  <c r="F70" i="90"/>
  <c r="F65" i="90"/>
  <c r="F66" i="90"/>
  <c r="F67" i="90"/>
  <c r="N156" i="75"/>
  <c r="F73" i="91"/>
  <c r="F64" i="91"/>
  <c r="F71" i="91"/>
  <c r="F70" i="91"/>
  <c r="F69" i="91"/>
  <c r="F67" i="91"/>
  <c r="F68" i="91"/>
  <c r="F66" i="91"/>
  <c r="F65" i="91"/>
  <c r="F72" i="91"/>
  <c r="N156" i="99"/>
  <c r="F64" i="75"/>
  <c r="F65" i="75"/>
  <c r="F67" i="75"/>
  <c r="F66" i="75"/>
  <c r="F69" i="75"/>
  <c r="F72" i="75"/>
  <c r="F68" i="75"/>
  <c r="F73" i="75"/>
  <c r="F70" i="75"/>
  <c r="F71" i="75"/>
  <c r="N156" i="74"/>
  <c r="F72" i="88"/>
  <c r="F73" i="88"/>
  <c r="F69" i="88"/>
  <c r="F71" i="88"/>
  <c r="F66" i="88"/>
  <c r="F64" i="88"/>
  <c r="F68" i="88"/>
  <c r="F67" i="88"/>
  <c r="F65" i="88"/>
  <c r="F70" i="88"/>
  <c r="N156" i="97"/>
  <c r="F71" i="102"/>
  <c r="F68" i="102"/>
  <c r="F73" i="102"/>
  <c r="F64" i="102"/>
  <c r="F65" i="102"/>
  <c r="F67" i="102"/>
  <c r="F70" i="102"/>
  <c r="F66" i="102"/>
  <c r="F72" i="102"/>
  <c r="F69" i="102"/>
  <c r="F71" i="121"/>
  <c r="F70" i="121"/>
  <c r="F66" i="121"/>
  <c r="F72" i="121"/>
  <c r="F67" i="121"/>
  <c r="F69" i="121"/>
  <c r="F65" i="121"/>
  <c r="F73" i="121"/>
  <c r="F68" i="121"/>
  <c r="F64" i="121"/>
  <c r="N156" i="78"/>
  <c r="F64" i="79"/>
  <c r="F66" i="79"/>
  <c r="F65" i="79"/>
  <c r="F68" i="79"/>
  <c r="F67" i="79"/>
  <c r="F71" i="79"/>
  <c r="F72" i="79"/>
  <c r="F70" i="79"/>
  <c r="F73" i="79"/>
  <c r="F69" i="79"/>
  <c r="F66" i="98"/>
  <c r="F67" i="98"/>
  <c r="F68" i="98"/>
  <c r="F73" i="98"/>
  <c r="F64" i="98"/>
  <c r="F69" i="98"/>
  <c r="F70" i="98"/>
  <c r="F71" i="98"/>
  <c r="F72" i="98"/>
  <c r="F65" i="98"/>
  <c r="F67" i="104"/>
  <c r="F64" i="104"/>
  <c r="F72" i="104"/>
  <c r="F66" i="104"/>
  <c r="F69" i="104"/>
  <c r="F71" i="104"/>
  <c r="F73" i="104"/>
  <c r="F65" i="104"/>
  <c r="F68" i="104"/>
  <c r="F70" i="104"/>
  <c r="F65" i="123"/>
  <c r="F69" i="123"/>
  <c r="F70" i="123"/>
  <c r="F64" i="123"/>
  <c r="F68" i="123"/>
  <c r="F67" i="123"/>
  <c r="F72" i="123"/>
  <c r="F66" i="123"/>
  <c r="F71" i="123"/>
  <c r="F73" i="123"/>
  <c r="N156" i="87"/>
  <c r="F69" i="95"/>
  <c r="F65" i="95"/>
  <c r="F64" i="95"/>
  <c r="F73" i="95"/>
  <c r="F68" i="95"/>
  <c r="F70" i="95"/>
  <c r="F66" i="95"/>
  <c r="F67" i="95"/>
  <c r="F72" i="95"/>
  <c r="F71" i="95"/>
  <c r="N156" i="76"/>
  <c r="F73" i="87"/>
  <c r="F70" i="87"/>
  <c r="F69" i="87"/>
  <c r="F67" i="87"/>
  <c r="F68" i="87"/>
  <c r="F65" i="87"/>
  <c r="F64" i="87"/>
  <c r="F66" i="87"/>
  <c r="F71" i="87"/>
  <c r="F72" i="87"/>
  <c r="F64" i="101"/>
  <c r="F65" i="101"/>
  <c r="F72" i="101"/>
  <c r="F70" i="101"/>
  <c r="F67" i="101"/>
  <c r="F69" i="101"/>
  <c r="F66" i="101"/>
  <c r="F71" i="101"/>
  <c r="F73" i="101"/>
  <c r="F68" i="101"/>
  <c r="F68" i="97"/>
  <c r="F65" i="97"/>
  <c r="F69" i="97"/>
  <c r="F72" i="97"/>
  <c r="F73" i="97"/>
  <c r="F67" i="97"/>
  <c r="F70" i="97"/>
  <c r="F71" i="97"/>
  <c r="F64" i="97"/>
  <c r="F66" i="97"/>
  <c r="F74" i="81"/>
  <c r="F75" i="81" s="1"/>
  <c r="F74" i="83"/>
  <c r="F75" i="83" s="1"/>
  <c r="F64" i="9"/>
  <c r="F72" i="9"/>
  <c r="F69" i="9"/>
  <c r="F68" i="9"/>
  <c r="F73" i="9"/>
  <c r="F65" i="9"/>
  <c r="F71" i="9"/>
  <c r="F67" i="9"/>
  <c r="F70" i="9"/>
  <c r="F66" i="9"/>
  <c r="F74" i="80"/>
  <c r="F75" i="80" s="1"/>
  <c r="F66" i="78"/>
  <c r="F68" i="78"/>
  <c r="F65" i="78"/>
  <c r="F69" i="78"/>
  <c r="F70" i="78"/>
  <c r="F71" i="78"/>
  <c r="F73" i="78"/>
  <c r="F67" i="78"/>
  <c r="F72" i="78"/>
  <c r="F64" i="78"/>
  <c r="F64" i="96"/>
  <c r="F66" i="96"/>
  <c r="F71" i="96"/>
  <c r="F70" i="96"/>
  <c r="F67" i="96"/>
  <c r="F73" i="96"/>
  <c r="F72" i="96"/>
  <c r="F65" i="96"/>
  <c r="F69" i="96"/>
  <c r="F68" i="96"/>
  <c r="F66" i="105"/>
  <c r="F65" i="105"/>
  <c r="F67" i="105"/>
  <c r="F69" i="105"/>
  <c r="F71" i="105"/>
  <c r="F72" i="105"/>
  <c r="F70" i="105"/>
  <c r="F64" i="105"/>
  <c r="F68" i="105"/>
  <c r="F73" i="105"/>
  <c r="F64" i="94"/>
  <c r="F70" i="94"/>
  <c r="F69" i="94"/>
  <c r="F71" i="94"/>
  <c r="F73" i="94"/>
  <c r="F66" i="94"/>
  <c r="F67" i="94"/>
  <c r="F68" i="94"/>
  <c r="F72" i="94"/>
  <c r="F65" i="94"/>
  <c r="N156" i="92"/>
  <c r="F74" i="82"/>
  <c r="F75" i="82" s="1"/>
  <c r="N156" i="125"/>
  <c r="N156" i="93"/>
  <c r="N156" i="95"/>
  <c r="F64" i="92"/>
  <c r="F70" i="92"/>
  <c r="F73" i="92"/>
  <c r="F66" i="92"/>
  <c r="F68" i="92"/>
  <c r="F65" i="92"/>
  <c r="F72" i="92"/>
  <c r="F69" i="92"/>
  <c r="F71" i="92"/>
  <c r="F67" i="92"/>
  <c r="N156" i="89"/>
  <c r="F70" i="106"/>
  <c r="F71" i="106"/>
  <c r="F72" i="106"/>
  <c r="F68" i="106"/>
  <c r="F66" i="106"/>
  <c r="F69" i="106"/>
  <c r="F73" i="106"/>
  <c r="F65" i="106"/>
  <c r="F67" i="106"/>
  <c r="F64" i="106"/>
  <c r="N156" i="84"/>
  <c r="F71" i="85"/>
  <c r="F70" i="85"/>
  <c r="F69" i="85"/>
  <c r="F64" i="85"/>
  <c r="F65" i="85"/>
  <c r="F67" i="85"/>
  <c r="F68" i="85"/>
  <c r="F72" i="85"/>
  <c r="F66" i="85"/>
  <c r="F73" i="85"/>
  <c r="F71" i="84"/>
  <c r="F70" i="84"/>
  <c r="F73" i="84"/>
  <c r="F69" i="84"/>
  <c r="F66" i="84"/>
  <c r="F65" i="84"/>
  <c r="F68" i="84"/>
  <c r="F67" i="84"/>
  <c r="F72" i="84"/>
  <c r="F64" i="84"/>
  <c r="F66" i="89"/>
  <c r="F71" i="89"/>
  <c r="F64" i="89"/>
  <c r="F65" i="89"/>
  <c r="F72" i="89"/>
  <c r="F70" i="89"/>
  <c r="F68" i="89"/>
  <c r="F73" i="89"/>
  <c r="F67" i="89"/>
  <c r="F69" i="89"/>
  <c r="F68" i="127"/>
  <c r="F69" i="127"/>
  <c r="F67" i="127"/>
  <c r="F73" i="127"/>
  <c r="F70" i="127"/>
  <c r="F71" i="127"/>
  <c r="F65" i="127"/>
  <c r="F66" i="127"/>
  <c r="F64" i="127"/>
  <c r="F72" i="127"/>
  <c r="N156" i="128"/>
  <c r="F70" i="125"/>
  <c r="F73" i="125"/>
  <c r="F67" i="125"/>
  <c r="F65" i="125"/>
  <c r="F68" i="125"/>
  <c r="F64" i="125"/>
  <c r="F72" i="125"/>
  <c r="F69" i="125"/>
  <c r="F66" i="125"/>
  <c r="F71" i="125"/>
  <c r="F69" i="129"/>
  <c r="F73" i="129"/>
  <c r="F67" i="129"/>
  <c r="F65" i="129"/>
  <c r="F71" i="129"/>
  <c r="F66" i="129"/>
  <c r="F72" i="129"/>
  <c r="F68" i="129"/>
  <c r="F64" i="129"/>
  <c r="F70" i="129"/>
  <c r="G68" i="107"/>
  <c r="G73" i="108"/>
  <c r="G72" i="107"/>
  <c r="G69" i="108"/>
  <c r="G81" i="109"/>
  <c r="G82" i="109"/>
  <c r="G66" i="108"/>
  <c r="G71" i="108"/>
  <c r="C19" i="14" s="1"/>
  <c r="N19" i="14" s="1"/>
  <c r="F28" i="132" s="1"/>
  <c r="F26" i="132" s="1"/>
  <c r="G66" i="107"/>
  <c r="G73" i="107"/>
  <c r="G67" i="108"/>
  <c r="G68" i="108"/>
  <c r="G70" i="108"/>
  <c r="G64" i="107"/>
  <c r="G71" i="107"/>
  <c r="G64" i="108"/>
  <c r="G65" i="108"/>
  <c r="G67" i="107"/>
  <c r="G65" i="107"/>
  <c r="G69" i="107"/>
  <c r="G74" i="109"/>
  <c r="G81" i="108"/>
  <c r="G56" i="89"/>
  <c r="G57" i="89" s="1"/>
  <c r="G56" i="101"/>
  <c r="G57" i="101" s="1"/>
  <c r="G56" i="127"/>
  <c r="G57" i="127" s="1"/>
  <c r="G56" i="78"/>
  <c r="G57" i="78" s="1"/>
  <c r="G56" i="74"/>
  <c r="G57" i="74" s="1"/>
  <c r="G56" i="88"/>
  <c r="G57" i="88" s="1"/>
  <c r="G56" i="123"/>
  <c r="G57" i="123" s="1"/>
  <c r="G56" i="85"/>
  <c r="G57" i="85" s="1"/>
  <c r="G56" i="79"/>
  <c r="G57" i="79" s="1"/>
  <c r="G56" i="125"/>
  <c r="G57" i="125" s="1"/>
  <c r="G56" i="126"/>
  <c r="G57" i="126" s="1"/>
  <c r="G56" i="95"/>
  <c r="G57" i="95" s="1"/>
  <c r="G56" i="87"/>
  <c r="G57" i="87" s="1"/>
  <c r="G56" i="124"/>
  <c r="G57" i="124" s="1"/>
  <c r="G56" i="82"/>
  <c r="G57" i="82" s="1"/>
  <c r="G56" i="102"/>
  <c r="G57" i="102" s="1"/>
  <c r="G56" i="75"/>
  <c r="G57" i="75" s="1"/>
  <c r="G56" i="103"/>
  <c r="G57" i="103" s="1"/>
  <c r="G56" i="81"/>
  <c r="G57" i="81" s="1"/>
  <c r="G56" i="93"/>
  <c r="G57" i="93" s="1"/>
  <c r="G56" i="98"/>
  <c r="G57" i="98" s="1"/>
  <c r="G56" i="80"/>
  <c r="G57" i="80" s="1"/>
  <c r="G56" i="104"/>
  <c r="G57" i="104" s="1"/>
  <c r="G56" i="86"/>
  <c r="G57" i="86" s="1"/>
  <c r="G56" i="84"/>
  <c r="G57" i="84" s="1"/>
  <c r="G56" i="96"/>
  <c r="G57" i="96" s="1"/>
  <c r="G56" i="77"/>
  <c r="G57" i="77" s="1"/>
  <c r="G56" i="91"/>
  <c r="G57" i="91" s="1"/>
  <c r="G56" i="99"/>
  <c r="G57" i="99" s="1"/>
  <c r="G56" i="129"/>
  <c r="G57" i="129" s="1"/>
  <c r="G56" i="128"/>
  <c r="G57" i="128" s="1"/>
  <c r="G56" i="105"/>
  <c r="G57" i="105" s="1"/>
  <c r="G56" i="9"/>
  <c r="G57" i="9" s="1"/>
  <c r="G56" i="100"/>
  <c r="G57" i="100" s="1"/>
  <c r="G56" i="121"/>
  <c r="G57" i="121" s="1"/>
  <c r="G56" i="97"/>
  <c r="G57" i="97" s="1"/>
  <c r="G56" i="90"/>
  <c r="G57" i="90" s="1"/>
  <c r="G56" i="106"/>
  <c r="G57" i="106" s="1"/>
  <c r="G56" i="94"/>
  <c r="G57" i="94" s="1"/>
  <c r="G56" i="76"/>
  <c r="G57" i="76" s="1"/>
  <c r="G56" i="83"/>
  <c r="G57" i="83" s="1"/>
  <c r="G56" i="92"/>
  <c r="G57" i="92" s="1"/>
  <c r="G69" i="110"/>
  <c r="G71" i="110"/>
  <c r="G67" i="110"/>
  <c r="G64" i="110"/>
  <c r="G70" i="110"/>
  <c r="G66" i="110"/>
  <c r="G72" i="110"/>
  <c r="G73" i="110"/>
  <c r="G65" i="110"/>
  <c r="G68" i="110"/>
  <c r="F27" i="133"/>
  <c r="M29" i="119"/>
  <c r="D8" i="131" s="1"/>
  <c r="H65" i="108"/>
  <c r="H67" i="108"/>
  <c r="H66" i="108"/>
  <c r="H68" i="108"/>
  <c r="H72" i="108"/>
  <c r="H64" i="108"/>
  <c r="H69" i="108"/>
  <c r="H71" i="108"/>
  <c r="H73" i="108"/>
  <c r="H70" i="108"/>
  <c r="H73" i="110"/>
  <c r="H70" i="110"/>
  <c r="H72" i="110"/>
  <c r="H68" i="110"/>
  <c r="H64" i="110"/>
  <c r="H71" i="110"/>
  <c r="H65" i="110"/>
  <c r="H67" i="110"/>
  <c r="H69" i="110"/>
  <c r="H66" i="110"/>
  <c r="H79" i="110"/>
  <c r="H156" i="128"/>
  <c r="H79" i="88"/>
  <c r="BF14" i="133"/>
  <c r="H79" i="81"/>
  <c r="H79" i="87"/>
  <c r="H97" i="2"/>
  <c r="H56" i="109" s="1"/>
  <c r="H57" i="109" s="1"/>
  <c r="H156" i="94"/>
  <c r="BF16" i="133"/>
  <c r="N21" i="119"/>
  <c r="E11" i="131" s="1"/>
  <c r="H156" i="82"/>
  <c r="H79" i="94"/>
  <c r="BF19" i="133"/>
  <c r="H156" i="80"/>
  <c r="H156" i="87"/>
  <c r="H156" i="96"/>
  <c r="H79" i="85"/>
  <c r="D29" i="119"/>
  <c r="D31" i="119" s="1"/>
  <c r="H80" i="2" s="1"/>
  <c r="H81" i="2" s="1"/>
  <c r="N28" i="119"/>
  <c r="N29" i="119" s="1"/>
  <c r="E8" i="131" s="1"/>
  <c r="H156" i="76"/>
  <c r="BF17" i="133"/>
  <c r="H156" i="84"/>
  <c r="H156" i="106"/>
  <c r="H156" i="99"/>
  <c r="BF21" i="133"/>
  <c r="BF29" i="133" s="1"/>
  <c r="H79" i="107"/>
  <c r="H156" i="124"/>
  <c r="H60" i="108"/>
  <c r="H156" i="103"/>
  <c r="H156" i="86"/>
  <c r="H60" i="107"/>
  <c r="H79" i="79"/>
  <c r="H156" i="104"/>
  <c r="H60" i="110"/>
  <c r="H156" i="77"/>
  <c r="G26" i="133"/>
  <c r="AX12" i="133"/>
  <c r="H156" i="127"/>
  <c r="H156" i="91"/>
  <c r="H156" i="101"/>
  <c r="H79" i="86"/>
  <c r="H156" i="102"/>
  <c r="H156" i="123"/>
  <c r="H156" i="89"/>
  <c r="H156" i="92"/>
  <c r="H156" i="95"/>
  <c r="H79" i="108"/>
  <c r="H79" i="96"/>
  <c r="H79" i="92"/>
  <c r="H156" i="129"/>
  <c r="H79" i="78"/>
  <c r="H79" i="9"/>
  <c r="H156" i="78"/>
  <c r="H156" i="125"/>
  <c r="H79" i="76"/>
  <c r="H156" i="83"/>
  <c r="H79" i="82"/>
  <c r="H79" i="95"/>
  <c r="BF13" i="133"/>
  <c r="H156" i="98"/>
  <c r="H156" i="88"/>
  <c r="H156" i="97"/>
  <c r="H79" i="123"/>
  <c r="O78" i="123"/>
  <c r="H156" i="126"/>
  <c r="AX30" i="133"/>
  <c r="BF15" i="133"/>
  <c r="H79" i="74"/>
  <c r="H79" i="84"/>
  <c r="H156" i="100"/>
  <c r="BF18" i="133"/>
  <c r="H156" i="74"/>
  <c r="H156" i="81"/>
  <c r="H156" i="9"/>
  <c r="H156" i="75"/>
  <c r="BF20" i="133"/>
  <c r="H59" i="107"/>
  <c r="H156" i="85"/>
  <c r="H156" i="93"/>
  <c r="H79" i="109"/>
  <c r="H156" i="79"/>
  <c r="H156" i="105"/>
  <c r="H156" i="90"/>
  <c r="G27" i="133" l="1"/>
  <c r="N41" i="14"/>
  <c r="F74" i="84"/>
  <c r="F75" i="84" s="1"/>
  <c r="F74" i="106"/>
  <c r="F75" i="106" s="1"/>
  <c r="F74" i="126"/>
  <c r="F75" i="126" s="1"/>
  <c r="F74" i="127"/>
  <c r="F75" i="127" s="1"/>
  <c r="F74" i="89"/>
  <c r="F75" i="89" s="1"/>
  <c r="F74" i="92"/>
  <c r="F75" i="92" s="1"/>
  <c r="F74" i="105"/>
  <c r="F75" i="105" s="1"/>
  <c r="F74" i="97"/>
  <c r="F75" i="97" s="1"/>
  <c r="F74" i="101"/>
  <c r="F75" i="101" s="1"/>
  <c r="F74" i="87"/>
  <c r="F75" i="87" s="1"/>
  <c r="F74" i="95"/>
  <c r="F75" i="95" s="1"/>
  <c r="F74" i="79"/>
  <c r="F75" i="79" s="1"/>
  <c r="F74" i="94"/>
  <c r="F75" i="94" s="1"/>
  <c r="F74" i="96"/>
  <c r="F75" i="96" s="1"/>
  <c r="F74" i="121"/>
  <c r="F75" i="121" s="1"/>
  <c r="F74" i="88"/>
  <c r="F75" i="88" s="1"/>
  <c r="F74" i="75"/>
  <c r="F75" i="75" s="1"/>
  <c r="F74" i="74"/>
  <c r="F75" i="74" s="1"/>
  <c r="F74" i="103"/>
  <c r="F75" i="103" s="1"/>
  <c r="F74" i="76"/>
  <c r="F75" i="76" s="1"/>
  <c r="F74" i="128"/>
  <c r="F75" i="128" s="1"/>
  <c r="F74" i="93"/>
  <c r="F75" i="93" s="1"/>
  <c r="F74" i="129"/>
  <c r="F75" i="129" s="1"/>
  <c r="F74" i="78"/>
  <c r="F75" i="78" s="1"/>
  <c r="F74" i="123"/>
  <c r="F75" i="123" s="1"/>
  <c r="F74" i="104"/>
  <c r="F75" i="104" s="1"/>
  <c r="F74" i="98"/>
  <c r="F75" i="98" s="1"/>
  <c r="F74" i="77"/>
  <c r="F75" i="77" s="1"/>
  <c r="F74" i="86"/>
  <c r="F75" i="86" s="1"/>
  <c r="F74" i="125"/>
  <c r="F75" i="125" s="1"/>
  <c r="F74" i="85"/>
  <c r="F75" i="85" s="1"/>
  <c r="F74" i="9"/>
  <c r="F75" i="9" s="1"/>
  <c r="F74" i="102"/>
  <c r="F75" i="102" s="1"/>
  <c r="F74" i="91"/>
  <c r="F75" i="91" s="1"/>
  <c r="F74" i="90"/>
  <c r="F75" i="90" s="1"/>
  <c r="F74" i="124"/>
  <c r="F75" i="124" s="1"/>
  <c r="G74" i="108"/>
  <c r="G75" i="108" s="1"/>
  <c r="G74" i="107"/>
  <c r="G75" i="107" s="1"/>
  <c r="G75" i="109"/>
  <c r="C17" i="14"/>
  <c r="N17" i="14" s="1"/>
  <c r="N39" i="14" s="1"/>
  <c r="G59" i="76"/>
  <c r="G60" i="76"/>
  <c r="G80" i="76" s="1"/>
  <c r="G59" i="97"/>
  <c r="G60" i="97"/>
  <c r="G59" i="105"/>
  <c r="G60" i="105"/>
  <c r="G60" i="91"/>
  <c r="G59" i="91"/>
  <c r="G59" i="86"/>
  <c r="G60" i="86"/>
  <c r="G80" i="86" s="1"/>
  <c r="G59" i="93"/>
  <c r="G60" i="93"/>
  <c r="G60" i="102"/>
  <c r="G59" i="102"/>
  <c r="G59" i="95"/>
  <c r="G60" i="95"/>
  <c r="G80" i="95" s="1"/>
  <c r="G60" i="85"/>
  <c r="G80" i="85" s="1"/>
  <c r="G59" i="85"/>
  <c r="G59" i="78"/>
  <c r="G60" i="78"/>
  <c r="G80" i="78" s="1"/>
  <c r="G59" i="94"/>
  <c r="G60" i="94"/>
  <c r="G60" i="121"/>
  <c r="G59" i="121"/>
  <c r="G59" i="128"/>
  <c r="G60" i="128"/>
  <c r="G60" i="77"/>
  <c r="G59" i="77"/>
  <c r="G59" i="104"/>
  <c r="G60" i="104"/>
  <c r="G60" i="81"/>
  <c r="G80" i="81" s="1"/>
  <c r="G59" i="81"/>
  <c r="G60" i="82"/>
  <c r="G80" i="82" s="1"/>
  <c r="G59" i="82"/>
  <c r="G59" i="126"/>
  <c r="G60" i="126"/>
  <c r="G59" i="123"/>
  <c r="G60" i="123"/>
  <c r="G80" i="123" s="1"/>
  <c r="G59" i="127"/>
  <c r="G60" i="127"/>
  <c r="AW27" i="133"/>
  <c r="G74" i="110"/>
  <c r="G60" i="92"/>
  <c r="G80" i="92" s="1"/>
  <c r="G59" i="92"/>
  <c r="G60" i="106"/>
  <c r="G59" i="106"/>
  <c r="G60" i="100"/>
  <c r="G59" i="100"/>
  <c r="G59" i="129"/>
  <c r="G60" i="129"/>
  <c r="G59" i="96"/>
  <c r="G60" i="96"/>
  <c r="G80" i="96" s="1"/>
  <c r="G60" i="80"/>
  <c r="G80" i="80" s="1"/>
  <c r="G59" i="80"/>
  <c r="G59" i="103"/>
  <c r="G60" i="103"/>
  <c r="G60" i="124"/>
  <c r="G59" i="124"/>
  <c r="G60" i="125"/>
  <c r="G59" i="125"/>
  <c r="G59" i="88"/>
  <c r="G60" i="88"/>
  <c r="G80" i="88" s="1"/>
  <c r="G59" i="101"/>
  <c r="G60" i="101"/>
  <c r="G60" i="83"/>
  <c r="G59" i="83"/>
  <c r="G60" i="90"/>
  <c r="G59" i="90"/>
  <c r="G60" i="9"/>
  <c r="G80" i="9" s="1"/>
  <c r="G59" i="9"/>
  <c r="G59" i="99"/>
  <c r="G60" i="99"/>
  <c r="G59" i="84"/>
  <c r="G60" i="84"/>
  <c r="G80" i="84" s="1"/>
  <c r="G59" i="98"/>
  <c r="G60" i="98"/>
  <c r="G59" i="75"/>
  <c r="G60" i="75"/>
  <c r="G59" i="87"/>
  <c r="G60" i="87"/>
  <c r="G80" i="87" s="1"/>
  <c r="G60" i="79"/>
  <c r="G80" i="79" s="1"/>
  <c r="G59" i="79"/>
  <c r="G59" i="74"/>
  <c r="G60" i="74"/>
  <c r="G80" i="74" s="1"/>
  <c r="G60" i="89"/>
  <c r="G59" i="89"/>
  <c r="H80" i="108"/>
  <c r="H81" i="108" s="1"/>
  <c r="D19" i="14"/>
  <c r="O19" i="14" s="1"/>
  <c r="H65" i="107"/>
  <c r="H69" i="107"/>
  <c r="H67" i="107"/>
  <c r="H70" i="107"/>
  <c r="H68" i="107"/>
  <c r="H72" i="107"/>
  <c r="H64" i="107"/>
  <c r="H71" i="107"/>
  <c r="H73" i="107"/>
  <c r="H66" i="107"/>
  <c r="N80" i="123"/>
  <c r="K80" i="123"/>
  <c r="J80" i="123"/>
  <c r="L80" i="123"/>
  <c r="I80" i="123"/>
  <c r="M80" i="123"/>
  <c r="O79" i="123"/>
  <c r="H80" i="107"/>
  <c r="H81" i="107" s="1"/>
  <c r="H95" i="2"/>
  <c r="H74" i="110"/>
  <c r="AX26" i="133"/>
  <c r="AX27" i="133" s="1"/>
  <c r="BF12" i="133"/>
  <c r="BF26" i="133" s="1"/>
  <c r="I80" i="79"/>
  <c r="H60" i="109"/>
  <c r="H80" i="109" s="1"/>
  <c r="H59" i="109"/>
  <c r="H80" i="110"/>
  <c r="H81" i="110" s="1"/>
  <c r="H74" i="108"/>
  <c r="H75" i="108" s="1"/>
  <c r="N12" i="119"/>
  <c r="N13" i="119" s="1"/>
  <c r="C20" i="14" l="1"/>
  <c r="N20" i="14" s="1"/>
  <c r="N42" i="14" s="1"/>
  <c r="G72" i="74"/>
  <c r="G70" i="74"/>
  <c r="G68" i="74"/>
  <c r="G66" i="74"/>
  <c r="G65" i="74"/>
  <c r="G73" i="74"/>
  <c r="G67" i="74"/>
  <c r="G71" i="74"/>
  <c r="G69" i="74"/>
  <c r="G64" i="74"/>
  <c r="G72" i="87"/>
  <c r="G70" i="87"/>
  <c r="G67" i="87"/>
  <c r="G73" i="87"/>
  <c r="G68" i="87"/>
  <c r="G71" i="87"/>
  <c r="G65" i="87"/>
  <c r="G64" i="87"/>
  <c r="G69" i="87"/>
  <c r="G66" i="87"/>
  <c r="G65" i="98"/>
  <c r="C9" i="63"/>
  <c r="G73" i="98"/>
  <c r="C11" i="63"/>
  <c r="N11" i="63" s="1"/>
  <c r="N26" i="63" s="1"/>
  <c r="G64" i="98"/>
  <c r="G67" i="98"/>
  <c r="G68" i="98"/>
  <c r="C15" i="63"/>
  <c r="N15" i="63" s="1"/>
  <c r="N30" i="63" s="1"/>
  <c r="C10" i="63"/>
  <c r="N10" i="63" s="1"/>
  <c r="N25" i="63" s="1"/>
  <c r="G66" i="98"/>
  <c r="G70" i="98"/>
  <c r="C13" i="63"/>
  <c r="N13" i="63" s="1"/>
  <c r="N28" i="63" s="1"/>
  <c r="C16" i="63"/>
  <c r="N16" i="63" s="1"/>
  <c r="N31" i="63" s="1"/>
  <c r="G71" i="98"/>
  <c r="C12" i="63"/>
  <c r="N12" i="63" s="1"/>
  <c r="N27" i="63" s="1"/>
  <c r="G72" i="98"/>
  <c r="G69" i="98"/>
  <c r="C14" i="63"/>
  <c r="N14" i="63" s="1"/>
  <c r="N29" i="63" s="1"/>
  <c r="G72" i="99"/>
  <c r="G73" i="99"/>
  <c r="G64" i="99"/>
  <c r="G66" i="99"/>
  <c r="G65" i="99"/>
  <c r="G68" i="99"/>
  <c r="G67" i="99"/>
  <c r="G70" i="99"/>
  <c r="G69" i="99"/>
  <c r="G71" i="99"/>
  <c r="G65" i="125"/>
  <c r="G72" i="125"/>
  <c r="G64" i="125"/>
  <c r="G73" i="125"/>
  <c r="G68" i="125"/>
  <c r="G69" i="125"/>
  <c r="G70" i="125"/>
  <c r="G71" i="125"/>
  <c r="G66" i="125"/>
  <c r="G67" i="125"/>
  <c r="G81" i="96"/>
  <c r="G82" i="96"/>
  <c r="G68" i="100"/>
  <c r="G66" i="100"/>
  <c r="G64" i="100"/>
  <c r="G65" i="100"/>
  <c r="G69" i="100"/>
  <c r="G70" i="100"/>
  <c r="G71" i="100"/>
  <c r="G73" i="100"/>
  <c r="G67" i="100"/>
  <c r="G72" i="100"/>
  <c r="G65" i="92"/>
  <c r="G67" i="92"/>
  <c r="G73" i="92"/>
  <c r="G71" i="92"/>
  <c r="G64" i="92"/>
  <c r="G66" i="92"/>
  <c r="G72" i="92"/>
  <c r="G68" i="92"/>
  <c r="G70" i="92"/>
  <c r="G69" i="92"/>
  <c r="G72" i="127"/>
  <c r="G73" i="127"/>
  <c r="G64" i="127"/>
  <c r="G71" i="127"/>
  <c r="G67" i="127"/>
  <c r="G70" i="127"/>
  <c r="G65" i="127"/>
  <c r="G69" i="127"/>
  <c r="G68" i="127"/>
  <c r="G66" i="127"/>
  <c r="G71" i="126"/>
  <c r="G68" i="126"/>
  <c r="G66" i="126"/>
  <c r="G64" i="126"/>
  <c r="G72" i="126"/>
  <c r="G67" i="126"/>
  <c r="G73" i="126"/>
  <c r="G69" i="126"/>
  <c r="G65" i="126"/>
  <c r="G70" i="126"/>
  <c r="G81" i="81"/>
  <c r="G82" i="81"/>
  <c r="G68" i="78"/>
  <c r="G67" i="78"/>
  <c r="G64" i="78"/>
  <c r="G72" i="78"/>
  <c r="G69" i="78"/>
  <c r="G70" i="78"/>
  <c r="G71" i="78"/>
  <c r="G65" i="78"/>
  <c r="G73" i="78"/>
  <c r="G66" i="78"/>
  <c r="G68" i="95"/>
  <c r="G73" i="95"/>
  <c r="G71" i="95"/>
  <c r="G67" i="95"/>
  <c r="G70" i="95"/>
  <c r="G66" i="95"/>
  <c r="G69" i="95"/>
  <c r="G72" i="95"/>
  <c r="G64" i="95"/>
  <c r="G65" i="95"/>
  <c r="G65" i="93"/>
  <c r="G72" i="93"/>
  <c r="G69" i="93"/>
  <c r="G64" i="93"/>
  <c r="G71" i="93"/>
  <c r="G66" i="93"/>
  <c r="G73" i="93"/>
  <c r="G67" i="93"/>
  <c r="G70" i="93"/>
  <c r="G68" i="93"/>
  <c r="G65" i="97"/>
  <c r="G73" i="97"/>
  <c r="G70" i="97"/>
  <c r="G66" i="97"/>
  <c r="G68" i="97"/>
  <c r="G71" i="97"/>
  <c r="G69" i="97"/>
  <c r="G64" i="97"/>
  <c r="G67" i="97"/>
  <c r="G72" i="97"/>
  <c r="G68" i="89"/>
  <c r="G72" i="89"/>
  <c r="G67" i="89"/>
  <c r="G73" i="89"/>
  <c r="G65" i="89"/>
  <c r="G64" i="89"/>
  <c r="G69" i="89"/>
  <c r="G71" i="89"/>
  <c r="G66" i="89"/>
  <c r="G70" i="89"/>
  <c r="G67" i="79"/>
  <c r="G72" i="79"/>
  <c r="G69" i="79"/>
  <c r="G66" i="79"/>
  <c r="G73" i="79"/>
  <c r="G64" i="79"/>
  <c r="G65" i="79"/>
  <c r="G68" i="79"/>
  <c r="G70" i="79"/>
  <c r="G71" i="79"/>
  <c r="G81" i="84"/>
  <c r="G82" i="84"/>
  <c r="G72" i="9"/>
  <c r="G71" i="9"/>
  <c r="G68" i="9"/>
  <c r="G64" i="9"/>
  <c r="G69" i="9"/>
  <c r="G65" i="9"/>
  <c r="G67" i="9"/>
  <c r="G73" i="9"/>
  <c r="G66" i="9"/>
  <c r="G70" i="9"/>
  <c r="G67" i="83"/>
  <c r="G68" i="83"/>
  <c r="G64" i="83"/>
  <c r="G66" i="83"/>
  <c r="G69" i="83"/>
  <c r="G70" i="83"/>
  <c r="G72" i="83"/>
  <c r="G73" i="83"/>
  <c r="G71" i="83"/>
  <c r="G65" i="83"/>
  <c r="G67" i="101"/>
  <c r="G71" i="101"/>
  <c r="G65" i="101"/>
  <c r="G72" i="101"/>
  <c r="G70" i="101"/>
  <c r="G68" i="101"/>
  <c r="G73" i="101"/>
  <c r="G66" i="101"/>
  <c r="G64" i="101"/>
  <c r="G69" i="101"/>
  <c r="G71" i="103"/>
  <c r="G72" i="103"/>
  <c r="G66" i="103"/>
  <c r="G65" i="103"/>
  <c r="G73" i="103"/>
  <c r="G70" i="103"/>
  <c r="G67" i="103"/>
  <c r="G69" i="103"/>
  <c r="G64" i="103"/>
  <c r="G68" i="103"/>
  <c r="G69" i="96"/>
  <c r="G72" i="96"/>
  <c r="G68" i="96"/>
  <c r="G64" i="96"/>
  <c r="G66" i="96"/>
  <c r="G73" i="96"/>
  <c r="G70" i="96"/>
  <c r="G71" i="96"/>
  <c r="G65" i="96"/>
  <c r="G67" i="96"/>
  <c r="G82" i="92"/>
  <c r="G81" i="92"/>
  <c r="G81" i="123"/>
  <c r="G82" i="123"/>
  <c r="G64" i="82"/>
  <c r="G70" i="82"/>
  <c r="G65" i="82"/>
  <c r="G67" i="82"/>
  <c r="G73" i="82"/>
  <c r="G68" i="82"/>
  <c r="G66" i="82"/>
  <c r="G71" i="82"/>
  <c r="G69" i="82"/>
  <c r="G72" i="82"/>
  <c r="G67" i="85"/>
  <c r="G69" i="85"/>
  <c r="G70" i="85"/>
  <c r="G66" i="85"/>
  <c r="G71" i="85"/>
  <c r="G65" i="85"/>
  <c r="G72" i="85"/>
  <c r="G73" i="85"/>
  <c r="G68" i="85"/>
  <c r="G64" i="85"/>
  <c r="G69" i="102"/>
  <c r="G67" i="102"/>
  <c r="G72" i="102"/>
  <c r="G68" i="102"/>
  <c r="G65" i="102"/>
  <c r="G73" i="102"/>
  <c r="G66" i="102"/>
  <c r="G64" i="102"/>
  <c r="G70" i="102"/>
  <c r="G71" i="102"/>
  <c r="G81" i="86"/>
  <c r="G82" i="86"/>
  <c r="G82" i="76"/>
  <c r="G81" i="76"/>
  <c r="G82" i="79"/>
  <c r="G81" i="79"/>
  <c r="G70" i="75"/>
  <c r="G67" i="75"/>
  <c r="G64" i="75"/>
  <c r="G73" i="75"/>
  <c r="G71" i="75"/>
  <c r="G66" i="75"/>
  <c r="G68" i="75"/>
  <c r="G72" i="75"/>
  <c r="G69" i="75"/>
  <c r="G65" i="75"/>
  <c r="G72" i="84"/>
  <c r="G68" i="84"/>
  <c r="G70" i="84"/>
  <c r="G64" i="84"/>
  <c r="G69" i="84"/>
  <c r="G71" i="84"/>
  <c r="G66" i="84"/>
  <c r="G73" i="84"/>
  <c r="G65" i="84"/>
  <c r="G67" i="84"/>
  <c r="G81" i="9"/>
  <c r="G82" i="9"/>
  <c r="G81" i="88"/>
  <c r="G82" i="88"/>
  <c r="G72" i="124"/>
  <c r="G67" i="124"/>
  <c r="G70" i="124"/>
  <c r="G64" i="124"/>
  <c r="G73" i="124"/>
  <c r="G68" i="124"/>
  <c r="G65" i="124"/>
  <c r="G69" i="124"/>
  <c r="G66" i="124"/>
  <c r="G71" i="124"/>
  <c r="G73" i="80"/>
  <c r="G68" i="80"/>
  <c r="G66" i="80"/>
  <c r="G71" i="80"/>
  <c r="G70" i="80"/>
  <c r="G65" i="80"/>
  <c r="G69" i="80"/>
  <c r="G72" i="80"/>
  <c r="G64" i="80"/>
  <c r="G67" i="80"/>
  <c r="G71" i="106"/>
  <c r="G68" i="106"/>
  <c r="G73" i="106"/>
  <c r="G67" i="106"/>
  <c r="G66" i="106"/>
  <c r="G65" i="106"/>
  <c r="G72" i="106"/>
  <c r="G69" i="106"/>
  <c r="G64" i="106"/>
  <c r="G70" i="106"/>
  <c r="G75" i="110"/>
  <c r="C18" i="14"/>
  <c r="N18" i="14" s="1"/>
  <c r="N40" i="14" s="1"/>
  <c r="G64" i="123"/>
  <c r="G71" i="123"/>
  <c r="G66" i="123"/>
  <c r="G70" i="123"/>
  <c r="G67" i="123"/>
  <c r="G68" i="123"/>
  <c r="G73" i="123"/>
  <c r="G72" i="123"/>
  <c r="G65" i="123"/>
  <c r="G69" i="123"/>
  <c r="G81" i="82"/>
  <c r="G82" i="82"/>
  <c r="G68" i="104"/>
  <c r="G69" i="104"/>
  <c r="G73" i="104"/>
  <c r="G66" i="104"/>
  <c r="G71" i="104"/>
  <c r="G72" i="104"/>
  <c r="G65" i="104"/>
  <c r="G70" i="104"/>
  <c r="G64" i="104"/>
  <c r="G67" i="104"/>
  <c r="G72" i="128"/>
  <c r="G66" i="128"/>
  <c r="G69" i="128"/>
  <c r="G68" i="128"/>
  <c r="G70" i="128"/>
  <c r="G71" i="128"/>
  <c r="G64" i="128"/>
  <c r="G73" i="128"/>
  <c r="G65" i="128"/>
  <c r="G67" i="128"/>
  <c r="G68" i="94"/>
  <c r="G71" i="94"/>
  <c r="G72" i="94"/>
  <c r="G73" i="94"/>
  <c r="G67" i="94"/>
  <c r="G70" i="94"/>
  <c r="G69" i="94"/>
  <c r="G65" i="94"/>
  <c r="G66" i="94"/>
  <c r="G64" i="94"/>
  <c r="G81" i="85"/>
  <c r="G82" i="85"/>
  <c r="G72" i="86"/>
  <c r="G70" i="86"/>
  <c r="G65" i="86"/>
  <c r="G68" i="86"/>
  <c r="G67" i="86"/>
  <c r="G69" i="86"/>
  <c r="G64" i="86"/>
  <c r="G71" i="86"/>
  <c r="G66" i="86"/>
  <c r="G73" i="86"/>
  <c r="G69" i="105"/>
  <c r="G73" i="105"/>
  <c r="G72" i="105"/>
  <c r="G71" i="105"/>
  <c r="G65" i="105"/>
  <c r="G70" i="105"/>
  <c r="G66" i="105"/>
  <c r="G68" i="105"/>
  <c r="G67" i="105"/>
  <c r="G64" i="105"/>
  <c r="G71" i="76"/>
  <c r="G73" i="76"/>
  <c r="G65" i="76"/>
  <c r="G64" i="76"/>
  <c r="G70" i="76"/>
  <c r="G66" i="76"/>
  <c r="G72" i="76"/>
  <c r="G67" i="76"/>
  <c r="G68" i="76"/>
  <c r="G69" i="76"/>
  <c r="G82" i="74"/>
  <c r="G81" i="74"/>
  <c r="G82" i="87"/>
  <c r="G81" i="87"/>
  <c r="G70" i="90"/>
  <c r="G68" i="90"/>
  <c r="G64" i="90"/>
  <c r="G71" i="90"/>
  <c r="G69" i="90"/>
  <c r="G73" i="90"/>
  <c r="G65" i="90"/>
  <c r="G67" i="90"/>
  <c r="G66" i="90"/>
  <c r="G72" i="90"/>
  <c r="G65" i="88"/>
  <c r="G64" i="88"/>
  <c r="G73" i="88"/>
  <c r="G66" i="88"/>
  <c r="G69" i="88"/>
  <c r="G71" i="88"/>
  <c r="G67" i="88"/>
  <c r="G70" i="88"/>
  <c r="G72" i="88"/>
  <c r="G68" i="88"/>
  <c r="G82" i="80"/>
  <c r="H82" i="80" s="1"/>
  <c r="G81" i="80"/>
  <c r="G68" i="129"/>
  <c r="G71" i="129"/>
  <c r="G72" i="129"/>
  <c r="G69" i="129"/>
  <c r="G64" i="129"/>
  <c r="G67" i="129"/>
  <c r="G70" i="129"/>
  <c r="G65" i="129"/>
  <c r="G73" i="129"/>
  <c r="G66" i="129"/>
  <c r="G66" i="81"/>
  <c r="G72" i="81"/>
  <c r="G68" i="81"/>
  <c r="G70" i="81"/>
  <c r="G69" i="81"/>
  <c r="G67" i="81"/>
  <c r="G73" i="81"/>
  <c r="G64" i="81"/>
  <c r="G65" i="81"/>
  <c r="G71" i="81"/>
  <c r="G65" i="77"/>
  <c r="G71" i="77"/>
  <c r="G69" i="77"/>
  <c r="G70" i="77"/>
  <c r="G72" i="77"/>
  <c r="G73" i="77"/>
  <c r="G68" i="77"/>
  <c r="G67" i="77"/>
  <c r="G66" i="77"/>
  <c r="G64" i="77"/>
  <c r="G73" i="121"/>
  <c r="G64" i="121"/>
  <c r="G67" i="121"/>
  <c r="G71" i="121"/>
  <c r="G69" i="121"/>
  <c r="G68" i="121"/>
  <c r="G65" i="121"/>
  <c r="G72" i="121"/>
  <c r="G66" i="121"/>
  <c r="G70" i="121"/>
  <c r="G81" i="78"/>
  <c r="G82" i="78"/>
  <c r="G82" i="95"/>
  <c r="G81" i="95"/>
  <c r="G73" i="91"/>
  <c r="G66" i="91"/>
  <c r="G69" i="91"/>
  <c r="G64" i="91"/>
  <c r="G68" i="91"/>
  <c r="G72" i="91"/>
  <c r="G67" i="91"/>
  <c r="G71" i="91"/>
  <c r="G70" i="91"/>
  <c r="G65" i="91"/>
  <c r="H82" i="109"/>
  <c r="H81" i="109"/>
  <c r="L81" i="123"/>
  <c r="D18" i="14"/>
  <c r="O18" i="14" s="1"/>
  <c r="H75" i="110"/>
  <c r="J81" i="123"/>
  <c r="I81" i="79"/>
  <c r="H82" i="107"/>
  <c r="M81" i="123"/>
  <c r="K81" i="123"/>
  <c r="H74" i="107"/>
  <c r="G28" i="132"/>
  <c r="G26" i="132" s="1"/>
  <c r="H82" i="108"/>
  <c r="H82" i="110"/>
  <c r="H72" i="109"/>
  <c r="H68" i="109"/>
  <c r="H67" i="109"/>
  <c r="H71" i="109"/>
  <c r="H69" i="109"/>
  <c r="H73" i="109"/>
  <c r="H70" i="109"/>
  <c r="H66" i="109"/>
  <c r="H65" i="109"/>
  <c r="H64" i="109"/>
  <c r="H56" i="121"/>
  <c r="H57" i="121" s="1"/>
  <c r="H56" i="88"/>
  <c r="H57" i="88" s="1"/>
  <c r="H56" i="80"/>
  <c r="H57" i="80" s="1"/>
  <c r="H56" i="86"/>
  <c r="H57" i="86" s="1"/>
  <c r="H56" i="81"/>
  <c r="H57" i="81" s="1"/>
  <c r="H56" i="105"/>
  <c r="H57" i="105" s="1"/>
  <c r="H56" i="129"/>
  <c r="H57" i="129" s="1"/>
  <c r="H56" i="75"/>
  <c r="H57" i="75" s="1"/>
  <c r="H56" i="90"/>
  <c r="H57" i="90" s="1"/>
  <c r="H56" i="76"/>
  <c r="H57" i="76" s="1"/>
  <c r="H56" i="85"/>
  <c r="H57" i="85" s="1"/>
  <c r="H56" i="74"/>
  <c r="H57" i="74" s="1"/>
  <c r="H56" i="97"/>
  <c r="H57" i="97" s="1"/>
  <c r="H56" i="123"/>
  <c r="H57" i="123" s="1"/>
  <c r="H56" i="82"/>
  <c r="H57" i="82" s="1"/>
  <c r="H56" i="98"/>
  <c r="H57" i="98" s="1"/>
  <c r="H56" i="87"/>
  <c r="H57" i="87" s="1"/>
  <c r="H56" i="99"/>
  <c r="H57" i="99" s="1"/>
  <c r="H56" i="100"/>
  <c r="H57" i="100" s="1"/>
  <c r="H56" i="126"/>
  <c r="H57" i="126" s="1"/>
  <c r="H56" i="89"/>
  <c r="H57" i="89" s="1"/>
  <c r="H56" i="124"/>
  <c r="H57" i="124" s="1"/>
  <c r="H56" i="102"/>
  <c r="H57" i="102" s="1"/>
  <c r="H56" i="91"/>
  <c r="H57" i="91" s="1"/>
  <c r="H56" i="93"/>
  <c r="H57" i="93" s="1"/>
  <c r="H56" i="104"/>
  <c r="H57" i="104" s="1"/>
  <c r="H56" i="128"/>
  <c r="H57" i="128" s="1"/>
  <c r="H56" i="84"/>
  <c r="H57" i="84" s="1"/>
  <c r="H56" i="9"/>
  <c r="H57" i="9" s="1"/>
  <c r="H56" i="96"/>
  <c r="H57" i="96" s="1"/>
  <c r="H56" i="92"/>
  <c r="H57" i="92" s="1"/>
  <c r="H56" i="127"/>
  <c r="H57" i="127" s="1"/>
  <c r="H56" i="106"/>
  <c r="H57" i="106" s="1"/>
  <c r="H56" i="83"/>
  <c r="H57" i="83" s="1"/>
  <c r="H56" i="78"/>
  <c r="H57" i="78" s="1"/>
  <c r="H56" i="103"/>
  <c r="H57" i="103" s="1"/>
  <c r="H56" i="125"/>
  <c r="H57" i="125" s="1"/>
  <c r="H56" i="77"/>
  <c r="H57" i="77" s="1"/>
  <c r="H56" i="79"/>
  <c r="H57" i="79" s="1"/>
  <c r="H56" i="101"/>
  <c r="H57" i="101" s="1"/>
  <c r="H56" i="94"/>
  <c r="H57" i="94" s="1"/>
  <c r="H56" i="95"/>
  <c r="H57" i="95" s="1"/>
  <c r="P80" i="123"/>
  <c r="I81" i="123"/>
  <c r="N81" i="123"/>
  <c r="P81" i="123" l="1"/>
  <c r="F24" i="132"/>
  <c r="F51" i="132" s="1"/>
  <c r="F53" i="132" s="1"/>
  <c r="G74" i="128"/>
  <c r="G75" i="128" s="1"/>
  <c r="G74" i="104"/>
  <c r="G75" i="104" s="1"/>
  <c r="G74" i="106"/>
  <c r="G75" i="106" s="1"/>
  <c r="G74" i="102"/>
  <c r="G75" i="102" s="1"/>
  <c r="G74" i="85"/>
  <c r="C11" i="115" s="1"/>
  <c r="M11" i="115" s="1"/>
  <c r="G74" i="103"/>
  <c r="G75" i="103" s="1"/>
  <c r="G74" i="77"/>
  <c r="G75" i="77" s="1"/>
  <c r="G74" i="81"/>
  <c r="G75" i="81" s="1"/>
  <c r="G74" i="88"/>
  <c r="G75" i="88" s="1"/>
  <c r="G74" i="76"/>
  <c r="G74" i="105"/>
  <c r="G75" i="105" s="1"/>
  <c r="G74" i="80"/>
  <c r="G74" i="75"/>
  <c r="G75" i="75" s="1"/>
  <c r="G74" i="101"/>
  <c r="G75" i="101" s="1"/>
  <c r="G74" i="83"/>
  <c r="G75" i="83" s="1"/>
  <c r="G74" i="95"/>
  <c r="G75" i="95" s="1"/>
  <c r="G74" i="78"/>
  <c r="C15" i="14"/>
  <c r="N15" i="14" s="1"/>
  <c r="N37" i="14" s="1"/>
  <c r="C13" i="14"/>
  <c r="N13" i="14" s="1"/>
  <c r="N35" i="14" s="1"/>
  <c r="C22" i="14"/>
  <c r="N22" i="14" s="1"/>
  <c r="N44" i="14" s="1"/>
  <c r="G74" i="90"/>
  <c r="G75" i="90" s="1"/>
  <c r="G74" i="86"/>
  <c r="G74" i="84"/>
  <c r="G74" i="82"/>
  <c r="G74" i="9"/>
  <c r="G75" i="9" s="1"/>
  <c r="G74" i="89"/>
  <c r="G75" i="89" s="1"/>
  <c r="G74" i="97"/>
  <c r="G75" i="97" s="1"/>
  <c r="C11" i="14"/>
  <c r="N11" i="14" s="1"/>
  <c r="N33" i="14" s="1"/>
  <c r="C12" i="14"/>
  <c r="N12" i="14" s="1"/>
  <c r="N34" i="14" s="1"/>
  <c r="C17" i="63"/>
  <c r="N9" i="63"/>
  <c r="G74" i="87"/>
  <c r="G74" i="74"/>
  <c r="G75" i="74" s="1"/>
  <c r="G74" i="91"/>
  <c r="G75" i="91" s="1"/>
  <c r="G74" i="121"/>
  <c r="G74" i="94"/>
  <c r="G74" i="96"/>
  <c r="G74" i="127"/>
  <c r="G75" i="127" s="1"/>
  <c r="G74" i="92"/>
  <c r="G74" i="100"/>
  <c r="G75" i="100" s="1"/>
  <c r="G74" i="125"/>
  <c r="G75" i="125" s="1"/>
  <c r="G74" i="99"/>
  <c r="G75" i="99" s="1"/>
  <c r="C14" i="14"/>
  <c r="N14" i="14" s="1"/>
  <c r="N36" i="14" s="1"/>
  <c r="G74" i="98"/>
  <c r="G75" i="98" s="1"/>
  <c r="C9" i="14"/>
  <c r="C10" i="14"/>
  <c r="N10" i="14" s="1"/>
  <c r="N32" i="14" s="1"/>
  <c r="G74" i="129"/>
  <c r="G75" i="129" s="1"/>
  <c r="G74" i="123"/>
  <c r="G75" i="123" s="1"/>
  <c r="G74" i="124"/>
  <c r="G75" i="124" s="1"/>
  <c r="G74" i="79"/>
  <c r="G74" i="93"/>
  <c r="G75" i="93" s="1"/>
  <c r="G74" i="126"/>
  <c r="G75" i="126" s="1"/>
  <c r="C21" i="14"/>
  <c r="N21" i="14" s="1"/>
  <c r="N43" i="14" s="1"/>
  <c r="H60" i="79"/>
  <c r="H80" i="79" s="1"/>
  <c r="H59" i="79"/>
  <c r="H60" i="78"/>
  <c r="H80" i="78" s="1"/>
  <c r="H59" i="78"/>
  <c r="H60" i="92"/>
  <c r="H80" i="92" s="1"/>
  <c r="H59" i="92"/>
  <c r="H60" i="128"/>
  <c r="H59" i="128"/>
  <c r="H60" i="102"/>
  <c r="H59" i="102"/>
  <c r="H60" i="100"/>
  <c r="H59" i="100"/>
  <c r="H60" i="82"/>
  <c r="H80" i="82" s="1"/>
  <c r="H59" i="82"/>
  <c r="H60" i="85"/>
  <c r="H80" i="85" s="1"/>
  <c r="H59" i="85"/>
  <c r="H60" i="129"/>
  <c r="H59" i="129"/>
  <c r="H60" i="80"/>
  <c r="H59" i="80"/>
  <c r="D20" i="14"/>
  <c r="O20" i="14" s="1"/>
  <c r="H75" i="107"/>
  <c r="H60" i="95"/>
  <c r="H80" i="95" s="1"/>
  <c r="H59" i="95"/>
  <c r="H60" i="77"/>
  <c r="H59" i="77"/>
  <c r="H60" i="83"/>
  <c r="H59" i="83"/>
  <c r="H60" i="96"/>
  <c r="H80" i="96" s="1"/>
  <c r="H59" i="96"/>
  <c r="H60" i="104"/>
  <c r="H59" i="104"/>
  <c r="H60" i="124"/>
  <c r="H59" i="124"/>
  <c r="H60" i="99"/>
  <c r="H59" i="99"/>
  <c r="H60" i="123"/>
  <c r="H80" i="123" s="1"/>
  <c r="H59" i="123"/>
  <c r="H60" i="76"/>
  <c r="H80" i="76" s="1"/>
  <c r="H59" i="76"/>
  <c r="H60" i="105"/>
  <c r="H59" i="105"/>
  <c r="H60" i="88"/>
  <c r="H80" i="88" s="1"/>
  <c r="H59" i="88"/>
  <c r="H74" i="109"/>
  <c r="H60" i="94"/>
  <c r="H80" i="94" s="1"/>
  <c r="H59" i="94"/>
  <c r="H60" i="125"/>
  <c r="H59" i="125"/>
  <c r="H60" i="106"/>
  <c r="H59" i="106"/>
  <c r="H60" i="9"/>
  <c r="H80" i="9" s="1"/>
  <c r="H59" i="9"/>
  <c r="H60" i="93"/>
  <c r="H59" i="93"/>
  <c r="H60" i="89"/>
  <c r="H59" i="89"/>
  <c r="H60" i="87"/>
  <c r="H80" i="87" s="1"/>
  <c r="H59" i="87"/>
  <c r="H60" i="97"/>
  <c r="H59" i="97"/>
  <c r="H60" i="90"/>
  <c r="H59" i="90"/>
  <c r="H60" i="81"/>
  <c r="H80" i="81" s="1"/>
  <c r="H59" i="81"/>
  <c r="H60" i="121"/>
  <c r="H59" i="121"/>
  <c r="H60" i="101"/>
  <c r="H59" i="101"/>
  <c r="H60" i="103"/>
  <c r="H59" i="103"/>
  <c r="H60" i="127"/>
  <c r="H59" i="127"/>
  <c r="H60" i="84"/>
  <c r="H80" i="84" s="1"/>
  <c r="H59" i="84"/>
  <c r="H60" i="91"/>
  <c r="H59" i="91"/>
  <c r="H60" i="126"/>
  <c r="H59" i="126"/>
  <c r="H60" i="98"/>
  <c r="H59" i="98"/>
  <c r="H60" i="74"/>
  <c r="H80" i="74" s="1"/>
  <c r="H59" i="74"/>
  <c r="H60" i="75"/>
  <c r="H59" i="75"/>
  <c r="H60" i="86"/>
  <c r="H80" i="86" s="1"/>
  <c r="H59" i="86"/>
  <c r="G75" i="85" l="1"/>
  <c r="C33" i="115"/>
  <c r="M33" i="115" s="1"/>
  <c r="G75" i="87"/>
  <c r="C30" i="115"/>
  <c r="M30" i="115" s="1"/>
  <c r="G75" i="82"/>
  <c r="C32" i="115"/>
  <c r="M32" i="115" s="1"/>
  <c r="G75" i="78"/>
  <c r="N9" i="14"/>
  <c r="C23" i="14"/>
  <c r="C24" i="14" s="1"/>
  <c r="G75" i="96"/>
  <c r="C28" i="115"/>
  <c r="M28" i="115" s="1"/>
  <c r="N17" i="63"/>
  <c r="N24" i="63"/>
  <c r="N32" i="63" s="1"/>
  <c r="C27" i="115"/>
  <c r="G75" i="84"/>
  <c r="G75" i="80"/>
  <c r="C9" i="115"/>
  <c r="G75" i="94"/>
  <c r="C29" i="115"/>
  <c r="M29" i="115" s="1"/>
  <c r="C12" i="115"/>
  <c r="M12" i="115" s="1"/>
  <c r="G75" i="86"/>
  <c r="G75" i="79"/>
  <c r="C34" i="115"/>
  <c r="M34" i="115" s="1"/>
  <c r="G75" i="92"/>
  <c r="C10" i="115"/>
  <c r="M10" i="115" s="1"/>
  <c r="G75" i="121"/>
  <c r="C35" i="115"/>
  <c r="M35" i="115" s="1"/>
  <c r="C31" i="115"/>
  <c r="M31" i="115" s="1"/>
  <c r="G75" i="76"/>
  <c r="H82" i="86"/>
  <c r="H81" i="86"/>
  <c r="H71" i="74"/>
  <c r="H72" i="74"/>
  <c r="H73" i="74"/>
  <c r="H65" i="74"/>
  <c r="H69" i="74"/>
  <c r="H64" i="74"/>
  <c r="H66" i="74"/>
  <c r="H68" i="74"/>
  <c r="H67" i="74"/>
  <c r="H70" i="74"/>
  <c r="H66" i="84"/>
  <c r="H70" i="84"/>
  <c r="H64" i="84"/>
  <c r="H67" i="84"/>
  <c r="H73" i="84"/>
  <c r="H69" i="84"/>
  <c r="H72" i="84"/>
  <c r="H71" i="84"/>
  <c r="H68" i="84"/>
  <c r="H65" i="84"/>
  <c r="H68" i="121"/>
  <c r="H70" i="121"/>
  <c r="H72" i="121"/>
  <c r="H67" i="121"/>
  <c r="H73" i="121"/>
  <c r="H71" i="121"/>
  <c r="H66" i="121"/>
  <c r="H69" i="121"/>
  <c r="H65" i="121"/>
  <c r="H64" i="121"/>
  <c r="H64" i="87"/>
  <c r="H67" i="87"/>
  <c r="H69" i="87"/>
  <c r="H72" i="87"/>
  <c r="H68" i="87"/>
  <c r="H66" i="87"/>
  <c r="H73" i="87"/>
  <c r="H65" i="87"/>
  <c r="H70" i="87"/>
  <c r="H71" i="87"/>
  <c r="H65" i="106"/>
  <c r="H71" i="106"/>
  <c r="H64" i="106"/>
  <c r="H67" i="106"/>
  <c r="H66" i="106"/>
  <c r="H69" i="106"/>
  <c r="H72" i="106"/>
  <c r="H70" i="106"/>
  <c r="H73" i="106"/>
  <c r="H68" i="106"/>
  <c r="H82" i="94"/>
  <c r="H81" i="94"/>
  <c r="H68" i="105"/>
  <c r="H71" i="105"/>
  <c r="H66" i="105"/>
  <c r="H64" i="105"/>
  <c r="H67" i="105"/>
  <c r="H72" i="105"/>
  <c r="H73" i="105"/>
  <c r="H70" i="105"/>
  <c r="H69" i="105"/>
  <c r="H65" i="105"/>
  <c r="H82" i="123"/>
  <c r="I82" i="123" s="1"/>
  <c r="J82" i="123" s="1"/>
  <c r="K82" i="123" s="1"/>
  <c r="L82" i="123" s="1"/>
  <c r="M82" i="123" s="1"/>
  <c r="N82" i="123" s="1"/>
  <c r="O80" i="123"/>
  <c r="O81" i="123" s="1"/>
  <c r="H81" i="123"/>
  <c r="H64" i="124"/>
  <c r="H72" i="124"/>
  <c r="H68" i="124"/>
  <c r="H66" i="124"/>
  <c r="H69" i="124"/>
  <c r="H70" i="124"/>
  <c r="H73" i="124"/>
  <c r="H71" i="124"/>
  <c r="H65" i="124"/>
  <c r="H67" i="124"/>
  <c r="H82" i="96"/>
  <c r="H81" i="96"/>
  <c r="H69" i="77"/>
  <c r="H66" i="77"/>
  <c r="H71" i="77"/>
  <c r="H73" i="77"/>
  <c r="H68" i="77"/>
  <c r="H70" i="77"/>
  <c r="H67" i="77"/>
  <c r="H65" i="77"/>
  <c r="H64" i="77"/>
  <c r="H72" i="77"/>
  <c r="H65" i="80"/>
  <c r="H66" i="80"/>
  <c r="H73" i="80"/>
  <c r="H67" i="80"/>
  <c r="H69" i="80"/>
  <c r="H68" i="80"/>
  <c r="H71" i="80"/>
  <c r="H70" i="80"/>
  <c r="H64" i="80"/>
  <c r="H72" i="80"/>
  <c r="H82" i="85"/>
  <c r="H81" i="85"/>
  <c r="H69" i="100"/>
  <c r="H67" i="100"/>
  <c r="H70" i="100"/>
  <c r="H72" i="100"/>
  <c r="H71" i="100"/>
  <c r="H65" i="100"/>
  <c r="H64" i="100"/>
  <c r="H68" i="100"/>
  <c r="H66" i="100"/>
  <c r="H73" i="100"/>
  <c r="H69" i="78"/>
  <c r="H70" i="78"/>
  <c r="H64" i="78"/>
  <c r="H71" i="78"/>
  <c r="H73" i="78"/>
  <c r="H68" i="78"/>
  <c r="H65" i="78"/>
  <c r="H72" i="78"/>
  <c r="H67" i="78"/>
  <c r="H66" i="78"/>
  <c r="H66" i="75"/>
  <c r="H72" i="75"/>
  <c r="H65" i="75"/>
  <c r="H73" i="75"/>
  <c r="H68" i="75"/>
  <c r="H71" i="75"/>
  <c r="H67" i="75"/>
  <c r="H70" i="75"/>
  <c r="H64" i="75"/>
  <c r="H69" i="75"/>
  <c r="H65" i="91"/>
  <c r="H70" i="91"/>
  <c r="H67" i="91"/>
  <c r="H72" i="91"/>
  <c r="H68" i="91"/>
  <c r="H64" i="91"/>
  <c r="H73" i="91"/>
  <c r="H66" i="91"/>
  <c r="H71" i="91"/>
  <c r="H69" i="91"/>
  <c r="H69" i="101"/>
  <c r="H64" i="101"/>
  <c r="H68" i="101"/>
  <c r="H73" i="101"/>
  <c r="H71" i="101"/>
  <c r="H67" i="101"/>
  <c r="H70" i="101"/>
  <c r="H66" i="101"/>
  <c r="H65" i="101"/>
  <c r="H72" i="101"/>
  <c r="H82" i="81"/>
  <c r="H81" i="81"/>
  <c r="H66" i="97"/>
  <c r="H64" i="97"/>
  <c r="H67" i="97"/>
  <c r="H69" i="97"/>
  <c r="H73" i="97"/>
  <c r="H70" i="97"/>
  <c r="H72" i="97"/>
  <c r="H71" i="97"/>
  <c r="H65" i="97"/>
  <c r="H68" i="97"/>
  <c r="H68" i="9"/>
  <c r="H70" i="9"/>
  <c r="H65" i="9"/>
  <c r="H64" i="9"/>
  <c r="H69" i="9"/>
  <c r="H71" i="9"/>
  <c r="H67" i="9"/>
  <c r="H72" i="9"/>
  <c r="H73" i="9"/>
  <c r="H66" i="9"/>
  <c r="H72" i="88"/>
  <c r="H65" i="88"/>
  <c r="H66" i="88"/>
  <c r="H67" i="88"/>
  <c r="H73" i="88"/>
  <c r="H71" i="88"/>
  <c r="H68" i="88"/>
  <c r="H69" i="88"/>
  <c r="H70" i="88"/>
  <c r="H64" i="88"/>
  <c r="H82" i="76"/>
  <c r="H81" i="76"/>
  <c r="H68" i="99"/>
  <c r="H67" i="99"/>
  <c r="H69" i="99"/>
  <c r="H70" i="99"/>
  <c r="H66" i="99"/>
  <c r="H71" i="99"/>
  <c r="H72" i="99"/>
  <c r="H73" i="99"/>
  <c r="H64" i="99"/>
  <c r="H65" i="99"/>
  <c r="H73" i="83"/>
  <c r="H70" i="83"/>
  <c r="H67" i="83"/>
  <c r="H68" i="83"/>
  <c r="H65" i="83"/>
  <c r="H69" i="83"/>
  <c r="H72" i="83"/>
  <c r="H64" i="83"/>
  <c r="H71" i="83"/>
  <c r="H66" i="83"/>
  <c r="H82" i="95"/>
  <c r="H81" i="95"/>
  <c r="H65" i="82"/>
  <c r="H73" i="82"/>
  <c r="H64" i="82"/>
  <c r="H70" i="82"/>
  <c r="H71" i="82"/>
  <c r="H66" i="82"/>
  <c r="H68" i="82"/>
  <c r="H69" i="82"/>
  <c r="H72" i="82"/>
  <c r="H67" i="82"/>
  <c r="H73" i="92"/>
  <c r="H68" i="92"/>
  <c r="H64" i="92"/>
  <c r="H66" i="92"/>
  <c r="H72" i="92"/>
  <c r="H65" i="92"/>
  <c r="H70" i="92"/>
  <c r="H71" i="92"/>
  <c r="H69" i="92"/>
  <c r="H67" i="92"/>
  <c r="H82" i="79"/>
  <c r="I82" i="79" s="1"/>
  <c r="H81" i="79"/>
  <c r="H66" i="86"/>
  <c r="H69" i="86"/>
  <c r="H73" i="86"/>
  <c r="H71" i="86"/>
  <c r="H72" i="86"/>
  <c r="H65" i="86"/>
  <c r="H67" i="86"/>
  <c r="H68" i="86"/>
  <c r="H70" i="86"/>
  <c r="H64" i="86"/>
  <c r="H82" i="74"/>
  <c r="H81" i="74"/>
  <c r="H69" i="126"/>
  <c r="H73" i="126"/>
  <c r="H66" i="126"/>
  <c r="H68" i="126"/>
  <c r="H72" i="126"/>
  <c r="H70" i="126"/>
  <c r="H71" i="126"/>
  <c r="H67" i="126"/>
  <c r="H64" i="126"/>
  <c r="H65" i="126"/>
  <c r="H82" i="84"/>
  <c r="H81" i="84"/>
  <c r="H70" i="103"/>
  <c r="H66" i="103"/>
  <c r="H64" i="103"/>
  <c r="H73" i="103"/>
  <c r="H65" i="103"/>
  <c r="H72" i="103"/>
  <c r="H71" i="103"/>
  <c r="H68" i="103"/>
  <c r="H69" i="103"/>
  <c r="H67" i="103"/>
  <c r="H68" i="90"/>
  <c r="H64" i="90"/>
  <c r="H69" i="90"/>
  <c r="H65" i="90"/>
  <c r="H73" i="90"/>
  <c r="H70" i="90"/>
  <c r="H66" i="90"/>
  <c r="H71" i="90"/>
  <c r="H67" i="90"/>
  <c r="H72" i="90"/>
  <c r="H82" i="87"/>
  <c r="H81" i="87"/>
  <c r="H68" i="93"/>
  <c r="H71" i="93"/>
  <c r="H66" i="93"/>
  <c r="H65" i="93"/>
  <c r="H64" i="93"/>
  <c r="H70" i="93"/>
  <c r="H67" i="93"/>
  <c r="H69" i="93"/>
  <c r="H73" i="93"/>
  <c r="H72" i="93"/>
  <c r="H65" i="94"/>
  <c r="H70" i="94"/>
  <c r="H71" i="94"/>
  <c r="H64" i="94"/>
  <c r="H69" i="94"/>
  <c r="H67" i="94"/>
  <c r="H72" i="94"/>
  <c r="H73" i="94"/>
  <c r="H68" i="94"/>
  <c r="H66" i="94"/>
  <c r="H71" i="123"/>
  <c r="H72" i="123"/>
  <c r="H64" i="123"/>
  <c r="H66" i="123"/>
  <c r="H68" i="123"/>
  <c r="H73" i="123"/>
  <c r="H69" i="123"/>
  <c r="H67" i="123"/>
  <c r="H65" i="123"/>
  <c r="H70" i="123"/>
  <c r="H68" i="96"/>
  <c r="H67" i="96"/>
  <c r="H71" i="96"/>
  <c r="H65" i="96"/>
  <c r="H64" i="96"/>
  <c r="H73" i="96"/>
  <c r="H72" i="96"/>
  <c r="H70" i="96"/>
  <c r="H66" i="96"/>
  <c r="H69" i="96"/>
  <c r="H68" i="85"/>
  <c r="H64" i="85"/>
  <c r="H65" i="85"/>
  <c r="H70" i="85"/>
  <c r="H71" i="85"/>
  <c r="H72" i="85"/>
  <c r="H69" i="85"/>
  <c r="H66" i="85"/>
  <c r="H73" i="85"/>
  <c r="H67" i="85"/>
  <c r="H70" i="128"/>
  <c r="H69" i="128"/>
  <c r="H64" i="128"/>
  <c r="H72" i="128"/>
  <c r="H65" i="128"/>
  <c r="H71" i="128"/>
  <c r="H68" i="128"/>
  <c r="H67" i="128"/>
  <c r="H73" i="128"/>
  <c r="H66" i="128"/>
  <c r="H82" i="78"/>
  <c r="H81" i="78"/>
  <c r="H66" i="98"/>
  <c r="H70" i="98"/>
  <c r="H73" i="98"/>
  <c r="D11" i="63"/>
  <c r="O11" i="63" s="1"/>
  <c r="D9" i="63"/>
  <c r="H64" i="98"/>
  <c r="H65" i="98"/>
  <c r="H71" i="98"/>
  <c r="D14" i="63"/>
  <c r="O14" i="63" s="1"/>
  <c r="H67" i="98"/>
  <c r="H72" i="98"/>
  <c r="D12" i="63"/>
  <c r="O12" i="63" s="1"/>
  <c r="D15" i="63"/>
  <c r="O15" i="63" s="1"/>
  <c r="D16" i="63"/>
  <c r="O16" i="63" s="1"/>
  <c r="H68" i="98"/>
  <c r="H69" i="98"/>
  <c r="D10" i="63"/>
  <c r="O10" i="63" s="1"/>
  <c r="D13" i="63"/>
  <c r="O13" i="63" s="1"/>
  <c r="H65" i="127"/>
  <c r="H69" i="127"/>
  <c r="H64" i="127"/>
  <c r="H70" i="127"/>
  <c r="H73" i="127"/>
  <c r="H72" i="127"/>
  <c r="H68" i="127"/>
  <c r="H66" i="127"/>
  <c r="H71" i="127"/>
  <c r="H67" i="127"/>
  <c r="H68" i="81"/>
  <c r="H65" i="81"/>
  <c r="H72" i="81"/>
  <c r="H69" i="81"/>
  <c r="H66" i="81"/>
  <c r="H70" i="81"/>
  <c r="H64" i="81"/>
  <c r="H67" i="81"/>
  <c r="H71" i="81"/>
  <c r="H73" i="81"/>
  <c r="H72" i="89"/>
  <c r="H71" i="89"/>
  <c r="H66" i="89"/>
  <c r="H64" i="89"/>
  <c r="H70" i="89"/>
  <c r="H69" i="89"/>
  <c r="H67" i="89"/>
  <c r="H68" i="89"/>
  <c r="H73" i="89"/>
  <c r="H65" i="89"/>
  <c r="H82" i="9"/>
  <c r="H81" i="9"/>
  <c r="H71" i="125"/>
  <c r="H64" i="125"/>
  <c r="H72" i="125"/>
  <c r="H69" i="125"/>
  <c r="H70" i="125"/>
  <c r="H66" i="125"/>
  <c r="H67" i="125"/>
  <c r="H65" i="125"/>
  <c r="H68" i="125"/>
  <c r="H73" i="125"/>
  <c r="D17" i="14"/>
  <c r="O17" i="14" s="1"/>
  <c r="H75" i="109"/>
  <c r="H82" i="88"/>
  <c r="H81" i="88"/>
  <c r="H70" i="76"/>
  <c r="H72" i="76"/>
  <c r="H68" i="76"/>
  <c r="H67" i="76"/>
  <c r="H71" i="76"/>
  <c r="H65" i="76"/>
  <c r="H69" i="76"/>
  <c r="H64" i="76"/>
  <c r="H73" i="76"/>
  <c r="H66" i="76"/>
  <c r="H68" i="104"/>
  <c r="H64" i="104"/>
  <c r="H71" i="104"/>
  <c r="H66" i="104"/>
  <c r="H73" i="104"/>
  <c r="H72" i="104"/>
  <c r="H67" i="104"/>
  <c r="H65" i="104"/>
  <c r="H70" i="104"/>
  <c r="H69" i="104"/>
  <c r="H72" i="95"/>
  <c r="H70" i="95"/>
  <c r="H69" i="95"/>
  <c r="H71" i="95"/>
  <c r="H68" i="95"/>
  <c r="H67" i="95"/>
  <c r="H65" i="95"/>
  <c r="H66" i="95"/>
  <c r="H73" i="95"/>
  <c r="H64" i="95"/>
  <c r="G24" i="132"/>
  <c r="G51" i="132" s="1"/>
  <c r="G53" i="132" s="1"/>
  <c r="H68" i="129"/>
  <c r="H72" i="129"/>
  <c r="H67" i="129"/>
  <c r="H66" i="129"/>
  <c r="H65" i="129"/>
  <c r="H71" i="129"/>
  <c r="H73" i="129"/>
  <c r="H70" i="129"/>
  <c r="H69" i="129"/>
  <c r="H64" i="129"/>
  <c r="H82" i="82"/>
  <c r="H81" i="82"/>
  <c r="H67" i="102"/>
  <c r="H70" i="102"/>
  <c r="H68" i="102"/>
  <c r="H72" i="102"/>
  <c r="H69" i="102"/>
  <c r="H65" i="102"/>
  <c r="H66" i="102"/>
  <c r="H73" i="102"/>
  <c r="H71" i="102"/>
  <c r="H64" i="102"/>
  <c r="H82" i="92"/>
  <c r="H81" i="92"/>
  <c r="H66" i="79"/>
  <c r="H72" i="79"/>
  <c r="H73" i="79"/>
  <c r="H67" i="79"/>
  <c r="H65" i="79"/>
  <c r="H68" i="79"/>
  <c r="H69" i="79"/>
  <c r="H71" i="79"/>
  <c r="H70" i="79"/>
  <c r="H64" i="79"/>
  <c r="M9" i="115" l="1"/>
  <c r="M18" i="115" s="1"/>
  <c r="C18" i="115"/>
  <c r="C19" i="115" s="1"/>
  <c r="N31" i="14"/>
  <c r="N45" i="14" s="1"/>
  <c r="N33" i="63" s="1"/>
  <c r="N23" i="14"/>
  <c r="M27" i="115"/>
  <c r="M36" i="115" s="1"/>
  <c r="C36" i="115"/>
  <c r="C37" i="115" s="1"/>
  <c r="H74" i="79"/>
  <c r="H74" i="104"/>
  <c r="H75" i="104" s="1"/>
  <c r="H74" i="89"/>
  <c r="H75" i="89" s="1"/>
  <c r="D14" i="14"/>
  <c r="O14" i="14" s="1"/>
  <c r="H74" i="123"/>
  <c r="H75" i="123" s="1"/>
  <c r="H74" i="93"/>
  <c r="H75" i="93" s="1"/>
  <c r="H74" i="90"/>
  <c r="H75" i="90" s="1"/>
  <c r="H74" i="103"/>
  <c r="H75" i="103" s="1"/>
  <c r="H74" i="9"/>
  <c r="H75" i="9" s="1"/>
  <c r="H74" i="97"/>
  <c r="H75" i="97" s="1"/>
  <c r="H74" i="101"/>
  <c r="H75" i="101" s="1"/>
  <c r="H74" i="75"/>
  <c r="H75" i="75" s="1"/>
  <c r="H74" i="78"/>
  <c r="H74" i="77"/>
  <c r="H75" i="77" s="1"/>
  <c r="H74" i="102"/>
  <c r="H75" i="102" s="1"/>
  <c r="H74" i="125"/>
  <c r="H75" i="125" s="1"/>
  <c r="D13" i="14"/>
  <c r="O13" i="14" s="1"/>
  <c r="D21" i="14"/>
  <c r="O21" i="14" s="1"/>
  <c r="D10" i="14"/>
  <c r="O10" i="14" s="1"/>
  <c r="D22" i="14"/>
  <c r="O22" i="14" s="1"/>
  <c r="H74" i="128"/>
  <c r="H75" i="128" s="1"/>
  <c r="H74" i="96"/>
  <c r="H74" i="92"/>
  <c r="H74" i="83"/>
  <c r="H75" i="83" s="1"/>
  <c r="H74" i="80"/>
  <c r="H74" i="124"/>
  <c r="H75" i="124" s="1"/>
  <c r="H74" i="76"/>
  <c r="H74" i="129"/>
  <c r="H75" i="129" s="1"/>
  <c r="H74" i="95"/>
  <c r="H75" i="95" s="1"/>
  <c r="D12" i="14"/>
  <c r="O12" i="14" s="1"/>
  <c r="D9" i="14"/>
  <c r="H74" i="98"/>
  <c r="H75" i="98" s="1"/>
  <c r="D15" i="14"/>
  <c r="O15" i="14" s="1"/>
  <c r="H74" i="82"/>
  <c r="H74" i="99"/>
  <c r="H75" i="99" s="1"/>
  <c r="H74" i="88"/>
  <c r="H75" i="88" s="1"/>
  <c r="H74" i="91"/>
  <c r="H75" i="91" s="1"/>
  <c r="H74" i="100"/>
  <c r="H75" i="100" s="1"/>
  <c r="H74" i="106"/>
  <c r="H75" i="106" s="1"/>
  <c r="H74" i="87"/>
  <c r="H74" i="74"/>
  <c r="H75" i="74" s="1"/>
  <c r="H74" i="81"/>
  <c r="H75" i="81" s="1"/>
  <c r="H74" i="127"/>
  <c r="H75" i="127" s="1"/>
  <c r="O9" i="63"/>
  <c r="D17" i="63"/>
  <c r="D11" i="14"/>
  <c r="O11" i="14" s="1"/>
  <c r="H74" i="85"/>
  <c r="H74" i="94"/>
  <c r="H74" i="126"/>
  <c r="H75" i="126" s="1"/>
  <c r="H74" i="86"/>
  <c r="H74" i="105"/>
  <c r="H75" i="105" s="1"/>
  <c r="H74" i="121"/>
  <c r="H74" i="84"/>
  <c r="N18" i="63" l="1"/>
  <c r="H75" i="76"/>
  <c r="D31" i="115"/>
  <c r="N31" i="115" s="1"/>
  <c r="D32" i="115"/>
  <c r="N32" i="115" s="1"/>
  <c r="H75" i="78"/>
  <c r="D12" i="115"/>
  <c r="N12" i="115" s="1"/>
  <c r="H75" i="86"/>
  <c r="H75" i="85"/>
  <c r="D11" i="115"/>
  <c r="N11" i="115" s="1"/>
  <c r="H75" i="121"/>
  <c r="D35" i="115"/>
  <c r="N35" i="115" s="1"/>
  <c r="D27" i="115"/>
  <c r="H75" i="84"/>
  <c r="O17" i="63"/>
  <c r="H75" i="82"/>
  <c r="D30" i="115"/>
  <c r="N30" i="115" s="1"/>
  <c r="O9" i="14"/>
  <c r="D23" i="14"/>
  <c r="D24" i="14" s="1"/>
  <c r="H75" i="96"/>
  <c r="D28" i="115"/>
  <c r="N28" i="115" s="1"/>
  <c r="H75" i="79"/>
  <c r="D34" i="115"/>
  <c r="N34" i="115" s="1"/>
  <c r="H75" i="94"/>
  <c r="D29" i="115"/>
  <c r="N29" i="115" s="1"/>
  <c r="H75" i="87"/>
  <c r="D33" i="115"/>
  <c r="N33" i="115" s="1"/>
  <c r="H75" i="80"/>
  <c r="D9" i="115"/>
  <c r="H75" i="92"/>
  <c r="D10" i="115"/>
  <c r="N10" i="115" s="1"/>
  <c r="O23" i="14" l="1"/>
  <c r="N9" i="115"/>
  <c r="N18" i="115" s="1"/>
  <c r="D18" i="115"/>
  <c r="D19" i="115" s="1"/>
  <c r="D36" i="115"/>
  <c r="D37" i="115" s="1"/>
  <c r="N27" i="115"/>
  <c r="N36" i="115" s="1"/>
  <c r="O18" i="63" l="1"/>
  <c r="H22" i="2" l="1"/>
  <c r="H92" i="2" s="1"/>
  <c r="H21" i="2"/>
  <c r="H23" i="2" l="1"/>
  <c r="O26" i="63"/>
  <c r="O35" i="14"/>
  <c r="O25" i="63"/>
  <c r="O29" i="63"/>
  <c r="O30" i="63"/>
  <c r="O38" i="14"/>
  <c r="O43" i="14"/>
  <c r="O44" i="14"/>
  <c r="O39" i="14"/>
  <c r="O38" i="111"/>
  <c r="O37" i="14"/>
  <c r="O27" i="63"/>
  <c r="O41" i="14"/>
  <c r="O34" i="14"/>
  <c r="O32" i="14"/>
  <c r="O42" i="14"/>
  <c r="O36" i="14"/>
  <c r="O31" i="63"/>
  <c r="O28" i="63"/>
  <c r="O40" i="14"/>
  <c r="O33" i="14"/>
  <c r="O31" i="14"/>
  <c r="O24" i="63"/>
  <c r="O45" i="14" l="1"/>
  <c r="O32" i="63"/>
  <c r="H86" i="2"/>
  <c r="H78" i="2"/>
  <c r="J23" i="2"/>
  <c r="I23" i="2"/>
  <c r="O33" i="63" l="1"/>
  <c r="K23" i="2"/>
  <c r="J22" i="2"/>
  <c r="J21" i="2"/>
  <c r="D31" i="134"/>
  <c r="E31" i="134"/>
  <c r="F31" i="134"/>
  <c r="G30" i="134"/>
  <c r="G31" i="134"/>
  <c r="E30" i="134"/>
  <c r="I30" i="134"/>
  <c r="F30" i="134"/>
  <c r="H30" i="134"/>
  <c r="H31" i="134"/>
  <c r="D30" i="134"/>
  <c r="I31" i="134"/>
  <c r="G32" i="134" l="1"/>
  <c r="F32" i="134"/>
  <c r="I54" i="134"/>
  <c r="I55" i="134"/>
  <c r="E13" i="131"/>
  <c r="I53" i="134"/>
  <c r="I51" i="134"/>
  <c r="I52" i="134"/>
  <c r="I41" i="134"/>
  <c r="I32" i="134"/>
  <c r="I43" i="134"/>
  <c r="I42" i="134"/>
  <c r="I40" i="134"/>
  <c r="E12" i="131"/>
  <c r="E32" i="134"/>
  <c r="D13" i="131"/>
  <c r="H54" i="134"/>
  <c r="H53" i="134"/>
  <c r="H52" i="134"/>
  <c r="H51" i="134"/>
  <c r="H55" i="134"/>
  <c r="P38" i="14"/>
  <c r="P38" i="111"/>
  <c r="L23" i="2"/>
  <c r="D32" i="134"/>
  <c r="H32" i="134"/>
  <c r="H43" i="134"/>
  <c r="H42" i="134"/>
  <c r="H41" i="134"/>
  <c r="D12" i="131"/>
  <c r="H40" i="134"/>
  <c r="K22" i="2"/>
  <c r="K21" i="2"/>
  <c r="I60" i="134" l="1"/>
  <c r="I61" i="134" s="1"/>
  <c r="H60" i="134"/>
  <c r="H61" i="134" s="1"/>
  <c r="M23" i="2"/>
  <c r="H44" i="134"/>
  <c r="H45" i="134" s="1"/>
  <c r="I44" i="134"/>
  <c r="I45" i="134" s="1"/>
  <c r="E20" i="131"/>
  <c r="D15" i="131"/>
  <c r="D16" i="131" s="1"/>
  <c r="D19" i="131"/>
  <c r="L22" i="2"/>
  <c r="L21" i="2"/>
  <c r="Q38" i="111"/>
  <c r="Q38" i="14"/>
  <c r="D20" i="131"/>
  <c r="E19" i="131"/>
  <c r="E15" i="131"/>
  <c r="E16" i="131" s="1"/>
  <c r="M21" i="2" l="1"/>
  <c r="M22" i="2"/>
  <c r="R38" i="111"/>
  <c r="R38" i="14"/>
  <c r="N23" i="2"/>
  <c r="N22" i="2" l="1"/>
  <c r="N21" i="2"/>
  <c r="S38" i="111"/>
  <c r="S38" i="14"/>
  <c r="O23" i="2"/>
  <c r="T38" i="14" l="1"/>
  <c r="T38" i="111"/>
  <c r="O21" i="2"/>
  <c r="O22" i="2"/>
  <c r="K11" i="81" l="1"/>
  <c r="M11" i="128"/>
  <c r="J11" i="89"/>
  <c r="M11" i="103"/>
  <c r="M11" i="110"/>
  <c r="K11" i="96"/>
  <c r="J11" i="96"/>
  <c r="M11" i="96"/>
  <c r="L11" i="96"/>
  <c r="K11" i="9"/>
  <c r="J11" i="9"/>
  <c r="M11" i="9"/>
  <c r="L11" i="9"/>
  <c r="M11" i="86"/>
  <c r="L11" i="86"/>
  <c r="K11" i="86"/>
  <c r="J11" i="86"/>
  <c r="M11" i="80"/>
  <c r="L11" i="80"/>
  <c r="K11" i="80"/>
  <c r="J11" i="80"/>
  <c r="K11" i="94"/>
  <c r="J11" i="94"/>
  <c r="M11" i="94"/>
  <c r="L11" i="94"/>
  <c r="K11" i="83"/>
  <c r="J11" i="83"/>
  <c r="M11" i="83"/>
  <c r="L11" i="83"/>
  <c r="M11" i="78"/>
  <c r="L11" i="78"/>
  <c r="K11" i="78"/>
  <c r="J11" i="78"/>
  <c r="K11" i="126"/>
  <c r="J11" i="126"/>
  <c r="M11" i="126"/>
  <c r="L11" i="126"/>
  <c r="K11" i="108"/>
  <c r="J11" i="108"/>
  <c r="M11" i="108"/>
  <c r="L11" i="108"/>
  <c r="M11" i="93"/>
  <c r="L11" i="93"/>
  <c r="K11" i="93"/>
  <c r="J11" i="93"/>
  <c r="M11" i="107"/>
  <c r="L11" i="107"/>
  <c r="K11" i="107"/>
  <c r="J11" i="107"/>
  <c r="M11" i="95"/>
  <c r="L11" i="95"/>
  <c r="K11" i="95"/>
  <c r="J11" i="95"/>
  <c r="M11" i="90"/>
  <c r="L11" i="90"/>
  <c r="K11" i="90"/>
  <c r="J11" i="90"/>
  <c r="M11" i="100"/>
  <c r="L11" i="100"/>
  <c r="K11" i="100"/>
  <c r="J11" i="100"/>
  <c r="M11" i="74"/>
  <c r="L11" i="74"/>
  <c r="K11" i="74"/>
  <c r="J11" i="74"/>
  <c r="M11" i="81"/>
  <c r="M11" i="76"/>
  <c r="L11" i="76"/>
  <c r="K11" i="76"/>
  <c r="J11" i="76"/>
  <c r="K11" i="128"/>
  <c r="K11" i="92"/>
  <c r="J11" i="92"/>
  <c r="M11" i="92"/>
  <c r="L11" i="92"/>
  <c r="K11" i="99"/>
  <c r="J11" i="99"/>
  <c r="M11" i="99"/>
  <c r="L11" i="99"/>
  <c r="L11" i="129"/>
  <c r="M11" i="109"/>
  <c r="L11" i="109"/>
  <c r="K11" i="109"/>
  <c r="J11" i="109"/>
  <c r="K11" i="87"/>
  <c r="J11" i="87"/>
  <c r="M11" i="87"/>
  <c r="L11" i="87"/>
  <c r="M11" i="97"/>
  <c r="L11" i="97"/>
  <c r="K11" i="97"/>
  <c r="J11" i="97"/>
  <c r="J11" i="110"/>
  <c r="K11" i="75"/>
  <c r="J11" i="75"/>
  <c r="M11" i="75"/>
  <c r="L11" i="75"/>
  <c r="K11" i="121"/>
  <c r="J11" i="121"/>
  <c r="M11" i="121"/>
  <c r="L11" i="121"/>
  <c r="M11" i="123"/>
  <c r="L11" i="123"/>
  <c r="K11" i="123"/>
  <c r="J11" i="123"/>
  <c r="K11" i="91"/>
  <c r="J11" i="91"/>
  <c r="M11" i="91"/>
  <c r="L11" i="91"/>
  <c r="K11" i="79"/>
  <c r="J11" i="79"/>
  <c r="M11" i="79"/>
  <c r="L11" i="79"/>
  <c r="K11" i="105"/>
  <c r="J11" i="105"/>
  <c r="M11" i="105"/>
  <c r="L11" i="105"/>
  <c r="M11" i="106"/>
  <c r="M11" i="127"/>
  <c r="L11" i="127"/>
  <c r="K11" i="127"/>
  <c r="J11" i="127"/>
  <c r="M11" i="104"/>
  <c r="L11" i="104"/>
  <c r="K11" i="104"/>
  <c r="J11" i="104"/>
  <c r="M11" i="82"/>
  <c r="L11" i="82"/>
  <c r="K11" i="82"/>
  <c r="J11" i="82"/>
  <c r="M11" i="88"/>
  <c r="L11" i="88"/>
  <c r="K11" i="88"/>
  <c r="J11" i="88"/>
  <c r="M11" i="84"/>
  <c r="L11" i="84"/>
  <c r="K11" i="84"/>
  <c r="J11" i="84"/>
  <c r="M11" i="125"/>
  <c r="L11" i="125"/>
  <c r="K11" i="125"/>
  <c r="J11" i="125"/>
  <c r="L11" i="89"/>
  <c r="K11" i="77"/>
  <c r="J11" i="77"/>
  <c r="M11" i="77"/>
  <c r="L11" i="77"/>
  <c r="K11" i="124"/>
  <c r="J11" i="124"/>
  <c r="M11" i="124"/>
  <c r="L11" i="124"/>
  <c r="M11" i="102"/>
  <c r="L11" i="102"/>
  <c r="K11" i="102"/>
  <c r="K11" i="101"/>
  <c r="J11" i="101"/>
  <c r="M11" i="101"/>
  <c r="L11" i="101"/>
  <c r="J47" i="101" l="1"/>
  <c r="J52" i="101" s="1"/>
  <c r="J46" i="101"/>
  <c r="J35" i="101"/>
  <c r="J36" i="101"/>
  <c r="J40" i="101"/>
  <c r="J43" i="101"/>
  <c r="J39" i="101"/>
  <c r="J37" i="101"/>
  <c r="J41" i="101"/>
  <c r="J34" i="101"/>
  <c r="J38" i="101"/>
  <c r="J42" i="101"/>
  <c r="M46" i="102"/>
  <c r="M51" i="102" s="1"/>
  <c r="M47" i="102"/>
  <c r="M52" i="102" s="1"/>
  <c r="M36" i="102"/>
  <c r="M35" i="102"/>
  <c r="M39" i="102"/>
  <c r="M40" i="102"/>
  <c r="M43" i="102"/>
  <c r="M41" i="102"/>
  <c r="M37" i="102"/>
  <c r="M42" i="102"/>
  <c r="M38" i="102"/>
  <c r="M34" i="102"/>
  <c r="J46" i="124"/>
  <c r="J47" i="124"/>
  <c r="J52" i="124" s="1"/>
  <c r="J35" i="124"/>
  <c r="J36" i="124"/>
  <c r="J40" i="124"/>
  <c r="J43" i="124"/>
  <c r="J39" i="124"/>
  <c r="J34" i="124"/>
  <c r="J38" i="124"/>
  <c r="J37" i="124"/>
  <c r="J42" i="124"/>
  <c r="J41" i="124"/>
  <c r="I11" i="77"/>
  <c r="V34" i="16"/>
  <c r="U34" i="16"/>
  <c r="K46" i="77"/>
  <c r="K47" i="77"/>
  <c r="K52" i="77" s="1"/>
  <c r="K36" i="77"/>
  <c r="K39" i="77"/>
  <c r="K43" i="77"/>
  <c r="K35" i="77"/>
  <c r="K40" i="77"/>
  <c r="K41" i="77"/>
  <c r="K38" i="77"/>
  <c r="K34" i="77"/>
  <c r="K42" i="77"/>
  <c r="K37" i="77"/>
  <c r="M46" i="125"/>
  <c r="M47" i="125"/>
  <c r="M52" i="125" s="1"/>
  <c r="M39" i="125"/>
  <c r="M40" i="125"/>
  <c r="M43" i="125"/>
  <c r="M36" i="125"/>
  <c r="M35" i="125"/>
  <c r="M37" i="125"/>
  <c r="M42" i="125"/>
  <c r="M38" i="125"/>
  <c r="M41" i="125"/>
  <c r="M34" i="125"/>
  <c r="L46" i="84"/>
  <c r="L51" i="84" s="1"/>
  <c r="L47" i="84"/>
  <c r="L52" i="84" s="1"/>
  <c r="L39" i="84"/>
  <c r="L40" i="84"/>
  <c r="L36" i="84"/>
  <c r="L43" i="84"/>
  <c r="L35" i="84"/>
  <c r="L38" i="84"/>
  <c r="L37" i="84"/>
  <c r="L41" i="84"/>
  <c r="L34" i="84"/>
  <c r="L42" i="84"/>
  <c r="M47" i="88"/>
  <c r="M52" i="88" s="1"/>
  <c r="M46" i="88"/>
  <c r="M51" i="88" s="1"/>
  <c r="M39" i="88"/>
  <c r="M36" i="88"/>
  <c r="M43" i="88"/>
  <c r="M40" i="88"/>
  <c r="M35" i="88"/>
  <c r="M42" i="88"/>
  <c r="M38" i="88"/>
  <c r="M41" i="88"/>
  <c r="M37" i="88"/>
  <c r="M34" i="88"/>
  <c r="L46" i="82"/>
  <c r="L47" i="82"/>
  <c r="L52" i="82" s="1"/>
  <c r="L35" i="82"/>
  <c r="L40" i="82"/>
  <c r="L36" i="82"/>
  <c r="L39" i="82"/>
  <c r="L43" i="82"/>
  <c r="L38" i="82"/>
  <c r="L41" i="82"/>
  <c r="L34" i="82"/>
  <c r="L37" i="82"/>
  <c r="L42" i="82"/>
  <c r="M11" i="98"/>
  <c r="L46" i="104"/>
  <c r="L47" i="104"/>
  <c r="L52" i="104" s="1"/>
  <c r="L40" i="104"/>
  <c r="L35" i="104"/>
  <c r="L39" i="104"/>
  <c r="L36" i="104"/>
  <c r="L43" i="104"/>
  <c r="L38" i="104"/>
  <c r="L34" i="104"/>
  <c r="L41" i="104"/>
  <c r="L37" i="104"/>
  <c r="L42" i="104"/>
  <c r="M46" i="127"/>
  <c r="M51" i="127" s="1"/>
  <c r="M47" i="127"/>
  <c r="M52" i="127" s="1"/>
  <c r="M36" i="127"/>
  <c r="M39" i="127"/>
  <c r="M35" i="127"/>
  <c r="M40" i="127"/>
  <c r="M43" i="127"/>
  <c r="M41" i="127"/>
  <c r="M37" i="127"/>
  <c r="M42" i="127"/>
  <c r="M38" i="127"/>
  <c r="M34" i="127"/>
  <c r="U12" i="16"/>
  <c r="I11" i="105"/>
  <c r="V12" i="16"/>
  <c r="K46" i="105"/>
  <c r="K47" i="105"/>
  <c r="K52" i="105" s="1"/>
  <c r="K43" i="105"/>
  <c r="K36" i="105"/>
  <c r="K40" i="105"/>
  <c r="K35" i="105"/>
  <c r="K39" i="105"/>
  <c r="K38" i="105"/>
  <c r="K37" i="105"/>
  <c r="K42" i="105"/>
  <c r="K41" i="105"/>
  <c r="K34" i="105"/>
  <c r="J46" i="79"/>
  <c r="J47" i="79"/>
  <c r="J52" i="79" s="1"/>
  <c r="J36" i="79"/>
  <c r="J40" i="79"/>
  <c r="J43" i="79"/>
  <c r="J39" i="79"/>
  <c r="J35" i="79"/>
  <c r="J38" i="79"/>
  <c r="J42" i="79"/>
  <c r="J34" i="79"/>
  <c r="J37" i="79"/>
  <c r="J41" i="79"/>
  <c r="U16" i="16"/>
  <c r="I11" i="91"/>
  <c r="V16" i="16"/>
  <c r="K46" i="91"/>
  <c r="K47" i="91"/>
  <c r="K52" i="91" s="1"/>
  <c r="K39" i="91"/>
  <c r="K43" i="91"/>
  <c r="K36" i="91"/>
  <c r="K40" i="91"/>
  <c r="K35" i="91"/>
  <c r="K34" i="91"/>
  <c r="K38" i="91"/>
  <c r="K37" i="91"/>
  <c r="K42" i="91"/>
  <c r="K41" i="91"/>
  <c r="L46" i="123"/>
  <c r="L47" i="123"/>
  <c r="L52" i="123" s="1"/>
  <c r="L51" i="123"/>
  <c r="L36" i="123"/>
  <c r="L40" i="123"/>
  <c r="L35" i="123"/>
  <c r="L39" i="123"/>
  <c r="L43" i="123"/>
  <c r="L41" i="123"/>
  <c r="L38" i="123"/>
  <c r="L34" i="123"/>
  <c r="L37" i="123"/>
  <c r="L42" i="123"/>
  <c r="I11" i="121"/>
  <c r="U46" i="16"/>
  <c r="V46" i="16"/>
  <c r="K46" i="121"/>
  <c r="K47" i="121"/>
  <c r="K52" i="121" s="1"/>
  <c r="K51" i="121"/>
  <c r="K35" i="121"/>
  <c r="K36" i="121"/>
  <c r="K40" i="121"/>
  <c r="K39" i="121"/>
  <c r="K43" i="121"/>
  <c r="K38" i="121"/>
  <c r="K37" i="121"/>
  <c r="K42" i="121"/>
  <c r="K41" i="121"/>
  <c r="K34" i="121"/>
  <c r="J46" i="75"/>
  <c r="J47" i="75"/>
  <c r="J52" i="75" s="1"/>
  <c r="J40" i="75"/>
  <c r="J43" i="75"/>
  <c r="J39" i="75"/>
  <c r="J35" i="75"/>
  <c r="J36" i="75"/>
  <c r="J42" i="75"/>
  <c r="J37" i="75"/>
  <c r="J41" i="75"/>
  <c r="J34" i="75"/>
  <c r="J38" i="75"/>
  <c r="J46" i="97"/>
  <c r="J47" i="97"/>
  <c r="J52" i="97" s="1"/>
  <c r="J36" i="97"/>
  <c r="J43" i="97"/>
  <c r="J39" i="97"/>
  <c r="J40" i="97"/>
  <c r="J35" i="97"/>
  <c r="J38" i="97"/>
  <c r="J34" i="97"/>
  <c r="J37" i="97"/>
  <c r="J42" i="97"/>
  <c r="J41" i="97"/>
  <c r="I11" i="97"/>
  <c r="U29" i="16"/>
  <c r="V29" i="16"/>
  <c r="M47" i="87"/>
  <c r="M52" i="87" s="1"/>
  <c r="M46" i="87"/>
  <c r="M51" i="87" s="1"/>
  <c r="M36" i="87"/>
  <c r="M43" i="87"/>
  <c r="M40" i="87"/>
  <c r="M39" i="87"/>
  <c r="M35" i="87"/>
  <c r="M42" i="87"/>
  <c r="M41" i="87"/>
  <c r="M38" i="87"/>
  <c r="M37" i="87"/>
  <c r="M34" i="87"/>
  <c r="J46" i="109"/>
  <c r="J51" i="109" s="1"/>
  <c r="J47" i="109"/>
  <c r="J52" i="109" s="1"/>
  <c r="W21" i="133" s="1"/>
  <c r="J40" i="109"/>
  <c r="J43" i="109"/>
  <c r="J39" i="109"/>
  <c r="J36" i="109"/>
  <c r="J35" i="109"/>
  <c r="J37" i="109"/>
  <c r="J41" i="109"/>
  <c r="J38" i="109"/>
  <c r="J34" i="109"/>
  <c r="J42" i="109"/>
  <c r="I11" i="109"/>
  <c r="U49" i="16"/>
  <c r="V49" i="16"/>
  <c r="U6" i="16"/>
  <c r="I11" i="99"/>
  <c r="V6" i="16"/>
  <c r="K47" i="99"/>
  <c r="K52" i="99" s="1"/>
  <c r="K46" i="99"/>
  <c r="K51" i="99"/>
  <c r="K35" i="99"/>
  <c r="K36" i="99"/>
  <c r="K39" i="99"/>
  <c r="K40" i="99"/>
  <c r="K43" i="99"/>
  <c r="K42" i="99"/>
  <c r="K41" i="99"/>
  <c r="K34" i="99"/>
  <c r="K38" i="99"/>
  <c r="K37" i="99"/>
  <c r="J47" i="92"/>
  <c r="J52" i="92" s="1"/>
  <c r="J46" i="92"/>
  <c r="J35" i="92"/>
  <c r="J36" i="92"/>
  <c r="J43" i="92"/>
  <c r="J40" i="92"/>
  <c r="J39" i="92"/>
  <c r="J37" i="92"/>
  <c r="J41" i="92"/>
  <c r="J34" i="92"/>
  <c r="J38" i="92"/>
  <c r="J42" i="92"/>
  <c r="K46" i="128"/>
  <c r="K47" i="128"/>
  <c r="K52" i="128" s="1"/>
  <c r="K36" i="128"/>
  <c r="K39" i="128"/>
  <c r="K40" i="128"/>
  <c r="K43" i="128"/>
  <c r="K35" i="128"/>
  <c r="K42" i="128"/>
  <c r="K41" i="128"/>
  <c r="K34" i="128"/>
  <c r="K38" i="128"/>
  <c r="K37" i="128"/>
  <c r="L47" i="76"/>
  <c r="L52" i="76" s="1"/>
  <c r="L46" i="76"/>
  <c r="L51" i="76" s="1"/>
  <c r="L35" i="76"/>
  <c r="L36" i="76"/>
  <c r="L39" i="76"/>
  <c r="L40" i="76"/>
  <c r="L43" i="76"/>
  <c r="L41" i="76"/>
  <c r="L38" i="76"/>
  <c r="L34" i="76"/>
  <c r="L37" i="76"/>
  <c r="L42" i="76"/>
  <c r="J46" i="74"/>
  <c r="J47" i="74"/>
  <c r="J52" i="74" s="1"/>
  <c r="J36" i="74"/>
  <c r="J43" i="74"/>
  <c r="J39" i="74"/>
  <c r="J40" i="74"/>
  <c r="J35" i="74"/>
  <c r="J42" i="74"/>
  <c r="J34" i="74"/>
  <c r="J37" i="74"/>
  <c r="J41" i="74"/>
  <c r="J38" i="74"/>
  <c r="I11" i="74"/>
  <c r="U31" i="16"/>
  <c r="V31" i="16"/>
  <c r="K47" i="100"/>
  <c r="K52" i="100" s="1"/>
  <c r="K46" i="100"/>
  <c r="K35" i="100"/>
  <c r="K39" i="100"/>
  <c r="K43" i="100"/>
  <c r="K36" i="100"/>
  <c r="K40" i="100"/>
  <c r="K38" i="100"/>
  <c r="K42" i="100"/>
  <c r="K41" i="100"/>
  <c r="K34" i="100"/>
  <c r="K37" i="100"/>
  <c r="J46" i="90"/>
  <c r="J47" i="90"/>
  <c r="J52" i="90" s="1"/>
  <c r="J36" i="90"/>
  <c r="J43" i="90"/>
  <c r="J39" i="90"/>
  <c r="J40" i="90"/>
  <c r="J35" i="90"/>
  <c r="J42" i="90"/>
  <c r="J34" i="90"/>
  <c r="J37" i="90"/>
  <c r="J41" i="90"/>
  <c r="J38" i="90"/>
  <c r="I11" i="90"/>
  <c r="U15" i="16"/>
  <c r="V15" i="16"/>
  <c r="K47" i="95"/>
  <c r="K52" i="95" s="1"/>
  <c r="K46" i="95"/>
  <c r="K36" i="95"/>
  <c r="K40" i="95"/>
  <c r="K39" i="95"/>
  <c r="K43" i="95"/>
  <c r="K35" i="95"/>
  <c r="K41" i="95"/>
  <c r="K34" i="95"/>
  <c r="K38" i="95"/>
  <c r="K42" i="95"/>
  <c r="K37" i="95"/>
  <c r="J46" i="107"/>
  <c r="J47" i="107"/>
  <c r="J52" i="107" s="1"/>
  <c r="J40" i="107"/>
  <c r="J43" i="107"/>
  <c r="J39" i="107"/>
  <c r="J35" i="107"/>
  <c r="J36" i="107"/>
  <c r="J34" i="107"/>
  <c r="J37" i="107"/>
  <c r="J38" i="107"/>
  <c r="J42" i="107"/>
  <c r="J41" i="107"/>
  <c r="U47" i="16"/>
  <c r="I11" i="107"/>
  <c r="V47" i="16"/>
  <c r="K46" i="93"/>
  <c r="K47" i="93"/>
  <c r="K52" i="93" s="1"/>
  <c r="K51" i="93"/>
  <c r="K36" i="93"/>
  <c r="K40" i="93"/>
  <c r="K39" i="93"/>
  <c r="K43" i="93"/>
  <c r="K35" i="93"/>
  <c r="K38" i="93"/>
  <c r="K41" i="93"/>
  <c r="K42" i="93"/>
  <c r="K37" i="93"/>
  <c r="K34" i="93"/>
  <c r="L46" i="108"/>
  <c r="L47" i="108"/>
  <c r="L52" i="108" s="1"/>
  <c r="Y24" i="133" s="1"/>
  <c r="L36" i="108"/>
  <c r="L40" i="108"/>
  <c r="L35" i="108"/>
  <c r="L39" i="108"/>
  <c r="L43" i="108"/>
  <c r="L37" i="108"/>
  <c r="L38" i="108"/>
  <c r="L34" i="108"/>
  <c r="L41" i="108"/>
  <c r="L42" i="108"/>
  <c r="M46" i="126"/>
  <c r="M47" i="126"/>
  <c r="M52" i="126" s="1"/>
  <c r="M39" i="126"/>
  <c r="M40" i="126"/>
  <c r="M43" i="126"/>
  <c r="M36" i="126"/>
  <c r="M35" i="126"/>
  <c r="M37" i="126"/>
  <c r="M42" i="126"/>
  <c r="M38" i="126"/>
  <c r="M41" i="126"/>
  <c r="M34" i="126"/>
  <c r="J47" i="78"/>
  <c r="J52" i="78" s="1"/>
  <c r="J46" i="78"/>
  <c r="J35" i="78"/>
  <c r="J36" i="78"/>
  <c r="J43" i="78"/>
  <c r="J39" i="78"/>
  <c r="J40" i="78"/>
  <c r="J38" i="78"/>
  <c r="J42" i="78"/>
  <c r="J34" i="78"/>
  <c r="J37" i="78"/>
  <c r="J41" i="78"/>
  <c r="I11" i="78"/>
  <c r="U35" i="16"/>
  <c r="V35" i="16"/>
  <c r="M46" i="83"/>
  <c r="M51" i="83" s="1"/>
  <c r="M47" i="83"/>
  <c r="M52" i="83" s="1"/>
  <c r="M43" i="83"/>
  <c r="M40" i="83"/>
  <c r="M39" i="83"/>
  <c r="M35" i="83"/>
  <c r="M36" i="83"/>
  <c r="M42" i="83"/>
  <c r="M41" i="83"/>
  <c r="M38" i="83"/>
  <c r="M37" i="83"/>
  <c r="M34" i="83"/>
  <c r="L46" i="94"/>
  <c r="L51" i="94" s="1"/>
  <c r="L47" i="94"/>
  <c r="L52" i="94" s="1"/>
  <c r="L35" i="94"/>
  <c r="L39" i="94"/>
  <c r="L40" i="94"/>
  <c r="L36" i="94"/>
  <c r="L43" i="94"/>
  <c r="L38" i="94"/>
  <c r="L41" i="94"/>
  <c r="L34" i="94"/>
  <c r="L37" i="94"/>
  <c r="L42" i="94"/>
  <c r="K47" i="80"/>
  <c r="K52" i="80" s="1"/>
  <c r="K46" i="80"/>
  <c r="K36" i="80"/>
  <c r="K40" i="80"/>
  <c r="K39" i="80"/>
  <c r="K43" i="80"/>
  <c r="K35" i="80"/>
  <c r="K42" i="80"/>
  <c r="K34" i="80"/>
  <c r="K37" i="80"/>
  <c r="K38" i="80"/>
  <c r="K41" i="80"/>
  <c r="J46" i="86"/>
  <c r="J47" i="86"/>
  <c r="J52" i="86" s="1"/>
  <c r="J39" i="86"/>
  <c r="J35" i="86"/>
  <c r="J36" i="86"/>
  <c r="J40" i="86"/>
  <c r="J43" i="86"/>
  <c r="J34" i="86"/>
  <c r="J37" i="86"/>
  <c r="J38" i="86"/>
  <c r="J42" i="86"/>
  <c r="J41" i="86"/>
  <c r="I11" i="86"/>
  <c r="U43" i="16"/>
  <c r="V43" i="16"/>
  <c r="M47" i="9"/>
  <c r="M52" i="9" s="1"/>
  <c r="M46" i="9"/>
  <c r="M39" i="9"/>
  <c r="M36" i="9"/>
  <c r="M35" i="9"/>
  <c r="M40" i="9"/>
  <c r="M43" i="9"/>
  <c r="M41" i="9"/>
  <c r="M37" i="9"/>
  <c r="M42" i="9"/>
  <c r="M38" i="9"/>
  <c r="M34" i="9"/>
  <c r="L46" i="96"/>
  <c r="L51" i="96" s="1"/>
  <c r="L47" i="96"/>
  <c r="L52" i="96" s="1"/>
  <c r="L40" i="96"/>
  <c r="L43" i="96"/>
  <c r="L35" i="96"/>
  <c r="L36" i="96"/>
  <c r="L39" i="96"/>
  <c r="L41" i="96"/>
  <c r="L38" i="96"/>
  <c r="L34" i="96"/>
  <c r="L37" i="96"/>
  <c r="L42" i="96"/>
  <c r="J47" i="89"/>
  <c r="J52" i="89" s="1"/>
  <c r="J46" i="89"/>
  <c r="J43" i="89"/>
  <c r="J39" i="89"/>
  <c r="J35" i="89"/>
  <c r="J36" i="89"/>
  <c r="J40" i="89"/>
  <c r="J38" i="89"/>
  <c r="J37" i="89"/>
  <c r="J42" i="89"/>
  <c r="J41" i="89"/>
  <c r="J34" i="89"/>
  <c r="K47" i="81"/>
  <c r="K52" i="81" s="1"/>
  <c r="K46" i="81"/>
  <c r="K51" i="81" s="1"/>
  <c r="K39" i="81"/>
  <c r="K43" i="81"/>
  <c r="K35" i="81"/>
  <c r="K36" i="81"/>
  <c r="K40" i="81"/>
  <c r="K34" i="81"/>
  <c r="K38" i="81"/>
  <c r="K37" i="81"/>
  <c r="K42" i="81"/>
  <c r="K41" i="81"/>
  <c r="L47" i="101"/>
  <c r="L52" i="101" s="1"/>
  <c r="L46" i="101"/>
  <c r="L36" i="101"/>
  <c r="L40" i="101"/>
  <c r="L35" i="101"/>
  <c r="L39" i="101"/>
  <c r="L43" i="101"/>
  <c r="L41" i="101"/>
  <c r="L38" i="101"/>
  <c r="L37" i="101"/>
  <c r="L34" i="101"/>
  <c r="L42" i="101"/>
  <c r="K46" i="102"/>
  <c r="K47" i="102"/>
  <c r="K52" i="102" s="1"/>
  <c r="K36" i="102"/>
  <c r="K35" i="102"/>
  <c r="K40" i="102"/>
  <c r="K39" i="102"/>
  <c r="K43" i="102"/>
  <c r="K38" i="102"/>
  <c r="K41" i="102"/>
  <c r="K42" i="102"/>
  <c r="K34" i="102"/>
  <c r="K37" i="102"/>
  <c r="L46" i="124"/>
  <c r="L47" i="124"/>
  <c r="L52" i="124" s="1"/>
  <c r="L35" i="124"/>
  <c r="L39" i="124"/>
  <c r="L40" i="124"/>
  <c r="L36" i="124"/>
  <c r="L43" i="124"/>
  <c r="L38" i="124"/>
  <c r="L41" i="124"/>
  <c r="L34" i="124"/>
  <c r="L37" i="124"/>
  <c r="L42" i="124"/>
  <c r="M46" i="77"/>
  <c r="M51" i="77" s="1"/>
  <c r="M47" i="77"/>
  <c r="M52" i="77" s="1"/>
  <c r="M43" i="77"/>
  <c r="M40" i="77"/>
  <c r="M35" i="77"/>
  <c r="M39" i="77"/>
  <c r="M36" i="77"/>
  <c r="M37" i="77"/>
  <c r="M42" i="77"/>
  <c r="M41" i="77"/>
  <c r="M38" i="77"/>
  <c r="M34" i="77"/>
  <c r="L47" i="89"/>
  <c r="L52" i="89" s="1"/>
  <c r="L46" i="89"/>
  <c r="L36" i="89"/>
  <c r="L43" i="89"/>
  <c r="L40" i="89"/>
  <c r="L35" i="89"/>
  <c r="L39" i="89"/>
  <c r="L38" i="89"/>
  <c r="L37" i="89"/>
  <c r="L34" i="89"/>
  <c r="L41" i="89"/>
  <c r="L42" i="89"/>
  <c r="K47" i="125"/>
  <c r="K52" i="125" s="1"/>
  <c r="K46" i="125"/>
  <c r="K51" i="125" s="1"/>
  <c r="K39" i="125"/>
  <c r="K43" i="125"/>
  <c r="K36" i="125"/>
  <c r="K35" i="125"/>
  <c r="K40" i="125"/>
  <c r="K41" i="125"/>
  <c r="K42" i="125"/>
  <c r="K34" i="125"/>
  <c r="K37" i="125"/>
  <c r="K38" i="125"/>
  <c r="J47" i="84"/>
  <c r="J52" i="84" s="1"/>
  <c r="J46" i="84"/>
  <c r="J39" i="84"/>
  <c r="J36" i="84"/>
  <c r="J35" i="84"/>
  <c r="J43" i="84"/>
  <c r="J40" i="84"/>
  <c r="J37" i="84"/>
  <c r="J41" i="84"/>
  <c r="J38" i="84"/>
  <c r="J34" i="84"/>
  <c r="J42" i="84"/>
  <c r="I11" i="84"/>
  <c r="U41" i="16"/>
  <c r="V41" i="16"/>
  <c r="K47" i="88"/>
  <c r="K52" i="88" s="1"/>
  <c r="K46" i="88"/>
  <c r="K43" i="88"/>
  <c r="K35" i="88"/>
  <c r="K36" i="88"/>
  <c r="K40" i="88"/>
  <c r="K39" i="88"/>
  <c r="K34" i="88"/>
  <c r="K37" i="88"/>
  <c r="K38" i="88"/>
  <c r="K41" i="88"/>
  <c r="K42" i="88"/>
  <c r="J46" i="82"/>
  <c r="J51" i="82" s="1"/>
  <c r="J47" i="82"/>
  <c r="J52" i="82" s="1"/>
  <c r="J35" i="82"/>
  <c r="J43" i="82"/>
  <c r="J40" i="82"/>
  <c r="J39" i="82"/>
  <c r="J36" i="82"/>
  <c r="J34" i="82"/>
  <c r="J37" i="82"/>
  <c r="J38" i="82"/>
  <c r="J42" i="82"/>
  <c r="J41" i="82"/>
  <c r="I11" i="82"/>
  <c r="U39" i="16"/>
  <c r="V39" i="16"/>
  <c r="K11" i="98"/>
  <c r="J46" i="104"/>
  <c r="J47" i="104"/>
  <c r="J52" i="104" s="1"/>
  <c r="J36" i="104"/>
  <c r="J39" i="104"/>
  <c r="J40" i="104"/>
  <c r="J35" i="104"/>
  <c r="J43" i="104"/>
  <c r="J34" i="104"/>
  <c r="J37" i="104"/>
  <c r="J41" i="104"/>
  <c r="J38" i="104"/>
  <c r="J42" i="104"/>
  <c r="I11" i="104"/>
  <c r="U11" i="16"/>
  <c r="V11" i="16"/>
  <c r="K47" i="127"/>
  <c r="K52" i="127" s="1"/>
  <c r="K46" i="127"/>
  <c r="K51" i="127" s="1"/>
  <c r="K39" i="127"/>
  <c r="K43" i="127"/>
  <c r="K36" i="127"/>
  <c r="K40" i="127"/>
  <c r="K35" i="127"/>
  <c r="K42" i="127"/>
  <c r="K41" i="127"/>
  <c r="K34" i="127"/>
  <c r="K37" i="127"/>
  <c r="K38" i="127"/>
  <c r="M47" i="105"/>
  <c r="M52" i="105" s="1"/>
  <c r="M46" i="105"/>
  <c r="M51" i="105" s="1"/>
  <c r="M40" i="105"/>
  <c r="M43" i="105"/>
  <c r="M36" i="105"/>
  <c r="M35" i="105"/>
  <c r="M39" i="105"/>
  <c r="M38" i="105"/>
  <c r="M41" i="105"/>
  <c r="M37" i="105"/>
  <c r="M42" i="105"/>
  <c r="M34" i="105"/>
  <c r="L46" i="79"/>
  <c r="L51" i="79" s="1"/>
  <c r="L47" i="79"/>
  <c r="L52" i="79" s="1"/>
  <c r="L35" i="79"/>
  <c r="L36" i="79"/>
  <c r="L39" i="79"/>
  <c r="L40" i="79"/>
  <c r="L43" i="79"/>
  <c r="L38" i="79"/>
  <c r="L34" i="79"/>
  <c r="L37" i="79"/>
  <c r="L41" i="79"/>
  <c r="L42" i="79"/>
  <c r="M46" i="91"/>
  <c r="M51" i="91" s="1"/>
  <c r="M47" i="91"/>
  <c r="M52" i="91" s="1"/>
  <c r="M40" i="91"/>
  <c r="M43" i="91"/>
  <c r="M36" i="91"/>
  <c r="M35" i="91"/>
  <c r="M39" i="91"/>
  <c r="M42" i="91"/>
  <c r="M38" i="91"/>
  <c r="M41" i="91"/>
  <c r="M37" i="91"/>
  <c r="M34" i="91"/>
  <c r="J46" i="123"/>
  <c r="J47" i="123"/>
  <c r="J52" i="123" s="1"/>
  <c r="J39" i="123"/>
  <c r="J40" i="123"/>
  <c r="J35" i="123"/>
  <c r="J36" i="123"/>
  <c r="J43" i="123"/>
  <c r="J34" i="123"/>
  <c r="J37" i="123"/>
  <c r="J41" i="123"/>
  <c r="J38" i="123"/>
  <c r="J42" i="123"/>
  <c r="U23" i="16"/>
  <c r="I11" i="123"/>
  <c r="V23" i="16"/>
  <c r="M47" i="121"/>
  <c r="M52" i="121" s="1"/>
  <c r="M46" i="121"/>
  <c r="M51" i="121" s="1"/>
  <c r="M40" i="121"/>
  <c r="M35" i="121"/>
  <c r="M39" i="121"/>
  <c r="M36" i="121"/>
  <c r="M43" i="121"/>
  <c r="M42" i="121"/>
  <c r="M41" i="121"/>
  <c r="M38" i="121"/>
  <c r="M37" i="121"/>
  <c r="M34" i="121"/>
  <c r="L46" i="75"/>
  <c r="L47" i="75"/>
  <c r="L52" i="75" s="1"/>
  <c r="L36" i="75"/>
  <c r="L39" i="75"/>
  <c r="L40" i="75"/>
  <c r="L43" i="75"/>
  <c r="L35" i="75"/>
  <c r="L37" i="75"/>
  <c r="L41" i="75"/>
  <c r="L38" i="75"/>
  <c r="L34" i="75"/>
  <c r="L42" i="75"/>
  <c r="M47" i="97"/>
  <c r="M52" i="97" s="1"/>
  <c r="M46" i="97"/>
  <c r="M40" i="97"/>
  <c r="M43" i="97"/>
  <c r="M36" i="97"/>
  <c r="M35" i="97"/>
  <c r="M39" i="97"/>
  <c r="M38" i="97"/>
  <c r="M41" i="97"/>
  <c r="M37" i="97"/>
  <c r="M42" i="97"/>
  <c r="M34" i="97"/>
  <c r="J46" i="87"/>
  <c r="J47" i="87"/>
  <c r="J52" i="87" s="1"/>
  <c r="J36" i="87"/>
  <c r="J40" i="87"/>
  <c r="J39" i="87"/>
  <c r="J35" i="87"/>
  <c r="J43" i="87"/>
  <c r="J37" i="87"/>
  <c r="J34" i="87"/>
  <c r="J41" i="87"/>
  <c r="J38" i="87"/>
  <c r="J42" i="87"/>
  <c r="M46" i="109"/>
  <c r="M47" i="109"/>
  <c r="M52" i="109" s="1"/>
  <c r="Z21" i="133" s="1"/>
  <c r="M40" i="109"/>
  <c r="M35" i="109"/>
  <c r="M39" i="109"/>
  <c r="M36" i="109"/>
  <c r="M43" i="109"/>
  <c r="M37" i="109"/>
  <c r="M42" i="109"/>
  <c r="M38" i="109"/>
  <c r="M41" i="109"/>
  <c r="M34" i="109"/>
  <c r="M46" i="99"/>
  <c r="M51" i="99" s="1"/>
  <c r="M47" i="99"/>
  <c r="M52" i="99" s="1"/>
  <c r="M40" i="99"/>
  <c r="M43" i="99"/>
  <c r="M39" i="99"/>
  <c r="M36" i="99"/>
  <c r="M35" i="99"/>
  <c r="M42" i="99"/>
  <c r="M38" i="99"/>
  <c r="M41" i="99"/>
  <c r="M37" i="99"/>
  <c r="M34" i="99"/>
  <c r="L47" i="92"/>
  <c r="L52" i="92" s="1"/>
  <c r="L46" i="92"/>
  <c r="L35" i="92"/>
  <c r="L36" i="92"/>
  <c r="L39" i="92"/>
  <c r="L40" i="92"/>
  <c r="L43" i="92"/>
  <c r="L41" i="92"/>
  <c r="L38" i="92"/>
  <c r="L34" i="92"/>
  <c r="L37" i="92"/>
  <c r="L42" i="92"/>
  <c r="J47" i="76"/>
  <c r="J52" i="76" s="1"/>
  <c r="J46" i="76"/>
  <c r="J51" i="76" s="1"/>
  <c r="J35" i="76"/>
  <c r="J43" i="76"/>
  <c r="J36" i="76"/>
  <c r="J39" i="76"/>
  <c r="J40" i="76"/>
  <c r="J37" i="76"/>
  <c r="J38" i="76"/>
  <c r="J34" i="76"/>
  <c r="J42" i="76"/>
  <c r="J41" i="76"/>
  <c r="I11" i="76"/>
  <c r="U33" i="16"/>
  <c r="V33" i="16"/>
  <c r="M46" i="74"/>
  <c r="M47" i="74"/>
  <c r="M52" i="74" s="1"/>
  <c r="M39" i="74"/>
  <c r="M35" i="74"/>
  <c r="M40" i="74"/>
  <c r="M43" i="74"/>
  <c r="M36" i="74"/>
  <c r="M37" i="74"/>
  <c r="M42" i="74"/>
  <c r="M38" i="74"/>
  <c r="M41" i="74"/>
  <c r="M34" i="74"/>
  <c r="L46" i="100"/>
  <c r="L51" i="100" s="1"/>
  <c r="L47" i="100"/>
  <c r="L52" i="100" s="1"/>
  <c r="L39" i="100"/>
  <c r="L36" i="100"/>
  <c r="L43" i="100"/>
  <c r="L40" i="100"/>
  <c r="L35" i="100"/>
  <c r="L41" i="100"/>
  <c r="L37" i="100"/>
  <c r="L38" i="100"/>
  <c r="L34" i="100"/>
  <c r="L42" i="100"/>
  <c r="M46" i="90"/>
  <c r="M51" i="90" s="1"/>
  <c r="M47" i="90"/>
  <c r="M52" i="90" s="1"/>
  <c r="M39" i="90"/>
  <c r="M35" i="90"/>
  <c r="M40" i="90"/>
  <c r="M43" i="90"/>
  <c r="M36" i="90"/>
  <c r="M37" i="90"/>
  <c r="M42" i="90"/>
  <c r="M38" i="90"/>
  <c r="M41" i="90"/>
  <c r="M34" i="90"/>
  <c r="L46" i="95"/>
  <c r="L47" i="95"/>
  <c r="L52" i="95" s="1"/>
  <c r="L43" i="95"/>
  <c r="L36" i="95"/>
  <c r="L40" i="95"/>
  <c r="L35" i="95"/>
  <c r="L39" i="95"/>
  <c r="L38" i="95"/>
  <c r="L34" i="95"/>
  <c r="L37" i="95"/>
  <c r="L41" i="95"/>
  <c r="L42" i="95"/>
  <c r="M46" i="107"/>
  <c r="M51" i="107" s="1"/>
  <c r="M47" i="107"/>
  <c r="M52" i="107" s="1"/>
  <c r="M43" i="107"/>
  <c r="M36" i="107"/>
  <c r="M35" i="107"/>
  <c r="M39" i="107"/>
  <c r="M40" i="107"/>
  <c r="M37" i="107"/>
  <c r="M42" i="107"/>
  <c r="M41" i="107"/>
  <c r="M38" i="107"/>
  <c r="M34" i="107"/>
  <c r="L46" i="93"/>
  <c r="L47" i="93"/>
  <c r="L52" i="93" s="1"/>
  <c r="L36" i="93"/>
  <c r="L39" i="93"/>
  <c r="L40" i="93"/>
  <c r="L43" i="93"/>
  <c r="L35" i="93"/>
  <c r="L38" i="93"/>
  <c r="L34" i="93"/>
  <c r="L37" i="93"/>
  <c r="L41" i="93"/>
  <c r="L42" i="93"/>
  <c r="I11" i="108"/>
  <c r="U48" i="16"/>
  <c r="V48" i="16"/>
  <c r="K46" i="108"/>
  <c r="K47" i="108"/>
  <c r="K52" i="108" s="1"/>
  <c r="X24" i="133" s="1"/>
  <c r="K36" i="108"/>
  <c r="K39" i="108"/>
  <c r="K40" i="108"/>
  <c r="K43" i="108"/>
  <c r="K35" i="108"/>
  <c r="K41" i="108"/>
  <c r="K34" i="108"/>
  <c r="K42" i="108"/>
  <c r="K38" i="108"/>
  <c r="K37" i="108"/>
  <c r="J46" i="126"/>
  <c r="J47" i="126"/>
  <c r="J52" i="126" s="1"/>
  <c r="J40" i="126"/>
  <c r="J43" i="126"/>
  <c r="J39" i="126"/>
  <c r="J35" i="126"/>
  <c r="J36" i="126"/>
  <c r="J34" i="126"/>
  <c r="J38" i="126"/>
  <c r="J42" i="126"/>
  <c r="J37" i="126"/>
  <c r="J41" i="126"/>
  <c r="M46" i="78"/>
  <c r="M47" i="78"/>
  <c r="M52" i="78" s="1"/>
  <c r="M40" i="78"/>
  <c r="M43" i="78"/>
  <c r="M36" i="78"/>
  <c r="M35" i="78"/>
  <c r="M39" i="78"/>
  <c r="M38" i="78"/>
  <c r="M37" i="78"/>
  <c r="M42" i="78"/>
  <c r="M41" i="78"/>
  <c r="M34" i="78"/>
  <c r="J46" i="83"/>
  <c r="J47" i="83"/>
  <c r="J52" i="83" s="1"/>
  <c r="J39" i="83"/>
  <c r="J40" i="83"/>
  <c r="J35" i="83"/>
  <c r="J36" i="83"/>
  <c r="J43" i="83"/>
  <c r="J34" i="83"/>
  <c r="J41" i="83"/>
  <c r="J38" i="83"/>
  <c r="J42" i="83"/>
  <c r="J37" i="83"/>
  <c r="I11" i="94"/>
  <c r="V26" i="16"/>
  <c r="U26" i="16"/>
  <c r="K46" i="94"/>
  <c r="K47" i="94"/>
  <c r="K52" i="94" s="1"/>
  <c r="K43" i="94"/>
  <c r="K35" i="94"/>
  <c r="K40" i="94"/>
  <c r="K36" i="94"/>
  <c r="K39" i="94"/>
  <c r="K42" i="94"/>
  <c r="K37" i="94"/>
  <c r="K41" i="94"/>
  <c r="K38" i="94"/>
  <c r="K34" i="94"/>
  <c r="L46" i="80"/>
  <c r="L51" i="80" s="1"/>
  <c r="L47" i="80"/>
  <c r="L52" i="80" s="1"/>
  <c r="L40" i="80"/>
  <c r="L43" i="80"/>
  <c r="L35" i="80"/>
  <c r="L36" i="80"/>
  <c r="L39" i="80"/>
  <c r="L41" i="80"/>
  <c r="L38" i="80"/>
  <c r="L34" i="80"/>
  <c r="L37" i="80"/>
  <c r="L42" i="80"/>
  <c r="M46" i="86"/>
  <c r="M47" i="86"/>
  <c r="M52" i="86" s="1"/>
  <c r="M36" i="86"/>
  <c r="M35" i="86"/>
  <c r="M39" i="86"/>
  <c r="M40" i="86"/>
  <c r="M43" i="86"/>
  <c r="M42" i="86"/>
  <c r="M41" i="86"/>
  <c r="M38" i="86"/>
  <c r="M37" i="86"/>
  <c r="M34" i="86"/>
  <c r="J47" i="9"/>
  <c r="J52" i="9" s="1"/>
  <c r="J46" i="9"/>
  <c r="J39" i="9"/>
  <c r="J35" i="9"/>
  <c r="J36" i="9"/>
  <c r="J40" i="9"/>
  <c r="J43" i="9"/>
  <c r="J38" i="9"/>
  <c r="J37" i="9"/>
  <c r="J42" i="9"/>
  <c r="J41" i="9"/>
  <c r="J34" i="9"/>
  <c r="U28" i="16"/>
  <c r="I11" i="96"/>
  <c r="V28" i="16"/>
  <c r="K47" i="96"/>
  <c r="K52" i="96" s="1"/>
  <c r="K46" i="96"/>
  <c r="K43" i="96"/>
  <c r="K40" i="96"/>
  <c r="K35" i="96"/>
  <c r="K36" i="96"/>
  <c r="K39" i="96"/>
  <c r="K37" i="96"/>
  <c r="K42" i="96"/>
  <c r="K38" i="96"/>
  <c r="K41" i="96"/>
  <c r="K34" i="96"/>
  <c r="I11" i="129"/>
  <c r="K46" i="101"/>
  <c r="K51" i="101" s="1"/>
  <c r="K47" i="101"/>
  <c r="K52" i="101" s="1"/>
  <c r="K35" i="101"/>
  <c r="K39" i="101"/>
  <c r="K43" i="101"/>
  <c r="K36" i="101"/>
  <c r="K40" i="101"/>
  <c r="K42" i="101"/>
  <c r="K41" i="101"/>
  <c r="K34" i="101"/>
  <c r="K38" i="101"/>
  <c r="K37" i="101"/>
  <c r="L46" i="102"/>
  <c r="L47" i="102"/>
  <c r="L52" i="102" s="1"/>
  <c r="L36" i="102"/>
  <c r="L35" i="102"/>
  <c r="L39" i="102"/>
  <c r="L40" i="102"/>
  <c r="L43" i="102"/>
  <c r="L38" i="102"/>
  <c r="L37" i="102"/>
  <c r="L34" i="102"/>
  <c r="L41" i="102"/>
  <c r="L42" i="102"/>
  <c r="U22" i="16"/>
  <c r="I11" i="124"/>
  <c r="V22" i="16"/>
  <c r="K47" i="124"/>
  <c r="K52" i="124" s="1"/>
  <c r="K46" i="124"/>
  <c r="K51" i="124" s="1"/>
  <c r="K35" i="124"/>
  <c r="K36" i="124"/>
  <c r="K39" i="124"/>
  <c r="K40" i="124"/>
  <c r="K43" i="124"/>
  <c r="K41" i="124"/>
  <c r="K34" i="124"/>
  <c r="K42" i="124"/>
  <c r="K38" i="124"/>
  <c r="K37" i="124"/>
  <c r="J47" i="77"/>
  <c r="J52" i="77" s="1"/>
  <c r="J46" i="77"/>
  <c r="J51" i="77" s="1"/>
  <c r="J40" i="77"/>
  <c r="J43" i="77"/>
  <c r="J39" i="77"/>
  <c r="J36" i="77"/>
  <c r="J35" i="77"/>
  <c r="J34" i="77"/>
  <c r="J42" i="77"/>
  <c r="J37" i="77"/>
  <c r="J41" i="77"/>
  <c r="J38" i="77"/>
  <c r="L46" i="125"/>
  <c r="L51" i="125" s="1"/>
  <c r="L47" i="125"/>
  <c r="L52" i="125" s="1"/>
  <c r="L40" i="125"/>
  <c r="L43" i="125"/>
  <c r="L35" i="125"/>
  <c r="L36" i="125"/>
  <c r="L39" i="125"/>
  <c r="L41" i="125"/>
  <c r="L38" i="125"/>
  <c r="L34" i="125"/>
  <c r="L37" i="125"/>
  <c r="L42" i="125"/>
  <c r="M46" i="84"/>
  <c r="M47" i="84"/>
  <c r="M52" i="84" s="1"/>
  <c r="M43" i="84"/>
  <c r="M40" i="84"/>
  <c r="M35" i="84"/>
  <c r="M39" i="84"/>
  <c r="M36" i="84"/>
  <c r="M38" i="84"/>
  <c r="M41" i="84"/>
  <c r="M37" i="84"/>
  <c r="M42" i="84"/>
  <c r="M34" i="84"/>
  <c r="L47" i="88"/>
  <c r="L52" i="88" s="1"/>
  <c r="L46" i="88"/>
  <c r="L40" i="88"/>
  <c r="L35" i="88"/>
  <c r="L39" i="88"/>
  <c r="L36" i="88"/>
  <c r="L43" i="88"/>
  <c r="L41" i="88"/>
  <c r="L38" i="88"/>
  <c r="L34" i="88"/>
  <c r="L37" i="88"/>
  <c r="L42" i="88"/>
  <c r="M47" i="82"/>
  <c r="M52" i="82" s="1"/>
  <c r="M46" i="82"/>
  <c r="M51" i="82" s="1"/>
  <c r="M39" i="82"/>
  <c r="M40" i="82"/>
  <c r="M43" i="82"/>
  <c r="M36" i="82"/>
  <c r="M35" i="82"/>
  <c r="M42" i="82"/>
  <c r="M41" i="82"/>
  <c r="M38" i="82"/>
  <c r="M37" i="82"/>
  <c r="M34" i="82"/>
  <c r="L11" i="98"/>
  <c r="M46" i="104"/>
  <c r="M51" i="104" s="1"/>
  <c r="M47" i="104"/>
  <c r="M52" i="104" s="1"/>
  <c r="M40" i="104"/>
  <c r="M43" i="104"/>
  <c r="M36" i="104"/>
  <c r="M39" i="104"/>
  <c r="M35" i="104"/>
  <c r="M42" i="104"/>
  <c r="M38" i="104"/>
  <c r="M41" i="104"/>
  <c r="M37" i="104"/>
  <c r="M34" i="104"/>
  <c r="L47" i="127"/>
  <c r="L52" i="127" s="1"/>
  <c r="L46" i="127"/>
  <c r="L40" i="127"/>
  <c r="L35" i="127"/>
  <c r="L39" i="127"/>
  <c r="L43" i="127"/>
  <c r="L36" i="127"/>
  <c r="L41" i="127"/>
  <c r="L38" i="127"/>
  <c r="L34" i="127"/>
  <c r="L37" i="127"/>
  <c r="L42" i="127"/>
  <c r="M47" i="106"/>
  <c r="M52" i="106" s="1"/>
  <c r="M46" i="106"/>
  <c r="M51" i="106" s="1"/>
  <c r="M40" i="106"/>
  <c r="M43" i="106"/>
  <c r="M36" i="106"/>
  <c r="M35" i="106"/>
  <c r="M39" i="106"/>
  <c r="M38" i="106"/>
  <c r="M41" i="106"/>
  <c r="M37" i="106"/>
  <c r="M42" i="106"/>
  <c r="M34" i="106"/>
  <c r="J46" i="105"/>
  <c r="J51" i="105" s="1"/>
  <c r="J47" i="105"/>
  <c r="J52" i="105" s="1"/>
  <c r="J39" i="105"/>
  <c r="J35" i="105"/>
  <c r="J36" i="105"/>
  <c r="J40" i="105"/>
  <c r="J43" i="105"/>
  <c r="J37" i="105"/>
  <c r="J41" i="105"/>
  <c r="J34" i="105"/>
  <c r="J38" i="105"/>
  <c r="J42" i="105"/>
  <c r="U36" i="16"/>
  <c r="I11" i="79"/>
  <c r="V36" i="16"/>
  <c r="K47" i="79"/>
  <c r="K52" i="79" s="1"/>
  <c r="K46" i="79"/>
  <c r="K36" i="79"/>
  <c r="K39" i="79"/>
  <c r="K40" i="79"/>
  <c r="K43" i="79"/>
  <c r="K35" i="79"/>
  <c r="K37" i="79"/>
  <c r="K41" i="79"/>
  <c r="K34" i="79"/>
  <c r="K42" i="79"/>
  <c r="K38" i="79"/>
  <c r="J46" i="91"/>
  <c r="J47" i="91"/>
  <c r="J52" i="91" s="1"/>
  <c r="J40" i="91"/>
  <c r="J39" i="91"/>
  <c r="J35" i="91"/>
  <c r="J36" i="91"/>
  <c r="J43" i="91"/>
  <c r="J42" i="91"/>
  <c r="J37" i="91"/>
  <c r="J41" i="91"/>
  <c r="J34" i="91"/>
  <c r="J38" i="91"/>
  <c r="M47" i="123"/>
  <c r="M52" i="123" s="1"/>
  <c r="M46" i="123"/>
  <c r="M40" i="123"/>
  <c r="M43" i="123"/>
  <c r="M36" i="123"/>
  <c r="M39" i="123"/>
  <c r="M35" i="123"/>
  <c r="M38" i="123"/>
  <c r="M41" i="123"/>
  <c r="M37" i="123"/>
  <c r="M42" i="123"/>
  <c r="M34" i="123"/>
  <c r="J47" i="121"/>
  <c r="J52" i="121" s="1"/>
  <c r="J46" i="121"/>
  <c r="J36" i="121"/>
  <c r="J39" i="121"/>
  <c r="J40" i="121"/>
  <c r="J35" i="121"/>
  <c r="J43" i="121"/>
  <c r="J37" i="121"/>
  <c r="J41" i="121"/>
  <c r="J38" i="121"/>
  <c r="J34" i="121"/>
  <c r="J42" i="121"/>
  <c r="U32" i="16"/>
  <c r="I11" i="75"/>
  <c r="V32" i="16"/>
  <c r="K46" i="75"/>
  <c r="K51" i="75" s="1"/>
  <c r="K47" i="75"/>
  <c r="K52" i="75" s="1"/>
  <c r="K39" i="75"/>
  <c r="K43" i="75"/>
  <c r="K40" i="75"/>
  <c r="K35" i="75"/>
  <c r="K36" i="75"/>
  <c r="K34" i="75"/>
  <c r="K37" i="75"/>
  <c r="K42" i="75"/>
  <c r="K38" i="75"/>
  <c r="K41" i="75"/>
  <c r="K47" i="97"/>
  <c r="K52" i="97" s="1"/>
  <c r="K46" i="97"/>
  <c r="K43" i="97"/>
  <c r="K35" i="97"/>
  <c r="K36" i="97"/>
  <c r="K40" i="97"/>
  <c r="K39" i="97"/>
  <c r="K34" i="97"/>
  <c r="K38" i="97"/>
  <c r="K41" i="97"/>
  <c r="K42" i="97"/>
  <c r="K37" i="97"/>
  <c r="L46" i="87"/>
  <c r="L51" i="87" s="1"/>
  <c r="L47" i="87"/>
  <c r="L52" i="87" s="1"/>
  <c r="L40" i="87"/>
  <c r="L35" i="87"/>
  <c r="L39" i="87"/>
  <c r="L43" i="87"/>
  <c r="L36" i="87"/>
  <c r="L37" i="87"/>
  <c r="L38" i="87"/>
  <c r="L34" i="87"/>
  <c r="L41" i="87"/>
  <c r="L42" i="87"/>
  <c r="K46" i="109"/>
  <c r="K47" i="109"/>
  <c r="K52" i="109" s="1"/>
  <c r="X21" i="133" s="1"/>
  <c r="K39" i="109"/>
  <c r="K43" i="109"/>
  <c r="K35" i="109"/>
  <c r="K36" i="109"/>
  <c r="K40" i="109"/>
  <c r="K34" i="109"/>
  <c r="K37" i="109"/>
  <c r="K38" i="109"/>
  <c r="K41" i="109"/>
  <c r="K42" i="109"/>
  <c r="L47" i="129"/>
  <c r="L52" i="129" s="1"/>
  <c r="L46" i="129"/>
  <c r="L35" i="129"/>
  <c r="L36" i="129"/>
  <c r="L39" i="129"/>
  <c r="L40" i="129"/>
  <c r="L43" i="129"/>
  <c r="L41" i="129"/>
  <c r="L38" i="129"/>
  <c r="L34" i="129"/>
  <c r="L37" i="129"/>
  <c r="L42" i="129"/>
  <c r="J46" i="99"/>
  <c r="J47" i="99"/>
  <c r="J52" i="99" s="1"/>
  <c r="J35" i="99"/>
  <c r="J36" i="99"/>
  <c r="J40" i="99"/>
  <c r="J43" i="99"/>
  <c r="J39" i="99"/>
  <c r="J34" i="99"/>
  <c r="J38" i="99"/>
  <c r="J37" i="99"/>
  <c r="J42" i="99"/>
  <c r="J41" i="99"/>
  <c r="U24" i="16"/>
  <c r="I11" i="92"/>
  <c r="V24" i="16"/>
  <c r="K46" i="92"/>
  <c r="K47" i="92"/>
  <c r="K52" i="92" s="1"/>
  <c r="K35" i="92"/>
  <c r="K36" i="92"/>
  <c r="K39" i="92"/>
  <c r="K43" i="92"/>
  <c r="K40" i="92"/>
  <c r="K42" i="92"/>
  <c r="K38" i="92"/>
  <c r="K41" i="92"/>
  <c r="K34" i="92"/>
  <c r="K37" i="92"/>
  <c r="M46" i="76"/>
  <c r="M47" i="76"/>
  <c r="M52" i="76" s="1"/>
  <c r="M40" i="76"/>
  <c r="M39" i="76"/>
  <c r="M36" i="76"/>
  <c r="M35" i="76"/>
  <c r="M43" i="76"/>
  <c r="M42" i="76"/>
  <c r="M38" i="76"/>
  <c r="M37" i="76"/>
  <c r="M41" i="76"/>
  <c r="M34" i="76"/>
  <c r="K47" i="74"/>
  <c r="K52" i="74" s="1"/>
  <c r="K46" i="74"/>
  <c r="K43" i="74"/>
  <c r="K35" i="74"/>
  <c r="K36" i="74"/>
  <c r="K40" i="74"/>
  <c r="K39" i="74"/>
  <c r="K37" i="74"/>
  <c r="K41" i="74"/>
  <c r="K34" i="74"/>
  <c r="K38" i="74"/>
  <c r="K42" i="74"/>
  <c r="J46" i="100"/>
  <c r="J47" i="100"/>
  <c r="J52" i="100" s="1"/>
  <c r="J39" i="100"/>
  <c r="J40" i="100"/>
  <c r="J35" i="100"/>
  <c r="J36" i="100"/>
  <c r="J43" i="100"/>
  <c r="J34" i="100"/>
  <c r="J37" i="100"/>
  <c r="J41" i="100"/>
  <c r="J38" i="100"/>
  <c r="J42" i="100"/>
  <c r="I11" i="100"/>
  <c r="U7" i="16"/>
  <c r="V7" i="16"/>
  <c r="K47" i="90"/>
  <c r="K52" i="90" s="1"/>
  <c r="K46" i="90"/>
  <c r="K39" i="90"/>
  <c r="K43" i="90"/>
  <c r="K36" i="90"/>
  <c r="K40" i="90"/>
  <c r="K35" i="90"/>
  <c r="K34" i="90"/>
  <c r="K37" i="90"/>
  <c r="K38" i="90"/>
  <c r="K42" i="90"/>
  <c r="K41" i="90"/>
  <c r="J46" i="95"/>
  <c r="J51" i="95" s="1"/>
  <c r="J47" i="95"/>
  <c r="J52" i="95" s="1"/>
  <c r="J36" i="95"/>
  <c r="J43" i="95"/>
  <c r="J39" i="95"/>
  <c r="J40" i="95"/>
  <c r="J35" i="95"/>
  <c r="J34" i="95"/>
  <c r="J37" i="95"/>
  <c r="J41" i="95"/>
  <c r="J38" i="95"/>
  <c r="J42" i="95"/>
  <c r="I11" i="95"/>
  <c r="U27" i="16"/>
  <c r="V27" i="16"/>
  <c r="K47" i="107"/>
  <c r="K52" i="107" s="1"/>
  <c r="K46" i="107"/>
  <c r="K36" i="107"/>
  <c r="K39" i="107"/>
  <c r="K40" i="107"/>
  <c r="K43" i="107"/>
  <c r="K35" i="107"/>
  <c r="K38" i="107"/>
  <c r="K41" i="107"/>
  <c r="K42" i="107"/>
  <c r="K34" i="107"/>
  <c r="K37" i="107"/>
  <c r="J47" i="93"/>
  <c r="J52" i="93" s="1"/>
  <c r="J46" i="93"/>
  <c r="J51" i="93" s="1"/>
  <c r="J36" i="93"/>
  <c r="J39" i="93"/>
  <c r="J40" i="93"/>
  <c r="J35" i="93"/>
  <c r="J43" i="93"/>
  <c r="J38" i="93"/>
  <c r="J34" i="93"/>
  <c r="J37" i="93"/>
  <c r="J42" i="93"/>
  <c r="J41" i="93"/>
  <c r="I11" i="93"/>
  <c r="U25" i="16"/>
  <c r="V25" i="16"/>
  <c r="M46" i="108"/>
  <c r="M47" i="108"/>
  <c r="M52" i="108" s="1"/>
  <c r="Z24" i="133" s="1"/>
  <c r="M39" i="108"/>
  <c r="M35" i="108"/>
  <c r="M36" i="108"/>
  <c r="M43" i="108"/>
  <c r="M40" i="108"/>
  <c r="M37" i="108"/>
  <c r="M42" i="108"/>
  <c r="M41" i="108"/>
  <c r="M38" i="108"/>
  <c r="M34" i="108"/>
  <c r="L46" i="126"/>
  <c r="L51" i="126" s="1"/>
  <c r="L47" i="126"/>
  <c r="L52" i="126" s="1"/>
  <c r="L35" i="126"/>
  <c r="L36" i="126"/>
  <c r="L39" i="126"/>
  <c r="L40" i="126"/>
  <c r="L43" i="126"/>
  <c r="L38" i="126"/>
  <c r="L34" i="126"/>
  <c r="L37" i="126"/>
  <c r="L41" i="126"/>
  <c r="L42" i="126"/>
  <c r="K47" i="78"/>
  <c r="K52" i="78" s="1"/>
  <c r="K46" i="78"/>
  <c r="K39" i="78"/>
  <c r="K35" i="78"/>
  <c r="K36" i="78"/>
  <c r="K40" i="78"/>
  <c r="K43" i="78"/>
  <c r="K37" i="78"/>
  <c r="K41" i="78"/>
  <c r="K34" i="78"/>
  <c r="K42" i="78"/>
  <c r="K38" i="78"/>
  <c r="L47" i="83"/>
  <c r="L52" i="83" s="1"/>
  <c r="L46" i="83"/>
  <c r="L43" i="83"/>
  <c r="L39" i="83"/>
  <c r="L35" i="83"/>
  <c r="L36" i="83"/>
  <c r="L40" i="83"/>
  <c r="L41" i="83"/>
  <c r="L38" i="83"/>
  <c r="L34" i="83"/>
  <c r="L37" i="83"/>
  <c r="L42" i="83"/>
  <c r="M46" i="94"/>
  <c r="M47" i="94"/>
  <c r="M52" i="94" s="1"/>
  <c r="M39" i="94"/>
  <c r="M36" i="94"/>
  <c r="M35" i="94"/>
  <c r="M40" i="94"/>
  <c r="M43" i="94"/>
  <c r="M37" i="94"/>
  <c r="M42" i="94"/>
  <c r="M38" i="94"/>
  <c r="M41" i="94"/>
  <c r="M34" i="94"/>
  <c r="J46" i="80"/>
  <c r="J47" i="80"/>
  <c r="J52" i="80" s="1"/>
  <c r="J39" i="80"/>
  <c r="J40" i="80"/>
  <c r="J35" i="80"/>
  <c r="J43" i="80"/>
  <c r="J36" i="80"/>
  <c r="J34" i="80"/>
  <c r="J42" i="80"/>
  <c r="J41" i="80"/>
  <c r="J37" i="80"/>
  <c r="J38" i="80"/>
  <c r="I11" i="80"/>
  <c r="U37" i="16"/>
  <c r="V37" i="16"/>
  <c r="K47" i="86"/>
  <c r="K52" i="86" s="1"/>
  <c r="K46" i="86"/>
  <c r="K43" i="86"/>
  <c r="K35" i="86"/>
  <c r="K36" i="86"/>
  <c r="K39" i="86"/>
  <c r="K40" i="86"/>
  <c r="K41" i="86"/>
  <c r="K42" i="86"/>
  <c r="K34" i="86"/>
  <c r="K37" i="86"/>
  <c r="K38" i="86"/>
  <c r="L47" i="9"/>
  <c r="L52" i="9" s="1"/>
  <c r="L46" i="9"/>
  <c r="L35" i="9"/>
  <c r="L39" i="9"/>
  <c r="L40" i="9"/>
  <c r="L36" i="9"/>
  <c r="L43" i="9"/>
  <c r="L37" i="9"/>
  <c r="L38" i="9"/>
  <c r="L41" i="9"/>
  <c r="L34" i="9"/>
  <c r="L42" i="9"/>
  <c r="M47" i="96"/>
  <c r="M52" i="96" s="1"/>
  <c r="M46" i="96"/>
  <c r="M40" i="96"/>
  <c r="M43" i="96"/>
  <c r="M36" i="96"/>
  <c r="M35" i="96"/>
  <c r="M39" i="96"/>
  <c r="M38" i="96"/>
  <c r="M41" i="96"/>
  <c r="M37" i="96"/>
  <c r="M42" i="96"/>
  <c r="M34" i="96"/>
  <c r="M46" i="110"/>
  <c r="M51" i="110" s="1"/>
  <c r="M47" i="110"/>
  <c r="M52" i="110" s="1"/>
  <c r="Z22" i="133" s="1"/>
  <c r="M43" i="110"/>
  <c r="M40" i="110"/>
  <c r="M35" i="110"/>
  <c r="M39" i="110"/>
  <c r="M36" i="110"/>
  <c r="M37" i="110"/>
  <c r="M42" i="110"/>
  <c r="M41" i="110"/>
  <c r="M38" i="110"/>
  <c r="M34" i="110"/>
  <c r="I11" i="106"/>
  <c r="U8" i="16"/>
  <c r="I11" i="101"/>
  <c r="V8" i="16"/>
  <c r="M46" i="101"/>
  <c r="M47" i="101"/>
  <c r="M52" i="101" s="1"/>
  <c r="M36" i="101"/>
  <c r="M35" i="101"/>
  <c r="M39" i="101"/>
  <c r="M40" i="101"/>
  <c r="M43" i="101"/>
  <c r="M41" i="101"/>
  <c r="M37" i="101"/>
  <c r="M42" i="101"/>
  <c r="M38" i="101"/>
  <c r="M34" i="101"/>
  <c r="J11" i="102"/>
  <c r="I11" i="102"/>
  <c r="U9" i="16"/>
  <c r="V9" i="16"/>
  <c r="AN9" i="16" s="1"/>
  <c r="J14" i="102" s="1"/>
  <c r="J76" i="102" s="1"/>
  <c r="M46" i="124"/>
  <c r="M47" i="124"/>
  <c r="M52" i="124" s="1"/>
  <c r="M40" i="124"/>
  <c r="M43" i="124"/>
  <c r="M39" i="124"/>
  <c r="M36" i="124"/>
  <c r="M35" i="124"/>
  <c r="M42" i="124"/>
  <c r="M38" i="124"/>
  <c r="M41" i="124"/>
  <c r="M37" i="124"/>
  <c r="M34" i="124"/>
  <c r="L47" i="77"/>
  <c r="L52" i="77" s="1"/>
  <c r="L46" i="77"/>
  <c r="L40" i="77"/>
  <c r="L36" i="77"/>
  <c r="L43" i="77"/>
  <c r="L35" i="77"/>
  <c r="L39" i="77"/>
  <c r="L34" i="77"/>
  <c r="L37" i="77"/>
  <c r="L38" i="77"/>
  <c r="L41" i="77"/>
  <c r="L42" i="77"/>
  <c r="J46" i="125"/>
  <c r="J51" i="125" s="1"/>
  <c r="J47" i="125"/>
  <c r="J52" i="125" s="1"/>
  <c r="J39" i="125"/>
  <c r="J40" i="125"/>
  <c r="J35" i="125"/>
  <c r="J36" i="125"/>
  <c r="J43" i="125"/>
  <c r="J34" i="125"/>
  <c r="J37" i="125"/>
  <c r="J42" i="125"/>
  <c r="J41" i="125"/>
  <c r="J38" i="125"/>
  <c r="I11" i="125"/>
  <c r="V21" i="16"/>
  <c r="U21" i="16"/>
  <c r="K46" i="84"/>
  <c r="K51" i="84" s="1"/>
  <c r="K47" i="84"/>
  <c r="K52" i="84" s="1"/>
  <c r="K36" i="84"/>
  <c r="K40" i="84"/>
  <c r="K39" i="84"/>
  <c r="K43" i="84"/>
  <c r="K35" i="84"/>
  <c r="K38" i="84"/>
  <c r="K41" i="84"/>
  <c r="K42" i="84"/>
  <c r="K34" i="84"/>
  <c r="K37" i="84"/>
  <c r="J46" i="88"/>
  <c r="J47" i="88"/>
  <c r="J52" i="88" s="1"/>
  <c r="J39" i="88"/>
  <c r="J36" i="88"/>
  <c r="J35" i="88"/>
  <c r="J40" i="88"/>
  <c r="J43" i="88"/>
  <c r="J37" i="88"/>
  <c r="J41" i="88"/>
  <c r="J38" i="88"/>
  <c r="J34" i="88"/>
  <c r="J42" i="88"/>
  <c r="I11" i="88"/>
  <c r="U45" i="16"/>
  <c r="V45" i="16"/>
  <c r="K47" i="82"/>
  <c r="K52" i="82" s="1"/>
  <c r="K46" i="82"/>
  <c r="K51" i="82" s="1"/>
  <c r="K43" i="82"/>
  <c r="K35" i="82"/>
  <c r="K36" i="82"/>
  <c r="K39" i="82"/>
  <c r="K40" i="82"/>
  <c r="K42" i="82"/>
  <c r="K34" i="82"/>
  <c r="K37" i="82"/>
  <c r="K38" i="82"/>
  <c r="K41" i="82"/>
  <c r="J11" i="98"/>
  <c r="I11" i="98"/>
  <c r="U5" i="16"/>
  <c r="V5" i="16"/>
  <c r="K47" i="104"/>
  <c r="K52" i="104" s="1"/>
  <c r="K46" i="104"/>
  <c r="K51" i="104" s="1"/>
  <c r="K43" i="104"/>
  <c r="K36" i="104"/>
  <c r="K40" i="104"/>
  <c r="K35" i="104"/>
  <c r="K39" i="104"/>
  <c r="K34" i="104"/>
  <c r="K37" i="104"/>
  <c r="K38" i="104"/>
  <c r="K42" i="104"/>
  <c r="K41" i="104"/>
  <c r="J47" i="127"/>
  <c r="J52" i="127" s="1"/>
  <c r="J46" i="127"/>
  <c r="J35" i="127"/>
  <c r="J43" i="127"/>
  <c r="J36" i="127"/>
  <c r="J39" i="127"/>
  <c r="J40" i="127"/>
  <c r="J37" i="127"/>
  <c r="J41" i="127"/>
  <c r="J38" i="127"/>
  <c r="J42" i="127"/>
  <c r="J34" i="127"/>
  <c r="V19" i="16"/>
  <c r="U19" i="16"/>
  <c r="I11" i="127"/>
  <c r="L46" i="105"/>
  <c r="L47" i="105"/>
  <c r="L52" i="105" s="1"/>
  <c r="L43" i="105"/>
  <c r="L36" i="105"/>
  <c r="L40" i="105"/>
  <c r="L35" i="105"/>
  <c r="L39" i="105"/>
  <c r="L41" i="105"/>
  <c r="L38" i="105"/>
  <c r="L37" i="105"/>
  <c r="L34" i="105"/>
  <c r="L42" i="105"/>
  <c r="M46" i="79"/>
  <c r="M51" i="79" s="1"/>
  <c r="M47" i="79"/>
  <c r="M52" i="79" s="1"/>
  <c r="M40" i="79"/>
  <c r="M39" i="79"/>
  <c r="M35" i="79"/>
  <c r="M36" i="79"/>
  <c r="M43" i="79"/>
  <c r="M38" i="79"/>
  <c r="M37" i="79"/>
  <c r="M42" i="79"/>
  <c r="M41" i="79"/>
  <c r="M34" i="79"/>
  <c r="L46" i="91"/>
  <c r="L47" i="91"/>
  <c r="L52" i="91" s="1"/>
  <c r="L36" i="91"/>
  <c r="L39" i="91"/>
  <c r="L40" i="91"/>
  <c r="L43" i="91"/>
  <c r="L35" i="91"/>
  <c r="L37" i="91"/>
  <c r="L41" i="91"/>
  <c r="L38" i="91"/>
  <c r="L34" i="91"/>
  <c r="L42" i="91"/>
  <c r="K47" i="123"/>
  <c r="K52" i="123" s="1"/>
  <c r="K46" i="123"/>
  <c r="K51" i="123" s="1"/>
  <c r="K39" i="123"/>
  <c r="K43" i="123"/>
  <c r="K35" i="123"/>
  <c r="K36" i="123"/>
  <c r="K40" i="123"/>
  <c r="K38" i="123"/>
  <c r="K42" i="123"/>
  <c r="K37" i="123"/>
  <c r="K41" i="123"/>
  <c r="K34" i="123"/>
  <c r="L47" i="121"/>
  <c r="L52" i="121" s="1"/>
  <c r="L46" i="121"/>
  <c r="L36" i="121"/>
  <c r="L43" i="121"/>
  <c r="L39" i="121"/>
  <c r="L40" i="121"/>
  <c r="L35" i="121"/>
  <c r="L38" i="121"/>
  <c r="L34" i="121"/>
  <c r="L41" i="121"/>
  <c r="L37" i="121"/>
  <c r="L42" i="121"/>
  <c r="M46" i="75"/>
  <c r="M47" i="75"/>
  <c r="M52" i="75" s="1"/>
  <c r="M40" i="75"/>
  <c r="M43" i="75"/>
  <c r="M36" i="75"/>
  <c r="M35" i="75"/>
  <c r="M39" i="75"/>
  <c r="M42" i="75"/>
  <c r="M38" i="75"/>
  <c r="M41" i="75"/>
  <c r="M37" i="75"/>
  <c r="M34" i="75"/>
  <c r="J47" i="110"/>
  <c r="J52" i="110" s="1"/>
  <c r="W22" i="133" s="1"/>
  <c r="J46" i="110"/>
  <c r="J51" i="110" s="1"/>
  <c r="J35" i="110"/>
  <c r="J36" i="110"/>
  <c r="J43" i="110"/>
  <c r="J39" i="110"/>
  <c r="J40" i="110"/>
  <c r="J34" i="110"/>
  <c r="J42" i="110"/>
  <c r="J37" i="110"/>
  <c r="J41" i="110"/>
  <c r="J38" i="110"/>
  <c r="L47" i="97"/>
  <c r="L52" i="97" s="1"/>
  <c r="L46" i="97"/>
  <c r="L35" i="97"/>
  <c r="L36" i="97"/>
  <c r="L39" i="97"/>
  <c r="L40" i="97"/>
  <c r="L43" i="97"/>
  <c r="L38" i="97"/>
  <c r="L34" i="97"/>
  <c r="L37" i="97"/>
  <c r="L41" i="97"/>
  <c r="L42" i="97"/>
  <c r="I11" i="87"/>
  <c r="U44" i="16"/>
  <c r="V44" i="16"/>
  <c r="K47" i="87"/>
  <c r="K52" i="87" s="1"/>
  <c r="K46" i="87"/>
  <c r="K43" i="87"/>
  <c r="K35" i="87"/>
  <c r="K36" i="87"/>
  <c r="K39" i="87"/>
  <c r="K40" i="87"/>
  <c r="K41" i="87"/>
  <c r="K34" i="87"/>
  <c r="K42" i="87"/>
  <c r="K38" i="87"/>
  <c r="K37" i="87"/>
  <c r="L46" i="109"/>
  <c r="L47" i="109"/>
  <c r="L52" i="109" s="1"/>
  <c r="Y21" i="133" s="1"/>
  <c r="L40" i="109"/>
  <c r="L35" i="109"/>
  <c r="L39" i="109"/>
  <c r="L36" i="109"/>
  <c r="L43" i="109"/>
  <c r="L38" i="109"/>
  <c r="L34" i="109"/>
  <c r="L37" i="109"/>
  <c r="L41" i="109"/>
  <c r="L42" i="109"/>
  <c r="L46" i="99"/>
  <c r="L51" i="99" s="1"/>
  <c r="L47" i="99"/>
  <c r="L52" i="99" s="1"/>
  <c r="L40" i="99"/>
  <c r="L35" i="99"/>
  <c r="L39" i="99"/>
  <c r="L36" i="99"/>
  <c r="L43" i="99"/>
  <c r="L41" i="99"/>
  <c r="L38" i="99"/>
  <c r="L37" i="99"/>
  <c r="L34" i="99"/>
  <c r="L42" i="99"/>
  <c r="M46" i="92"/>
  <c r="M47" i="92"/>
  <c r="M52" i="92" s="1"/>
  <c r="M36" i="92"/>
  <c r="M35" i="92"/>
  <c r="M39" i="92"/>
  <c r="M40" i="92"/>
  <c r="M43" i="92"/>
  <c r="M41" i="92"/>
  <c r="M37" i="92"/>
  <c r="M42" i="92"/>
  <c r="M38" i="92"/>
  <c r="M34" i="92"/>
  <c r="I11" i="128"/>
  <c r="K46" i="76"/>
  <c r="K51" i="76" s="1"/>
  <c r="K47" i="76"/>
  <c r="K52" i="76" s="1"/>
  <c r="K43" i="76"/>
  <c r="K35" i="76"/>
  <c r="K36" i="76"/>
  <c r="K40" i="76"/>
  <c r="K39" i="76"/>
  <c r="K42" i="76"/>
  <c r="K37" i="76"/>
  <c r="K34" i="76"/>
  <c r="K38" i="76"/>
  <c r="K41" i="76"/>
  <c r="M46" i="81"/>
  <c r="M51" i="81" s="1"/>
  <c r="M47" i="81"/>
  <c r="M52" i="81" s="1"/>
  <c r="M43" i="81"/>
  <c r="M40" i="81"/>
  <c r="M35" i="81"/>
  <c r="M39" i="81"/>
  <c r="M36" i="81"/>
  <c r="M38" i="81"/>
  <c r="M37" i="81"/>
  <c r="M42" i="81"/>
  <c r="M41" i="81"/>
  <c r="M34" i="81"/>
  <c r="L46" i="74"/>
  <c r="L47" i="74"/>
  <c r="L52" i="74" s="1"/>
  <c r="L39" i="74"/>
  <c r="L43" i="74"/>
  <c r="L36" i="74"/>
  <c r="L40" i="74"/>
  <c r="L35" i="74"/>
  <c r="L41" i="74"/>
  <c r="L38" i="74"/>
  <c r="L34" i="74"/>
  <c r="L37" i="74"/>
  <c r="L42" i="74"/>
  <c r="M47" i="100"/>
  <c r="M52" i="100" s="1"/>
  <c r="M46" i="100"/>
  <c r="M40" i="100"/>
  <c r="M43" i="100"/>
  <c r="M36" i="100"/>
  <c r="M39" i="100"/>
  <c r="M35" i="100"/>
  <c r="M38" i="100"/>
  <c r="M41" i="100"/>
  <c r="M37" i="100"/>
  <c r="M42" i="100"/>
  <c r="M34" i="100"/>
  <c r="L46" i="90"/>
  <c r="L47" i="90"/>
  <c r="L52" i="90" s="1"/>
  <c r="L39" i="90"/>
  <c r="L35" i="90"/>
  <c r="L43" i="90"/>
  <c r="L40" i="90"/>
  <c r="L36" i="90"/>
  <c r="L41" i="90"/>
  <c r="L38" i="90"/>
  <c r="L34" i="90"/>
  <c r="L37" i="90"/>
  <c r="L42" i="90"/>
  <c r="M46" i="95"/>
  <c r="M47" i="95"/>
  <c r="M52" i="95" s="1"/>
  <c r="M40" i="95"/>
  <c r="M43" i="95"/>
  <c r="M36" i="95"/>
  <c r="M39" i="95"/>
  <c r="M35" i="95"/>
  <c r="M42" i="95"/>
  <c r="M38" i="95"/>
  <c r="M41" i="95"/>
  <c r="M37" i="95"/>
  <c r="M34" i="95"/>
  <c r="L46" i="107"/>
  <c r="L47" i="107"/>
  <c r="L52" i="107" s="1"/>
  <c r="L36" i="107"/>
  <c r="L35" i="107"/>
  <c r="L40" i="107"/>
  <c r="L43" i="107"/>
  <c r="L39" i="107"/>
  <c r="L41" i="107"/>
  <c r="L38" i="107"/>
  <c r="L34" i="107"/>
  <c r="L37" i="107"/>
  <c r="L42" i="107"/>
  <c r="M46" i="93"/>
  <c r="M47" i="93"/>
  <c r="M52" i="93" s="1"/>
  <c r="M36" i="93"/>
  <c r="M35" i="93"/>
  <c r="M39" i="93"/>
  <c r="M40" i="93"/>
  <c r="M43" i="93"/>
  <c r="M41" i="93"/>
  <c r="M37" i="93"/>
  <c r="M42" i="93"/>
  <c r="M38" i="93"/>
  <c r="M34" i="93"/>
  <c r="J46" i="108"/>
  <c r="J47" i="108"/>
  <c r="J52" i="108" s="1"/>
  <c r="W24" i="133" s="1"/>
  <c r="J35" i="108"/>
  <c r="J36" i="108"/>
  <c r="J43" i="108"/>
  <c r="J39" i="108"/>
  <c r="J40" i="108"/>
  <c r="J42" i="108"/>
  <c r="J37" i="108"/>
  <c r="J34" i="108"/>
  <c r="J41" i="108"/>
  <c r="J38" i="108"/>
  <c r="V20" i="16"/>
  <c r="U20" i="16"/>
  <c r="I11" i="126"/>
  <c r="K47" i="126"/>
  <c r="K52" i="126" s="1"/>
  <c r="K46" i="126"/>
  <c r="K51" i="126" s="1"/>
  <c r="K39" i="126"/>
  <c r="K43" i="126"/>
  <c r="K36" i="126"/>
  <c r="K40" i="126"/>
  <c r="K35" i="126"/>
  <c r="K42" i="126"/>
  <c r="K41" i="126"/>
  <c r="K34" i="126"/>
  <c r="K38" i="126"/>
  <c r="K37" i="126"/>
  <c r="L47" i="78"/>
  <c r="L52" i="78" s="1"/>
  <c r="L46" i="78"/>
  <c r="L40" i="78"/>
  <c r="L35" i="78"/>
  <c r="L39" i="78"/>
  <c r="L43" i="78"/>
  <c r="L36" i="78"/>
  <c r="L41" i="78"/>
  <c r="L38" i="78"/>
  <c r="L34" i="78"/>
  <c r="L37" i="78"/>
  <c r="L42" i="78"/>
  <c r="U40" i="16"/>
  <c r="I11" i="83"/>
  <c r="V40" i="16"/>
  <c r="K46" i="83"/>
  <c r="K47" i="83"/>
  <c r="K52" i="83" s="1"/>
  <c r="K36" i="83"/>
  <c r="K39" i="83"/>
  <c r="K40" i="83"/>
  <c r="K43" i="83"/>
  <c r="K35" i="83"/>
  <c r="K42" i="83"/>
  <c r="K38" i="83"/>
  <c r="K37" i="83"/>
  <c r="K41" i="83"/>
  <c r="K34" i="83"/>
  <c r="J46" i="94"/>
  <c r="J47" i="94"/>
  <c r="J52" i="94" s="1"/>
  <c r="J39" i="94"/>
  <c r="J35" i="94"/>
  <c r="J36" i="94"/>
  <c r="J40" i="94"/>
  <c r="J43" i="94"/>
  <c r="J37" i="94"/>
  <c r="J42" i="94"/>
  <c r="J41" i="94"/>
  <c r="J34" i="94"/>
  <c r="J38" i="94"/>
  <c r="M46" i="80"/>
  <c r="M47" i="80"/>
  <c r="M52" i="80" s="1"/>
  <c r="M43" i="80"/>
  <c r="M40" i="80"/>
  <c r="M35" i="80"/>
  <c r="M39" i="80"/>
  <c r="M36" i="80"/>
  <c r="M41" i="80"/>
  <c r="M37" i="80"/>
  <c r="M42" i="80"/>
  <c r="M38" i="80"/>
  <c r="M34" i="80"/>
  <c r="L46" i="86"/>
  <c r="L47" i="86"/>
  <c r="L52" i="86" s="1"/>
  <c r="L43" i="86"/>
  <c r="L35" i="86"/>
  <c r="L40" i="86"/>
  <c r="L36" i="86"/>
  <c r="L39" i="86"/>
  <c r="L34" i="86"/>
  <c r="L37" i="86"/>
  <c r="L38" i="86"/>
  <c r="L41" i="86"/>
  <c r="L42" i="86"/>
  <c r="I11" i="9"/>
  <c r="U30" i="16"/>
  <c r="V30" i="16"/>
  <c r="K46" i="9"/>
  <c r="K47" i="9"/>
  <c r="K52" i="9" s="1"/>
  <c r="K36" i="9"/>
  <c r="K39" i="9"/>
  <c r="K43" i="9"/>
  <c r="K35" i="9"/>
  <c r="K40" i="9"/>
  <c r="K38" i="9"/>
  <c r="K34" i="9"/>
  <c r="K42" i="9"/>
  <c r="K37" i="9"/>
  <c r="K41" i="9"/>
  <c r="J46" i="96"/>
  <c r="J47" i="96"/>
  <c r="J52" i="96" s="1"/>
  <c r="J39" i="96"/>
  <c r="J35" i="96"/>
  <c r="J36" i="96"/>
  <c r="J40" i="96"/>
  <c r="J43" i="96"/>
  <c r="J37" i="96"/>
  <c r="J41" i="96"/>
  <c r="J34" i="96"/>
  <c r="J38" i="96"/>
  <c r="J42" i="96"/>
  <c r="M46" i="103"/>
  <c r="M51" i="103" s="1"/>
  <c r="M47" i="103"/>
  <c r="M52" i="103" s="1"/>
  <c r="M39" i="103"/>
  <c r="M36" i="103"/>
  <c r="M35" i="103"/>
  <c r="M40" i="103"/>
  <c r="M43" i="103"/>
  <c r="M37" i="103"/>
  <c r="M42" i="103"/>
  <c r="M38" i="103"/>
  <c r="M41" i="103"/>
  <c r="M34" i="103"/>
  <c r="M46" i="128"/>
  <c r="M51" i="128" s="1"/>
  <c r="M47" i="128"/>
  <c r="M52" i="128" s="1"/>
  <c r="M40" i="128"/>
  <c r="M43" i="128"/>
  <c r="M39" i="128"/>
  <c r="M36" i="128"/>
  <c r="M35" i="128"/>
  <c r="M38" i="128"/>
  <c r="M41" i="128"/>
  <c r="M37" i="128"/>
  <c r="M42" i="128"/>
  <c r="M34" i="128"/>
  <c r="K11" i="89"/>
  <c r="J11" i="81"/>
  <c r="M11" i="89"/>
  <c r="L11" i="81"/>
  <c r="M11" i="129"/>
  <c r="J11" i="128"/>
  <c r="K11" i="129"/>
  <c r="L11" i="128"/>
  <c r="J11" i="129"/>
  <c r="K11" i="106"/>
  <c r="L11" i="110"/>
  <c r="L11" i="106"/>
  <c r="K11" i="110"/>
  <c r="J11" i="106"/>
  <c r="K11" i="103"/>
  <c r="J11" i="103"/>
  <c r="L11" i="103"/>
  <c r="K11" i="85"/>
  <c r="J11" i="85"/>
  <c r="M11" i="85"/>
  <c r="L11" i="85"/>
  <c r="J48" i="108" l="1"/>
  <c r="M48" i="93"/>
  <c r="L44" i="123"/>
  <c r="K44" i="77"/>
  <c r="J44" i="121"/>
  <c r="L44" i="100"/>
  <c r="L44" i="129"/>
  <c r="L44" i="87"/>
  <c r="J48" i="75"/>
  <c r="J48" i="80"/>
  <c r="M48" i="94"/>
  <c r="J48" i="91"/>
  <c r="J48" i="87"/>
  <c r="K48" i="102"/>
  <c r="K44" i="99"/>
  <c r="M48" i="124"/>
  <c r="M48" i="101"/>
  <c r="J48" i="78"/>
  <c r="M44" i="75"/>
  <c r="J44" i="88"/>
  <c r="J53" i="88" s="1"/>
  <c r="J115" i="88" s="1"/>
  <c r="J48" i="127"/>
  <c r="L44" i="126"/>
  <c r="L53" i="126" s="1"/>
  <c r="L54" i="126" s="1"/>
  <c r="M48" i="100"/>
  <c r="L44" i="88"/>
  <c r="M48" i="78"/>
  <c r="J48" i="126"/>
  <c r="K48" i="108"/>
  <c r="L44" i="95"/>
  <c r="L53" i="95" s="1"/>
  <c r="K51" i="102"/>
  <c r="J44" i="74"/>
  <c r="J53" i="74" s="1"/>
  <c r="L48" i="87"/>
  <c r="M48" i="123"/>
  <c r="M48" i="86"/>
  <c r="M48" i="74"/>
  <c r="M48" i="97"/>
  <c r="L44" i="94"/>
  <c r="J44" i="78"/>
  <c r="J51" i="78"/>
  <c r="M48" i="126"/>
  <c r="K48" i="107"/>
  <c r="L44" i="78"/>
  <c r="M44" i="93"/>
  <c r="M49" i="93" s="1"/>
  <c r="M44" i="100"/>
  <c r="M49" i="100" s="1"/>
  <c r="M48" i="92"/>
  <c r="M48" i="75"/>
  <c r="M49" i="75" s="1"/>
  <c r="M50" i="75" s="1"/>
  <c r="M44" i="79"/>
  <c r="M53" i="79" s="1"/>
  <c r="M114" i="79" s="1"/>
  <c r="J44" i="127"/>
  <c r="J49" i="127" s="1"/>
  <c r="M44" i="101"/>
  <c r="M44" i="110"/>
  <c r="M53" i="110" s="1"/>
  <c r="L22" i="133" s="1"/>
  <c r="L44" i="83"/>
  <c r="J48" i="100"/>
  <c r="K48" i="75"/>
  <c r="M44" i="123"/>
  <c r="K44" i="79"/>
  <c r="L44" i="80"/>
  <c r="L44" i="92"/>
  <c r="L44" i="79"/>
  <c r="L53" i="79" s="1"/>
  <c r="L54" i="79" s="1"/>
  <c r="K44" i="127"/>
  <c r="L44" i="76"/>
  <c r="K44" i="121"/>
  <c r="K53" i="121" s="1"/>
  <c r="L48" i="123"/>
  <c r="L49" i="123" s="1"/>
  <c r="L50" i="123" s="1"/>
  <c r="K48" i="91"/>
  <c r="M44" i="127"/>
  <c r="M48" i="127"/>
  <c r="M48" i="125"/>
  <c r="J51" i="126"/>
  <c r="J44" i="87"/>
  <c r="J51" i="87"/>
  <c r="L44" i="104"/>
  <c r="L53" i="104" s="1"/>
  <c r="K48" i="9"/>
  <c r="M48" i="80"/>
  <c r="M51" i="100"/>
  <c r="M51" i="92"/>
  <c r="L48" i="109"/>
  <c r="K44" i="123"/>
  <c r="K53" i="123" s="1"/>
  <c r="L44" i="105"/>
  <c r="K48" i="84"/>
  <c r="M48" i="76"/>
  <c r="K48" i="109"/>
  <c r="J44" i="91"/>
  <c r="J49" i="91" s="1"/>
  <c r="L44" i="125"/>
  <c r="L48" i="95"/>
  <c r="L44" i="75"/>
  <c r="J48" i="123"/>
  <c r="J48" i="104"/>
  <c r="M44" i="77"/>
  <c r="M53" i="77" s="1"/>
  <c r="M114" i="77" s="1"/>
  <c r="J44" i="89"/>
  <c r="J53" i="89" s="1"/>
  <c r="J48" i="86"/>
  <c r="L48" i="82"/>
  <c r="K44" i="74"/>
  <c r="K48" i="74"/>
  <c r="J44" i="105"/>
  <c r="M48" i="84"/>
  <c r="L48" i="102"/>
  <c r="K48" i="94"/>
  <c r="L44" i="93"/>
  <c r="L53" i="93" s="1"/>
  <c r="M44" i="90"/>
  <c r="M53" i="90" s="1"/>
  <c r="M51" i="74"/>
  <c r="L44" i="89"/>
  <c r="L48" i="124"/>
  <c r="K48" i="93"/>
  <c r="M136" i="100"/>
  <c r="M135" i="100"/>
  <c r="M143" i="100"/>
  <c r="M142" i="100"/>
  <c r="M141" i="100"/>
  <c r="M140" i="100"/>
  <c r="M139" i="100"/>
  <c r="M138" i="100"/>
  <c r="M137" i="100"/>
  <c r="M140" i="96"/>
  <c r="M135" i="96"/>
  <c r="M136" i="96"/>
  <c r="M142" i="96"/>
  <c r="M141" i="96"/>
  <c r="M143" i="96"/>
  <c r="M138" i="96"/>
  <c r="M137" i="96"/>
  <c r="M139" i="96"/>
  <c r="M140" i="74"/>
  <c r="M142" i="74"/>
  <c r="M141" i="74"/>
  <c r="M139" i="74"/>
  <c r="M143" i="74"/>
  <c r="M135" i="74"/>
  <c r="M138" i="74"/>
  <c r="M137" i="74"/>
  <c r="M136" i="74"/>
  <c r="L128" i="79"/>
  <c r="L130" i="79"/>
  <c r="L123" i="79"/>
  <c r="L126" i="79"/>
  <c r="L129" i="79"/>
  <c r="L127" i="79"/>
  <c r="L124" i="79"/>
  <c r="L125" i="79"/>
  <c r="L131" i="79"/>
  <c r="K140" i="125"/>
  <c r="K135" i="125"/>
  <c r="K136" i="125"/>
  <c r="K142" i="125"/>
  <c r="K141" i="125"/>
  <c r="K143" i="125"/>
  <c r="K138" i="125"/>
  <c r="K137" i="125"/>
  <c r="K139" i="125"/>
  <c r="L142" i="101"/>
  <c r="L140" i="101"/>
  <c r="L143" i="101"/>
  <c r="L138" i="101"/>
  <c r="L136" i="101"/>
  <c r="L139" i="101"/>
  <c r="L141" i="101"/>
  <c r="L135" i="101"/>
  <c r="L137" i="101"/>
  <c r="K54" i="121"/>
  <c r="L143" i="104"/>
  <c r="L137" i="104"/>
  <c r="L136" i="104"/>
  <c r="L139" i="104"/>
  <c r="L140" i="104"/>
  <c r="L135" i="104"/>
  <c r="L142" i="104"/>
  <c r="L141" i="104"/>
  <c r="L138" i="104"/>
  <c r="L129" i="84"/>
  <c r="L127" i="84"/>
  <c r="L130" i="84"/>
  <c r="L125" i="84"/>
  <c r="L123" i="84"/>
  <c r="L126" i="84"/>
  <c r="L128" i="84"/>
  <c r="L131" i="84"/>
  <c r="L124" i="84"/>
  <c r="L135" i="86"/>
  <c r="L137" i="86"/>
  <c r="L142" i="86"/>
  <c r="L140" i="86"/>
  <c r="L143" i="86"/>
  <c r="L138" i="86"/>
  <c r="L136" i="86"/>
  <c r="L139" i="86"/>
  <c r="L141" i="86"/>
  <c r="M136" i="81"/>
  <c r="M137" i="81"/>
  <c r="M139" i="81"/>
  <c r="M141" i="81"/>
  <c r="M138" i="81"/>
  <c r="M140" i="81"/>
  <c r="M135" i="81"/>
  <c r="M142" i="81"/>
  <c r="M143" i="81"/>
  <c r="L140" i="99"/>
  <c r="L135" i="99"/>
  <c r="L139" i="99"/>
  <c r="L143" i="99"/>
  <c r="L137" i="99"/>
  <c r="L141" i="99"/>
  <c r="L142" i="99"/>
  <c r="L136" i="99"/>
  <c r="L138" i="99"/>
  <c r="M118" i="79"/>
  <c r="M115" i="79"/>
  <c r="J137" i="96"/>
  <c r="J142" i="96"/>
  <c r="J143" i="96"/>
  <c r="J140" i="96"/>
  <c r="J139" i="96"/>
  <c r="J138" i="96"/>
  <c r="J141" i="96"/>
  <c r="J135" i="96"/>
  <c r="J136" i="96"/>
  <c r="K139" i="9"/>
  <c r="K136" i="9"/>
  <c r="K143" i="9"/>
  <c r="K142" i="9"/>
  <c r="K135" i="9"/>
  <c r="K141" i="9"/>
  <c r="K138" i="9"/>
  <c r="K137" i="9"/>
  <c r="K140" i="9"/>
  <c r="K142" i="83"/>
  <c r="K139" i="83"/>
  <c r="K141" i="83"/>
  <c r="K138" i="83"/>
  <c r="K137" i="83"/>
  <c r="K140" i="83"/>
  <c r="K143" i="83"/>
  <c r="K136" i="83"/>
  <c r="K135" i="83"/>
  <c r="K138" i="104"/>
  <c r="K137" i="104"/>
  <c r="K135" i="104"/>
  <c r="K140" i="104"/>
  <c r="K139" i="104"/>
  <c r="K141" i="104"/>
  <c r="K143" i="104"/>
  <c r="K142" i="104"/>
  <c r="K136" i="104"/>
  <c r="K140" i="86"/>
  <c r="K138" i="86"/>
  <c r="K142" i="86"/>
  <c r="K136" i="86"/>
  <c r="K143" i="86"/>
  <c r="K139" i="86"/>
  <c r="K141" i="86"/>
  <c r="K135" i="86"/>
  <c r="K137" i="86"/>
  <c r="L139" i="80"/>
  <c r="L141" i="80"/>
  <c r="L140" i="80"/>
  <c r="L135" i="80"/>
  <c r="L137" i="80"/>
  <c r="L136" i="80"/>
  <c r="L142" i="80"/>
  <c r="L143" i="80"/>
  <c r="L138" i="80"/>
  <c r="J142" i="76"/>
  <c r="J136" i="76"/>
  <c r="J143" i="76"/>
  <c r="J138" i="76"/>
  <c r="J135" i="76"/>
  <c r="J137" i="76"/>
  <c r="J140" i="76"/>
  <c r="J141" i="76"/>
  <c r="J139" i="76"/>
  <c r="M139" i="105"/>
  <c r="M140" i="105"/>
  <c r="M136" i="105"/>
  <c r="M135" i="105"/>
  <c r="M137" i="105"/>
  <c r="M143" i="105"/>
  <c r="M138" i="105"/>
  <c r="M141" i="105"/>
  <c r="M142" i="105"/>
  <c r="M141" i="77"/>
  <c r="M135" i="77"/>
  <c r="M136" i="77"/>
  <c r="M138" i="77"/>
  <c r="M142" i="77"/>
  <c r="M143" i="77"/>
  <c r="M137" i="77"/>
  <c r="M140" i="77"/>
  <c r="M139" i="77"/>
  <c r="J143" i="97"/>
  <c r="J142" i="97"/>
  <c r="J136" i="97"/>
  <c r="J138" i="97"/>
  <c r="J137" i="97"/>
  <c r="J141" i="97"/>
  <c r="J140" i="97"/>
  <c r="J135" i="97"/>
  <c r="J139" i="97"/>
  <c r="M128" i="103"/>
  <c r="M124" i="103"/>
  <c r="M129" i="103"/>
  <c r="M127" i="103"/>
  <c r="M125" i="103"/>
  <c r="M126" i="103"/>
  <c r="M130" i="103"/>
  <c r="M123" i="103"/>
  <c r="M131" i="103"/>
  <c r="K118" i="123"/>
  <c r="K115" i="123"/>
  <c r="K116" i="123"/>
  <c r="K114" i="123"/>
  <c r="K112" i="123"/>
  <c r="K111" i="123"/>
  <c r="K119" i="123"/>
  <c r="K117" i="123"/>
  <c r="K113" i="123"/>
  <c r="M135" i="124"/>
  <c r="M139" i="124"/>
  <c r="M143" i="124"/>
  <c r="M136" i="124"/>
  <c r="M142" i="124"/>
  <c r="M137" i="124"/>
  <c r="M141" i="124"/>
  <c r="M138" i="124"/>
  <c r="M140" i="124"/>
  <c r="M125" i="106"/>
  <c r="M129" i="106"/>
  <c r="M127" i="106"/>
  <c r="M131" i="106"/>
  <c r="M124" i="106"/>
  <c r="M123" i="106"/>
  <c r="M128" i="106"/>
  <c r="M126" i="106"/>
  <c r="M130" i="106"/>
  <c r="M135" i="82"/>
  <c r="M139" i="82"/>
  <c r="M136" i="82"/>
  <c r="M138" i="82"/>
  <c r="M141" i="82"/>
  <c r="M137" i="82"/>
  <c r="M143" i="82"/>
  <c r="M140" i="82"/>
  <c r="M142" i="82"/>
  <c r="M136" i="90"/>
  <c r="M135" i="90"/>
  <c r="M143" i="90"/>
  <c r="M138" i="90"/>
  <c r="M140" i="90"/>
  <c r="M137" i="90"/>
  <c r="M142" i="90"/>
  <c r="M141" i="90"/>
  <c r="M139" i="90"/>
  <c r="M139" i="99"/>
  <c r="M143" i="99"/>
  <c r="M135" i="99"/>
  <c r="M137" i="99"/>
  <c r="M140" i="99"/>
  <c r="M141" i="99"/>
  <c r="M142" i="99"/>
  <c r="M136" i="99"/>
  <c r="M138" i="99"/>
  <c r="M143" i="91"/>
  <c r="M142" i="91"/>
  <c r="M137" i="91"/>
  <c r="M135" i="91"/>
  <c r="M139" i="91"/>
  <c r="M140" i="91"/>
  <c r="M138" i="91"/>
  <c r="M136" i="91"/>
  <c r="M141" i="91"/>
  <c r="M119" i="77"/>
  <c r="M115" i="77"/>
  <c r="M116" i="77"/>
  <c r="J116" i="89"/>
  <c r="J111" i="89"/>
  <c r="J113" i="89"/>
  <c r="J112" i="89"/>
  <c r="J118" i="89"/>
  <c r="J119" i="89"/>
  <c r="J114" i="89"/>
  <c r="J115" i="89"/>
  <c r="J117" i="89"/>
  <c r="M141" i="9"/>
  <c r="M136" i="9"/>
  <c r="M143" i="9"/>
  <c r="M137" i="9"/>
  <c r="M142" i="9"/>
  <c r="M135" i="9"/>
  <c r="M139" i="9"/>
  <c r="M138" i="9"/>
  <c r="M140" i="9"/>
  <c r="K139" i="80"/>
  <c r="K141" i="80"/>
  <c r="K135" i="80"/>
  <c r="K137" i="80"/>
  <c r="K142" i="80"/>
  <c r="K140" i="80"/>
  <c r="K143" i="80"/>
  <c r="K138" i="80"/>
  <c r="K136" i="80"/>
  <c r="L137" i="94"/>
  <c r="L139" i="94"/>
  <c r="L140" i="94"/>
  <c r="L135" i="94"/>
  <c r="L136" i="94"/>
  <c r="L142" i="94"/>
  <c r="L141" i="94"/>
  <c r="L143" i="94"/>
  <c r="L138" i="94"/>
  <c r="M125" i="87"/>
  <c r="M128" i="87"/>
  <c r="M131" i="87"/>
  <c r="M126" i="87"/>
  <c r="M127" i="87"/>
  <c r="M130" i="87"/>
  <c r="M129" i="87"/>
  <c r="M124" i="87"/>
  <c r="M123" i="87"/>
  <c r="J142" i="124"/>
  <c r="J141" i="124"/>
  <c r="J139" i="124"/>
  <c r="J140" i="124"/>
  <c r="J143" i="124"/>
  <c r="J136" i="124"/>
  <c r="J135" i="124"/>
  <c r="J137" i="124"/>
  <c r="J138" i="124"/>
  <c r="M135" i="79"/>
  <c r="M141" i="79"/>
  <c r="M142" i="79"/>
  <c r="M140" i="79"/>
  <c r="M139" i="79"/>
  <c r="M138" i="79"/>
  <c r="M136" i="79"/>
  <c r="M137" i="79"/>
  <c r="M143" i="79"/>
  <c r="J119" i="88"/>
  <c r="J118" i="88"/>
  <c r="J112" i="88"/>
  <c r="L131" i="126"/>
  <c r="L126" i="126"/>
  <c r="L127" i="126"/>
  <c r="L129" i="126"/>
  <c r="L128" i="126"/>
  <c r="L123" i="126"/>
  <c r="L125" i="126"/>
  <c r="L124" i="126"/>
  <c r="L130" i="126"/>
  <c r="J139" i="95"/>
  <c r="J136" i="95"/>
  <c r="J142" i="95"/>
  <c r="J143" i="95"/>
  <c r="J137" i="95"/>
  <c r="J140" i="95"/>
  <c r="J138" i="95"/>
  <c r="J141" i="95"/>
  <c r="J135" i="95"/>
  <c r="K136" i="97"/>
  <c r="K142" i="97"/>
  <c r="K143" i="97"/>
  <c r="K138" i="97"/>
  <c r="K139" i="97"/>
  <c r="K141" i="97"/>
  <c r="K140" i="97"/>
  <c r="K135" i="97"/>
  <c r="K137" i="97"/>
  <c r="L138" i="127"/>
  <c r="L135" i="127"/>
  <c r="L141" i="127"/>
  <c r="L137" i="127"/>
  <c r="L136" i="127"/>
  <c r="L142" i="127"/>
  <c r="L140" i="127"/>
  <c r="L139" i="127"/>
  <c r="L143" i="127"/>
  <c r="M137" i="104"/>
  <c r="M140" i="104"/>
  <c r="M135" i="104"/>
  <c r="M139" i="104"/>
  <c r="M136" i="104"/>
  <c r="M138" i="104"/>
  <c r="M142" i="104"/>
  <c r="M143" i="104"/>
  <c r="M141" i="104"/>
  <c r="L143" i="125"/>
  <c r="L138" i="125"/>
  <c r="L136" i="125"/>
  <c r="L139" i="125"/>
  <c r="L141" i="125"/>
  <c r="L135" i="125"/>
  <c r="L137" i="125"/>
  <c r="L142" i="125"/>
  <c r="L140" i="125"/>
  <c r="K136" i="101"/>
  <c r="K138" i="101"/>
  <c r="K141" i="101"/>
  <c r="K143" i="101"/>
  <c r="K140" i="101"/>
  <c r="K142" i="101"/>
  <c r="K135" i="101"/>
  <c r="K139" i="101"/>
  <c r="K137" i="101"/>
  <c r="Z23" i="133"/>
  <c r="I19" i="119"/>
  <c r="S19" i="119" s="1"/>
  <c r="M119" i="90"/>
  <c r="M112" i="90"/>
  <c r="M116" i="90"/>
  <c r="M111" i="90"/>
  <c r="M117" i="90"/>
  <c r="M115" i="90"/>
  <c r="M113" i="90"/>
  <c r="M114" i="90"/>
  <c r="M118" i="90"/>
  <c r="L141" i="75"/>
  <c r="L135" i="75"/>
  <c r="L140" i="75"/>
  <c r="L137" i="75"/>
  <c r="L142" i="75"/>
  <c r="L143" i="75"/>
  <c r="L138" i="75"/>
  <c r="L139" i="75"/>
  <c r="L136" i="75"/>
  <c r="M123" i="83"/>
  <c r="M126" i="83"/>
  <c r="M130" i="83"/>
  <c r="M129" i="83"/>
  <c r="M124" i="83"/>
  <c r="M127" i="83"/>
  <c r="M131" i="83"/>
  <c r="M125" i="83"/>
  <c r="M128" i="83"/>
  <c r="M143" i="125"/>
  <c r="M135" i="125"/>
  <c r="M136" i="125"/>
  <c r="M141" i="125"/>
  <c r="M142" i="125"/>
  <c r="M139" i="125"/>
  <c r="M140" i="125"/>
  <c r="M137" i="125"/>
  <c r="M138" i="125"/>
  <c r="M126" i="102"/>
  <c r="M125" i="102"/>
  <c r="M123" i="102"/>
  <c r="M127" i="102"/>
  <c r="M131" i="102"/>
  <c r="M130" i="102"/>
  <c r="M124" i="102"/>
  <c r="M128" i="102"/>
  <c r="M129" i="102"/>
  <c r="L46" i="85"/>
  <c r="L47" i="85"/>
  <c r="L52" i="85" s="1"/>
  <c r="L39" i="85"/>
  <c r="L43" i="85"/>
  <c r="L40" i="85"/>
  <c r="L36" i="85"/>
  <c r="L35" i="85"/>
  <c r="L38" i="85"/>
  <c r="L41" i="85"/>
  <c r="L34" i="85"/>
  <c r="L37" i="85"/>
  <c r="L42" i="85"/>
  <c r="K46" i="110"/>
  <c r="K47" i="110"/>
  <c r="K52" i="110" s="1"/>
  <c r="X22" i="133" s="1"/>
  <c r="K43" i="110"/>
  <c r="K35" i="110"/>
  <c r="K36" i="110"/>
  <c r="K40" i="110"/>
  <c r="K39" i="110"/>
  <c r="K34" i="110"/>
  <c r="K38" i="110"/>
  <c r="K37" i="110"/>
  <c r="K42" i="110"/>
  <c r="K41" i="110"/>
  <c r="I11" i="85"/>
  <c r="U42" i="16"/>
  <c r="V42" i="16"/>
  <c r="K46" i="85"/>
  <c r="K47" i="85"/>
  <c r="K52" i="85" s="1"/>
  <c r="K36" i="85"/>
  <c r="K40" i="85"/>
  <c r="K39" i="85"/>
  <c r="K43" i="85"/>
  <c r="K35" i="85"/>
  <c r="K42" i="85"/>
  <c r="K41" i="85"/>
  <c r="K34" i="85"/>
  <c r="K38" i="85"/>
  <c r="K37" i="85"/>
  <c r="U10" i="16"/>
  <c r="I11" i="103"/>
  <c r="V10" i="16"/>
  <c r="I11" i="110"/>
  <c r="U50" i="16"/>
  <c r="V50" i="16"/>
  <c r="K46" i="106"/>
  <c r="K51" i="106" s="1"/>
  <c r="K47" i="106"/>
  <c r="K52" i="106" s="1"/>
  <c r="K43" i="106"/>
  <c r="K36" i="106"/>
  <c r="K35" i="106"/>
  <c r="K40" i="106"/>
  <c r="K39" i="106"/>
  <c r="K34" i="106"/>
  <c r="K37" i="106"/>
  <c r="K38" i="106"/>
  <c r="K41" i="106"/>
  <c r="K42" i="106"/>
  <c r="K46" i="129"/>
  <c r="K47" i="129"/>
  <c r="K52" i="129" s="1"/>
  <c r="K39" i="129"/>
  <c r="K43" i="129"/>
  <c r="K36" i="129"/>
  <c r="K35" i="129"/>
  <c r="K40" i="129"/>
  <c r="K42" i="129"/>
  <c r="K34" i="129"/>
  <c r="K37" i="129"/>
  <c r="K38" i="129"/>
  <c r="K41" i="129"/>
  <c r="I11" i="81"/>
  <c r="U38" i="16"/>
  <c r="V38" i="16"/>
  <c r="J46" i="81"/>
  <c r="J47" i="81"/>
  <c r="J52" i="81" s="1"/>
  <c r="J35" i="81"/>
  <c r="J40" i="81"/>
  <c r="J43" i="81"/>
  <c r="J39" i="81"/>
  <c r="J36" i="81"/>
  <c r="J38" i="81"/>
  <c r="J34" i="81"/>
  <c r="J42" i="81"/>
  <c r="J37" i="81"/>
  <c r="J41" i="81"/>
  <c r="M44" i="128"/>
  <c r="M48" i="128"/>
  <c r="J51" i="96"/>
  <c r="J48" i="96"/>
  <c r="AN30" i="16"/>
  <c r="AM30" i="16"/>
  <c r="AJ30" i="16"/>
  <c r="AL30" i="16"/>
  <c r="AK30" i="16"/>
  <c r="AR30" i="16"/>
  <c r="AP30" i="16"/>
  <c r="AO30" i="16"/>
  <c r="AQ30" i="16"/>
  <c r="L44" i="86"/>
  <c r="L51" i="86"/>
  <c r="L48" i="86"/>
  <c r="M51" i="80"/>
  <c r="J51" i="94"/>
  <c r="J48" i="94"/>
  <c r="P11" i="83"/>
  <c r="O11" i="83"/>
  <c r="I47" i="83"/>
  <c r="I52" i="83" s="1"/>
  <c r="I46" i="83"/>
  <c r="J14" i="83"/>
  <c r="I43" i="83"/>
  <c r="I35" i="83"/>
  <c r="I39" i="83"/>
  <c r="P39" i="83" s="1"/>
  <c r="I40" i="83"/>
  <c r="I36" i="83"/>
  <c r="O36" i="83" s="1"/>
  <c r="I37" i="83"/>
  <c r="I38" i="83"/>
  <c r="I42" i="83"/>
  <c r="P42" i="83" s="1"/>
  <c r="I34" i="83"/>
  <c r="I41" i="83"/>
  <c r="P41" i="83" s="1"/>
  <c r="K48" i="126"/>
  <c r="AP20" i="16"/>
  <c r="L14" i="126" s="1"/>
  <c r="L76" i="126" s="1"/>
  <c r="AO20" i="16"/>
  <c r="K14" i="126" s="1"/>
  <c r="K76" i="126" s="1"/>
  <c r="AQ20" i="16"/>
  <c r="M14" i="126" s="1"/>
  <c r="M76" i="126" s="1"/>
  <c r="AR20" i="16"/>
  <c r="N14" i="126" s="1"/>
  <c r="N76" i="126" s="1"/>
  <c r="AM20" i="16"/>
  <c r="I14" i="126" s="1"/>
  <c r="AK20" i="16"/>
  <c r="G14" i="126" s="1"/>
  <c r="G76" i="126" s="1"/>
  <c r="AN20" i="16"/>
  <c r="J14" i="126" s="1"/>
  <c r="J76" i="126" s="1"/>
  <c r="AJ20" i="16"/>
  <c r="AL20" i="16"/>
  <c r="H14" i="126" s="1"/>
  <c r="H76" i="126" s="1"/>
  <c r="J44" i="108"/>
  <c r="J51" i="108"/>
  <c r="M141" i="93"/>
  <c r="M135" i="93"/>
  <c r="M136" i="93"/>
  <c r="M140" i="93"/>
  <c r="M142" i="93"/>
  <c r="M143" i="93"/>
  <c r="M137" i="93"/>
  <c r="M139" i="93"/>
  <c r="M138" i="93"/>
  <c r="M44" i="95"/>
  <c r="M48" i="95"/>
  <c r="L44" i="90"/>
  <c r="L139" i="90"/>
  <c r="L143" i="90"/>
  <c r="L136" i="90"/>
  <c r="L135" i="90"/>
  <c r="L141" i="90"/>
  <c r="L137" i="90"/>
  <c r="L142" i="90"/>
  <c r="L140" i="90"/>
  <c r="L138" i="90"/>
  <c r="L44" i="74"/>
  <c r="L137" i="74"/>
  <c r="L143" i="74"/>
  <c r="L138" i="74"/>
  <c r="L142" i="74"/>
  <c r="L139" i="74"/>
  <c r="L141" i="74"/>
  <c r="L140" i="74"/>
  <c r="L136" i="74"/>
  <c r="L135" i="74"/>
  <c r="M48" i="81"/>
  <c r="K44" i="76"/>
  <c r="K124" i="76"/>
  <c r="K123" i="76"/>
  <c r="K130" i="76"/>
  <c r="K129" i="76"/>
  <c r="K126" i="76"/>
  <c r="K127" i="76"/>
  <c r="K128" i="76"/>
  <c r="K131" i="76"/>
  <c r="K125" i="76"/>
  <c r="P11" i="128"/>
  <c r="O11" i="128"/>
  <c r="I46" i="128"/>
  <c r="I51" i="128" s="1"/>
  <c r="I47" i="128"/>
  <c r="I52" i="128" s="1"/>
  <c r="I35" i="128"/>
  <c r="I43" i="128"/>
  <c r="I39" i="128"/>
  <c r="I36" i="128"/>
  <c r="I40" i="128"/>
  <c r="I34" i="128"/>
  <c r="I42" i="128"/>
  <c r="I41" i="128"/>
  <c r="I37" i="128"/>
  <c r="I38" i="128"/>
  <c r="AR44" i="16"/>
  <c r="AM44" i="16"/>
  <c r="AQ44" i="16"/>
  <c r="AO44" i="16"/>
  <c r="AJ44" i="16"/>
  <c r="AL44" i="16"/>
  <c r="AK44" i="16"/>
  <c r="AP44" i="16"/>
  <c r="AN44" i="16"/>
  <c r="M53" i="75"/>
  <c r="M137" i="75"/>
  <c r="M136" i="75"/>
  <c r="M142" i="75"/>
  <c r="M143" i="75"/>
  <c r="M139" i="75"/>
  <c r="M138" i="75"/>
  <c r="M140" i="75"/>
  <c r="M141" i="75"/>
  <c r="M135" i="75"/>
  <c r="K48" i="123"/>
  <c r="K49" i="123" s="1"/>
  <c r="L44" i="91"/>
  <c r="L48" i="105"/>
  <c r="J53" i="127"/>
  <c r="J139" i="127"/>
  <c r="J138" i="127"/>
  <c r="J140" i="127"/>
  <c r="J135" i="127"/>
  <c r="J136" i="127"/>
  <c r="J143" i="127"/>
  <c r="J137" i="127"/>
  <c r="J142" i="127"/>
  <c r="J141" i="127"/>
  <c r="K44" i="104"/>
  <c r="K48" i="104"/>
  <c r="O51" i="16"/>
  <c r="K44" i="82"/>
  <c r="K48" i="82"/>
  <c r="P11" i="88"/>
  <c r="O11" i="88"/>
  <c r="I46" i="88"/>
  <c r="I51" i="88" s="1"/>
  <c r="I47" i="88"/>
  <c r="I14" i="88"/>
  <c r="J14" i="88" s="1"/>
  <c r="I43" i="88"/>
  <c r="I35" i="88"/>
  <c r="I39" i="88"/>
  <c r="P39" i="88" s="1"/>
  <c r="I36" i="88"/>
  <c r="P36" i="88" s="1"/>
  <c r="I40" i="88"/>
  <c r="P40" i="88" s="1"/>
  <c r="I34" i="88"/>
  <c r="I38" i="88"/>
  <c r="O38" i="88" s="1"/>
  <c r="I41" i="88"/>
  <c r="I37" i="88"/>
  <c r="P37" i="88" s="1"/>
  <c r="I42" i="88"/>
  <c r="J138" i="88"/>
  <c r="J136" i="88"/>
  <c r="J139" i="88"/>
  <c r="J140" i="88"/>
  <c r="J143" i="88"/>
  <c r="J135" i="88"/>
  <c r="J141" i="88"/>
  <c r="J142" i="88"/>
  <c r="J137" i="88"/>
  <c r="K44" i="84"/>
  <c r="J44" i="125"/>
  <c r="J48" i="125"/>
  <c r="L140" i="77"/>
  <c r="L142" i="77"/>
  <c r="L139" i="77"/>
  <c r="L136" i="77"/>
  <c r="L137" i="77"/>
  <c r="L143" i="77"/>
  <c r="L141" i="77"/>
  <c r="L138" i="77"/>
  <c r="L135" i="77"/>
  <c r="M44" i="124"/>
  <c r="M143" i="101"/>
  <c r="M135" i="101"/>
  <c r="M139" i="101"/>
  <c r="M137" i="101"/>
  <c r="M138" i="101"/>
  <c r="M140" i="101"/>
  <c r="M136" i="101"/>
  <c r="M142" i="101"/>
  <c r="M141" i="101"/>
  <c r="S22" i="133"/>
  <c r="BC22" i="133" s="1"/>
  <c r="M54" i="110"/>
  <c r="M44" i="96"/>
  <c r="M48" i="96"/>
  <c r="L44" i="9"/>
  <c r="K51" i="86"/>
  <c r="K48" i="86"/>
  <c r="O11" i="80"/>
  <c r="R11" i="80" s="1"/>
  <c r="D37" i="122" s="1"/>
  <c r="P11" i="80"/>
  <c r="I47" i="80"/>
  <c r="I46" i="80"/>
  <c r="I51" i="80" s="1"/>
  <c r="I39" i="80"/>
  <c r="P39" i="80" s="1"/>
  <c r="I36" i="80"/>
  <c r="O36" i="80" s="1"/>
  <c r="I43" i="80"/>
  <c r="P43" i="80" s="1"/>
  <c r="I35" i="80"/>
  <c r="I40" i="80"/>
  <c r="P40" i="80" s="1"/>
  <c r="I14" i="80"/>
  <c r="J14" i="80" s="1"/>
  <c r="J76" i="80" s="1"/>
  <c r="I34" i="80"/>
  <c r="I41" i="80"/>
  <c r="P41" i="80" s="1"/>
  <c r="I37" i="80"/>
  <c r="O37" i="80" s="1"/>
  <c r="I38" i="80"/>
  <c r="O38" i="80" s="1"/>
  <c r="I42" i="80"/>
  <c r="O42" i="80" s="1"/>
  <c r="J51" i="80"/>
  <c r="M136" i="94"/>
  <c r="M142" i="94"/>
  <c r="M140" i="94"/>
  <c r="M139" i="94"/>
  <c r="M135" i="94"/>
  <c r="M137" i="94"/>
  <c r="M143" i="94"/>
  <c r="M141" i="94"/>
  <c r="M138" i="94"/>
  <c r="K140" i="78"/>
  <c r="K141" i="78"/>
  <c r="K136" i="78"/>
  <c r="K139" i="78"/>
  <c r="K142" i="78"/>
  <c r="K143" i="78"/>
  <c r="K137" i="78"/>
  <c r="K138" i="78"/>
  <c r="K135" i="78"/>
  <c r="M44" i="108"/>
  <c r="M48" i="108"/>
  <c r="J44" i="93"/>
  <c r="J48" i="93"/>
  <c r="K44" i="107"/>
  <c r="K44" i="90"/>
  <c r="J143" i="100"/>
  <c r="J138" i="100"/>
  <c r="J139" i="100"/>
  <c r="J141" i="100"/>
  <c r="J140" i="100"/>
  <c r="J135" i="100"/>
  <c r="J137" i="100"/>
  <c r="J136" i="100"/>
  <c r="J142" i="100"/>
  <c r="M51" i="76"/>
  <c r="K51" i="92"/>
  <c r="K48" i="92"/>
  <c r="K44" i="109"/>
  <c r="K51" i="97"/>
  <c r="K48" i="97"/>
  <c r="AN32" i="16"/>
  <c r="AL32" i="16"/>
  <c r="AM32" i="16"/>
  <c r="AP32" i="16"/>
  <c r="AR32" i="16"/>
  <c r="AQ32" i="16"/>
  <c r="AO32" i="16"/>
  <c r="AK32" i="16"/>
  <c r="AJ32" i="16"/>
  <c r="M53" i="123"/>
  <c r="M139" i="123"/>
  <c r="M137" i="123"/>
  <c r="M142" i="123"/>
  <c r="M143" i="123"/>
  <c r="M135" i="123"/>
  <c r="M138" i="123"/>
  <c r="M140" i="123"/>
  <c r="M141" i="123"/>
  <c r="M136" i="123"/>
  <c r="P11" i="79"/>
  <c r="O11" i="79"/>
  <c r="I46" i="79"/>
  <c r="I51" i="79" s="1"/>
  <c r="I47" i="79"/>
  <c r="I43" i="79"/>
  <c r="O43" i="79" s="1"/>
  <c r="I35" i="79"/>
  <c r="I39" i="79"/>
  <c r="I40" i="79"/>
  <c r="I36" i="79"/>
  <c r="P36" i="79" s="1"/>
  <c r="J14" i="79"/>
  <c r="K14" i="79" s="1"/>
  <c r="K76" i="79" s="1"/>
  <c r="I34" i="79"/>
  <c r="I42" i="79"/>
  <c r="P42" i="79" s="1"/>
  <c r="I41" i="79"/>
  <c r="I37" i="79"/>
  <c r="O37" i="79" s="1"/>
  <c r="I38" i="79"/>
  <c r="J48" i="105"/>
  <c r="L51" i="127"/>
  <c r="L48" i="127"/>
  <c r="M48" i="104"/>
  <c r="M44" i="82"/>
  <c r="M48" i="82"/>
  <c r="M142" i="84"/>
  <c r="M137" i="84"/>
  <c r="M139" i="84"/>
  <c r="M141" i="84"/>
  <c r="M138" i="84"/>
  <c r="M143" i="84"/>
  <c r="M136" i="84"/>
  <c r="M135" i="84"/>
  <c r="M140" i="84"/>
  <c r="L48" i="125"/>
  <c r="L49" i="125" s="1"/>
  <c r="J128" i="77"/>
  <c r="J123" i="77"/>
  <c r="J131" i="77"/>
  <c r="J130" i="77"/>
  <c r="J126" i="77"/>
  <c r="J124" i="77"/>
  <c r="J127" i="77"/>
  <c r="J129" i="77"/>
  <c r="J125" i="77"/>
  <c r="K44" i="124"/>
  <c r="K48" i="124"/>
  <c r="L44" i="102"/>
  <c r="L51" i="102"/>
  <c r="K130" i="101"/>
  <c r="K129" i="101"/>
  <c r="K127" i="101"/>
  <c r="K131" i="101"/>
  <c r="K128" i="101"/>
  <c r="K124" i="101"/>
  <c r="K123" i="101"/>
  <c r="K125" i="101"/>
  <c r="K126" i="101"/>
  <c r="U17" i="16"/>
  <c r="AJ28" i="16"/>
  <c r="AR28" i="16"/>
  <c r="AK28" i="16"/>
  <c r="AL28" i="16"/>
  <c r="AM28" i="16"/>
  <c r="AN28" i="16"/>
  <c r="AQ28" i="16"/>
  <c r="AO28" i="16"/>
  <c r="AP28" i="16"/>
  <c r="J44" i="9"/>
  <c r="M141" i="86"/>
  <c r="M143" i="86"/>
  <c r="M137" i="86"/>
  <c r="M139" i="86"/>
  <c r="M142" i="86"/>
  <c r="M140" i="86"/>
  <c r="M135" i="86"/>
  <c r="M138" i="86"/>
  <c r="M136" i="86"/>
  <c r="L48" i="80"/>
  <c r="K51" i="94"/>
  <c r="J44" i="83"/>
  <c r="M135" i="78"/>
  <c r="M137" i="78"/>
  <c r="M142" i="78"/>
  <c r="M140" i="78"/>
  <c r="M143" i="78"/>
  <c r="M138" i="78"/>
  <c r="M136" i="78"/>
  <c r="M139" i="78"/>
  <c r="M141" i="78"/>
  <c r="K44" i="108"/>
  <c r="P11" i="108"/>
  <c r="O11" i="108"/>
  <c r="I47" i="108"/>
  <c r="I52" i="108" s="1"/>
  <c r="I46" i="108"/>
  <c r="I35" i="108"/>
  <c r="I40" i="108"/>
  <c r="I43" i="108"/>
  <c r="P43" i="108" s="1"/>
  <c r="I36" i="108"/>
  <c r="P36" i="108" s="1"/>
  <c r="I14" i="108"/>
  <c r="I39" i="108"/>
  <c r="O39" i="108" s="1"/>
  <c r="I34" i="108"/>
  <c r="O34" i="108" s="1"/>
  <c r="I37" i="108"/>
  <c r="I38" i="108"/>
  <c r="I41" i="108"/>
  <c r="P41" i="108" s="1"/>
  <c r="I42" i="108"/>
  <c r="L137" i="93"/>
  <c r="L139" i="93"/>
  <c r="L140" i="93"/>
  <c r="L135" i="93"/>
  <c r="L136" i="93"/>
  <c r="L142" i="93"/>
  <c r="L141" i="93"/>
  <c r="L143" i="93"/>
  <c r="L138" i="93"/>
  <c r="M48" i="107"/>
  <c r="L51" i="95"/>
  <c r="L48" i="100"/>
  <c r="AK33" i="16"/>
  <c r="AQ33" i="16"/>
  <c r="AL33" i="16"/>
  <c r="AJ33" i="16"/>
  <c r="AN33" i="16"/>
  <c r="AP33" i="16"/>
  <c r="AM33" i="16"/>
  <c r="AR33" i="16"/>
  <c r="AO33" i="16"/>
  <c r="J48" i="76"/>
  <c r="M48" i="109"/>
  <c r="J140" i="87"/>
  <c r="J135" i="87"/>
  <c r="J137" i="87"/>
  <c r="J136" i="87"/>
  <c r="J139" i="87"/>
  <c r="J141" i="87"/>
  <c r="J138" i="87"/>
  <c r="J143" i="87"/>
  <c r="J142" i="87"/>
  <c r="M143" i="97"/>
  <c r="M142" i="97"/>
  <c r="M135" i="97"/>
  <c r="M141" i="97"/>
  <c r="M136" i="97"/>
  <c r="M138" i="97"/>
  <c r="M137" i="97"/>
  <c r="M139" i="97"/>
  <c r="M140" i="97"/>
  <c r="L51" i="75"/>
  <c r="L48" i="75"/>
  <c r="AP23" i="16"/>
  <c r="AR23" i="16"/>
  <c r="AQ23" i="16"/>
  <c r="AO23" i="16"/>
  <c r="AL23" i="16"/>
  <c r="AM23" i="16"/>
  <c r="AN23" i="16"/>
  <c r="AJ23" i="16"/>
  <c r="AK23" i="16"/>
  <c r="J44" i="123"/>
  <c r="M48" i="91"/>
  <c r="M44" i="105"/>
  <c r="M48" i="105"/>
  <c r="AN11" i="16"/>
  <c r="AK11" i="16"/>
  <c r="AL11" i="16"/>
  <c r="AO11" i="16"/>
  <c r="AQ11" i="16"/>
  <c r="AP11" i="16"/>
  <c r="AJ11" i="16"/>
  <c r="AR11" i="16"/>
  <c r="AM11" i="16"/>
  <c r="J44" i="104"/>
  <c r="AM39" i="16"/>
  <c r="AR39" i="16"/>
  <c r="AO39" i="16"/>
  <c r="AP39" i="16"/>
  <c r="AQ39" i="16"/>
  <c r="AL39" i="16"/>
  <c r="AN39" i="16"/>
  <c r="AJ39" i="16"/>
  <c r="AK39" i="16"/>
  <c r="J44" i="82"/>
  <c r="J48" i="82"/>
  <c r="K142" i="88"/>
  <c r="K135" i="88"/>
  <c r="K136" i="88"/>
  <c r="K137" i="88"/>
  <c r="K143" i="88"/>
  <c r="K141" i="88"/>
  <c r="K140" i="88"/>
  <c r="K139" i="88"/>
  <c r="K138" i="88"/>
  <c r="J44" i="84"/>
  <c r="K48" i="125"/>
  <c r="K44" i="102"/>
  <c r="L51" i="101"/>
  <c r="L48" i="101"/>
  <c r="J141" i="89"/>
  <c r="J139" i="89"/>
  <c r="J137" i="89"/>
  <c r="J143" i="89"/>
  <c r="J138" i="89"/>
  <c r="J135" i="89"/>
  <c r="J136" i="89"/>
  <c r="J142" i="89"/>
  <c r="J140" i="89"/>
  <c r="L44" i="96"/>
  <c r="L128" i="96"/>
  <c r="L123" i="96"/>
  <c r="L124" i="96"/>
  <c r="L129" i="96"/>
  <c r="L130" i="96"/>
  <c r="L131" i="96"/>
  <c r="L125" i="96"/>
  <c r="L126" i="96"/>
  <c r="L127" i="96"/>
  <c r="M44" i="9"/>
  <c r="M48" i="9"/>
  <c r="P11" i="86"/>
  <c r="O11" i="86"/>
  <c r="I47" i="86"/>
  <c r="I52" i="86" s="1"/>
  <c r="I46" i="86"/>
  <c r="I51" i="86" s="1"/>
  <c r="I14" i="86"/>
  <c r="J14" i="86" s="1"/>
  <c r="J76" i="86" s="1"/>
  <c r="I43" i="86"/>
  <c r="P43" i="86" s="1"/>
  <c r="I35" i="86"/>
  <c r="I36" i="86"/>
  <c r="P36" i="86" s="1"/>
  <c r="I39" i="86"/>
  <c r="I40" i="86"/>
  <c r="P40" i="86" s="1"/>
  <c r="I42" i="86"/>
  <c r="P42" i="86" s="1"/>
  <c r="I34" i="86"/>
  <c r="I38" i="86"/>
  <c r="I41" i="86"/>
  <c r="I37" i="86"/>
  <c r="J51" i="86"/>
  <c r="K44" i="80"/>
  <c r="K51" i="80"/>
  <c r="K48" i="80"/>
  <c r="L48" i="94"/>
  <c r="M51" i="126"/>
  <c r="AP47" i="16"/>
  <c r="AJ47" i="16"/>
  <c r="AN47" i="16"/>
  <c r="AQ47" i="16"/>
  <c r="AM47" i="16"/>
  <c r="AL47" i="16"/>
  <c r="AK47" i="16"/>
  <c r="AR47" i="16"/>
  <c r="AO47" i="16"/>
  <c r="J44" i="107"/>
  <c r="K44" i="95"/>
  <c r="K138" i="95"/>
  <c r="K136" i="95"/>
  <c r="K141" i="95"/>
  <c r="K143" i="95"/>
  <c r="K137" i="95"/>
  <c r="K139" i="95"/>
  <c r="K142" i="95"/>
  <c r="K140" i="95"/>
  <c r="K135" i="95"/>
  <c r="J44" i="90"/>
  <c r="J51" i="90"/>
  <c r="J48" i="90"/>
  <c r="K51" i="100"/>
  <c r="K48" i="100"/>
  <c r="P11" i="74"/>
  <c r="O11" i="74"/>
  <c r="I46" i="74"/>
  <c r="I51" i="74" s="1"/>
  <c r="I47" i="74"/>
  <c r="I40" i="74"/>
  <c r="O40" i="74" s="1"/>
  <c r="I36" i="74"/>
  <c r="P36" i="74" s="1"/>
  <c r="I43" i="74"/>
  <c r="P43" i="74" s="1"/>
  <c r="I35" i="74"/>
  <c r="I39" i="74"/>
  <c r="I37" i="74"/>
  <c r="I38" i="74"/>
  <c r="O38" i="74" s="1"/>
  <c r="I34" i="74"/>
  <c r="I41" i="74"/>
  <c r="I42" i="74"/>
  <c r="P42" i="74" s="1"/>
  <c r="I14" i="74"/>
  <c r="J14" i="74" s="1"/>
  <c r="J138" i="74"/>
  <c r="J136" i="74"/>
  <c r="J141" i="74"/>
  <c r="J143" i="74"/>
  <c r="J137" i="74"/>
  <c r="J139" i="74"/>
  <c r="J142" i="74"/>
  <c r="J140" i="74"/>
  <c r="J135" i="74"/>
  <c r="K51" i="128"/>
  <c r="K48" i="128"/>
  <c r="J44" i="92"/>
  <c r="J51" i="92"/>
  <c r="J48" i="92"/>
  <c r="AO6" i="16"/>
  <c r="K14" i="99" s="1"/>
  <c r="K76" i="99" s="1"/>
  <c r="AK6" i="16"/>
  <c r="G14" i="99" s="1"/>
  <c r="G76" i="99" s="1"/>
  <c r="AJ6" i="16"/>
  <c r="AQ6" i="16"/>
  <c r="M14" i="99" s="1"/>
  <c r="M76" i="99" s="1"/>
  <c r="AM6" i="16"/>
  <c r="I14" i="99" s="1"/>
  <c r="AL6" i="16"/>
  <c r="H14" i="99" s="1"/>
  <c r="H76" i="99" s="1"/>
  <c r="AP6" i="16"/>
  <c r="L14" i="99" s="1"/>
  <c r="L76" i="99" s="1"/>
  <c r="AR6" i="16"/>
  <c r="N14" i="99" s="1"/>
  <c r="N76" i="99" s="1"/>
  <c r="AN6" i="16"/>
  <c r="J14" i="99" s="1"/>
  <c r="J76" i="99" s="1"/>
  <c r="J44" i="109"/>
  <c r="J48" i="109"/>
  <c r="AL29" i="16"/>
  <c r="AP29" i="16"/>
  <c r="AQ29" i="16"/>
  <c r="AO29" i="16"/>
  <c r="AJ29" i="16"/>
  <c r="AM29" i="16"/>
  <c r="AN29" i="16"/>
  <c r="AR29" i="16"/>
  <c r="AK29" i="16"/>
  <c r="J51" i="97"/>
  <c r="J48" i="97"/>
  <c r="J51" i="75"/>
  <c r="K141" i="91"/>
  <c r="K139" i="91"/>
  <c r="K140" i="91"/>
  <c r="K143" i="91"/>
  <c r="K137" i="91"/>
  <c r="K142" i="91"/>
  <c r="K136" i="91"/>
  <c r="K138" i="91"/>
  <c r="K135" i="91"/>
  <c r="J44" i="79"/>
  <c r="J143" i="79"/>
  <c r="J138" i="79"/>
  <c r="J136" i="79"/>
  <c r="J139" i="79"/>
  <c r="J141" i="79"/>
  <c r="J137" i="79"/>
  <c r="J135" i="79"/>
  <c r="J142" i="79"/>
  <c r="J140" i="79"/>
  <c r="AN12" i="16"/>
  <c r="AJ12" i="16"/>
  <c r="AK12" i="16"/>
  <c r="AQ12" i="16"/>
  <c r="AR12" i="16"/>
  <c r="AM12" i="16"/>
  <c r="AO12" i="16"/>
  <c r="AP12" i="16"/>
  <c r="AL12" i="16"/>
  <c r="M46" i="98"/>
  <c r="M51" i="98" s="1"/>
  <c r="M47" i="98"/>
  <c r="M52" i="98" s="1"/>
  <c r="M39" i="98"/>
  <c r="M40" i="98"/>
  <c r="M43" i="98"/>
  <c r="M36" i="98"/>
  <c r="M35" i="98"/>
  <c r="M37" i="98"/>
  <c r="M42" i="98"/>
  <c r="M38" i="98"/>
  <c r="M41" i="98"/>
  <c r="M34" i="98"/>
  <c r="L44" i="82"/>
  <c r="L51" i="82"/>
  <c r="M44" i="88"/>
  <c r="O36" i="88"/>
  <c r="M48" i="88"/>
  <c r="L44" i="84"/>
  <c r="J44" i="124"/>
  <c r="J51" i="124"/>
  <c r="J48" i="124"/>
  <c r="M46" i="85"/>
  <c r="M47" i="85"/>
  <c r="M52" i="85" s="1"/>
  <c r="M39" i="85"/>
  <c r="M36" i="85"/>
  <c r="M43" i="85"/>
  <c r="M40" i="85"/>
  <c r="M35" i="85"/>
  <c r="M42" i="85"/>
  <c r="M41" i="85"/>
  <c r="M38" i="85"/>
  <c r="M37" i="85"/>
  <c r="M34" i="85"/>
  <c r="L47" i="106"/>
  <c r="L52" i="106" s="1"/>
  <c r="L46" i="106"/>
  <c r="L36" i="106"/>
  <c r="L35" i="106"/>
  <c r="L39" i="106"/>
  <c r="L40" i="106"/>
  <c r="L43" i="106"/>
  <c r="L41" i="106"/>
  <c r="L38" i="106"/>
  <c r="L37" i="106"/>
  <c r="L34" i="106"/>
  <c r="L42" i="106"/>
  <c r="J47" i="129"/>
  <c r="J52" i="129" s="1"/>
  <c r="J46" i="129"/>
  <c r="J51" i="129" s="1"/>
  <c r="J35" i="129"/>
  <c r="J36" i="129"/>
  <c r="J43" i="129"/>
  <c r="J39" i="129"/>
  <c r="J40" i="129"/>
  <c r="J38" i="129"/>
  <c r="J34" i="129"/>
  <c r="J37" i="129"/>
  <c r="J42" i="129"/>
  <c r="J41" i="129"/>
  <c r="J47" i="128"/>
  <c r="J52" i="128" s="1"/>
  <c r="J46" i="128"/>
  <c r="J40" i="128"/>
  <c r="J43" i="128"/>
  <c r="J39" i="128"/>
  <c r="J35" i="128"/>
  <c r="J36" i="128"/>
  <c r="J34" i="128"/>
  <c r="J38" i="128"/>
  <c r="J37" i="128"/>
  <c r="J42" i="128"/>
  <c r="J41" i="128"/>
  <c r="K46" i="89"/>
  <c r="K47" i="89"/>
  <c r="K52" i="89" s="1"/>
  <c r="K36" i="89"/>
  <c r="K39" i="89"/>
  <c r="K40" i="89"/>
  <c r="K43" i="89"/>
  <c r="K35" i="89"/>
  <c r="K34" i="89"/>
  <c r="K38" i="89"/>
  <c r="K37" i="89"/>
  <c r="K42" i="89"/>
  <c r="K41" i="89"/>
  <c r="M137" i="103"/>
  <c r="M135" i="103"/>
  <c r="M139" i="103"/>
  <c r="M140" i="103"/>
  <c r="M136" i="103"/>
  <c r="M142" i="103"/>
  <c r="M141" i="103"/>
  <c r="M143" i="103"/>
  <c r="M138" i="103"/>
  <c r="K44" i="9"/>
  <c r="K51" i="9"/>
  <c r="M135" i="80"/>
  <c r="M139" i="80"/>
  <c r="M140" i="80"/>
  <c r="M142" i="80"/>
  <c r="M137" i="80"/>
  <c r="M138" i="80"/>
  <c r="M141" i="80"/>
  <c r="M143" i="80"/>
  <c r="M136" i="80"/>
  <c r="L136" i="78"/>
  <c r="L143" i="78"/>
  <c r="L141" i="78"/>
  <c r="L140" i="78"/>
  <c r="L138" i="78"/>
  <c r="L137" i="78"/>
  <c r="L135" i="78"/>
  <c r="L142" i="78"/>
  <c r="L139" i="78"/>
  <c r="K143" i="126"/>
  <c r="K138" i="126"/>
  <c r="K136" i="126"/>
  <c r="K139" i="126"/>
  <c r="K141" i="126"/>
  <c r="K135" i="126"/>
  <c r="K137" i="126"/>
  <c r="K142" i="126"/>
  <c r="K140" i="126"/>
  <c r="M50" i="93"/>
  <c r="L44" i="107"/>
  <c r="Y23" i="133"/>
  <c r="L51" i="90"/>
  <c r="L48" i="90"/>
  <c r="M129" i="100"/>
  <c r="M128" i="100"/>
  <c r="M126" i="100"/>
  <c r="M130" i="100"/>
  <c r="M127" i="100"/>
  <c r="M123" i="100"/>
  <c r="M125" i="100"/>
  <c r="M124" i="100"/>
  <c r="M131" i="100"/>
  <c r="L51" i="74"/>
  <c r="L48" i="74"/>
  <c r="M123" i="81"/>
  <c r="M131" i="81"/>
  <c r="M128" i="81"/>
  <c r="M124" i="81"/>
  <c r="M125" i="81"/>
  <c r="M127" i="81"/>
  <c r="M129" i="81"/>
  <c r="M126" i="81"/>
  <c r="M130" i="81"/>
  <c r="K139" i="76"/>
  <c r="K141" i="76"/>
  <c r="K140" i="76"/>
  <c r="K135" i="76"/>
  <c r="K137" i="76"/>
  <c r="K136" i="76"/>
  <c r="K142" i="76"/>
  <c r="K143" i="76"/>
  <c r="K138" i="76"/>
  <c r="V18" i="16"/>
  <c r="M131" i="92"/>
  <c r="M129" i="92"/>
  <c r="M128" i="92"/>
  <c r="M126" i="92"/>
  <c r="M130" i="92"/>
  <c r="M124" i="92"/>
  <c r="M125" i="92"/>
  <c r="M127" i="92"/>
  <c r="M123" i="92"/>
  <c r="K143" i="87"/>
  <c r="K137" i="87"/>
  <c r="K141" i="87"/>
  <c r="K139" i="87"/>
  <c r="K135" i="87"/>
  <c r="K140" i="87"/>
  <c r="K142" i="87"/>
  <c r="K136" i="87"/>
  <c r="K138" i="87"/>
  <c r="P22" i="133"/>
  <c r="K142" i="123"/>
  <c r="K136" i="123"/>
  <c r="K141" i="123"/>
  <c r="K137" i="123"/>
  <c r="K138" i="123"/>
  <c r="K135" i="123"/>
  <c r="K143" i="123"/>
  <c r="K139" i="123"/>
  <c r="K140" i="123"/>
  <c r="L139" i="91"/>
  <c r="L137" i="91"/>
  <c r="L138" i="91"/>
  <c r="L141" i="91"/>
  <c r="L135" i="91"/>
  <c r="L136" i="91"/>
  <c r="L143" i="91"/>
  <c r="L140" i="91"/>
  <c r="L142" i="91"/>
  <c r="O11" i="127"/>
  <c r="P11" i="127"/>
  <c r="I47" i="127"/>
  <c r="I52" i="127" s="1"/>
  <c r="I46" i="127"/>
  <c r="I39" i="127"/>
  <c r="P39" i="127" s="1"/>
  <c r="I40" i="127"/>
  <c r="I36" i="127"/>
  <c r="O36" i="127" s="1"/>
  <c r="I43" i="127"/>
  <c r="I35" i="127"/>
  <c r="I34" i="127"/>
  <c r="I41" i="127"/>
  <c r="P41" i="127" s="1"/>
  <c r="I37" i="127"/>
  <c r="I38" i="127"/>
  <c r="O38" i="127" s="1"/>
  <c r="I42" i="127"/>
  <c r="J50" i="127"/>
  <c r="P11" i="98"/>
  <c r="O11" i="98"/>
  <c r="R11" i="98" s="1"/>
  <c r="D5" i="122" s="1"/>
  <c r="I47" i="98"/>
  <c r="I52" i="98" s="1"/>
  <c r="I46" i="98"/>
  <c r="I51" i="98" s="1"/>
  <c r="I39" i="98"/>
  <c r="I36" i="98"/>
  <c r="I43" i="98"/>
  <c r="I35" i="98"/>
  <c r="I40" i="98"/>
  <c r="I34" i="98"/>
  <c r="I41" i="98"/>
  <c r="I37" i="98"/>
  <c r="I38" i="98"/>
  <c r="I42" i="98"/>
  <c r="K137" i="82"/>
  <c r="K140" i="82"/>
  <c r="K142" i="82"/>
  <c r="K141" i="82"/>
  <c r="K143" i="82"/>
  <c r="K138" i="82"/>
  <c r="K136" i="82"/>
  <c r="K135" i="82"/>
  <c r="K139" i="82"/>
  <c r="J51" i="88"/>
  <c r="J48" i="88"/>
  <c r="K124" i="84"/>
  <c r="K131" i="84"/>
  <c r="K125" i="84"/>
  <c r="K123" i="84"/>
  <c r="K128" i="84"/>
  <c r="K130" i="84"/>
  <c r="K127" i="84"/>
  <c r="K129" i="84"/>
  <c r="K126" i="84"/>
  <c r="AQ21" i="16"/>
  <c r="M14" i="125" s="1"/>
  <c r="M76" i="125" s="1"/>
  <c r="AL21" i="16"/>
  <c r="H14" i="125" s="1"/>
  <c r="H76" i="125" s="1"/>
  <c r="AR21" i="16"/>
  <c r="N14" i="125" s="1"/>
  <c r="N76" i="125" s="1"/>
  <c r="AM21" i="16"/>
  <c r="I14" i="125" s="1"/>
  <c r="AO21" i="16"/>
  <c r="K14" i="125" s="1"/>
  <c r="K76" i="125" s="1"/>
  <c r="AN21" i="16"/>
  <c r="J14" i="125" s="1"/>
  <c r="J76" i="125" s="1"/>
  <c r="AK21" i="16"/>
  <c r="G14" i="125" s="1"/>
  <c r="G76" i="125" s="1"/>
  <c r="AP21" i="16"/>
  <c r="L14" i="125" s="1"/>
  <c r="L76" i="125" s="1"/>
  <c r="AJ21" i="16"/>
  <c r="L51" i="77"/>
  <c r="L48" i="77"/>
  <c r="P11" i="102"/>
  <c r="O11" i="102"/>
  <c r="I46" i="102"/>
  <c r="I51" i="102" s="1"/>
  <c r="I47" i="102"/>
  <c r="I52" i="102" s="1"/>
  <c r="I39" i="102"/>
  <c r="I36" i="102"/>
  <c r="I43" i="102"/>
  <c r="I35" i="102"/>
  <c r="I40" i="102"/>
  <c r="I34" i="102"/>
  <c r="I41" i="102"/>
  <c r="I42" i="102"/>
  <c r="I37" i="102"/>
  <c r="I38" i="102"/>
  <c r="V13" i="16"/>
  <c r="L139" i="9"/>
  <c r="L141" i="9"/>
  <c r="L140" i="9"/>
  <c r="L135" i="9"/>
  <c r="L137" i="9"/>
  <c r="L136" i="9"/>
  <c r="L142" i="9"/>
  <c r="L143" i="9"/>
  <c r="L138" i="9"/>
  <c r="J141" i="80"/>
  <c r="J142" i="80"/>
  <c r="J140" i="80"/>
  <c r="J139" i="80"/>
  <c r="J135" i="80"/>
  <c r="J138" i="80"/>
  <c r="J143" i="80"/>
  <c r="J136" i="80"/>
  <c r="J137" i="80"/>
  <c r="M44" i="94"/>
  <c r="L137" i="83"/>
  <c r="L139" i="83"/>
  <c r="L142" i="83"/>
  <c r="L140" i="83"/>
  <c r="L135" i="83"/>
  <c r="L138" i="83"/>
  <c r="L136" i="83"/>
  <c r="L141" i="83"/>
  <c r="L143" i="83"/>
  <c r="L119" i="126"/>
  <c r="L116" i="126"/>
  <c r="L118" i="126"/>
  <c r="L115" i="126"/>
  <c r="L114" i="126"/>
  <c r="L113" i="126"/>
  <c r="L112" i="126"/>
  <c r="L111" i="126"/>
  <c r="L117" i="126"/>
  <c r="L136" i="126"/>
  <c r="L142" i="126"/>
  <c r="L141" i="126"/>
  <c r="L143" i="126"/>
  <c r="L138" i="126"/>
  <c r="L137" i="126"/>
  <c r="L139" i="126"/>
  <c r="L140" i="126"/>
  <c r="L135" i="126"/>
  <c r="P39" i="108"/>
  <c r="AQ25" i="16"/>
  <c r="AO25" i="16"/>
  <c r="AM25" i="16"/>
  <c r="AP25" i="16"/>
  <c r="AL25" i="16"/>
  <c r="AN25" i="16"/>
  <c r="AR25" i="16"/>
  <c r="AJ25" i="16"/>
  <c r="AK25" i="16"/>
  <c r="J141" i="93"/>
  <c r="J142" i="93"/>
  <c r="J140" i="93"/>
  <c r="J137" i="93"/>
  <c r="J138" i="93"/>
  <c r="J135" i="93"/>
  <c r="J143" i="93"/>
  <c r="J139" i="93"/>
  <c r="J136" i="93"/>
  <c r="X23" i="133"/>
  <c r="G19" i="119"/>
  <c r="Q19" i="119" s="1"/>
  <c r="AR27" i="16"/>
  <c r="AK27" i="16"/>
  <c r="AQ27" i="16"/>
  <c r="AP27" i="16"/>
  <c r="AL27" i="16"/>
  <c r="AM27" i="16"/>
  <c r="AN27" i="16"/>
  <c r="AJ27" i="16"/>
  <c r="AO27" i="16"/>
  <c r="J44" i="95"/>
  <c r="AK7" i="16"/>
  <c r="G14" i="100" s="1"/>
  <c r="G76" i="100" s="1"/>
  <c r="AO7" i="16"/>
  <c r="K14" i="100" s="1"/>
  <c r="K76" i="100" s="1"/>
  <c r="AP7" i="16"/>
  <c r="L14" i="100" s="1"/>
  <c r="L76" i="100" s="1"/>
  <c r="AR7" i="16"/>
  <c r="N14" i="100" s="1"/>
  <c r="N76" i="100" s="1"/>
  <c r="AN7" i="16"/>
  <c r="J14" i="100" s="1"/>
  <c r="J76" i="100" s="1"/>
  <c r="AQ7" i="16"/>
  <c r="M14" i="100" s="1"/>
  <c r="M76" i="100" s="1"/>
  <c r="AJ7" i="16"/>
  <c r="AM7" i="16"/>
  <c r="I14" i="100" s="1"/>
  <c r="AL7" i="16"/>
  <c r="H14" i="100" s="1"/>
  <c r="H76" i="100" s="1"/>
  <c r="J44" i="100"/>
  <c r="M135" i="76"/>
  <c r="M143" i="76"/>
  <c r="M139" i="76"/>
  <c r="M142" i="76"/>
  <c r="M141" i="76"/>
  <c r="M138" i="76"/>
  <c r="M137" i="76"/>
  <c r="M140" i="76"/>
  <c r="M136" i="76"/>
  <c r="AN24" i="16"/>
  <c r="AK24" i="16"/>
  <c r="AJ24" i="16"/>
  <c r="AP24" i="16"/>
  <c r="AO24" i="16"/>
  <c r="AM24" i="16"/>
  <c r="AR24" i="16"/>
  <c r="AQ24" i="16"/>
  <c r="AL24" i="16"/>
  <c r="J44" i="99"/>
  <c r="J51" i="99"/>
  <c r="J48" i="99"/>
  <c r="L51" i="129"/>
  <c r="L48" i="129"/>
  <c r="L49" i="129" s="1"/>
  <c r="L127" i="87"/>
  <c r="L129" i="87"/>
  <c r="L123" i="87"/>
  <c r="L125" i="87"/>
  <c r="L130" i="87"/>
  <c r="L128" i="87"/>
  <c r="L131" i="87"/>
  <c r="L126" i="87"/>
  <c r="L124" i="87"/>
  <c r="K44" i="97"/>
  <c r="K130" i="75"/>
  <c r="K131" i="75"/>
  <c r="K125" i="75"/>
  <c r="K126" i="75"/>
  <c r="K123" i="75"/>
  <c r="K128" i="75"/>
  <c r="K129" i="75"/>
  <c r="K124" i="75"/>
  <c r="K127" i="75"/>
  <c r="P11" i="75"/>
  <c r="O11" i="75"/>
  <c r="R11" i="75" s="1"/>
  <c r="D32" i="122" s="1"/>
  <c r="I47" i="75"/>
  <c r="I52" i="75" s="1"/>
  <c r="I46" i="75"/>
  <c r="I39" i="75"/>
  <c r="O39" i="75" s="1"/>
  <c r="I40" i="75"/>
  <c r="P40" i="75" s="1"/>
  <c r="I36" i="75"/>
  <c r="I43" i="75"/>
  <c r="P43" i="75" s="1"/>
  <c r="I35" i="75"/>
  <c r="I14" i="75"/>
  <c r="J14" i="75" s="1"/>
  <c r="J76" i="75" s="1"/>
  <c r="I34" i="75"/>
  <c r="I42" i="75"/>
  <c r="I41" i="75"/>
  <c r="I37" i="75"/>
  <c r="P37" i="75" s="1"/>
  <c r="I38" i="75"/>
  <c r="P38" i="75" s="1"/>
  <c r="J50" i="91"/>
  <c r="K51" i="79"/>
  <c r="K48" i="79"/>
  <c r="K49" i="79" s="1"/>
  <c r="J49" i="105"/>
  <c r="J140" i="105"/>
  <c r="J141" i="105"/>
  <c r="J137" i="105"/>
  <c r="J138" i="105"/>
  <c r="J143" i="105"/>
  <c r="J136" i="105"/>
  <c r="J142" i="105"/>
  <c r="J139" i="105"/>
  <c r="J135" i="105"/>
  <c r="M142" i="106"/>
  <c r="M138" i="106"/>
  <c r="M135" i="106"/>
  <c r="M141" i="106"/>
  <c r="M143" i="106"/>
  <c r="M139" i="106"/>
  <c r="M140" i="106"/>
  <c r="M136" i="106"/>
  <c r="M137" i="106"/>
  <c r="M125" i="104"/>
  <c r="M126" i="104"/>
  <c r="M123" i="104"/>
  <c r="M124" i="104"/>
  <c r="M131" i="104"/>
  <c r="M130" i="104"/>
  <c r="M128" i="104"/>
  <c r="M127" i="104"/>
  <c r="M129" i="104"/>
  <c r="L46" i="98"/>
  <c r="L47" i="98"/>
  <c r="L52" i="98" s="1"/>
  <c r="L35" i="98"/>
  <c r="L39" i="98"/>
  <c r="L40" i="98"/>
  <c r="L43" i="98"/>
  <c r="L36" i="98"/>
  <c r="L34" i="98"/>
  <c r="L41" i="98"/>
  <c r="L38" i="98"/>
  <c r="L37" i="98"/>
  <c r="L42" i="98"/>
  <c r="L143" i="88"/>
  <c r="L138" i="88"/>
  <c r="L140" i="88"/>
  <c r="L142" i="88"/>
  <c r="L136" i="88"/>
  <c r="L141" i="88"/>
  <c r="L139" i="88"/>
  <c r="L137" i="88"/>
  <c r="L135" i="88"/>
  <c r="M44" i="84"/>
  <c r="L126" i="125"/>
  <c r="L127" i="125"/>
  <c r="L128" i="125"/>
  <c r="L123" i="125"/>
  <c r="L124" i="125"/>
  <c r="L129" i="125"/>
  <c r="L130" i="125"/>
  <c r="L131" i="125"/>
  <c r="L125" i="125"/>
  <c r="J139" i="77"/>
  <c r="J141" i="77"/>
  <c r="J140" i="77"/>
  <c r="J142" i="77"/>
  <c r="J138" i="77"/>
  <c r="J143" i="77"/>
  <c r="J135" i="77"/>
  <c r="J136" i="77"/>
  <c r="J137" i="77"/>
  <c r="K139" i="124"/>
  <c r="K135" i="124"/>
  <c r="K136" i="124"/>
  <c r="K142" i="124"/>
  <c r="K141" i="124"/>
  <c r="K137" i="124"/>
  <c r="K140" i="124"/>
  <c r="K143" i="124"/>
  <c r="K138" i="124"/>
  <c r="L137" i="102"/>
  <c r="L139" i="102"/>
  <c r="L140" i="102"/>
  <c r="L135" i="102"/>
  <c r="L136" i="102"/>
  <c r="L142" i="102"/>
  <c r="L141" i="102"/>
  <c r="L143" i="102"/>
  <c r="L138" i="102"/>
  <c r="P11" i="129"/>
  <c r="O11" i="129"/>
  <c r="I47" i="129"/>
  <c r="I46" i="129"/>
  <c r="I36" i="129"/>
  <c r="I43" i="129"/>
  <c r="I35" i="129"/>
  <c r="I40" i="129"/>
  <c r="I39" i="129"/>
  <c r="I37" i="129"/>
  <c r="I38" i="129"/>
  <c r="I34" i="129"/>
  <c r="I41" i="129"/>
  <c r="I42" i="129"/>
  <c r="K140" i="96"/>
  <c r="K141" i="96"/>
  <c r="K135" i="96"/>
  <c r="K136" i="96"/>
  <c r="K139" i="96"/>
  <c r="K142" i="96"/>
  <c r="K137" i="96"/>
  <c r="K138" i="96"/>
  <c r="K143" i="96"/>
  <c r="O11" i="96"/>
  <c r="R11" i="96" s="1"/>
  <c r="D28" i="122" s="1"/>
  <c r="P11" i="96"/>
  <c r="I46" i="96"/>
  <c r="I51" i="96" s="1"/>
  <c r="I47" i="96"/>
  <c r="I39" i="96"/>
  <c r="I40" i="96"/>
  <c r="I36" i="96"/>
  <c r="I43" i="96"/>
  <c r="O43" i="96" s="1"/>
  <c r="I35" i="96"/>
  <c r="I14" i="96"/>
  <c r="I41" i="96"/>
  <c r="P41" i="96" s="1"/>
  <c r="I37" i="96"/>
  <c r="I38" i="96"/>
  <c r="I34" i="96"/>
  <c r="I42" i="96"/>
  <c r="O34" i="86"/>
  <c r="M44" i="86"/>
  <c r="O42" i="86"/>
  <c r="L49" i="80"/>
  <c r="L131" i="80"/>
  <c r="L126" i="80"/>
  <c r="L124" i="80"/>
  <c r="L127" i="80"/>
  <c r="L129" i="80"/>
  <c r="L123" i="80"/>
  <c r="L125" i="80"/>
  <c r="L130" i="80"/>
  <c r="L128" i="80"/>
  <c r="K140" i="94"/>
  <c r="K136" i="94"/>
  <c r="K142" i="94"/>
  <c r="K137" i="94"/>
  <c r="K139" i="94"/>
  <c r="K141" i="94"/>
  <c r="K138" i="94"/>
  <c r="K135" i="94"/>
  <c r="K143" i="94"/>
  <c r="AR26" i="16"/>
  <c r="AM26" i="16"/>
  <c r="AK26" i="16"/>
  <c r="AJ26" i="16"/>
  <c r="AL26" i="16"/>
  <c r="AN26" i="16"/>
  <c r="AQ26" i="16"/>
  <c r="AP26" i="16"/>
  <c r="AO26" i="16"/>
  <c r="M44" i="78"/>
  <c r="J129" i="126"/>
  <c r="J131" i="126"/>
  <c r="J126" i="126"/>
  <c r="J125" i="126"/>
  <c r="J127" i="126"/>
  <c r="J128" i="126"/>
  <c r="J123" i="126"/>
  <c r="J124" i="126"/>
  <c r="J130" i="126"/>
  <c r="L115" i="93"/>
  <c r="L116" i="93"/>
  <c r="L113" i="93"/>
  <c r="L114" i="93"/>
  <c r="L119" i="93"/>
  <c r="L111" i="93"/>
  <c r="L112" i="93"/>
  <c r="L117" i="93"/>
  <c r="L118" i="93"/>
  <c r="L51" i="93"/>
  <c r="L48" i="93"/>
  <c r="L49" i="93" s="1"/>
  <c r="S23" i="133"/>
  <c r="L118" i="95"/>
  <c r="L119" i="95"/>
  <c r="L115" i="95"/>
  <c r="L117" i="95"/>
  <c r="L113" i="95"/>
  <c r="L116" i="95"/>
  <c r="L114" i="95"/>
  <c r="L111" i="95"/>
  <c r="L112" i="95"/>
  <c r="L138" i="95"/>
  <c r="L139" i="95"/>
  <c r="L141" i="95"/>
  <c r="L140" i="95"/>
  <c r="L137" i="95"/>
  <c r="L136" i="95"/>
  <c r="L143" i="95"/>
  <c r="L142" i="95"/>
  <c r="L135" i="95"/>
  <c r="L49" i="100"/>
  <c r="O42" i="74"/>
  <c r="P40" i="74"/>
  <c r="M124" i="74"/>
  <c r="M125" i="74"/>
  <c r="M131" i="74"/>
  <c r="M123" i="74"/>
  <c r="M127" i="74"/>
  <c r="M129" i="74"/>
  <c r="M126" i="74"/>
  <c r="M128" i="74"/>
  <c r="M130" i="74"/>
  <c r="L138" i="92"/>
  <c r="L142" i="92"/>
  <c r="L141" i="92"/>
  <c r="L136" i="92"/>
  <c r="L140" i="92"/>
  <c r="L143" i="92"/>
  <c r="L137" i="92"/>
  <c r="L139" i="92"/>
  <c r="L135" i="92"/>
  <c r="M44" i="99"/>
  <c r="Z29" i="133"/>
  <c r="Z30" i="133" s="1"/>
  <c r="J131" i="87"/>
  <c r="J130" i="87"/>
  <c r="J126" i="87"/>
  <c r="J123" i="87"/>
  <c r="J127" i="87"/>
  <c r="J124" i="87"/>
  <c r="J128" i="87"/>
  <c r="J129" i="87"/>
  <c r="J125" i="87"/>
  <c r="M44" i="97"/>
  <c r="L49" i="75"/>
  <c r="O11" i="123"/>
  <c r="P11" i="123"/>
  <c r="I47" i="123"/>
  <c r="I46" i="123"/>
  <c r="I39" i="123"/>
  <c r="P39" i="123" s="1"/>
  <c r="I40" i="123"/>
  <c r="I36" i="123"/>
  <c r="O36" i="123" s="1"/>
  <c r="I43" i="123"/>
  <c r="P43" i="123" s="1"/>
  <c r="I35" i="123"/>
  <c r="P35" i="123" s="1"/>
  <c r="I34" i="123"/>
  <c r="I41" i="123"/>
  <c r="P41" i="123" s="1"/>
  <c r="I42" i="123"/>
  <c r="O42" i="123" s="1"/>
  <c r="I37" i="123"/>
  <c r="P37" i="123" s="1"/>
  <c r="I38" i="123"/>
  <c r="P38" i="123" s="1"/>
  <c r="M127" i="91"/>
  <c r="M126" i="91"/>
  <c r="M129" i="91"/>
  <c r="M123" i="91"/>
  <c r="M125" i="91"/>
  <c r="M130" i="91"/>
  <c r="M128" i="91"/>
  <c r="M131" i="91"/>
  <c r="M124" i="91"/>
  <c r="L115" i="79"/>
  <c r="L119" i="79"/>
  <c r="L117" i="79"/>
  <c r="L112" i="79"/>
  <c r="L111" i="79"/>
  <c r="L118" i="79"/>
  <c r="L113" i="79"/>
  <c r="L116" i="79"/>
  <c r="L114" i="79"/>
  <c r="L139" i="79"/>
  <c r="L142" i="79"/>
  <c r="L137" i="79"/>
  <c r="L140" i="79"/>
  <c r="L136" i="79"/>
  <c r="L138" i="79"/>
  <c r="L143" i="79"/>
  <c r="L141" i="79"/>
  <c r="L135" i="79"/>
  <c r="K125" i="127"/>
  <c r="K127" i="127"/>
  <c r="K128" i="127"/>
  <c r="K123" i="127"/>
  <c r="K124" i="127"/>
  <c r="K130" i="127"/>
  <c r="K129" i="127"/>
  <c r="K131" i="127"/>
  <c r="K126" i="127"/>
  <c r="K51" i="88"/>
  <c r="K48" i="88"/>
  <c r="P11" i="84"/>
  <c r="O11" i="84"/>
  <c r="I46" i="84"/>
  <c r="I51" i="84" s="1"/>
  <c r="I47" i="84"/>
  <c r="I39" i="84"/>
  <c r="P39" i="84" s="1"/>
  <c r="I36" i="84"/>
  <c r="O36" i="84" s="1"/>
  <c r="I43" i="84"/>
  <c r="P43" i="84" s="1"/>
  <c r="I35" i="84"/>
  <c r="I40" i="84"/>
  <c r="P40" i="84" s="1"/>
  <c r="I34" i="84"/>
  <c r="I41" i="84"/>
  <c r="I42" i="84"/>
  <c r="I37" i="84"/>
  <c r="I38" i="84"/>
  <c r="I14" i="84"/>
  <c r="J51" i="84"/>
  <c r="J48" i="84"/>
  <c r="L143" i="89"/>
  <c r="L141" i="89"/>
  <c r="L136" i="89"/>
  <c r="L139" i="89"/>
  <c r="L135" i="89"/>
  <c r="L140" i="89"/>
  <c r="L138" i="89"/>
  <c r="L142" i="89"/>
  <c r="L137" i="89"/>
  <c r="K131" i="102"/>
  <c r="K130" i="102"/>
  <c r="K125" i="102"/>
  <c r="K124" i="102"/>
  <c r="K126" i="102"/>
  <c r="K127" i="102"/>
  <c r="K129" i="102"/>
  <c r="K123" i="102"/>
  <c r="K128" i="102"/>
  <c r="K128" i="81"/>
  <c r="K124" i="81"/>
  <c r="K130" i="81"/>
  <c r="K123" i="81"/>
  <c r="K125" i="81"/>
  <c r="K131" i="81"/>
  <c r="K126" i="81"/>
  <c r="K127" i="81"/>
  <c r="K129" i="81"/>
  <c r="L139" i="96"/>
  <c r="L141" i="96"/>
  <c r="L140" i="96"/>
  <c r="L135" i="96"/>
  <c r="L137" i="96"/>
  <c r="L136" i="96"/>
  <c r="L142" i="96"/>
  <c r="L143" i="96"/>
  <c r="L138" i="96"/>
  <c r="J140" i="86"/>
  <c r="J138" i="86"/>
  <c r="J141" i="86"/>
  <c r="J143" i="86"/>
  <c r="J139" i="86"/>
  <c r="J142" i="86"/>
  <c r="J135" i="86"/>
  <c r="J136" i="86"/>
  <c r="J137" i="86"/>
  <c r="L49" i="94"/>
  <c r="L128" i="94"/>
  <c r="L123" i="94"/>
  <c r="L126" i="94"/>
  <c r="L127" i="94"/>
  <c r="L124" i="94"/>
  <c r="L129" i="94"/>
  <c r="L130" i="94"/>
  <c r="L125" i="94"/>
  <c r="L131" i="94"/>
  <c r="O41" i="83"/>
  <c r="O39" i="83"/>
  <c r="M142" i="83"/>
  <c r="M138" i="83"/>
  <c r="M135" i="83"/>
  <c r="M140" i="83"/>
  <c r="M137" i="83"/>
  <c r="M143" i="83"/>
  <c r="M136" i="83"/>
  <c r="M139" i="83"/>
  <c r="M141" i="83"/>
  <c r="P11" i="78"/>
  <c r="O11" i="78"/>
  <c r="I47" i="78"/>
  <c r="I46" i="78"/>
  <c r="I39" i="78"/>
  <c r="I40" i="78"/>
  <c r="P40" i="78" s="1"/>
  <c r="I36" i="78"/>
  <c r="P36" i="78" s="1"/>
  <c r="I43" i="78"/>
  <c r="P43" i="78" s="1"/>
  <c r="I35" i="78"/>
  <c r="I34" i="78"/>
  <c r="I41" i="78"/>
  <c r="I42" i="78"/>
  <c r="P42" i="78" s="1"/>
  <c r="I37" i="78"/>
  <c r="O37" i="78" s="1"/>
  <c r="I38" i="78"/>
  <c r="O38" i="78" s="1"/>
  <c r="I14" i="78"/>
  <c r="J129" i="78"/>
  <c r="J123" i="78"/>
  <c r="J130" i="78"/>
  <c r="J127" i="78"/>
  <c r="J124" i="78"/>
  <c r="J126" i="78"/>
  <c r="J131" i="78"/>
  <c r="J128" i="78"/>
  <c r="J125" i="78"/>
  <c r="M140" i="126"/>
  <c r="M141" i="126"/>
  <c r="M138" i="126"/>
  <c r="M139" i="126"/>
  <c r="M136" i="126"/>
  <c r="M137" i="126"/>
  <c r="M142" i="126"/>
  <c r="M143" i="126"/>
  <c r="M135" i="126"/>
  <c r="L51" i="108"/>
  <c r="L48" i="108"/>
  <c r="K128" i="93"/>
  <c r="K131" i="93"/>
  <c r="K124" i="93"/>
  <c r="K123" i="93"/>
  <c r="K130" i="93"/>
  <c r="K127" i="93"/>
  <c r="K129" i="93"/>
  <c r="K126" i="93"/>
  <c r="K125" i="93"/>
  <c r="O11" i="107"/>
  <c r="R11" i="107" s="1"/>
  <c r="D47" i="122" s="1"/>
  <c r="P11" i="107"/>
  <c r="I46" i="107"/>
  <c r="I47" i="107"/>
  <c r="I43" i="107"/>
  <c r="O43" i="107" s="1"/>
  <c r="I39" i="107"/>
  <c r="P39" i="107" s="1"/>
  <c r="I35" i="107"/>
  <c r="I36" i="107"/>
  <c r="I14" i="107"/>
  <c r="J14" i="107" s="1"/>
  <c r="I40" i="107"/>
  <c r="I41" i="107"/>
  <c r="I42" i="107"/>
  <c r="I37" i="107"/>
  <c r="I34" i="107"/>
  <c r="I38" i="107"/>
  <c r="AL15" i="16"/>
  <c r="AN15" i="16"/>
  <c r="AO15" i="16"/>
  <c r="AP15" i="16"/>
  <c r="AR15" i="16"/>
  <c r="AQ15" i="16"/>
  <c r="AJ15" i="16"/>
  <c r="AK15" i="16"/>
  <c r="AM15" i="16"/>
  <c r="K142" i="100"/>
  <c r="K140" i="100"/>
  <c r="K143" i="100"/>
  <c r="K138" i="100"/>
  <c r="K136" i="100"/>
  <c r="K139" i="100"/>
  <c r="K141" i="100"/>
  <c r="K135" i="100"/>
  <c r="K137" i="100"/>
  <c r="J116" i="74"/>
  <c r="J117" i="74"/>
  <c r="J114" i="74"/>
  <c r="J115" i="74"/>
  <c r="J112" i="74"/>
  <c r="J113" i="74"/>
  <c r="J119" i="74"/>
  <c r="J118" i="74"/>
  <c r="J111" i="74"/>
  <c r="J51" i="74"/>
  <c r="J48" i="74"/>
  <c r="J49" i="74" s="1"/>
  <c r="L131" i="76"/>
  <c r="L126" i="76"/>
  <c r="L127" i="76"/>
  <c r="L129" i="76"/>
  <c r="L128" i="76"/>
  <c r="L123" i="76"/>
  <c r="L125" i="76"/>
  <c r="L124" i="76"/>
  <c r="L130" i="76"/>
  <c r="J140" i="92"/>
  <c r="J142" i="92"/>
  <c r="J138" i="92"/>
  <c r="J143" i="92"/>
  <c r="J136" i="92"/>
  <c r="J135" i="92"/>
  <c r="J141" i="92"/>
  <c r="J139" i="92"/>
  <c r="J137" i="92"/>
  <c r="K125" i="99"/>
  <c r="K130" i="99"/>
  <c r="K127" i="99"/>
  <c r="K126" i="99"/>
  <c r="K128" i="99"/>
  <c r="K129" i="99"/>
  <c r="K124" i="99"/>
  <c r="K131" i="99"/>
  <c r="K123" i="99"/>
  <c r="P11" i="99"/>
  <c r="O11" i="99"/>
  <c r="R11" i="99" s="1"/>
  <c r="D6" i="122" s="1"/>
  <c r="I46" i="99"/>
  <c r="I47" i="99"/>
  <c r="I52" i="99" s="1"/>
  <c r="I40" i="99"/>
  <c r="I35" i="99"/>
  <c r="I43" i="99"/>
  <c r="P43" i="99" s="1"/>
  <c r="I39" i="99"/>
  <c r="P39" i="99" s="1"/>
  <c r="I36" i="99"/>
  <c r="O36" i="99" s="1"/>
  <c r="I37" i="99"/>
  <c r="O37" i="99" s="1"/>
  <c r="I38" i="99"/>
  <c r="I34" i="99"/>
  <c r="O34" i="99" s="1"/>
  <c r="I42" i="99"/>
  <c r="P42" i="99" s="1"/>
  <c r="I41" i="99"/>
  <c r="P11" i="109"/>
  <c r="O11" i="109"/>
  <c r="R11" i="109" s="1"/>
  <c r="D49" i="122" s="1"/>
  <c r="I47" i="109"/>
  <c r="I46" i="109"/>
  <c r="I39" i="109"/>
  <c r="P39" i="109" s="1"/>
  <c r="I35" i="109"/>
  <c r="I40" i="109"/>
  <c r="I43" i="109"/>
  <c r="P43" i="109" s="1"/>
  <c r="I36" i="109"/>
  <c r="O36" i="109" s="1"/>
  <c r="I41" i="109"/>
  <c r="I42" i="109"/>
  <c r="I37" i="109"/>
  <c r="P37" i="109" s="1"/>
  <c r="I34" i="109"/>
  <c r="I14" i="109"/>
  <c r="J14" i="109" s="1"/>
  <c r="J76" i="109" s="1"/>
  <c r="I38" i="109"/>
  <c r="P21" i="133"/>
  <c r="M141" i="87"/>
  <c r="M140" i="87"/>
  <c r="M136" i="87"/>
  <c r="M138" i="87"/>
  <c r="M139" i="87"/>
  <c r="M135" i="87"/>
  <c r="M137" i="87"/>
  <c r="M143" i="87"/>
  <c r="M142" i="87"/>
  <c r="J136" i="75"/>
  <c r="J140" i="75"/>
  <c r="J142" i="75"/>
  <c r="J137" i="75"/>
  <c r="J139" i="75"/>
  <c r="J138" i="75"/>
  <c r="J143" i="75"/>
  <c r="J141" i="75"/>
  <c r="J135" i="75"/>
  <c r="P11" i="121"/>
  <c r="O11" i="121"/>
  <c r="I46" i="121"/>
  <c r="I47" i="121"/>
  <c r="I43" i="121"/>
  <c r="P43" i="121" s="1"/>
  <c r="I36" i="121"/>
  <c r="O36" i="121" s="1"/>
  <c r="I35" i="121"/>
  <c r="I39" i="121"/>
  <c r="P39" i="121" s="1"/>
  <c r="I40" i="121"/>
  <c r="I37" i="121"/>
  <c r="P37" i="121" s="1"/>
  <c r="I38" i="121"/>
  <c r="I34" i="121"/>
  <c r="I42" i="121"/>
  <c r="I41" i="121"/>
  <c r="O41" i="121" s="1"/>
  <c r="L125" i="123"/>
  <c r="L127" i="123"/>
  <c r="L128" i="123"/>
  <c r="L123" i="123"/>
  <c r="L124" i="123"/>
  <c r="L130" i="123"/>
  <c r="L129" i="123"/>
  <c r="L131" i="123"/>
  <c r="L126" i="123"/>
  <c r="K44" i="91"/>
  <c r="J51" i="79"/>
  <c r="J48" i="79"/>
  <c r="K135" i="105"/>
  <c r="K143" i="105"/>
  <c r="K136" i="105"/>
  <c r="K141" i="105"/>
  <c r="K137" i="105"/>
  <c r="K140" i="105"/>
  <c r="K138" i="105"/>
  <c r="K142" i="105"/>
  <c r="K139" i="105"/>
  <c r="P11" i="105"/>
  <c r="O11" i="105"/>
  <c r="R11" i="105" s="1"/>
  <c r="D12" i="122" s="1"/>
  <c r="L14" i="105"/>
  <c r="I46" i="105"/>
  <c r="I47" i="105"/>
  <c r="I39" i="105"/>
  <c r="I40" i="105"/>
  <c r="O40" i="105" s="1"/>
  <c r="I36" i="105"/>
  <c r="O36" i="105" s="1"/>
  <c r="I43" i="105"/>
  <c r="O43" i="105" s="1"/>
  <c r="I35" i="105"/>
  <c r="M14" i="105"/>
  <c r="I41" i="105"/>
  <c r="O41" i="105" s="1"/>
  <c r="I37" i="105"/>
  <c r="I38" i="105"/>
  <c r="P38" i="105" s="1"/>
  <c r="I34" i="105"/>
  <c r="I42" i="105"/>
  <c r="P38" i="127"/>
  <c r="P36" i="127"/>
  <c r="L113" i="104"/>
  <c r="L119" i="104"/>
  <c r="L116" i="104"/>
  <c r="L118" i="104"/>
  <c r="L117" i="104"/>
  <c r="L111" i="104"/>
  <c r="L114" i="104"/>
  <c r="L115" i="104"/>
  <c r="L112" i="104"/>
  <c r="L139" i="82"/>
  <c r="L141" i="82"/>
  <c r="L135" i="82"/>
  <c r="L137" i="82"/>
  <c r="L142" i="82"/>
  <c r="L140" i="82"/>
  <c r="L143" i="82"/>
  <c r="L138" i="82"/>
  <c r="L136" i="82"/>
  <c r="O37" i="88"/>
  <c r="O39" i="88"/>
  <c r="M44" i="125"/>
  <c r="AL34" i="16"/>
  <c r="AO34" i="16"/>
  <c r="AK34" i="16"/>
  <c r="AJ34" i="16"/>
  <c r="AQ34" i="16"/>
  <c r="AM34" i="16"/>
  <c r="AN34" i="16"/>
  <c r="AP34" i="16"/>
  <c r="AR34" i="16"/>
  <c r="M138" i="102"/>
  <c r="M142" i="102"/>
  <c r="M137" i="102"/>
  <c r="M135" i="102"/>
  <c r="M143" i="102"/>
  <c r="M136" i="102"/>
  <c r="M140" i="102"/>
  <c r="M141" i="102"/>
  <c r="M139" i="102"/>
  <c r="K47" i="103"/>
  <c r="K52" i="103" s="1"/>
  <c r="K46" i="103"/>
  <c r="K43" i="103"/>
  <c r="K35" i="103"/>
  <c r="K36" i="103"/>
  <c r="K39" i="103"/>
  <c r="K40" i="103"/>
  <c r="K38" i="103"/>
  <c r="K37" i="103"/>
  <c r="K42" i="103"/>
  <c r="K41" i="103"/>
  <c r="K34" i="103"/>
  <c r="J46" i="85"/>
  <c r="J47" i="85"/>
  <c r="J52" i="85" s="1"/>
  <c r="J39" i="85"/>
  <c r="J40" i="85"/>
  <c r="J35" i="85"/>
  <c r="J36" i="85"/>
  <c r="J43" i="85"/>
  <c r="J37" i="85"/>
  <c r="J41" i="85"/>
  <c r="J38" i="85"/>
  <c r="J34" i="85"/>
  <c r="J42" i="85"/>
  <c r="L46" i="103"/>
  <c r="L47" i="103"/>
  <c r="L52" i="103" s="1"/>
  <c r="L40" i="103"/>
  <c r="L35" i="103"/>
  <c r="L39" i="103"/>
  <c r="L36" i="103"/>
  <c r="L43" i="103"/>
  <c r="L34" i="103"/>
  <c r="L41" i="103"/>
  <c r="L38" i="103"/>
  <c r="L37" i="103"/>
  <c r="L42" i="103"/>
  <c r="J46" i="106"/>
  <c r="J47" i="106"/>
  <c r="J52" i="106" s="1"/>
  <c r="J36" i="106"/>
  <c r="J43" i="106"/>
  <c r="J39" i="106"/>
  <c r="J40" i="106"/>
  <c r="J35" i="106"/>
  <c r="J38" i="106"/>
  <c r="J34" i="106"/>
  <c r="J37" i="106"/>
  <c r="J42" i="106"/>
  <c r="J41" i="106"/>
  <c r="L46" i="81"/>
  <c r="L47" i="81"/>
  <c r="L52" i="81" s="1"/>
  <c r="L43" i="81"/>
  <c r="L40" i="81"/>
  <c r="L36" i="81"/>
  <c r="L35" i="81"/>
  <c r="L39" i="81"/>
  <c r="L38" i="81"/>
  <c r="L41" i="81"/>
  <c r="L34" i="81"/>
  <c r="L37" i="81"/>
  <c r="L42" i="81"/>
  <c r="U14" i="16"/>
  <c r="I11" i="89"/>
  <c r="V14" i="16"/>
  <c r="M129" i="128"/>
  <c r="M126" i="128"/>
  <c r="M127" i="128"/>
  <c r="M131" i="128"/>
  <c r="M128" i="128"/>
  <c r="M124" i="128"/>
  <c r="M130" i="128"/>
  <c r="M125" i="128"/>
  <c r="M123" i="128"/>
  <c r="M44" i="103"/>
  <c r="M48" i="103"/>
  <c r="J44" i="96"/>
  <c r="O11" i="9"/>
  <c r="P11" i="9"/>
  <c r="I46" i="9"/>
  <c r="I51" i="9" s="1"/>
  <c r="I47" i="9"/>
  <c r="I43" i="9"/>
  <c r="I39" i="9"/>
  <c r="I36" i="9"/>
  <c r="I40" i="9"/>
  <c r="I35" i="9"/>
  <c r="I14" i="9"/>
  <c r="J14" i="9" s="1"/>
  <c r="J76" i="9" s="1"/>
  <c r="I34" i="9"/>
  <c r="I41" i="9"/>
  <c r="P41" i="9" s="1"/>
  <c r="I37" i="9"/>
  <c r="P37" i="9" s="1"/>
  <c r="I38" i="9"/>
  <c r="P38" i="9" s="1"/>
  <c r="I42" i="9"/>
  <c r="M44" i="80"/>
  <c r="O41" i="80"/>
  <c r="O40" i="80"/>
  <c r="J44" i="94"/>
  <c r="K44" i="83"/>
  <c r="K51" i="83"/>
  <c r="K48" i="83"/>
  <c r="L53" i="78"/>
  <c r="L51" i="78"/>
  <c r="L48" i="78"/>
  <c r="L49" i="78" s="1"/>
  <c r="O11" i="126"/>
  <c r="P11" i="126"/>
  <c r="I46" i="126"/>
  <c r="I47" i="126"/>
  <c r="I43" i="126"/>
  <c r="P43" i="126" s="1"/>
  <c r="I35" i="126"/>
  <c r="I39" i="126"/>
  <c r="P39" i="126" s="1"/>
  <c r="I40" i="126"/>
  <c r="O40" i="126" s="1"/>
  <c r="I36" i="126"/>
  <c r="P36" i="126" s="1"/>
  <c r="I34" i="126"/>
  <c r="I42" i="126"/>
  <c r="P42" i="126" s="1"/>
  <c r="I41" i="126"/>
  <c r="I37" i="126"/>
  <c r="P37" i="126" s="1"/>
  <c r="I38" i="126"/>
  <c r="L51" i="107"/>
  <c r="L48" i="107"/>
  <c r="M51" i="95"/>
  <c r="M53" i="100"/>
  <c r="K48" i="76"/>
  <c r="M141" i="92"/>
  <c r="M142" i="92"/>
  <c r="M143" i="92"/>
  <c r="M135" i="92"/>
  <c r="M136" i="92"/>
  <c r="M137" i="92"/>
  <c r="M140" i="92"/>
  <c r="M138" i="92"/>
  <c r="M139" i="92"/>
  <c r="L44" i="99"/>
  <c r="L48" i="99"/>
  <c r="L51" i="109"/>
  <c r="K44" i="87"/>
  <c r="K51" i="87"/>
  <c r="K48" i="87"/>
  <c r="O11" i="87"/>
  <c r="P11" i="87"/>
  <c r="I46" i="87"/>
  <c r="I47" i="87"/>
  <c r="I14" i="87"/>
  <c r="I40" i="87"/>
  <c r="I39" i="87"/>
  <c r="I35" i="87"/>
  <c r="I43" i="87"/>
  <c r="O43" i="87" s="1"/>
  <c r="I36" i="87"/>
  <c r="O36" i="87" s="1"/>
  <c r="I37" i="87"/>
  <c r="P37" i="87" s="1"/>
  <c r="I38" i="87"/>
  <c r="I41" i="87"/>
  <c r="O41" i="87" s="1"/>
  <c r="I34" i="87"/>
  <c r="I42" i="87"/>
  <c r="O42" i="87" s="1"/>
  <c r="L141" i="97"/>
  <c r="L138" i="97"/>
  <c r="L135" i="97"/>
  <c r="L139" i="97"/>
  <c r="L140" i="97"/>
  <c r="L136" i="97"/>
  <c r="L142" i="97"/>
  <c r="L143" i="97"/>
  <c r="L137" i="97"/>
  <c r="J44" i="110"/>
  <c r="J48" i="110"/>
  <c r="O37" i="75"/>
  <c r="P39" i="75"/>
  <c r="O40" i="75"/>
  <c r="L44" i="121"/>
  <c r="L51" i="121"/>
  <c r="L48" i="121"/>
  <c r="P43" i="79"/>
  <c r="M48" i="79"/>
  <c r="M49" i="79" s="1"/>
  <c r="L51" i="105"/>
  <c r="AR5" i="16"/>
  <c r="N14" i="98" s="1"/>
  <c r="N76" i="98" s="1"/>
  <c r="AO5" i="16"/>
  <c r="K14" i="98" s="1"/>
  <c r="K76" i="98" s="1"/>
  <c r="AN5" i="16"/>
  <c r="J14" i="98" s="1"/>
  <c r="J76" i="98" s="1"/>
  <c r="AK5" i="16"/>
  <c r="G14" i="98" s="1"/>
  <c r="G76" i="98" s="1"/>
  <c r="AL5" i="16"/>
  <c r="H14" i="98" s="1"/>
  <c r="H76" i="98" s="1"/>
  <c r="AQ5" i="16"/>
  <c r="M14" i="98" s="1"/>
  <c r="M76" i="98" s="1"/>
  <c r="AP5" i="16"/>
  <c r="L14" i="98" s="1"/>
  <c r="L76" i="98" s="1"/>
  <c r="AM5" i="16"/>
  <c r="I14" i="98" s="1"/>
  <c r="AJ5" i="16"/>
  <c r="P51" i="16"/>
  <c r="AK45" i="16"/>
  <c r="AL45" i="16"/>
  <c r="AP45" i="16"/>
  <c r="AO45" i="16"/>
  <c r="AN45" i="16"/>
  <c r="AR45" i="16"/>
  <c r="AQ45" i="16"/>
  <c r="AJ45" i="16"/>
  <c r="AM45" i="16"/>
  <c r="K136" i="84"/>
  <c r="K137" i="84"/>
  <c r="K142" i="84"/>
  <c r="K135" i="84"/>
  <c r="K138" i="84"/>
  <c r="K141" i="84"/>
  <c r="K140" i="84"/>
  <c r="K143" i="84"/>
  <c r="K139" i="84"/>
  <c r="O11" i="125"/>
  <c r="R11" i="125" s="1"/>
  <c r="D21" i="122" s="1"/>
  <c r="P11" i="125"/>
  <c r="I47" i="125"/>
  <c r="I46" i="125"/>
  <c r="I51" i="125" s="1"/>
  <c r="I39" i="125"/>
  <c r="P39" i="125" s="1"/>
  <c r="I36" i="125"/>
  <c r="O36" i="125" s="1"/>
  <c r="I43" i="125"/>
  <c r="P43" i="125" s="1"/>
  <c r="I35" i="125"/>
  <c r="I40" i="125"/>
  <c r="I34" i="125"/>
  <c r="I41" i="125"/>
  <c r="I42" i="125"/>
  <c r="I37" i="125"/>
  <c r="I38" i="125"/>
  <c r="J123" i="125"/>
  <c r="J126" i="125"/>
  <c r="J125" i="125"/>
  <c r="J129" i="125"/>
  <c r="J127" i="125"/>
  <c r="J130" i="125"/>
  <c r="J124" i="125"/>
  <c r="J131" i="125"/>
  <c r="J128" i="125"/>
  <c r="L44" i="77"/>
  <c r="AM9" i="16"/>
  <c r="I14" i="102" s="1"/>
  <c r="AR8" i="16"/>
  <c r="N14" i="101" s="1"/>
  <c r="N76" i="101" s="1"/>
  <c r="AJ8" i="16"/>
  <c r="AL8" i="16"/>
  <c r="H14" i="101" s="1"/>
  <c r="H76" i="101" s="1"/>
  <c r="AP8" i="16"/>
  <c r="L14" i="101" s="1"/>
  <c r="L76" i="101" s="1"/>
  <c r="AM8" i="16"/>
  <c r="I14" i="101" s="1"/>
  <c r="AK8" i="16"/>
  <c r="G14" i="101" s="1"/>
  <c r="G76" i="101" s="1"/>
  <c r="AQ8" i="16"/>
  <c r="M14" i="101" s="1"/>
  <c r="M76" i="101" s="1"/>
  <c r="AO8" i="16"/>
  <c r="K14" i="101" s="1"/>
  <c r="K76" i="101" s="1"/>
  <c r="AN8" i="16"/>
  <c r="J14" i="101" s="1"/>
  <c r="J76" i="101" s="1"/>
  <c r="U13" i="16"/>
  <c r="M48" i="110"/>
  <c r="M49" i="110" s="1"/>
  <c r="M51" i="96"/>
  <c r="L51" i="9"/>
  <c r="L48" i="9"/>
  <c r="AN37" i="16"/>
  <c r="AO37" i="16"/>
  <c r="AR37" i="16"/>
  <c r="AP37" i="16"/>
  <c r="AM37" i="16"/>
  <c r="AQ37" i="16"/>
  <c r="AL37" i="16"/>
  <c r="AJ37" i="16"/>
  <c r="AK37" i="16"/>
  <c r="J44" i="80"/>
  <c r="L53" i="83"/>
  <c r="L51" i="83"/>
  <c r="L48" i="83"/>
  <c r="L49" i="83" s="1"/>
  <c r="L48" i="126"/>
  <c r="L49" i="126" s="1"/>
  <c r="O41" i="108"/>
  <c r="O43" i="108"/>
  <c r="M51" i="108"/>
  <c r="K51" i="107"/>
  <c r="J48" i="95"/>
  <c r="K137" i="90"/>
  <c r="K140" i="90"/>
  <c r="K135" i="90"/>
  <c r="K143" i="90"/>
  <c r="K142" i="90"/>
  <c r="K136" i="90"/>
  <c r="K139" i="90"/>
  <c r="K138" i="90"/>
  <c r="K141" i="90"/>
  <c r="K53" i="74"/>
  <c r="K51" i="74"/>
  <c r="M44" i="76"/>
  <c r="K44" i="92"/>
  <c r="O11" i="92"/>
  <c r="P11" i="92"/>
  <c r="I47" i="92"/>
  <c r="I52" i="92" s="1"/>
  <c r="I46" i="92"/>
  <c r="I43" i="92"/>
  <c r="O43" i="92" s="1"/>
  <c r="I35" i="92"/>
  <c r="I39" i="92"/>
  <c r="P39" i="92" s="1"/>
  <c r="I40" i="92"/>
  <c r="I36" i="92"/>
  <c r="P36" i="92" s="1"/>
  <c r="I14" i="92"/>
  <c r="J14" i="92" s="1"/>
  <c r="J76" i="92" s="1"/>
  <c r="I37" i="92"/>
  <c r="I38" i="92"/>
  <c r="I34" i="92"/>
  <c r="I42" i="92"/>
  <c r="P42" i="92" s="1"/>
  <c r="I41" i="92"/>
  <c r="L53" i="129"/>
  <c r="L139" i="129"/>
  <c r="L143" i="129"/>
  <c r="L140" i="129"/>
  <c r="L136" i="129"/>
  <c r="L135" i="129"/>
  <c r="L137" i="129"/>
  <c r="L138" i="129"/>
  <c r="L142" i="129"/>
  <c r="L141" i="129"/>
  <c r="L53" i="87"/>
  <c r="L136" i="87"/>
  <c r="L137" i="87"/>
  <c r="L142" i="87"/>
  <c r="L135" i="87"/>
  <c r="L139" i="87"/>
  <c r="L140" i="87"/>
  <c r="L138" i="87"/>
  <c r="L143" i="87"/>
  <c r="L141" i="87"/>
  <c r="K142" i="75"/>
  <c r="K140" i="75"/>
  <c r="K135" i="75"/>
  <c r="K138" i="75"/>
  <c r="K136" i="75"/>
  <c r="K141" i="75"/>
  <c r="K143" i="75"/>
  <c r="K137" i="75"/>
  <c r="K139" i="75"/>
  <c r="J51" i="121"/>
  <c r="J48" i="121"/>
  <c r="J49" i="121" s="1"/>
  <c r="P42" i="123"/>
  <c r="O35" i="123"/>
  <c r="J51" i="91"/>
  <c r="K53" i="79"/>
  <c r="K140" i="79"/>
  <c r="K137" i="79"/>
  <c r="K142" i="79"/>
  <c r="K143" i="79"/>
  <c r="K139" i="79"/>
  <c r="K141" i="79"/>
  <c r="K136" i="79"/>
  <c r="K138" i="79"/>
  <c r="K135" i="79"/>
  <c r="J53" i="105"/>
  <c r="J54" i="105" s="1"/>
  <c r="J128" i="105"/>
  <c r="J126" i="105"/>
  <c r="J127" i="105"/>
  <c r="J129" i="105"/>
  <c r="J124" i="105"/>
  <c r="J125" i="105"/>
  <c r="J131" i="105"/>
  <c r="J123" i="105"/>
  <c r="J130" i="105"/>
  <c r="M44" i="106"/>
  <c r="M48" i="106"/>
  <c r="R51" i="16"/>
  <c r="M125" i="82"/>
  <c r="M126" i="82"/>
  <c r="M130" i="82"/>
  <c r="M128" i="82"/>
  <c r="M129" i="82"/>
  <c r="M124" i="82"/>
  <c r="M131" i="82"/>
  <c r="M123" i="82"/>
  <c r="M127" i="82"/>
  <c r="L53" i="88"/>
  <c r="L51" i="88"/>
  <c r="L48" i="88"/>
  <c r="L49" i="88" s="1"/>
  <c r="P36" i="84"/>
  <c r="O43" i="84"/>
  <c r="L53" i="125"/>
  <c r="L54" i="125" s="1"/>
  <c r="J44" i="77"/>
  <c r="J48" i="77"/>
  <c r="AO22" i="16"/>
  <c r="K14" i="124" s="1"/>
  <c r="K76" i="124" s="1"/>
  <c r="AJ22" i="16"/>
  <c r="AM22" i="16"/>
  <c r="I14" i="124" s="1"/>
  <c r="AK22" i="16"/>
  <c r="G14" i="124" s="1"/>
  <c r="G76" i="124" s="1"/>
  <c r="AQ22" i="16"/>
  <c r="M14" i="124" s="1"/>
  <c r="M76" i="124" s="1"/>
  <c r="AR22" i="16"/>
  <c r="N14" i="124" s="1"/>
  <c r="N76" i="124" s="1"/>
  <c r="AP22" i="16"/>
  <c r="L14" i="124" s="1"/>
  <c r="L76" i="124" s="1"/>
  <c r="AN22" i="16"/>
  <c r="J14" i="124" s="1"/>
  <c r="J76" i="124" s="1"/>
  <c r="AL22" i="16"/>
  <c r="H14" i="124" s="1"/>
  <c r="H76" i="124" s="1"/>
  <c r="K48" i="101"/>
  <c r="K51" i="96"/>
  <c r="K48" i="96"/>
  <c r="J51" i="9"/>
  <c r="J48" i="9"/>
  <c r="O43" i="86"/>
  <c r="O36" i="86"/>
  <c r="L53" i="80"/>
  <c r="K44" i="94"/>
  <c r="P11" i="94"/>
  <c r="O11" i="94"/>
  <c r="I46" i="94"/>
  <c r="I47" i="94"/>
  <c r="I52" i="94" s="1"/>
  <c r="I14" i="94"/>
  <c r="J14" i="94" s="1"/>
  <c r="I39" i="94"/>
  <c r="I36" i="94"/>
  <c r="I40" i="94"/>
  <c r="I35" i="94"/>
  <c r="I43" i="94"/>
  <c r="I41" i="94"/>
  <c r="I37" i="94"/>
  <c r="I38" i="94"/>
  <c r="I34" i="94"/>
  <c r="I42" i="94"/>
  <c r="O42" i="94" s="1"/>
  <c r="J135" i="83"/>
  <c r="J138" i="83"/>
  <c r="J142" i="83"/>
  <c r="J136" i="83"/>
  <c r="J140" i="83"/>
  <c r="J141" i="83"/>
  <c r="J137" i="83"/>
  <c r="J139" i="83"/>
  <c r="J143" i="83"/>
  <c r="O40" i="78"/>
  <c r="J140" i="126"/>
  <c r="J138" i="126"/>
  <c r="J142" i="126"/>
  <c r="J135" i="126"/>
  <c r="J143" i="126"/>
  <c r="J136" i="126"/>
  <c r="J141" i="126"/>
  <c r="J137" i="126"/>
  <c r="J139" i="126"/>
  <c r="AL48" i="16"/>
  <c r="AP48" i="16"/>
  <c r="AR48" i="16"/>
  <c r="AK48" i="16"/>
  <c r="AN48" i="16"/>
  <c r="AO48" i="16"/>
  <c r="AM48" i="16"/>
  <c r="AJ48" i="16"/>
  <c r="AQ48" i="16"/>
  <c r="M48" i="90"/>
  <c r="M49" i="90" s="1"/>
  <c r="L131" i="100"/>
  <c r="L126" i="100"/>
  <c r="L127" i="100"/>
  <c r="L124" i="100"/>
  <c r="L129" i="100"/>
  <c r="L123" i="100"/>
  <c r="L128" i="100"/>
  <c r="L125" i="100"/>
  <c r="L130" i="100"/>
  <c r="O34" i="74"/>
  <c r="M44" i="74"/>
  <c r="P11" i="76"/>
  <c r="O11" i="76"/>
  <c r="I14" i="76"/>
  <c r="I47" i="76"/>
  <c r="I46" i="76"/>
  <c r="I36" i="76"/>
  <c r="I43" i="76"/>
  <c r="O43" i="76" s="1"/>
  <c r="I35" i="76"/>
  <c r="I40" i="76"/>
  <c r="I39" i="76"/>
  <c r="I37" i="76"/>
  <c r="I38" i="76"/>
  <c r="P38" i="76" s="1"/>
  <c r="I34" i="76"/>
  <c r="I41" i="76"/>
  <c r="I42" i="76"/>
  <c r="J44" i="76"/>
  <c r="J129" i="76"/>
  <c r="J126" i="76"/>
  <c r="J127" i="76"/>
  <c r="J123" i="76"/>
  <c r="J124" i="76"/>
  <c r="J128" i="76"/>
  <c r="J130" i="76"/>
  <c r="J125" i="76"/>
  <c r="J131" i="76"/>
  <c r="L53" i="92"/>
  <c r="L51" i="92"/>
  <c r="L48" i="92"/>
  <c r="L49" i="92" s="1"/>
  <c r="P37" i="99"/>
  <c r="M48" i="99"/>
  <c r="O39" i="109"/>
  <c r="M51" i="109"/>
  <c r="M44" i="121"/>
  <c r="M48" i="121"/>
  <c r="J141" i="123"/>
  <c r="J137" i="123"/>
  <c r="J138" i="123"/>
  <c r="J140" i="123"/>
  <c r="J142" i="123"/>
  <c r="J139" i="123"/>
  <c r="J143" i="123"/>
  <c r="J136" i="123"/>
  <c r="J135" i="123"/>
  <c r="L48" i="79"/>
  <c r="L49" i="79" s="1"/>
  <c r="M129" i="105"/>
  <c r="M125" i="105"/>
  <c r="M130" i="105"/>
  <c r="M126" i="105"/>
  <c r="M128" i="105"/>
  <c r="M127" i="105"/>
  <c r="M123" i="105"/>
  <c r="M124" i="105"/>
  <c r="M131" i="105"/>
  <c r="K53" i="127"/>
  <c r="K48" i="127"/>
  <c r="K49" i="127" s="1"/>
  <c r="P11" i="104"/>
  <c r="J14" i="104"/>
  <c r="O11" i="104"/>
  <c r="I47" i="104"/>
  <c r="I46" i="104"/>
  <c r="I43" i="104"/>
  <c r="I35" i="104"/>
  <c r="I39" i="104"/>
  <c r="O39" i="104" s="1"/>
  <c r="I40" i="104"/>
  <c r="I36" i="104"/>
  <c r="O36" i="104" s="1"/>
  <c r="I38" i="104"/>
  <c r="I42" i="104"/>
  <c r="O42" i="104" s="1"/>
  <c r="I34" i="104"/>
  <c r="I41" i="104"/>
  <c r="I37" i="104"/>
  <c r="P37" i="104" s="1"/>
  <c r="J51" i="104"/>
  <c r="Q51" i="16"/>
  <c r="P11" i="82"/>
  <c r="O11" i="82"/>
  <c r="I47" i="82"/>
  <c r="I46" i="82"/>
  <c r="I39" i="82"/>
  <c r="P39" i="82" s="1"/>
  <c r="I40" i="82"/>
  <c r="I36" i="82"/>
  <c r="P36" i="82" s="1"/>
  <c r="I43" i="82"/>
  <c r="I35" i="82"/>
  <c r="I34" i="82"/>
  <c r="I41" i="82"/>
  <c r="P41" i="82" s="1"/>
  <c r="I42" i="82"/>
  <c r="I37" i="82"/>
  <c r="P37" i="82" s="1"/>
  <c r="I38" i="82"/>
  <c r="O38" i="82" s="1"/>
  <c r="I14" i="82"/>
  <c r="J129" i="82"/>
  <c r="J125" i="82"/>
  <c r="J123" i="82"/>
  <c r="J130" i="82"/>
  <c r="J124" i="82"/>
  <c r="J126" i="82"/>
  <c r="J128" i="82"/>
  <c r="J127" i="82"/>
  <c r="J131" i="82"/>
  <c r="K44" i="88"/>
  <c r="J137" i="84"/>
  <c r="J138" i="84"/>
  <c r="J140" i="84"/>
  <c r="J135" i="84"/>
  <c r="J141" i="84"/>
  <c r="J142" i="84"/>
  <c r="J136" i="84"/>
  <c r="J143" i="84"/>
  <c r="J139" i="84"/>
  <c r="K44" i="125"/>
  <c r="L53" i="89"/>
  <c r="L51" i="89"/>
  <c r="L48" i="89"/>
  <c r="L49" i="89" s="1"/>
  <c r="M48" i="77"/>
  <c r="M49" i="77" s="1"/>
  <c r="L44" i="124"/>
  <c r="L51" i="124"/>
  <c r="K135" i="102"/>
  <c r="K142" i="102"/>
  <c r="K139" i="102"/>
  <c r="K140" i="102"/>
  <c r="K136" i="102"/>
  <c r="K138" i="102"/>
  <c r="K141" i="102"/>
  <c r="K143" i="102"/>
  <c r="K137" i="102"/>
  <c r="L44" i="101"/>
  <c r="K48" i="81"/>
  <c r="L48" i="96"/>
  <c r="M51" i="9"/>
  <c r="AO43" i="16"/>
  <c r="AP43" i="16"/>
  <c r="AK43" i="16"/>
  <c r="AR43" i="16"/>
  <c r="AL43" i="16"/>
  <c r="AM43" i="16"/>
  <c r="AQ43" i="16"/>
  <c r="AJ43" i="16"/>
  <c r="AN43" i="16"/>
  <c r="J44" i="86"/>
  <c r="L53" i="94"/>
  <c r="M44" i="83"/>
  <c r="O42" i="83"/>
  <c r="M48" i="83"/>
  <c r="J53" i="78"/>
  <c r="J140" i="78"/>
  <c r="J135" i="78"/>
  <c r="J143" i="78"/>
  <c r="J137" i="78"/>
  <c r="J139" i="78"/>
  <c r="J136" i="78"/>
  <c r="J138" i="78"/>
  <c r="J141" i="78"/>
  <c r="J142" i="78"/>
  <c r="P34" i="126"/>
  <c r="M44" i="126"/>
  <c r="K143" i="93"/>
  <c r="K138" i="93"/>
  <c r="K139" i="93"/>
  <c r="K141" i="93"/>
  <c r="K140" i="93"/>
  <c r="K135" i="93"/>
  <c r="K137" i="93"/>
  <c r="K136" i="93"/>
  <c r="K142" i="93"/>
  <c r="W23" i="133"/>
  <c r="W29" i="133" s="1"/>
  <c r="F19" i="119"/>
  <c r="P19" i="119" s="1"/>
  <c r="AP31" i="16"/>
  <c r="AJ31" i="16"/>
  <c r="AO31" i="16"/>
  <c r="AL31" i="16"/>
  <c r="AM31" i="16"/>
  <c r="AK31" i="16"/>
  <c r="AQ31" i="16"/>
  <c r="AR31" i="16"/>
  <c r="AN31" i="16"/>
  <c r="L53" i="76"/>
  <c r="L48" i="76"/>
  <c r="L49" i="76" s="1"/>
  <c r="K53" i="99"/>
  <c r="K48" i="99"/>
  <c r="K49" i="99" s="1"/>
  <c r="M44" i="87"/>
  <c r="M48" i="87"/>
  <c r="O11" i="97"/>
  <c r="R11" i="97" s="1"/>
  <c r="D29" i="122" s="1"/>
  <c r="P11" i="97"/>
  <c r="I46" i="97"/>
  <c r="I47" i="97"/>
  <c r="I43" i="97"/>
  <c r="I35" i="97"/>
  <c r="I40" i="97"/>
  <c r="I39" i="97"/>
  <c r="P39" i="97" s="1"/>
  <c r="I36" i="97"/>
  <c r="P36" i="97" s="1"/>
  <c r="I14" i="97"/>
  <c r="I38" i="97"/>
  <c r="P38" i="97" s="1"/>
  <c r="I42" i="97"/>
  <c r="I34" i="97"/>
  <c r="I41" i="97"/>
  <c r="O41" i="97" s="1"/>
  <c r="I37" i="97"/>
  <c r="K48" i="121"/>
  <c r="K49" i="121" s="1"/>
  <c r="L53" i="123"/>
  <c r="L54" i="123" s="1"/>
  <c r="L139" i="123"/>
  <c r="L141" i="123"/>
  <c r="L140" i="123"/>
  <c r="L135" i="123"/>
  <c r="L137" i="123"/>
  <c r="L136" i="123"/>
  <c r="L142" i="123"/>
  <c r="L143" i="123"/>
  <c r="L138" i="123"/>
  <c r="AK16" i="16"/>
  <c r="AM16" i="16"/>
  <c r="AQ16" i="16"/>
  <c r="AP16" i="16"/>
  <c r="AN16" i="16"/>
  <c r="AO16" i="16"/>
  <c r="AR16" i="16"/>
  <c r="AL16" i="16"/>
  <c r="AJ16" i="16"/>
  <c r="M129" i="127"/>
  <c r="M125" i="127"/>
  <c r="M130" i="127"/>
  <c r="M126" i="127"/>
  <c r="M131" i="127"/>
  <c r="M127" i="127"/>
  <c r="M128" i="127"/>
  <c r="M124" i="127"/>
  <c r="M123" i="127"/>
  <c r="L51" i="104"/>
  <c r="L48" i="104"/>
  <c r="L49" i="104" s="1"/>
  <c r="O40" i="88"/>
  <c r="M125" i="88"/>
  <c r="M127" i="88"/>
  <c r="M126" i="88"/>
  <c r="M130" i="88"/>
  <c r="M123" i="88"/>
  <c r="M131" i="88"/>
  <c r="M124" i="88"/>
  <c r="M128" i="88"/>
  <c r="M129" i="88"/>
  <c r="L137" i="84"/>
  <c r="L136" i="84"/>
  <c r="L138" i="84"/>
  <c r="L141" i="84"/>
  <c r="L139" i="84"/>
  <c r="L143" i="84"/>
  <c r="L142" i="84"/>
  <c r="L140" i="84"/>
  <c r="L135" i="84"/>
  <c r="O39" i="125"/>
  <c r="K138" i="77"/>
  <c r="K140" i="77"/>
  <c r="K141" i="77"/>
  <c r="K142" i="77"/>
  <c r="K135" i="77"/>
  <c r="K139" i="77"/>
  <c r="K136" i="77"/>
  <c r="K137" i="77"/>
  <c r="K143" i="77"/>
  <c r="O11" i="77"/>
  <c r="R11" i="77" s="1"/>
  <c r="D34" i="122" s="1"/>
  <c r="P11" i="77"/>
  <c r="I14" i="77"/>
  <c r="J14" i="77" s="1"/>
  <c r="I46" i="77"/>
  <c r="I51" i="77" s="1"/>
  <c r="I47" i="77"/>
  <c r="I35" i="77"/>
  <c r="I43" i="77"/>
  <c r="O43" i="77" s="1"/>
  <c r="I39" i="77"/>
  <c r="O39" i="77" s="1"/>
  <c r="I36" i="77"/>
  <c r="O36" i="77" s="1"/>
  <c r="I40" i="77"/>
  <c r="I34" i="77"/>
  <c r="I42" i="77"/>
  <c r="O42" i="77" s="1"/>
  <c r="I41" i="77"/>
  <c r="O41" i="77" s="1"/>
  <c r="I37" i="77"/>
  <c r="P37" i="77" s="1"/>
  <c r="I38" i="77"/>
  <c r="P38" i="77" s="1"/>
  <c r="M44" i="102"/>
  <c r="M48" i="102"/>
  <c r="J44" i="101"/>
  <c r="J51" i="101"/>
  <c r="J48" i="101"/>
  <c r="J46" i="103"/>
  <c r="J51" i="103" s="1"/>
  <c r="J47" i="103"/>
  <c r="J52" i="103" s="1"/>
  <c r="J39" i="103"/>
  <c r="J35" i="103"/>
  <c r="J36" i="103"/>
  <c r="J40" i="103"/>
  <c r="J43" i="103"/>
  <c r="J37" i="103"/>
  <c r="J42" i="103"/>
  <c r="J41" i="103"/>
  <c r="J34" i="103"/>
  <c r="J38" i="103"/>
  <c r="L47" i="110"/>
  <c r="L52" i="110" s="1"/>
  <c r="Y22" i="133" s="1"/>
  <c r="Y29" i="133" s="1"/>
  <c r="L46" i="110"/>
  <c r="L35" i="110"/>
  <c r="L36" i="110"/>
  <c r="L43" i="110"/>
  <c r="L39" i="110"/>
  <c r="L40" i="110"/>
  <c r="L38" i="110"/>
  <c r="L34" i="110"/>
  <c r="L41" i="110"/>
  <c r="L37" i="110"/>
  <c r="L42" i="110"/>
  <c r="L47" i="128"/>
  <c r="L52" i="128" s="1"/>
  <c r="L46" i="128"/>
  <c r="L40" i="128"/>
  <c r="L36" i="128"/>
  <c r="P36" i="128" s="1"/>
  <c r="L43" i="128"/>
  <c r="L35" i="128"/>
  <c r="L39" i="128"/>
  <c r="P39" i="128" s="1"/>
  <c r="L34" i="128"/>
  <c r="L37" i="128"/>
  <c r="O37" i="128" s="1"/>
  <c r="L38" i="128"/>
  <c r="L41" i="128"/>
  <c r="O41" i="128" s="1"/>
  <c r="L42" i="128"/>
  <c r="M46" i="129"/>
  <c r="M51" i="129" s="1"/>
  <c r="M47" i="129"/>
  <c r="M52" i="129" s="1"/>
  <c r="M40" i="129"/>
  <c r="M43" i="129"/>
  <c r="O43" i="129" s="1"/>
  <c r="M36" i="129"/>
  <c r="M35" i="129"/>
  <c r="O35" i="129" s="1"/>
  <c r="M39" i="129"/>
  <c r="O39" i="129" s="1"/>
  <c r="M42" i="129"/>
  <c r="M38" i="129"/>
  <c r="M41" i="129"/>
  <c r="M37" i="129"/>
  <c r="M34" i="129"/>
  <c r="M47" i="89"/>
  <c r="M52" i="89" s="1"/>
  <c r="M46" i="89"/>
  <c r="M51" i="89" s="1"/>
  <c r="M39" i="89"/>
  <c r="M36" i="89"/>
  <c r="M35" i="89"/>
  <c r="M40" i="89"/>
  <c r="M43" i="89"/>
  <c r="M41" i="89"/>
  <c r="M37" i="89"/>
  <c r="M42" i="89"/>
  <c r="M38" i="89"/>
  <c r="M34" i="89"/>
  <c r="M139" i="128"/>
  <c r="M141" i="128"/>
  <c r="M135" i="128"/>
  <c r="M137" i="128"/>
  <c r="M136" i="128"/>
  <c r="M140" i="128"/>
  <c r="M143" i="128"/>
  <c r="M138" i="128"/>
  <c r="M142" i="128"/>
  <c r="P38" i="80"/>
  <c r="P36" i="80"/>
  <c r="O43" i="80"/>
  <c r="J137" i="94"/>
  <c r="J140" i="94"/>
  <c r="J139" i="94"/>
  <c r="J136" i="94"/>
  <c r="J143" i="94"/>
  <c r="J141" i="94"/>
  <c r="J135" i="94"/>
  <c r="J138" i="94"/>
  <c r="J142" i="94"/>
  <c r="AN40" i="16"/>
  <c r="AL40" i="16"/>
  <c r="AJ40" i="16"/>
  <c r="AK40" i="16"/>
  <c r="AR40" i="16"/>
  <c r="AP40" i="16"/>
  <c r="AQ40" i="16"/>
  <c r="AO40" i="16"/>
  <c r="AM40" i="16"/>
  <c r="K44" i="126"/>
  <c r="K124" i="126"/>
  <c r="K130" i="126"/>
  <c r="K129" i="126"/>
  <c r="K131" i="126"/>
  <c r="K126" i="126"/>
  <c r="K125" i="126"/>
  <c r="K127" i="126"/>
  <c r="K128" i="126"/>
  <c r="K123" i="126"/>
  <c r="M51" i="93"/>
  <c r="M139" i="95"/>
  <c r="M143" i="95"/>
  <c r="M137" i="95"/>
  <c r="M136" i="95"/>
  <c r="M140" i="95"/>
  <c r="M141" i="95"/>
  <c r="M135" i="95"/>
  <c r="M138" i="95"/>
  <c r="M142" i="95"/>
  <c r="M50" i="100"/>
  <c r="M44" i="81"/>
  <c r="U18" i="16"/>
  <c r="U51" i="16" s="1"/>
  <c r="M44" i="92"/>
  <c r="L124" i="99"/>
  <c r="L129" i="99"/>
  <c r="L125" i="99"/>
  <c r="L131" i="99"/>
  <c r="L130" i="99"/>
  <c r="L128" i="99"/>
  <c r="L127" i="99"/>
  <c r="L123" i="99"/>
  <c r="L126" i="99"/>
  <c r="L44" i="109"/>
  <c r="L44" i="97"/>
  <c r="L51" i="97"/>
  <c r="L48" i="97"/>
  <c r="M51" i="75"/>
  <c r="K123" i="123"/>
  <c r="K125" i="123"/>
  <c r="K124" i="123"/>
  <c r="K130" i="123"/>
  <c r="K127" i="123"/>
  <c r="K128" i="123"/>
  <c r="K131" i="123"/>
  <c r="K126" i="123"/>
  <c r="K129" i="123"/>
  <c r="K54" i="123"/>
  <c r="L51" i="91"/>
  <c r="L48" i="91"/>
  <c r="O42" i="79"/>
  <c r="O36" i="79"/>
  <c r="M123" i="79"/>
  <c r="M127" i="79"/>
  <c r="M130" i="79"/>
  <c r="M125" i="79"/>
  <c r="M131" i="79"/>
  <c r="M129" i="79"/>
  <c r="M124" i="79"/>
  <c r="M126" i="79"/>
  <c r="M128" i="79"/>
  <c r="M54" i="79"/>
  <c r="L53" i="105"/>
  <c r="L135" i="105"/>
  <c r="L139" i="105"/>
  <c r="L137" i="105"/>
  <c r="L138" i="105"/>
  <c r="L136" i="105"/>
  <c r="L142" i="105"/>
  <c r="L141" i="105"/>
  <c r="L143" i="105"/>
  <c r="L140" i="105"/>
  <c r="AQ19" i="16"/>
  <c r="M14" i="127" s="1"/>
  <c r="AK19" i="16"/>
  <c r="G14" i="127" s="1"/>
  <c r="G76" i="127" s="1"/>
  <c r="AJ19" i="16"/>
  <c r="AO19" i="16"/>
  <c r="K14" i="127" s="1"/>
  <c r="K76" i="127" s="1"/>
  <c r="AL19" i="16"/>
  <c r="H14" i="127" s="1"/>
  <c r="H76" i="127" s="1"/>
  <c r="AM19" i="16"/>
  <c r="I14" i="127" s="1"/>
  <c r="AN19" i="16"/>
  <c r="J14" i="127" s="1"/>
  <c r="J76" i="127" s="1"/>
  <c r="AP19" i="16"/>
  <c r="L14" i="127" s="1"/>
  <c r="L76" i="127" s="1"/>
  <c r="AR19" i="16"/>
  <c r="N14" i="127" s="1"/>
  <c r="N76" i="127" s="1"/>
  <c r="J51" i="127"/>
  <c r="K127" i="104"/>
  <c r="K129" i="104"/>
  <c r="K126" i="104"/>
  <c r="K124" i="104"/>
  <c r="K130" i="104"/>
  <c r="K131" i="104"/>
  <c r="K125" i="104"/>
  <c r="K128" i="104"/>
  <c r="K123" i="104"/>
  <c r="J46" i="98"/>
  <c r="J51" i="98" s="1"/>
  <c r="J47" i="98"/>
  <c r="J52" i="98" s="1"/>
  <c r="J39" i="98"/>
  <c r="J40" i="98"/>
  <c r="J35" i="98"/>
  <c r="J36" i="98"/>
  <c r="J43" i="98"/>
  <c r="J34" i="98"/>
  <c r="J37" i="98"/>
  <c r="J42" i="98"/>
  <c r="J41" i="98"/>
  <c r="J38" i="98"/>
  <c r="K129" i="82"/>
  <c r="K123" i="82"/>
  <c r="K128" i="82"/>
  <c r="K127" i="82"/>
  <c r="K126" i="82"/>
  <c r="K125" i="82"/>
  <c r="K131" i="82"/>
  <c r="K124" i="82"/>
  <c r="K130" i="82"/>
  <c r="J49" i="88"/>
  <c r="J137" i="125"/>
  <c r="J138" i="125"/>
  <c r="J141" i="125"/>
  <c r="J135" i="125"/>
  <c r="J142" i="125"/>
  <c r="J143" i="125"/>
  <c r="J139" i="125"/>
  <c r="J140" i="125"/>
  <c r="J136" i="125"/>
  <c r="M51" i="124"/>
  <c r="AQ9" i="16"/>
  <c r="M14" i="102" s="1"/>
  <c r="M76" i="102" s="1"/>
  <c r="AJ9" i="16"/>
  <c r="AP9" i="16"/>
  <c r="L14" i="102" s="1"/>
  <c r="L76" i="102" s="1"/>
  <c r="AO9" i="16"/>
  <c r="K14" i="102" s="1"/>
  <c r="K76" i="102" s="1"/>
  <c r="AK9" i="16"/>
  <c r="G14" i="102" s="1"/>
  <c r="G76" i="102" s="1"/>
  <c r="AR9" i="16"/>
  <c r="N14" i="102" s="1"/>
  <c r="N76" i="102" s="1"/>
  <c r="J47" i="102"/>
  <c r="J52" i="102" s="1"/>
  <c r="J46" i="102"/>
  <c r="J36" i="102"/>
  <c r="J43" i="102"/>
  <c r="J39" i="102"/>
  <c r="O39" i="102" s="1"/>
  <c r="J40" i="102"/>
  <c r="J35" i="102"/>
  <c r="J38" i="102"/>
  <c r="J34" i="102"/>
  <c r="O34" i="102" s="1"/>
  <c r="J37" i="102"/>
  <c r="J42" i="102"/>
  <c r="J41" i="102"/>
  <c r="M51" i="101"/>
  <c r="P11" i="101"/>
  <c r="O11" i="101"/>
  <c r="I47" i="101"/>
  <c r="I46" i="101"/>
  <c r="I43" i="101"/>
  <c r="P43" i="101" s="1"/>
  <c r="I35" i="101"/>
  <c r="I39" i="101"/>
  <c r="O39" i="101" s="1"/>
  <c r="I40" i="101"/>
  <c r="O40" i="101" s="1"/>
  <c r="I36" i="101"/>
  <c r="P36" i="101" s="1"/>
  <c r="I37" i="101"/>
  <c r="I38" i="101"/>
  <c r="I42" i="101"/>
  <c r="P42" i="101" s="1"/>
  <c r="I34" i="101"/>
  <c r="I41" i="101"/>
  <c r="P11" i="106"/>
  <c r="O11" i="106"/>
  <c r="K14" i="106"/>
  <c r="L14" i="106" s="1"/>
  <c r="I46" i="106"/>
  <c r="I51" i="106" s="1"/>
  <c r="I47" i="106"/>
  <c r="I43" i="106"/>
  <c r="I35" i="106"/>
  <c r="I40" i="106"/>
  <c r="I39" i="106"/>
  <c r="P39" i="106" s="1"/>
  <c r="I36" i="106"/>
  <c r="P36" i="106" s="1"/>
  <c r="I38" i="106"/>
  <c r="I34" i="106"/>
  <c r="I41" i="106"/>
  <c r="I42" i="106"/>
  <c r="I37" i="106"/>
  <c r="O41" i="96"/>
  <c r="K44" i="86"/>
  <c r="M51" i="94"/>
  <c r="K44" i="78"/>
  <c r="K51" i="78"/>
  <c r="K48" i="78"/>
  <c r="O36" i="108"/>
  <c r="O11" i="93"/>
  <c r="R11" i="93" s="1"/>
  <c r="D25" i="122" s="1"/>
  <c r="P11" i="93"/>
  <c r="I46" i="93"/>
  <c r="I51" i="93" s="1"/>
  <c r="I47" i="93"/>
  <c r="I52" i="93" s="1"/>
  <c r="I39" i="93"/>
  <c r="P39" i="93" s="1"/>
  <c r="I14" i="93"/>
  <c r="I36" i="93"/>
  <c r="O36" i="93" s="1"/>
  <c r="I43" i="93"/>
  <c r="O43" i="93" s="1"/>
  <c r="I35" i="93"/>
  <c r="I40" i="93"/>
  <c r="I34" i="93"/>
  <c r="I41" i="93"/>
  <c r="I42" i="93"/>
  <c r="O42" i="93" s="1"/>
  <c r="I37" i="93"/>
  <c r="O37" i="93" s="1"/>
  <c r="I38" i="93"/>
  <c r="J131" i="93"/>
  <c r="J125" i="93"/>
  <c r="J130" i="93"/>
  <c r="J127" i="93"/>
  <c r="J128" i="93"/>
  <c r="J123" i="93"/>
  <c r="J126" i="93"/>
  <c r="J129" i="93"/>
  <c r="J124" i="93"/>
  <c r="P11" i="95"/>
  <c r="I14" i="95"/>
  <c r="O11" i="95"/>
  <c r="I47" i="95"/>
  <c r="I52" i="95" s="1"/>
  <c r="I46" i="95"/>
  <c r="I51" i="95" s="1"/>
  <c r="I43" i="95"/>
  <c r="I35" i="95"/>
  <c r="I39" i="95"/>
  <c r="O39" i="95" s="1"/>
  <c r="I40" i="95"/>
  <c r="O40" i="95" s="1"/>
  <c r="I36" i="95"/>
  <c r="P36" i="95" s="1"/>
  <c r="I38" i="95"/>
  <c r="I34" i="95"/>
  <c r="I41" i="95"/>
  <c r="I42" i="95"/>
  <c r="I37" i="95"/>
  <c r="J126" i="95"/>
  <c r="J123" i="95"/>
  <c r="J128" i="95"/>
  <c r="J125" i="95"/>
  <c r="J127" i="95"/>
  <c r="J130" i="95"/>
  <c r="J131" i="95"/>
  <c r="J129" i="95"/>
  <c r="J124" i="95"/>
  <c r="K51" i="90"/>
  <c r="K48" i="90"/>
  <c r="O11" i="100"/>
  <c r="P11" i="100"/>
  <c r="I46" i="100"/>
  <c r="I51" i="100" s="1"/>
  <c r="I47" i="100"/>
  <c r="I39" i="100"/>
  <c r="P39" i="100" s="1"/>
  <c r="I40" i="100"/>
  <c r="P40" i="100" s="1"/>
  <c r="I36" i="100"/>
  <c r="P36" i="100" s="1"/>
  <c r="I43" i="100"/>
  <c r="O43" i="100" s="1"/>
  <c r="I35" i="100"/>
  <c r="I34" i="100"/>
  <c r="I41" i="100"/>
  <c r="I42" i="100"/>
  <c r="O42" i="100" s="1"/>
  <c r="I37" i="100"/>
  <c r="I38" i="100"/>
  <c r="P38" i="100" s="1"/>
  <c r="J51" i="100"/>
  <c r="K137" i="74"/>
  <c r="K138" i="74"/>
  <c r="K143" i="74"/>
  <c r="K142" i="74"/>
  <c r="K139" i="74"/>
  <c r="K135" i="74"/>
  <c r="K136" i="74"/>
  <c r="K141" i="74"/>
  <c r="K140" i="74"/>
  <c r="P43" i="76"/>
  <c r="K137" i="92"/>
  <c r="K139" i="92"/>
  <c r="K140" i="92"/>
  <c r="K135" i="92"/>
  <c r="K136" i="92"/>
  <c r="K142" i="92"/>
  <c r="K141" i="92"/>
  <c r="K143" i="92"/>
  <c r="K138" i="92"/>
  <c r="J140" i="99"/>
  <c r="J142" i="99"/>
  <c r="J143" i="99"/>
  <c r="J137" i="99"/>
  <c r="J139" i="99"/>
  <c r="J136" i="99"/>
  <c r="J138" i="99"/>
  <c r="J141" i="99"/>
  <c r="J135" i="99"/>
  <c r="K51" i="109"/>
  <c r="K44" i="75"/>
  <c r="J53" i="121"/>
  <c r="O37" i="123"/>
  <c r="O39" i="123"/>
  <c r="M51" i="123"/>
  <c r="J53" i="91"/>
  <c r="J143" i="91"/>
  <c r="J138" i="91"/>
  <c r="J142" i="91"/>
  <c r="J137" i="91"/>
  <c r="J136" i="91"/>
  <c r="J141" i="91"/>
  <c r="J139" i="91"/>
  <c r="J135" i="91"/>
  <c r="J140" i="91"/>
  <c r="AN36" i="16"/>
  <c r="AL36" i="16"/>
  <c r="AR36" i="16"/>
  <c r="AK36" i="16"/>
  <c r="AJ36" i="16"/>
  <c r="AP36" i="16"/>
  <c r="AO36" i="16"/>
  <c r="AQ36" i="16"/>
  <c r="AM36" i="16"/>
  <c r="L44" i="127"/>
  <c r="M44" i="104"/>
  <c r="P42" i="104"/>
  <c r="O39" i="84"/>
  <c r="M51" i="84"/>
  <c r="K123" i="124"/>
  <c r="K131" i="124"/>
  <c r="K127" i="124"/>
  <c r="K125" i="124"/>
  <c r="K124" i="124"/>
  <c r="K130" i="124"/>
  <c r="K128" i="124"/>
  <c r="K129" i="124"/>
  <c r="K126" i="124"/>
  <c r="P11" i="124"/>
  <c r="O11" i="124"/>
  <c r="I46" i="124"/>
  <c r="I47" i="124"/>
  <c r="I40" i="124"/>
  <c r="I35" i="124"/>
  <c r="I43" i="124"/>
  <c r="O43" i="124" s="1"/>
  <c r="I39" i="124"/>
  <c r="P39" i="124" s="1"/>
  <c r="I36" i="124"/>
  <c r="P36" i="124" s="1"/>
  <c r="I37" i="124"/>
  <c r="I38" i="124"/>
  <c r="I42" i="124"/>
  <c r="P42" i="124" s="1"/>
  <c r="I34" i="124"/>
  <c r="I41" i="124"/>
  <c r="K44" i="101"/>
  <c r="V17" i="16"/>
  <c r="V51" i="16" s="1"/>
  <c r="K44" i="96"/>
  <c r="J139" i="9"/>
  <c r="J135" i="9"/>
  <c r="J138" i="9"/>
  <c r="J140" i="9"/>
  <c r="J136" i="9"/>
  <c r="J137" i="9"/>
  <c r="J141" i="9"/>
  <c r="J143" i="9"/>
  <c r="J142" i="9"/>
  <c r="O40" i="86"/>
  <c r="M51" i="86"/>
  <c r="J51" i="83"/>
  <c r="J48" i="83"/>
  <c r="O42" i="78"/>
  <c r="M51" i="78"/>
  <c r="J44" i="126"/>
  <c r="K51" i="108"/>
  <c r="O34" i="107"/>
  <c r="M44" i="107"/>
  <c r="M128" i="90"/>
  <c r="M125" i="90"/>
  <c r="M131" i="90"/>
  <c r="M129" i="90"/>
  <c r="M124" i="90"/>
  <c r="M126" i="90"/>
  <c r="M130" i="90"/>
  <c r="M123" i="90"/>
  <c r="M127" i="90"/>
  <c r="M54" i="90"/>
  <c r="L53" i="100"/>
  <c r="L141" i="100"/>
  <c r="L137" i="100"/>
  <c r="L136" i="100"/>
  <c r="L142" i="100"/>
  <c r="L138" i="100"/>
  <c r="L139" i="100"/>
  <c r="L143" i="100"/>
  <c r="L140" i="100"/>
  <c r="L135" i="100"/>
  <c r="O36" i="74"/>
  <c r="P36" i="99"/>
  <c r="M131" i="99"/>
  <c r="M126" i="99"/>
  <c r="M123" i="99"/>
  <c r="M127" i="99"/>
  <c r="M129" i="99"/>
  <c r="M124" i="99"/>
  <c r="M125" i="99"/>
  <c r="M130" i="99"/>
  <c r="M128" i="99"/>
  <c r="M44" i="109"/>
  <c r="O37" i="109"/>
  <c r="M51" i="97"/>
  <c r="L53" i="75"/>
  <c r="O37" i="121"/>
  <c r="O43" i="121"/>
  <c r="J51" i="123"/>
  <c r="M44" i="91"/>
  <c r="P41" i="105"/>
  <c r="P36" i="105"/>
  <c r="K141" i="127"/>
  <c r="K140" i="127"/>
  <c r="K143" i="127"/>
  <c r="K137" i="127"/>
  <c r="K138" i="127"/>
  <c r="K139" i="127"/>
  <c r="K136" i="127"/>
  <c r="K135" i="127"/>
  <c r="K142" i="127"/>
  <c r="J142" i="104"/>
  <c r="J136" i="104"/>
  <c r="J140" i="104"/>
  <c r="J143" i="104"/>
  <c r="J139" i="104"/>
  <c r="J135" i="104"/>
  <c r="J138" i="104"/>
  <c r="J137" i="104"/>
  <c r="J141" i="104"/>
  <c r="K47" i="98"/>
  <c r="K52" i="98" s="1"/>
  <c r="K46" i="98"/>
  <c r="K39" i="98"/>
  <c r="K43" i="98"/>
  <c r="K36" i="98"/>
  <c r="K35" i="98"/>
  <c r="K40" i="98"/>
  <c r="K41" i="98"/>
  <c r="K42" i="98"/>
  <c r="K34" i="98"/>
  <c r="K37" i="98"/>
  <c r="K38" i="98"/>
  <c r="J138" i="82"/>
  <c r="J140" i="82"/>
  <c r="J136" i="82"/>
  <c r="J141" i="82"/>
  <c r="J142" i="82"/>
  <c r="J137" i="82"/>
  <c r="J143" i="82"/>
  <c r="J139" i="82"/>
  <c r="J135" i="82"/>
  <c r="AK41" i="16"/>
  <c r="AP41" i="16"/>
  <c r="AO41" i="16"/>
  <c r="AN41" i="16"/>
  <c r="AQ41" i="16"/>
  <c r="AR41" i="16"/>
  <c r="AL41" i="16"/>
  <c r="AM41" i="16"/>
  <c r="AJ41" i="16"/>
  <c r="K124" i="125"/>
  <c r="K131" i="125"/>
  <c r="K130" i="125"/>
  <c r="K123" i="125"/>
  <c r="K126" i="125"/>
  <c r="K129" i="125"/>
  <c r="K128" i="125"/>
  <c r="K125" i="125"/>
  <c r="K127" i="125"/>
  <c r="P39" i="77"/>
  <c r="M129" i="77"/>
  <c r="M124" i="77"/>
  <c r="M131" i="77"/>
  <c r="M123" i="77"/>
  <c r="M125" i="77"/>
  <c r="M128" i="77"/>
  <c r="M130" i="77"/>
  <c r="M126" i="77"/>
  <c r="M127" i="77"/>
  <c r="M54" i="77"/>
  <c r="L141" i="124"/>
  <c r="L138" i="124"/>
  <c r="L143" i="124"/>
  <c r="L137" i="124"/>
  <c r="L142" i="124"/>
  <c r="L139" i="124"/>
  <c r="L140" i="124"/>
  <c r="L135" i="124"/>
  <c r="L136" i="124"/>
  <c r="K44" i="81"/>
  <c r="K143" i="81"/>
  <c r="K135" i="81"/>
  <c r="K142" i="81"/>
  <c r="K139" i="81"/>
  <c r="K140" i="81"/>
  <c r="K136" i="81"/>
  <c r="K137" i="81"/>
  <c r="K141" i="81"/>
  <c r="K138" i="81"/>
  <c r="J51" i="89"/>
  <c r="J48" i="89"/>
  <c r="J49" i="89" s="1"/>
  <c r="P36" i="83"/>
  <c r="AN35" i="16"/>
  <c r="AK35" i="16"/>
  <c r="AJ35" i="16"/>
  <c r="AR35" i="16"/>
  <c r="AL35" i="16"/>
  <c r="AQ35" i="16"/>
  <c r="AM35" i="16"/>
  <c r="AP35" i="16"/>
  <c r="AO35" i="16"/>
  <c r="O39" i="126"/>
  <c r="L44" i="108"/>
  <c r="K44" i="93"/>
  <c r="J51" i="107"/>
  <c r="J48" i="107"/>
  <c r="K51" i="95"/>
  <c r="K48" i="95"/>
  <c r="O11" i="90"/>
  <c r="R11" i="90" s="1"/>
  <c r="D15" i="122" s="1"/>
  <c r="P11" i="90"/>
  <c r="I14" i="90"/>
  <c r="I46" i="90"/>
  <c r="I47" i="90"/>
  <c r="I40" i="90"/>
  <c r="O40" i="90" s="1"/>
  <c r="I36" i="90"/>
  <c r="O36" i="90" s="1"/>
  <c r="I43" i="90"/>
  <c r="O43" i="90" s="1"/>
  <c r="I35" i="90"/>
  <c r="P35" i="90" s="1"/>
  <c r="I39" i="90"/>
  <c r="P39" i="90" s="1"/>
  <c r="I37" i="90"/>
  <c r="I38" i="90"/>
  <c r="I34" i="90"/>
  <c r="I41" i="90"/>
  <c r="O41" i="90" s="1"/>
  <c r="I42" i="90"/>
  <c r="J139" i="90"/>
  <c r="J136" i="90"/>
  <c r="J141" i="90"/>
  <c r="J142" i="90"/>
  <c r="J138" i="90"/>
  <c r="J137" i="90"/>
  <c r="J140" i="90"/>
  <c r="J143" i="90"/>
  <c r="J135" i="90"/>
  <c r="K44" i="100"/>
  <c r="L139" i="76"/>
  <c r="L136" i="76"/>
  <c r="L137" i="76"/>
  <c r="L142" i="76"/>
  <c r="L143" i="76"/>
  <c r="L141" i="76"/>
  <c r="L140" i="76"/>
  <c r="L135" i="76"/>
  <c r="L138" i="76"/>
  <c r="K44" i="128"/>
  <c r="K142" i="128"/>
  <c r="K140" i="128"/>
  <c r="K135" i="128"/>
  <c r="K138" i="128"/>
  <c r="K136" i="128"/>
  <c r="K141" i="128"/>
  <c r="K143" i="128"/>
  <c r="K137" i="128"/>
  <c r="K139" i="128"/>
  <c r="K143" i="99"/>
  <c r="K138" i="99"/>
  <c r="K139" i="99"/>
  <c r="K141" i="99"/>
  <c r="K140" i="99"/>
  <c r="K135" i="99"/>
  <c r="K137" i="99"/>
  <c r="K136" i="99"/>
  <c r="K142" i="99"/>
  <c r="AJ49" i="16"/>
  <c r="AQ49" i="16"/>
  <c r="AM49" i="16"/>
  <c r="AN49" i="16"/>
  <c r="AK49" i="16"/>
  <c r="AP49" i="16"/>
  <c r="AO49" i="16"/>
  <c r="AL49" i="16"/>
  <c r="AR49" i="16"/>
  <c r="O37" i="87"/>
  <c r="J44" i="97"/>
  <c r="J44" i="75"/>
  <c r="AQ46" i="16"/>
  <c r="AM46" i="16"/>
  <c r="AP46" i="16"/>
  <c r="AR46" i="16"/>
  <c r="AN46" i="16"/>
  <c r="AK46" i="16"/>
  <c r="AL46" i="16"/>
  <c r="AO46" i="16"/>
  <c r="AJ46" i="16"/>
  <c r="K51" i="91"/>
  <c r="P11" i="91"/>
  <c r="O11" i="91"/>
  <c r="I47" i="91"/>
  <c r="I52" i="91" s="1"/>
  <c r="I46" i="91"/>
  <c r="L14" i="91"/>
  <c r="I39" i="91"/>
  <c r="I40" i="91"/>
  <c r="O40" i="91" s="1"/>
  <c r="I36" i="91"/>
  <c r="O36" i="91" s="1"/>
  <c r="I43" i="91"/>
  <c r="P43" i="91" s="1"/>
  <c r="I35" i="91"/>
  <c r="P35" i="91" s="1"/>
  <c r="I34" i="91"/>
  <c r="I41" i="91"/>
  <c r="I37" i="91"/>
  <c r="P37" i="91" s="1"/>
  <c r="I38" i="91"/>
  <c r="I42" i="91"/>
  <c r="K44" i="105"/>
  <c r="K51" i="105"/>
  <c r="K48" i="105"/>
  <c r="M53" i="127"/>
  <c r="M136" i="127"/>
  <c r="M141" i="127"/>
  <c r="M137" i="127"/>
  <c r="M140" i="127"/>
  <c r="M138" i="127"/>
  <c r="M142" i="127"/>
  <c r="M139" i="127"/>
  <c r="M135" i="127"/>
  <c r="M143" i="127"/>
  <c r="S51" i="16"/>
  <c r="P38" i="88"/>
  <c r="M142" i="88"/>
  <c r="M143" i="88"/>
  <c r="M139" i="88"/>
  <c r="M141" i="88"/>
  <c r="M140" i="88"/>
  <c r="M135" i="88"/>
  <c r="M137" i="88"/>
  <c r="M136" i="88"/>
  <c r="M138" i="88"/>
  <c r="L48" i="84"/>
  <c r="P36" i="125"/>
  <c r="M51" i="125"/>
  <c r="K53" i="77"/>
  <c r="K51" i="77"/>
  <c r="K48" i="77"/>
  <c r="K49" i="77" s="1"/>
  <c r="P38" i="102"/>
  <c r="O43" i="102"/>
  <c r="J142" i="101"/>
  <c r="J137" i="101"/>
  <c r="J143" i="101"/>
  <c r="J139" i="101"/>
  <c r="J140" i="101"/>
  <c r="J136" i="101"/>
  <c r="J135" i="101"/>
  <c r="J141" i="101"/>
  <c r="J138" i="101"/>
  <c r="P36" i="87" l="1"/>
  <c r="O37" i="9"/>
  <c r="M49" i="101"/>
  <c r="M50" i="101" s="1"/>
  <c r="P42" i="87"/>
  <c r="M53" i="101"/>
  <c r="K44" i="85"/>
  <c r="K53" i="85" s="1"/>
  <c r="J116" i="88"/>
  <c r="J111" i="88"/>
  <c r="L49" i="105"/>
  <c r="J114" i="88"/>
  <c r="J117" i="88"/>
  <c r="L49" i="95"/>
  <c r="L50" i="95" s="1"/>
  <c r="O41" i="82"/>
  <c r="J113" i="88"/>
  <c r="M49" i="123"/>
  <c r="M50" i="123" s="1"/>
  <c r="L49" i="87"/>
  <c r="L50" i="87" s="1"/>
  <c r="P40" i="126"/>
  <c r="M113" i="77"/>
  <c r="M112" i="77"/>
  <c r="M132" i="103"/>
  <c r="M112" i="79"/>
  <c r="M117" i="79"/>
  <c r="J49" i="78"/>
  <c r="J50" i="78" s="1"/>
  <c r="M53" i="93"/>
  <c r="M54" i="93" s="1"/>
  <c r="M118" i="77"/>
  <c r="M117" i="77"/>
  <c r="M119" i="79"/>
  <c r="M111" i="79"/>
  <c r="P37" i="80"/>
  <c r="M132" i="87"/>
  <c r="M111" i="77"/>
  <c r="M116" i="79"/>
  <c r="M113" i="79"/>
  <c r="P40" i="101"/>
  <c r="J76" i="77"/>
  <c r="K14" i="77"/>
  <c r="J132" i="126"/>
  <c r="O42" i="101"/>
  <c r="L144" i="84"/>
  <c r="M132" i="92"/>
  <c r="L48" i="81"/>
  <c r="J48" i="106"/>
  <c r="J48" i="85"/>
  <c r="AS32" i="16"/>
  <c r="L149" i="126"/>
  <c r="M144" i="84"/>
  <c r="M49" i="127"/>
  <c r="M50" i="127" s="1"/>
  <c r="J144" i="91"/>
  <c r="W30" i="133"/>
  <c r="L150" i="79"/>
  <c r="L151" i="79"/>
  <c r="L150" i="126"/>
  <c r="J144" i="74"/>
  <c r="J144" i="92"/>
  <c r="L144" i="77"/>
  <c r="J144" i="101"/>
  <c r="L144" i="124"/>
  <c r="K49" i="74"/>
  <c r="K50" i="74" s="1"/>
  <c r="K144" i="81"/>
  <c r="P42" i="93"/>
  <c r="AS16" i="16"/>
  <c r="K144" i="93"/>
  <c r="L51" i="81"/>
  <c r="J44" i="85"/>
  <c r="AS15" i="16"/>
  <c r="K144" i="95"/>
  <c r="J44" i="81"/>
  <c r="J53" i="81" s="1"/>
  <c r="K48" i="129"/>
  <c r="M144" i="74"/>
  <c r="J144" i="90"/>
  <c r="K144" i="127"/>
  <c r="J44" i="98"/>
  <c r="J53" i="98" s="1"/>
  <c r="J112" i="98" s="1"/>
  <c r="M48" i="89"/>
  <c r="P36" i="77"/>
  <c r="K48" i="103"/>
  <c r="L144" i="92"/>
  <c r="M144" i="86"/>
  <c r="P43" i="128"/>
  <c r="P43" i="90"/>
  <c r="O38" i="77"/>
  <c r="O42" i="102"/>
  <c r="M132" i="100"/>
  <c r="M48" i="85"/>
  <c r="X29" i="133"/>
  <c r="X30" i="133" s="1"/>
  <c r="K144" i="86"/>
  <c r="J144" i="96"/>
  <c r="M144" i="81"/>
  <c r="J144" i="125"/>
  <c r="K132" i="104"/>
  <c r="K132" i="123"/>
  <c r="M44" i="129"/>
  <c r="M53" i="129" s="1"/>
  <c r="M114" i="129" s="1"/>
  <c r="AS37" i="16"/>
  <c r="K14" i="9"/>
  <c r="K76" i="9" s="1"/>
  <c r="K14" i="109"/>
  <c r="K76" i="109" s="1"/>
  <c r="L154" i="79"/>
  <c r="O43" i="99"/>
  <c r="O40" i="84"/>
  <c r="J48" i="128"/>
  <c r="L144" i="125"/>
  <c r="J144" i="124"/>
  <c r="J49" i="87"/>
  <c r="J50" i="87" s="1"/>
  <c r="J53" i="87"/>
  <c r="M137" i="129"/>
  <c r="M141" i="129"/>
  <c r="M143" i="129"/>
  <c r="M139" i="129"/>
  <c r="M140" i="129"/>
  <c r="M142" i="129"/>
  <c r="M135" i="129"/>
  <c r="M136" i="129"/>
  <c r="M138" i="129"/>
  <c r="J142" i="98"/>
  <c r="J140" i="98"/>
  <c r="J143" i="98"/>
  <c r="J138" i="98"/>
  <c r="J136" i="98"/>
  <c r="J139" i="98"/>
  <c r="J141" i="98"/>
  <c r="J135" i="98"/>
  <c r="J137" i="98"/>
  <c r="F11" i="119"/>
  <c r="F27" i="119" s="1"/>
  <c r="P27" i="119" s="1"/>
  <c r="P11" i="119" s="1"/>
  <c r="L50" i="76"/>
  <c r="M50" i="77"/>
  <c r="M50" i="90"/>
  <c r="L50" i="88"/>
  <c r="L140" i="98"/>
  <c r="L135" i="98"/>
  <c r="L136" i="98"/>
  <c r="L141" i="98"/>
  <c r="L142" i="98"/>
  <c r="L143" i="98"/>
  <c r="L137" i="98"/>
  <c r="L138" i="98"/>
  <c r="L139" i="98"/>
  <c r="H11" i="119"/>
  <c r="J136" i="128"/>
  <c r="J139" i="128"/>
  <c r="J142" i="128"/>
  <c r="J135" i="128"/>
  <c r="J140" i="128"/>
  <c r="J137" i="128"/>
  <c r="J141" i="128"/>
  <c r="J138" i="128"/>
  <c r="J143" i="128"/>
  <c r="J76" i="74"/>
  <c r="K14" i="74"/>
  <c r="K76" i="74" s="1"/>
  <c r="I126" i="74"/>
  <c r="I123" i="74"/>
  <c r="I130" i="74"/>
  <c r="I125" i="74"/>
  <c r="I129" i="74"/>
  <c r="P51" i="74"/>
  <c r="I127" i="74"/>
  <c r="I131" i="74"/>
  <c r="O51" i="74"/>
  <c r="I128" i="74"/>
  <c r="I124" i="74"/>
  <c r="I127" i="128"/>
  <c r="I123" i="128"/>
  <c r="I124" i="128"/>
  <c r="I130" i="128"/>
  <c r="I129" i="128"/>
  <c r="I128" i="128"/>
  <c r="I125" i="128"/>
  <c r="I131" i="128"/>
  <c r="I126" i="128"/>
  <c r="L50" i="104"/>
  <c r="L50" i="79"/>
  <c r="L50" i="92"/>
  <c r="L50" i="126"/>
  <c r="J143" i="129"/>
  <c r="J142" i="129"/>
  <c r="J138" i="129"/>
  <c r="J140" i="129"/>
  <c r="J135" i="129"/>
  <c r="J136" i="129"/>
  <c r="J137" i="129"/>
  <c r="J141" i="129"/>
  <c r="J139" i="129"/>
  <c r="K50" i="99"/>
  <c r="K50" i="127"/>
  <c r="L50" i="83"/>
  <c r="M50" i="110"/>
  <c r="I127" i="125"/>
  <c r="I128" i="125"/>
  <c r="I125" i="125"/>
  <c r="I130" i="125"/>
  <c r="I129" i="125"/>
  <c r="O51" i="125"/>
  <c r="I123" i="125"/>
  <c r="I126" i="125"/>
  <c r="P51" i="125"/>
  <c r="I124" i="125"/>
  <c r="I131" i="125"/>
  <c r="I140" i="99"/>
  <c r="I142" i="99"/>
  <c r="I141" i="99"/>
  <c r="I139" i="99"/>
  <c r="I138" i="99"/>
  <c r="I136" i="99"/>
  <c r="I135" i="99"/>
  <c r="I137" i="99"/>
  <c r="I143" i="99"/>
  <c r="P52" i="99"/>
  <c r="O52" i="99"/>
  <c r="K50" i="79"/>
  <c r="I124" i="98"/>
  <c r="I127" i="98"/>
  <c r="I128" i="98"/>
  <c r="I130" i="98"/>
  <c r="I129" i="98"/>
  <c r="I123" i="98"/>
  <c r="I131" i="98"/>
  <c r="I125" i="98"/>
  <c r="I126" i="98"/>
  <c r="I130" i="79"/>
  <c r="I126" i="79"/>
  <c r="I128" i="79"/>
  <c r="I124" i="79"/>
  <c r="I125" i="79"/>
  <c r="P51" i="79"/>
  <c r="I123" i="79"/>
  <c r="I127" i="79"/>
  <c r="O51" i="79"/>
  <c r="I131" i="79"/>
  <c r="I129" i="79"/>
  <c r="J76" i="88"/>
  <c r="K14" i="88"/>
  <c r="I135" i="83"/>
  <c r="I142" i="83"/>
  <c r="I143" i="83"/>
  <c r="I136" i="83"/>
  <c r="I139" i="83"/>
  <c r="I140" i="83"/>
  <c r="I138" i="83"/>
  <c r="P52" i="83"/>
  <c r="I137" i="83"/>
  <c r="I141" i="83"/>
  <c r="O52" i="83"/>
  <c r="K50" i="77"/>
  <c r="J50" i="89"/>
  <c r="M112" i="129"/>
  <c r="M117" i="129"/>
  <c r="K50" i="121"/>
  <c r="L50" i="89"/>
  <c r="J76" i="94"/>
  <c r="K14" i="94"/>
  <c r="K76" i="94" s="1"/>
  <c r="J50" i="121"/>
  <c r="M50" i="79"/>
  <c r="L50" i="78"/>
  <c r="L50" i="129"/>
  <c r="I127" i="86"/>
  <c r="I131" i="86"/>
  <c r="I128" i="86"/>
  <c r="I123" i="86"/>
  <c r="I125" i="86"/>
  <c r="P51" i="86"/>
  <c r="I130" i="86"/>
  <c r="I126" i="86"/>
  <c r="O51" i="86"/>
  <c r="I129" i="86"/>
  <c r="I124" i="86"/>
  <c r="V24" i="133"/>
  <c r="P52" i="108"/>
  <c r="O52" i="108"/>
  <c r="I137" i="128"/>
  <c r="I140" i="128"/>
  <c r="I139" i="128"/>
  <c r="I141" i="128"/>
  <c r="I142" i="128"/>
  <c r="I138" i="128"/>
  <c r="I143" i="128"/>
  <c r="I136" i="128"/>
  <c r="I135" i="128"/>
  <c r="P52" i="128"/>
  <c r="O52" i="128"/>
  <c r="J140" i="81"/>
  <c r="J136" i="81"/>
  <c r="J138" i="81"/>
  <c r="J142" i="81"/>
  <c r="J135" i="81"/>
  <c r="J141" i="81"/>
  <c r="J139" i="81"/>
  <c r="J137" i="81"/>
  <c r="J143" i="81"/>
  <c r="K118" i="85"/>
  <c r="K119" i="85"/>
  <c r="K111" i="85"/>
  <c r="K116" i="85"/>
  <c r="K117" i="85"/>
  <c r="K114" i="85"/>
  <c r="K115" i="85"/>
  <c r="K112" i="85"/>
  <c r="K113" i="85"/>
  <c r="M128" i="125"/>
  <c r="M123" i="125"/>
  <c r="M129" i="125"/>
  <c r="M131" i="125"/>
  <c r="M126" i="125"/>
  <c r="M125" i="125"/>
  <c r="M127" i="125"/>
  <c r="M130" i="125"/>
  <c r="M124" i="125"/>
  <c r="I51" i="91"/>
  <c r="P46" i="91"/>
  <c r="I48" i="91"/>
  <c r="O46" i="91"/>
  <c r="I44" i="90"/>
  <c r="O34" i="90"/>
  <c r="P34" i="90"/>
  <c r="P23" i="133"/>
  <c r="F18" i="119"/>
  <c r="M123" i="97"/>
  <c r="M127" i="97"/>
  <c r="M130" i="97"/>
  <c r="M131" i="97"/>
  <c r="M125" i="97"/>
  <c r="M129" i="97"/>
  <c r="M128" i="97"/>
  <c r="M126" i="97"/>
  <c r="M124" i="97"/>
  <c r="L118" i="100"/>
  <c r="L154" i="100" s="1"/>
  <c r="L111" i="100"/>
  <c r="L112" i="100"/>
  <c r="L148" i="100" s="1"/>
  <c r="L116" i="100"/>
  <c r="L152" i="100" s="1"/>
  <c r="L114" i="100"/>
  <c r="L150" i="100" s="1"/>
  <c r="L117" i="100"/>
  <c r="L153" i="100" s="1"/>
  <c r="L119" i="100"/>
  <c r="L155" i="100" s="1"/>
  <c r="L113" i="100"/>
  <c r="L149" i="100" s="1"/>
  <c r="L115" i="100"/>
  <c r="L151" i="100" s="1"/>
  <c r="I44" i="124"/>
  <c r="O34" i="124"/>
  <c r="P34" i="124"/>
  <c r="L49" i="127"/>
  <c r="L53" i="127"/>
  <c r="J118" i="91"/>
  <c r="J112" i="91"/>
  <c r="J117" i="91"/>
  <c r="J114" i="91"/>
  <c r="J111" i="91"/>
  <c r="J115" i="91"/>
  <c r="J116" i="91"/>
  <c r="J113" i="91"/>
  <c r="J119" i="91"/>
  <c r="I52" i="100"/>
  <c r="O47" i="100"/>
  <c r="P47" i="100"/>
  <c r="P37" i="95"/>
  <c r="O37" i="95"/>
  <c r="I141" i="95"/>
  <c r="O141" i="95" s="1"/>
  <c r="I139" i="95"/>
  <c r="I142" i="95"/>
  <c r="I143" i="95"/>
  <c r="I140" i="95"/>
  <c r="P52" i="95"/>
  <c r="I138" i="95"/>
  <c r="I135" i="95"/>
  <c r="I137" i="95"/>
  <c r="I136" i="95"/>
  <c r="O52" i="95"/>
  <c r="J51" i="102"/>
  <c r="J48" i="102"/>
  <c r="K118" i="77"/>
  <c r="K115" i="77"/>
  <c r="K113" i="77"/>
  <c r="K119" i="77"/>
  <c r="K116" i="77"/>
  <c r="K111" i="77"/>
  <c r="K112" i="77"/>
  <c r="K114" i="77"/>
  <c r="K117" i="77"/>
  <c r="M144" i="127"/>
  <c r="M118" i="127"/>
  <c r="M154" i="127" s="1"/>
  <c r="M119" i="127"/>
  <c r="M155" i="127" s="1"/>
  <c r="M115" i="127"/>
  <c r="M151" i="127" s="1"/>
  <c r="M114" i="127"/>
  <c r="M150" i="127" s="1"/>
  <c r="M116" i="127"/>
  <c r="M152" i="127" s="1"/>
  <c r="M117" i="127"/>
  <c r="M111" i="127"/>
  <c r="M113" i="127"/>
  <c r="M149" i="127" s="1"/>
  <c r="M112" i="127"/>
  <c r="M148" i="127" s="1"/>
  <c r="O41" i="91"/>
  <c r="P41" i="91"/>
  <c r="I140" i="91"/>
  <c r="I141" i="91"/>
  <c r="I135" i="91"/>
  <c r="I142" i="91"/>
  <c r="I136" i="91"/>
  <c r="I143" i="91"/>
  <c r="I137" i="91"/>
  <c r="I138" i="91"/>
  <c r="I139" i="91"/>
  <c r="P52" i="91"/>
  <c r="O52" i="91"/>
  <c r="J49" i="97"/>
  <c r="J53" i="97"/>
  <c r="J54" i="97" s="1"/>
  <c r="L144" i="76"/>
  <c r="K49" i="100"/>
  <c r="K53" i="100"/>
  <c r="P41" i="77"/>
  <c r="J144" i="82"/>
  <c r="K44" i="98"/>
  <c r="G11" i="119"/>
  <c r="G27" i="119" s="1"/>
  <c r="Q27" i="119" s="1"/>
  <c r="K142" i="98"/>
  <c r="K140" i="98"/>
  <c r="K143" i="98"/>
  <c r="K138" i="98"/>
  <c r="K136" i="98"/>
  <c r="K139" i="98"/>
  <c r="K141" i="98"/>
  <c r="K135" i="98"/>
  <c r="K137" i="98"/>
  <c r="M49" i="91"/>
  <c r="M53" i="91"/>
  <c r="L119" i="75"/>
  <c r="L116" i="75"/>
  <c r="L113" i="75"/>
  <c r="L117" i="75"/>
  <c r="L112" i="75"/>
  <c r="L114" i="75"/>
  <c r="L118" i="75"/>
  <c r="L111" i="75"/>
  <c r="L115" i="75"/>
  <c r="L144" i="100"/>
  <c r="M132" i="90"/>
  <c r="J49" i="126"/>
  <c r="J53" i="126"/>
  <c r="J123" i="83"/>
  <c r="J128" i="83"/>
  <c r="J131" i="83"/>
  <c r="J124" i="83"/>
  <c r="J125" i="83"/>
  <c r="J126" i="83"/>
  <c r="J127" i="83"/>
  <c r="J130" i="83"/>
  <c r="J129" i="83"/>
  <c r="K49" i="96"/>
  <c r="K53" i="96"/>
  <c r="P41" i="124"/>
  <c r="O41" i="124"/>
  <c r="O37" i="124"/>
  <c r="P37" i="124"/>
  <c r="P35" i="124"/>
  <c r="O35" i="124"/>
  <c r="R11" i="124"/>
  <c r="D22" i="122" s="1"/>
  <c r="M124" i="84"/>
  <c r="M131" i="84"/>
  <c r="M128" i="84"/>
  <c r="M126" i="84"/>
  <c r="M123" i="84"/>
  <c r="M130" i="84"/>
  <c r="M127" i="84"/>
  <c r="M129" i="84"/>
  <c r="M125" i="84"/>
  <c r="M49" i="104"/>
  <c r="M53" i="104"/>
  <c r="J144" i="99"/>
  <c r="J130" i="100"/>
  <c r="J129" i="100"/>
  <c r="J127" i="100"/>
  <c r="J131" i="100"/>
  <c r="J128" i="100"/>
  <c r="J123" i="100"/>
  <c r="J124" i="100"/>
  <c r="J125" i="100"/>
  <c r="J126" i="100"/>
  <c r="I125" i="100"/>
  <c r="I129" i="100"/>
  <c r="O51" i="100"/>
  <c r="I124" i="100"/>
  <c r="I126" i="100"/>
  <c r="I128" i="100"/>
  <c r="I123" i="100"/>
  <c r="I127" i="100"/>
  <c r="I131" i="100"/>
  <c r="I130" i="100"/>
  <c r="P51" i="100"/>
  <c r="R11" i="100"/>
  <c r="D7" i="122" s="1"/>
  <c r="I44" i="95"/>
  <c r="P34" i="95"/>
  <c r="O34" i="95"/>
  <c r="I129" i="95"/>
  <c r="I126" i="95"/>
  <c r="I128" i="95"/>
  <c r="I125" i="95"/>
  <c r="I123" i="95"/>
  <c r="I130" i="95"/>
  <c r="I124" i="95"/>
  <c r="O51" i="95"/>
  <c r="I127" i="95"/>
  <c r="I131" i="95"/>
  <c r="P51" i="95"/>
  <c r="R11" i="95"/>
  <c r="D27" i="122" s="1"/>
  <c r="I44" i="93"/>
  <c r="O34" i="93"/>
  <c r="P34" i="93"/>
  <c r="I141" i="93"/>
  <c r="I140" i="93"/>
  <c r="I136" i="93"/>
  <c r="I137" i="93"/>
  <c r="I139" i="93"/>
  <c r="P52" i="93"/>
  <c r="I143" i="93"/>
  <c r="I135" i="93"/>
  <c r="I142" i="93"/>
  <c r="I138" i="93"/>
  <c r="O52" i="93"/>
  <c r="K129" i="78"/>
  <c r="K125" i="78"/>
  <c r="K131" i="78"/>
  <c r="K130" i="78"/>
  <c r="K126" i="78"/>
  <c r="K123" i="78"/>
  <c r="K127" i="78"/>
  <c r="K124" i="78"/>
  <c r="K128" i="78"/>
  <c r="P41" i="106"/>
  <c r="O41" i="106"/>
  <c r="I129" i="106"/>
  <c r="I125" i="106"/>
  <c r="I124" i="106"/>
  <c r="I126" i="106"/>
  <c r="I127" i="106"/>
  <c r="I130" i="106"/>
  <c r="I131" i="106"/>
  <c r="I123" i="106"/>
  <c r="I128" i="106"/>
  <c r="M14" i="106"/>
  <c r="L76" i="106"/>
  <c r="O41" i="101"/>
  <c r="P41" i="101"/>
  <c r="O37" i="101"/>
  <c r="P37" i="101"/>
  <c r="P35" i="101"/>
  <c r="O35" i="101"/>
  <c r="P47" i="101"/>
  <c r="O47" i="101"/>
  <c r="F14" i="102"/>
  <c r="J127" i="98"/>
  <c r="J129" i="98"/>
  <c r="J123" i="98"/>
  <c r="J125" i="98"/>
  <c r="J130" i="98"/>
  <c r="J128" i="98"/>
  <c r="J131" i="98"/>
  <c r="J126" i="98"/>
  <c r="J124" i="98"/>
  <c r="L144" i="105"/>
  <c r="L127" i="97"/>
  <c r="L129" i="97"/>
  <c r="L123" i="97"/>
  <c r="L125" i="97"/>
  <c r="L130" i="97"/>
  <c r="L128" i="97"/>
  <c r="L131" i="97"/>
  <c r="L126" i="97"/>
  <c r="L124" i="97"/>
  <c r="M49" i="81"/>
  <c r="M53" i="81"/>
  <c r="M144" i="95"/>
  <c r="M129" i="93"/>
  <c r="M128" i="93"/>
  <c r="M124" i="93"/>
  <c r="M126" i="93"/>
  <c r="M125" i="93"/>
  <c r="M123" i="93"/>
  <c r="M130" i="93"/>
  <c r="M131" i="93"/>
  <c r="M127" i="93"/>
  <c r="K49" i="126"/>
  <c r="K53" i="126"/>
  <c r="J144" i="94"/>
  <c r="M144" i="128"/>
  <c r="M127" i="89"/>
  <c r="M126" i="89"/>
  <c r="M131" i="89"/>
  <c r="M129" i="89"/>
  <c r="M130" i="89"/>
  <c r="M124" i="89"/>
  <c r="M128" i="89"/>
  <c r="M123" i="89"/>
  <c r="M125" i="89"/>
  <c r="M128" i="129"/>
  <c r="M125" i="129"/>
  <c r="M129" i="129"/>
  <c r="M127" i="129"/>
  <c r="M124" i="129"/>
  <c r="M126" i="129"/>
  <c r="M130" i="129"/>
  <c r="M123" i="129"/>
  <c r="M131" i="129"/>
  <c r="M54" i="129"/>
  <c r="L44" i="128"/>
  <c r="L44" i="110"/>
  <c r="J125" i="103"/>
  <c r="J124" i="103"/>
  <c r="J131" i="103"/>
  <c r="J129" i="103"/>
  <c r="J123" i="103"/>
  <c r="J126" i="103"/>
  <c r="J130" i="103"/>
  <c r="J128" i="103"/>
  <c r="J127" i="103"/>
  <c r="J130" i="101"/>
  <c r="J129" i="101"/>
  <c r="J127" i="101"/>
  <c r="J131" i="101"/>
  <c r="J128" i="101"/>
  <c r="J124" i="101"/>
  <c r="J123" i="101"/>
  <c r="J125" i="101"/>
  <c r="J126" i="101"/>
  <c r="I44" i="77"/>
  <c r="P34" i="77"/>
  <c r="O34" i="77"/>
  <c r="I126" i="77"/>
  <c r="I125" i="77"/>
  <c r="I127" i="77"/>
  <c r="I130" i="77"/>
  <c r="I128" i="77"/>
  <c r="I123" i="77"/>
  <c r="I129" i="77"/>
  <c r="I131" i="77"/>
  <c r="P51" i="77"/>
  <c r="O51" i="77"/>
  <c r="I124" i="77"/>
  <c r="M132" i="127"/>
  <c r="I76" i="97"/>
  <c r="O35" i="97"/>
  <c r="P35" i="97"/>
  <c r="I48" i="97"/>
  <c r="P46" i="97"/>
  <c r="O46" i="97"/>
  <c r="P43" i="87"/>
  <c r="K112" i="99"/>
  <c r="K148" i="99" s="1"/>
  <c r="K113" i="99"/>
  <c r="K149" i="99" s="1"/>
  <c r="K118" i="99"/>
  <c r="K154" i="99" s="1"/>
  <c r="K119" i="99"/>
  <c r="K155" i="99" s="1"/>
  <c r="K111" i="99"/>
  <c r="K116" i="99"/>
  <c r="K152" i="99" s="1"/>
  <c r="K117" i="99"/>
  <c r="K153" i="99" s="1"/>
  <c r="K114" i="99"/>
  <c r="K150" i="99" s="1"/>
  <c r="K115" i="99"/>
  <c r="K151" i="99" s="1"/>
  <c r="O37" i="126"/>
  <c r="J117" i="78"/>
  <c r="J153" i="78" s="1"/>
  <c r="J111" i="78"/>
  <c r="J113" i="78"/>
  <c r="J149" i="78" s="1"/>
  <c r="J118" i="78"/>
  <c r="J154" i="78" s="1"/>
  <c r="J116" i="78"/>
  <c r="J152" i="78" s="1"/>
  <c r="J119" i="78"/>
  <c r="J155" i="78" s="1"/>
  <c r="J114" i="78"/>
  <c r="J150" i="78" s="1"/>
  <c r="J112" i="78"/>
  <c r="J148" i="78" s="1"/>
  <c r="J115" i="78"/>
  <c r="J151" i="78" s="1"/>
  <c r="L113" i="94"/>
  <c r="L149" i="94" s="1"/>
  <c r="L115" i="94"/>
  <c r="L151" i="94" s="1"/>
  <c r="L118" i="94"/>
  <c r="L154" i="94" s="1"/>
  <c r="L111" i="94"/>
  <c r="L119" i="94"/>
  <c r="L155" i="94" s="1"/>
  <c r="L114" i="94"/>
  <c r="L150" i="94" s="1"/>
  <c r="L116" i="94"/>
  <c r="L152" i="94" s="1"/>
  <c r="L117" i="94"/>
  <c r="L153" i="94" s="1"/>
  <c r="L112" i="94"/>
  <c r="L148" i="94" s="1"/>
  <c r="L127" i="124"/>
  <c r="L129" i="124"/>
  <c r="L131" i="124"/>
  <c r="L124" i="124"/>
  <c r="L128" i="124"/>
  <c r="L123" i="124"/>
  <c r="L125" i="124"/>
  <c r="L126" i="124"/>
  <c r="L130" i="124"/>
  <c r="L113" i="89"/>
  <c r="L116" i="89"/>
  <c r="L111" i="89"/>
  <c r="L118" i="89"/>
  <c r="L112" i="89"/>
  <c r="L114" i="89"/>
  <c r="L115" i="89"/>
  <c r="L117" i="89"/>
  <c r="L119" i="89"/>
  <c r="O35" i="82"/>
  <c r="P35" i="82"/>
  <c r="O38" i="104"/>
  <c r="P38" i="104"/>
  <c r="P35" i="104"/>
  <c r="O35" i="104"/>
  <c r="I48" i="104"/>
  <c r="P46" i="104"/>
  <c r="O46" i="104"/>
  <c r="L129" i="92"/>
  <c r="L131" i="92"/>
  <c r="L125" i="92"/>
  <c r="L127" i="92"/>
  <c r="L130" i="92"/>
  <c r="L128" i="92"/>
  <c r="L123" i="92"/>
  <c r="L126" i="92"/>
  <c r="L124" i="92"/>
  <c r="L54" i="92"/>
  <c r="J132" i="76"/>
  <c r="J49" i="76"/>
  <c r="J53" i="76"/>
  <c r="P41" i="76"/>
  <c r="O41" i="76"/>
  <c r="P37" i="76"/>
  <c r="O37" i="76"/>
  <c r="I51" i="76"/>
  <c r="I48" i="76"/>
  <c r="P46" i="76"/>
  <c r="O46" i="76"/>
  <c r="P41" i="90"/>
  <c r="J144" i="83"/>
  <c r="P43" i="94"/>
  <c r="O43" i="94"/>
  <c r="O39" i="94"/>
  <c r="P39" i="94"/>
  <c r="I51" i="94"/>
  <c r="I48" i="94"/>
  <c r="P46" i="94"/>
  <c r="O46" i="94"/>
  <c r="L117" i="80"/>
  <c r="L153" i="80" s="1"/>
  <c r="L112" i="80"/>
  <c r="L148" i="80" s="1"/>
  <c r="L115" i="80"/>
  <c r="L151" i="80" s="1"/>
  <c r="L116" i="80"/>
  <c r="L152" i="80" s="1"/>
  <c r="L113" i="80"/>
  <c r="L149" i="80" s="1"/>
  <c r="L114" i="80"/>
  <c r="L150" i="80" s="1"/>
  <c r="L119" i="80"/>
  <c r="L155" i="80" s="1"/>
  <c r="L111" i="80"/>
  <c r="L118" i="80"/>
  <c r="L154" i="80" s="1"/>
  <c r="J131" i="9"/>
  <c r="J127" i="9"/>
  <c r="J130" i="9"/>
  <c r="J123" i="9"/>
  <c r="J125" i="9"/>
  <c r="J124" i="9"/>
  <c r="J126" i="9"/>
  <c r="J129" i="9"/>
  <c r="J128" i="9"/>
  <c r="L117" i="88"/>
  <c r="L111" i="88"/>
  <c r="L116" i="88"/>
  <c r="L113" i="88"/>
  <c r="L114" i="88"/>
  <c r="L119" i="88"/>
  <c r="L112" i="88"/>
  <c r="L115" i="88"/>
  <c r="L118" i="88"/>
  <c r="P38" i="82"/>
  <c r="M49" i="106"/>
  <c r="M53" i="106"/>
  <c r="K144" i="79"/>
  <c r="P38" i="92"/>
  <c r="O38" i="92"/>
  <c r="O40" i="92"/>
  <c r="P40" i="92"/>
  <c r="I139" i="92"/>
  <c r="I142" i="92"/>
  <c r="P52" i="92"/>
  <c r="I140" i="92"/>
  <c r="I141" i="92"/>
  <c r="I135" i="92"/>
  <c r="I143" i="92"/>
  <c r="I137" i="92"/>
  <c r="I136" i="92"/>
  <c r="I138" i="92"/>
  <c r="O52" i="92"/>
  <c r="R11" i="92"/>
  <c r="D24" i="122" s="1"/>
  <c r="K119" i="74"/>
  <c r="K113" i="74"/>
  <c r="K116" i="74"/>
  <c r="K115" i="74"/>
  <c r="K117" i="74"/>
  <c r="K111" i="74"/>
  <c r="K112" i="74"/>
  <c r="K114" i="74"/>
  <c r="K118" i="74"/>
  <c r="S24" i="133"/>
  <c r="F14" i="101"/>
  <c r="AS8" i="16"/>
  <c r="AT8" i="16" s="1"/>
  <c r="I76" i="102"/>
  <c r="P14" i="102"/>
  <c r="J132" i="125"/>
  <c r="O42" i="125"/>
  <c r="P42" i="125"/>
  <c r="O35" i="125"/>
  <c r="P35" i="125"/>
  <c r="J49" i="110"/>
  <c r="J53" i="110"/>
  <c r="P40" i="87"/>
  <c r="O40" i="87"/>
  <c r="K49" i="87"/>
  <c r="K53" i="87"/>
  <c r="M112" i="100"/>
  <c r="M148" i="100" s="1"/>
  <c r="M119" i="100"/>
  <c r="M155" i="100" s="1"/>
  <c r="M113" i="100"/>
  <c r="M149" i="100" s="1"/>
  <c r="M117" i="100"/>
  <c r="M153" i="100" s="1"/>
  <c r="M116" i="100"/>
  <c r="M152" i="100" s="1"/>
  <c r="M118" i="100"/>
  <c r="M154" i="100" s="1"/>
  <c r="M115" i="100"/>
  <c r="M151" i="100" s="1"/>
  <c r="M114" i="100"/>
  <c r="M150" i="100" s="1"/>
  <c r="M111" i="100"/>
  <c r="R23" i="133"/>
  <c r="P38" i="126"/>
  <c r="O38" i="126"/>
  <c r="I44" i="126"/>
  <c r="O34" i="126"/>
  <c r="P35" i="126"/>
  <c r="O35" i="126"/>
  <c r="P46" i="126"/>
  <c r="O46" i="126"/>
  <c r="I48" i="126"/>
  <c r="L130" i="78"/>
  <c r="L128" i="78"/>
  <c r="L131" i="78"/>
  <c r="L126" i="78"/>
  <c r="L124" i="78"/>
  <c r="L127" i="78"/>
  <c r="L129" i="78"/>
  <c r="L123" i="78"/>
  <c r="L125" i="78"/>
  <c r="L54" i="78"/>
  <c r="K49" i="83"/>
  <c r="K53" i="83"/>
  <c r="M49" i="80"/>
  <c r="M50" i="80" s="1"/>
  <c r="M53" i="80"/>
  <c r="O42" i="9"/>
  <c r="P42" i="9"/>
  <c r="O35" i="9"/>
  <c r="P35" i="9"/>
  <c r="P43" i="9"/>
  <c r="O43" i="9"/>
  <c r="L44" i="81"/>
  <c r="L143" i="81"/>
  <c r="L138" i="81"/>
  <c r="L142" i="81"/>
  <c r="L141" i="81"/>
  <c r="L137" i="81"/>
  <c r="L139" i="81"/>
  <c r="L140" i="81"/>
  <c r="L135" i="81"/>
  <c r="L136" i="81"/>
  <c r="J44" i="106"/>
  <c r="J139" i="106"/>
  <c r="J137" i="106"/>
  <c r="J138" i="106"/>
  <c r="J141" i="106"/>
  <c r="J142" i="106"/>
  <c r="J140" i="106"/>
  <c r="J143" i="106"/>
  <c r="J135" i="106"/>
  <c r="J136" i="106"/>
  <c r="K51" i="103"/>
  <c r="M144" i="102"/>
  <c r="L144" i="82"/>
  <c r="O42" i="105"/>
  <c r="P42" i="105"/>
  <c r="I51" i="105"/>
  <c r="I48" i="105"/>
  <c r="O46" i="105"/>
  <c r="P46" i="105"/>
  <c r="K144" i="105"/>
  <c r="P38" i="121"/>
  <c r="O38" i="121"/>
  <c r="O35" i="121"/>
  <c r="P35" i="121"/>
  <c r="I51" i="121"/>
  <c r="I48" i="121"/>
  <c r="P46" i="121"/>
  <c r="O46" i="121"/>
  <c r="J144" i="75"/>
  <c r="M144" i="87"/>
  <c r="I44" i="109"/>
  <c r="O34" i="109"/>
  <c r="P34" i="109"/>
  <c r="P35" i="109"/>
  <c r="O35" i="109"/>
  <c r="P47" i="109"/>
  <c r="O47" i="109"/>
  <c r="P41" i="99"/>
  <c r="O41" i="99"/>
  <c r="P35" i="99"/>
  <c r="O35" i="99"/>
  <c r="I51" i="99"/>
  <c r="P46" i="99"/>
  <c r="O46" i="99"/>
  <c r="I48" i="99"/>
  <c r="K132" i="99"/>
  <c r="J50" i="74"/>
  <c r="I44" i="107"/>
  <c r="P34" i="107"/>
  <c r="K14" i="107"/>
  <c r="J76" i="107"/>
  <c r="P35" i="107"/>
  <c r="O35" i="107"/>
  <c r="O47" i="107"/>
  <c r="P47" i="107"/>
  <c r="M144" i="126"/>
  <c r="I76" i="78"/>
  <c r="P41" i="78"/>
  <c r="O41" i="78"/>
  <c r="I51" i="78"/>
  <c r="O46" i="78"/>
  <c r="I48" i="78"/>
  <c r="P46" i="78"/>
  <c r="J144" i="86"/>
  <c r="K132" i="81"/>
  <c r="L144" i="89"/>
  <c r="I76" i="84"/>
  <c r="O41" i="84"/>
  <c r="P41" i="84"/>
  <c r="I127" i="84"/>
  <c r="I130" i="84"/>
  <c r="I128" i="84"/>
  <c r="I123" i="84"/>
  <c r="I131" i="84"/>
  <c r="P51" i="84"/>
  <c r="I126" i="84"/>
  <c r="I129" i="84"/>
  <c r="O51" i="84"/>
  <c r="I125" i="84"/>
  <c r="I124" i="84"/>
  <c r="L155" i="79"/>
  <c r="M132" i="91"/>
  <c r="O35" i="91"/>
  <c r="I51" i="123"/>
  <c r="I48" i="123"/>
  <c r="P46" i="123"/>
  <c r="O46" i="123"/>
  <c r="O39" i="121"/>
  <c r="M49" i="97"/>
  <c r="M53" i="97"/>
  <c r="J132" i="87"/>
  <c r="P36" i="109"/>
  <c r="O35" i="90"/>
  <c r="I18" i="119"/>
  <c r="L50" i="93"/>
  <c r="L120" i="93"/>
  <c r="O43" i="78"/>
  <c r="L50" i="80"/>
  <c r="P37" i="96"/>
  <c r="O37" i="96"/>
  <c r="P35" i="96"/>
  <c r="O35" i="96"/>
  <c r="O39" i="96"/>
  <c r="P39" i="96"/>
  <c r="K144" i="96"/>
  <c r="O42" i="129"/>
  <c r="P42" i="129"/>
  <c r="P37" i="129"/>
  <c r="O37" i="129"/>
  <c r="P43" i="129"/>
  <c r="O47" i="129"/>
  <c r="P47" i="129"/>
  <c r="L144" i="102"/>
  <c r="L132" i="125"/>
  <c r="L50" i="125"/>
  <c r="L144" i="88"/>
  <c r="M144" i="106"/>
  <c r="J144" i="105"/>
  <c r="O38" i="123"/>
  <c r="K14" i="75"/>
  <c r="O41" i="75"/>
  <c r="P41" i="75"/>
  <c r="O35" i="75"/>
  <c r="P35" i="75"/>
  <c r="K49" i="97"/>
  <c r="K53" i="97"/>
  <c r="K54" i="97" s="1"/>
  <c r="L132" i="87"/>
  <c r="M144" i="76"/>
  <c r="J49" i="100"/>
  <c r="J53" i="100"/>
  <c r="AS27" i="16"/>
  <c r="Q11" i="119"/>
  <c r="AS25" i="16"/>
  <c r="L147" i="126"/>
  <c r="L120" i="126"/>
  <c r="L151" i="126"/>
  <c r="L144" i="83"/>
  <c r="J144" i="80"/>
  <c r="AL13" i="16"/>
  <c r="AO13" i="16"/>
  <c r="AR13" i="16"/>
  <c r="AK13" i="16"/>
  <c r="AJ13" i="16"/>
  <c r="AP13" i="16"/>
  <c r="AM13" i="16"/>
  <c r="AQ13" i="16"/>
  <c r="AN13" i="16"/>
  <c r="O38" i="102"/>
  <c r="I44" i="102"/>
  <c r="P34" i="102"/>
  <c r="O36" i="102"/>
  <c r="P36" i="102"/>
  <c r="P47" i="102"/>
  <c r="O47" i="102"/>
  <c r="K144" i="82"/>
  <c r="P41" i="98"/>
  <c r="O41" i="98"/>
  <c r="P43" i="98"/>
  <c r="O42" i="127"/>
  <c r="P42" i="127"/>
  <c r="I44" i="127"/>
  <c r="P34" i="127"/>
  <c r="O34" i="127"/>
  <c r="O40" i="127"/>
  <c r="P40" i="127"/>
  <c r="P47" i="127"/>
  <c r="O47" i="127"/>
  <c r="O43" i="75"/>
  <c r="O42" i="92"/>
  <c r="M132" i="81"/>
  <c r="P40" i="95"/>
  <c r="K49" i="9"/>
  <c r="K53" i="9"/>
  <c r="K54" i="9" s="1"/>
  <c r="M144" i="103"/>
  <c r="K48" i="89"/>
  <c r="J44" i="129"/>
  <c r="M51" i="85"/>
  <c r="I10" i="119" s="1"/>
  <c r="O43" i="125"/>
  <c r="M49" i="88"/>
  <c r="M53" i="88"/>
  <c r="M44" i="98"/>
  <c r="O40" i="98"/>
  <c r="J49" i="79"/>
  <c r="J53" i="79"/>
  <c r="J123" i="97"/>
  <c r="J128" i="97"/>
  <c r="J131" i="97"/>
  <c r="J126" i="97"/>
  <c r="J127" i="97"/>
  <c r="J124" i="97"/>
  <c r="J129" i="97"/>
  <c r="J130" i="97"/>
  <c r="J125" i="97"/>
  <c r="I76" i="99"/>
  <c r="P14" i="99"/>
  <c r="I44" i="74"/>
  <c r="P34" i="74"/>
  <c r="P35" i="74"/>
  <c r="O35" i="74"/>
  <c r="J131" i="90"/>
  <c r="J126" i="90"/>
  <c r="J124" i="90"/>
  <c r="J127" i="90"/>
  <c r="J129" i="90"/>
  <c r="J123" i="90"/>
  <c r="J125" i="90"/>
  <c r="J130" i="90"/>
  <c r="J128" i="90"/>
  <c r="J49" i="107"/>
  <c r="J53" i="107"/>
  <c r="AS47" i="16"/>
  <c r="J131" i="86"/>
  <c r="J126" i="86"/>
  <c r="J127" i="86"/>
  <c r="J129" i="86"/>
  <c r="J128" i="86"/>
  <c r="J123" i="86"/>
  <c r="J125" i="86"/>
  <c r="J124" i="86"/>
  <c r="J130" i="86"/>
  <c r="K14" i="86"/>
  <c r="P38" i="86"/>
  <c r="O38" i="86"/>
  <c r="O39" i="86"/>
  <c r="P39" i="86"/>
  <c r="I76" i="86"/>
  <c r="P47" i="86"/>
  <c r="O47" i="86"/>
  <c r="O41" i="9"/>
  <c r="L49" i="96"/>
  <c r="L53" i="96"/>
  <c r="J144" i="89"/>
  <c r="K49" i="102"/>
  <c r="K53" i="102"/>
  <c r="AS39" i="16"/>
  <c r="J49" i="104"/>
  <c r="J53" i="104"/>
  <c r="O38" i="105"/>
  <c r="P40" i="91"/>
  <c r="AS23" i="16"/>
  <c r="P36" i="121"/>
  <c r="O36" i="97"/>
  <c r="O43" i="109"/>
  <c r="AS33" i="16"/>
  <c r="O43" i="74"/>
  <c r="L126" i="95"/>
  <c r="L127" i="95"/>
  <c r="L128" i="95"/>
  <c r="L152" i="95" s="1"/>
  <c r="L129" i="95"/>
  <c r="L123" i="95"/>
  <c r="L124" i="95"/>
  <c r="L125" i="95"/>
  <c r="L130" i="95"/>
  <c r="L131" i="95"/>
  <c r="L155" i="95" s="1"/>
  <c r="L54" i="95"/>
  <c r="L144" i="93"/>
  <c r="P42" i="108"/>
  <c r="O42" i="108"/>
  <c r="P37" i="78"/>
  <c r="L14" i="79"/>
  <c r="R11" i="79"/>
  <c r="D36" i="122" s="1"/>
  <c r="O41" i="123"/>
  <c r="K128" i="97"/>
  <c r="K129" i="97"/>
  <c r="K124" i="97"/>
  <c r="K123" i="97"/>
  <c r="K127" i="97"/>
  <c r="K130" i="97"/>
  <c r="K125" i="97"/>
  <c r="K126" i="97"/>
  <c r="K131" i="97"/>
  <c r="M124" i="76"/>
  <c r="M128" i="76"/>
  <c r="M125" i="76"/>
  <c r="M126" i="76"/>
  <c r="M130" i="76"/>
  <c r="M123" i="76"/>
  <c r="M127" i="76"/>
  <c r="M129" i="76"/>
  <c r="M131" i="76"/>
  <c r="J144" i="100"/>
  <c r="J127" i="80"/>
  <c r="J129" i="80"/>
  <c r="J128" i="80"/>
  <c r="J123" i="80"/>
  <c r="J125" i="80"/>
  <c r="J124" i="80"/>
  <c r="J130" i="80"/>
  <c r="J131" i="80"/>
  <c r="J126" i="80"/>
  <c r="I76" i="80"/>
  <c r="I52" i="80"/>
  <c r="O47" i="80"/>
  <c r="P47" i="80"/>
  <c r="K131" i="86"/>
  <c r="K126" i="86"/>
  <c r="K127" i="86"/>
  <c r="K129" i="86"/>
  <c r="K128" i="86"/>
  <c r="K123" i="86"/>
  <c r="K125" i="86"/>
  <c r="K124" i="86"/>
  <c r="K130" i="86"/>
  <c r="M49" i="96"/>
  <c r="M53" i="96"/>
  <c r="O42" i="124"/>
  <c r="J49" i="125"/>
  <c r="J53" i="125"/>
  <c r="O35" i="88"/>
  <c r="P35" i="88"/>
  <c r="I52" i="88"/>
  <c r="P47" i="88"/>
  <c r="O47" i="88"/>
  <c r="K49" i="104"/>
  <c r="K53" i="104"/>
  <c r="P37" i="79"/>
  <c r="O38" i="75"/>
  <c r="P43" i="92"/>
  <c r="P41" i="128"/>
  <c r="O36" i="128"/>
  <c r="R11" i="128"/>
  <c r="D18" i="122" s="1"/>
  <c r="K49" i="76"/>
  <c r="K53" i="76"/>
  <c r="L144" i="74"/>
  <c r="P24" i="133"/>
  <c r="P29" i="133" s="1"/>
  <c r="I44" i="83"/>
  <c r="P34" i="83"/>
  <c r="O34" i="83"/>
  <c r="K14" i="83"/>
  <c r="K76" i="83" s="1"/>
  <c r="O39" i="80"/>
  <c r="L49" i="86"/>
  <c r="L53" i="86"/>
  <c r="J51" i="81"/>
  <c r="J48" i="81"/>
  <c r="K44" i="129"/>
  <c r="K51" i="129"/>
  <c r="K44" i="106"/>
  <c r="P11" i="110"/>
  <c r="O11" i="110"/>
  <c r="I46" i="110"/>
  <c r="I47" i="110"/>
  <c r="I52" i="110" s="1"/>
  <c r="I39" i="110"/>
  <c r="I14" i="110"/>
  <c r="I35" i="110"/>
  <c r="I40" i="110"/>
  <c r="I43" i="110"/>
  <c r="I36" i="110"/>
  <c r="I41" i="110"/>
  <c r="I37" i="110"/>
  <c r="I38" i="110"/>
  <c r="I34" i="110"/>
  <c r="I42" i="110"/>
  <c r="K51" i="85"/>
  <c r="K48" i="85"/>
  <c r="K51" i="110"/>
  <c r="K48" i="110"/>
  <c r="L44" i="85"/>
  <c r="L140" i="85"/>
  <c r="L136" i="85"/>
  <c r="L142" i="85"/>
  <c r="L141" i="85"/>
  <c r="L137" i="85"/>
  <c r="L143" i="85"/>
  <c r="L138" i="85"/>
  <c r="L135" i="85"/>
  <c r="L139" i="85"/>
  <c r="M154" i="90"/>
  <c r="M153" i="90"/>
  <c r="M155" i="90"/>
  <c r="K144" i="97"/>
  <c r="J144" i="95"/>
  <c r="M144" i="79"/>
  <c r="M152" i="77"/>
  <c r="M151" i="77"/>
  <c r="M155" i="77"/>
  <c r="M144" i="99"/>
  <c r="M144" i="82"/>
  <c r="K149" i="123"/>
  <c r="K148" i="123"/>
  <c r="K154" i="123"/>
  <c r="J144" i="97"/>
  <c r="M144" i="77"/>
  <c r="K144" i="83"/>
  <c r="M151" i="79"/>
  <c r="M154" i="79"/>
  <c r="L132" i="84"/>
  <c r="L144" i="104"/>
  <c r="L144" i="101"/>
  <c r="L132" i="79"/>
  <c r="K51" i="98"/>
  <c r="K48" i="98"/>
  <c r="M49" i="107"/>
  <c r="M53" i="107"/>
  <c r="O40" i="124"/>
  <c r="P40" i="124"/>
  <c r="O38" i="95"/>
  <c r="P38" i="95"/>
  <c r="K49" i="78"/>
  <c r="K53" i="78"/>
  <c r="I44" i="101"/>
  <c r="P34" i="101"/>
  <c r="O34" i="101"/>
  <c r="J140" i="103"/>
  <c r="J141" i="103"/>
  <c r="J137" i="103"/>
  <c r="J136" i="103"/>
  <c r="J138" i="103"/>
  <c r="J142" i="103"/>
  <c r="J135" i="103"/>
  <c r="J143" i="103"/>
  <c r="J139" i="103"/>
  <c r="J49" i="101"/>
  <c r="J53" i="101"/>
  <c r="O40" i="77"/>
  <c r="P40" i="77"/>
  <c r="P47" i="77"/>
  <c r="O47" i="77"/>
  <c r="I44" i="97"/>
  <c r="P34" i="97"/>
  <c r="O43" i="97"/>
  <c r="P43" i="97"/>
  <c r="M49" i="126"/>
  <c r="M53" i="126"/>
  <c r="M54" i="126" s="1"/>
  <c r="J49" i="86"/>
  <c r="J53" i="86"/>
  <c r="L49" i="124"/>
  <c r="L53" i="124"/>
  <c r="L54" i="124" s="1"/>
  <c r="K49" i="125"/>
  <c r="K53" i="125"/>
  <c r="O42" i="82"/>
  <c r="P42" i="82"/>
  <c r="O43" i="82"/>
  <c r="P43" i="82"/>
  <c r="I51" i="82"/>
  <c r="P46" i="82"/>
  <c r="O46" i="82"/>
  <c r="I48" i="82"/>
  <c r="O41" i="104"/>
  <c r="P41" i="104"/>
  <c r="O43" i="104"/>
  <c r="P43" i="104"/>
  <c r="P47" i="104"/>
  <c r="O47" i="104"/>
  <c r="M49" i="121"/>
  <c r="M53" i="121"/>
  <c r="M54" i="121" s="1"/>
  <c r="L112" i="92"/>
  <c r="L118" i="92"/>
  <c r="L154" i="92" s="1"/>
  <c r="L119" i="92"/>
  <c r="L155" i="92" s="1"/>
  <c r="L114" i="92"/>
  <c r="L150" i="92" s="1"/>
  <c r="L115" i="92"/>
  <c r="L151" i="92" s="1"/>
  <c r="L117" i="92"/>
  <c r="L153" i="92" s="1"/>
  <c r="L116" i="92"/>
  <c r="L152" i="92" s="1"/>
  <c r="L111" i="92"/>
  <c r="L113" i="92"/>
  <c r="L149" i="92" s="1"/>
  <c r="I44" i="76"/>
  <c r="P34" i="76"/>
  <c r="O34" i="76"/>
  <c r="O39" i="76"/>
  <c r="P39" i="76"/>
  <c r="P47" i="76"/>
  <c r="O47" i="76"/>
  <c r="M49" i="74"/>
  <c r="M53" i="74"/>
  <c r="P38" i="94"/>
  <c r="O38" i="94"/>
  <c r="P35" i="94"/>
  <c r="O35" i="94"/>
  <c r="I76" i="94"/>
  <c r="R11" i="94"/>
  <c r="D26" i="122" s="1"/>
  <c r="K115" i="79"/>
  <c r="K118" i="79"/>
  <c r="K114" i="79"/>
  <c r="K111" i="79"/>
  <c r="K113" i="79"/>
  <c r="K112" i="79"/>
  <c r="K116" i="79"/>
  <c r="K117" i="79"/>
  <c r="K119" i="79"/>
  <c r="K144" i="75"/>
  <c r="L144" i="87"/>
  <c r="L116" i="87"/>
  <c r="L152" i="87" s="1"/>
  <c r="L118" i="87"/>
  <c r="L154" i="87" s="1"/>
  <c r="L111" i="87"/>
  <c r="L112" i="87"/>
  <c r="L148" i="87" s="1"/>
  <c r="L114" i="87"/>
  <c r="L150" i="87" s="1"/>
  <c r="L117" i="87"/>
  <c r="L153" i="87" s="1"/>
  <c r="L119" i="87"/>
  <c r="L155" i="87" s="1"/>
  <c r="L113" i="87"/>
  <c r="L149" i="87" s="1"/>
  <c r="L115" i="87"/>
  <c r="L151" i="87" s="1"/>
  <c r="O41" i="92"/>
  <c r="P41" i="92"/>
  <c r="P37" i="92"/>
  <c r="O37" i="92"/>
  <c r="I51" i="92"/>
  <c r="P46" i="92"/>
  <c r="I48" i="92"/>
  <c r="O46" i="92"/>
  <c r="K49" i="92"/>
  <c r="K53" i="92"/>
  <c r="K54" i="92" s="1"/>
  <c r="L124" i="83"/>
  <c r="L126" i="83"/>
  <c r="L125" i="83"/>
  <c r="L130" i="83"/>
  <c r="L127" i="83"/>
  <c r="L128" i="83"/>
  <c r="L129" i="83"/>
  <c r="L131" i="83"/>
  <c r="L123" i="83"/>
  <c r="L54" i="83"/>
  <c r="I76" i="101"/>
  <c r="P14" i="101"/>
  <c r="O36" i="124"/>
  <c r="O41" i="125"/>
  <c r="P41" i="125"/>
  <c r="I48" i="125"/>
  <c r="P46" i="125"/>
  <c r="O46" i="125"/>
  <c r="F14" i="98"/>
  <c r="AS5" i="16"/>
  <c r="AT5" i="16" s="1"/>
  <c r="O38" i="87"/>
  <c r="P38" i="87"/>
  <c r="I76" i="87"/>
  <c r="R11" i="87"/>
  <c r="D44" i="122" s="1"/>
  <c r="R21" i="133"/>
  <c r="M144" i="92"/>
  <c r="O39" i="92"/>
  <c r="M129" i="95"/>
  <c r="M125" i="95"/>
  <c r="M123" i="95"/>
  <c r="M126" i="95"/>
  <c r="M124" i="95"/>
  <c r="M130" i="95"/>
  <c r="M131" i="95"/>
  <c r="M128" i="95"/>
  <c r="M127" i="95"/>
  <c r="P36" i="93"/>
  <c r="L113" i="78"/>
  <c r="L117" i="78"/>
  <c r="L111" i="78"/>
  <c r="L116" i="78"/>
  <c r="L152" i="78" s="1"/>
  <c r="L115" i="78"/>
  <c r="L151" i="78" s="1"/>
  <c r="L119" i="78"/>
  <c r="L118" i="78"/>
  <c r="L112" i="78"/>
  <c r="L114" i="78"/>
  <c r="L150" i="78" s="1"/>
  <c r="J49" i="94"/>
  <c r="J53" i="94"/>
  <c r="J54" i="94" s="1"/>
  <c r="I44" i="9"/>
  <c r="O34" i="9"/>
  <c r="P34" i="9"/>
  <c r="O40" i="9"/>
  <c r="P40" i="9"/>
  <c r="I123" i="9"/>
  <c r="I130" i="9"/>
  <c r="I124" i="9"/>
  <c r="I127" i="9"/>
  <c r="I129" i="9"/>
  <c r="I126" i="9"/>
  <c r="I131" i="9"/>
  <c r="I128" i="9"/>
  <c r="I125" i="9"/>
  <c r="P51" i="9"/>
  <c r="O51" i="9"/>
  <c r="R11" i="9"/>
  <c r="D30" i="122" s="1"/>
  <c r="M49" i="103"/>
  <c r="M53" i="103"/>
  <c r="L131" i="81"/>
  <c r="L126" i="81"/>
  <c r="L127" i="81"/>
  <c r="L129" i="81"/>
  <c r="L128" i="81"/>
  <c r="L123" i="81"/>
  <c r="L125" i="81"/>
  <c r="L124" i="81"/>
  <c r="L130" i="81"/>
  <c r="L138" i="103"/>
  <c r="L135" i="103"/>
  <c r="L143" i="103"/>
  <c r="L139" i="103"/>
  <c r="L140" i="103"/>
  <c r="L136" i="103"/>
  <c r="L137" i="103"/>
  <c r="L142" i="103"/>
  <c r="L141" i="103"/>
  <c r="I44" i="105"/>
  <c r="P34" i="105"/>
  <c r="O14" i="105"/>
  <c r="R14" i="105" s="1"/>
  <c r="E12" i="122" s="1"/>
  <c r="M76" i="105"/>
  <c r="L76" i="105"/>
  <c r="P14" i="105"/>
  <c r="R11" i="121"/>
  <c r="D46" i="122" s="1"/>
  <c r="R14" i="121"/>
  <c r="E46" i="122" s="1"/>
  <c r="P40" i="99"/>
  <c r="O40" i="99"/>
  <c r="J120" i="74"/>
  <c r="P37" i="107"/>
  <c r="O37" i="107"/>
  <c r="P40" i="107"/>
  <c r="O40" i="107"/>
  <c r="I51" i="107"/>
  <c r="I48" i="107"/>
  <c r="P46" i="107"/>
  <c r="P48" i="107" s="1"/>
  <c r="O46" i="107"/>
  <c r="O43" i="126"/>
  <c r="I44" i="78"/>
  <c r="P34" i="78"/>
  <c r="P47" i="78"/>
  <c r="O47" i="78"/>
  <c r="L50" i="94"/>
  <c r="L144" i="96"/>
  <c r="P38" i="84"/>
  <c r="O38" i="84"/>
  <c r="I44" i="84"/>
  <c r="P34" i="84"/>
  <c r="P47" i="84"/>
  <c r="O47" i="84"/>
  <c r="K132" i="127"/>
  <c r="L120" i="79"/>
  <c r="L147" i="79"/>
  <c r="I52" i="123"/>
  <c r="P47" i="123"/>
  <c r="O47" i="123"/>
  <c r="P41" i="121"/>
  <c r="O34" i="97"/>
  <c r="M132" i="74"/>
  <c r="L148" i="95"/>
  <c r="L149" i="95"/>
  <c r="L154" i="95"/>
  <c r="O39" i="107"/>
  <c r="P38" i="78"/>
  <c r="O42" i="96"/>
  <c r="P42" i="96"/>
  <c r="I131" i="96"/>
  <c r="I128" i="96"/>
  <c r="I124" i="96"/>
  <c r="I126" i="96"/>
  <c r="I123" i="96"/>
  <c r="I130" i="96"/>
  <c r="I125" i="96"/>
  <c r="O51" i="96"/>
  <c r="I129" i="96"/>
  <c r="I127" i="96"/>
  <c r="P51" i="96"/>
  <c r="O41" i="129"/>
  <c r="P41" i="129"/>
  <c r="P39" i="129"/>
  <c r="O36" i="129"/>
  <c r="P36" i="129"/>
  <c r="R11" i="129"/>
  <c r="D17" i="122" s="1"/>
  <c r="L44" i="98"/>
  <c r="P39" i="104"/>
  <c r="J50" i="105"/>
  <c r="O42" i="75"/>
  <c r="P42" i="75"/>
  <c r="I139" i="75"/>
  <c r="I141" i="75"/>
  <c r="I143" i="75"/>
  <c r="I138" i="75"/>
  <c r="I142" i="75"/>
  <c r="I137" i="75"/>
  <c r="I135" i="75"/>
  <c r="P52" i="75"/>
  <c r="I140" i="75"/>
  <c r="I136" i="75"/>
  <c r="O52" i="75"/>
  <c r="L54" i="87"/>
  <c r="J125" i="99"/>
  <c r="J127" i="99"/>
  <c r="J128" i="99"/>
  <c r="J123" i="99"/>
  <c r="J124" i="99"/>
  <c r="J130" i="99"/>
  <c r="J129" i="99"/>
  <c r="J131" i="99"/>
  <c r="J126" i="99"/>
  <c r="AS24" i="16"/>
  <c r="O38" i="76"/>
  <c r="J144" i="93"/>
  <c r="L144" i="126"/>
  <c r="L148" i="126"/>
  <c r="L154" i="126"/>
  <c r="P37" i="102"/>
  <c r="O37" i="102"/>
  <c r="O40" i="102"/>
  <c r="P39" i="102"/>
  <c r="I48" i="102"/>
  <c r="P46" i="102"/>
  <c r="P48" i="102" s="1"/>
  <c r="O46" i="102"/>
  <c r="O48" i="102" s="1"/>
  <c r="L124" i="77"/>
  <c r="L130" i="77"/>
  <c r="L128" i="77"/>
  <c r="L126" i="77"/>
  <c r="L127" i="77"/>
  <c r="L123" i="77"/>
  <c r="L125" i="77"/>
  <c r="L129" i="77"/>
  <c r="L131" i="77"/>
  <c r="K132" i="84"/>
  <c r="O42" i="98"/>
  <c r="P42" i="98"/>
  <c r="I44" i="98"/>
  <c r="P34" i="98"/>
  <c r="O34" i="98"/>
  <c r="P36" i="98"/>
  <c r="O46" i="98"/>
  <c r="I48" i="98"/>
  <c r="P46" i="98"/>
  <c r="P35" i="127"/>
  <c r="O35" i="127"/>
  <c r="L144" i="91"/>
  <c r="K144" i="123"/>
  <c r="K144" i="87"/>
  <c r="AO18" i="16"/>
  <c r="K14" i="128" s="1"/>
  <c r="K76" i="128" s="1"/>
  <c r="AP18" i="16"/>
  <c r="L14" i="128" s="1"/>
  <c r="L76" i="128" s="1"/>
  <c r="AR18" i="16"/>
  <c r="N14" i="128" s="1"/>
  <c r="N76" i="128" s="1"/>
  <c r="AK18" i="16"/>
  <c r="G14" i="128" s="1"/>
  <c r="G76" i="128" s="1"/>
  <c r="AM18" i="16"/>
  <c r="I14" i="128" s="1"/>
  <c r="AQ18" i="16"/>
  <c r="M14" i="128" s="1"/>
  <c r="M76" i="128" s="1"/>
  <c r="AJ18" i="16"/>
  <c r="AL18" i="16"/>
  <c r="H14" i="128" s="1"/>
  <c r="H76" i="128" s="1"/>
  <c r="AN18" i="16"/>
  <c r="J14" i="128" s="1"/>
  <c r="J76" i="128" s="1"/>
  <c r="O39" i="100"/>
  <c r="H19" i="119"/>
  <c r="R19" i="119" s="1"/>
  <c r="K144" i="126"/>
  <c r="L144" i="78"/>
  <c r="M144" i="80"/>
  <c r="K51" i="89"/>
  <c r="J51" i="128"/>
  <c r="J48" i="129"/>
  <c r="L44" i="106"/>
  <c r="M140" i="85"/>
  <c r="M139" i="85"/>
  <c r="M135" i="85"/>
  <c r="M138" i="85"/>
  <c r="M143" i="85"/>
  <c r="M137" i="85"/>
  <c r="M136" i="85"/>
  <c r="M141" i="85"/>
  <c r="M142" i="85"/>
  <c r="L49" i="84"/>
  <c r="L53" i="84"/>
  <c r="L125" i="82"/>
  <c r="L126" i="82"/>
  <c r="L128" i="82"/>
  <c r="L130" i="82"/>
  <c r="L129" i="82"/>
  <c r="L131" i="82"/>
  <c r="L124" i="82"/>
  <c r="L123" i="82"/>
  <c r="L127" i="82"/>
  <c r="P39" i="98"/>
  <c r="M48" i="98"/>
  <c r="AS12" i="16"/>
  <c r="J144" i="79"/>
  <c r="K144" i="91"/>
  <c r="AS29" i="16"/>
  <c r="K129" i="128"/>
  <c r="K123" i="128"/>
  <c r="K128" i="128"/>
  <c r="K125" i="128"/>
  <c r="K126" i="128"/>
  <c r="K131" i="128"/>
  <c r="K124" i="128"/>
  <c r="K127" i="128"/>
  <c r="K130" i="128"/>
  <c r="I76" i="74"/>
  <c r="I52" i="74"/>
  <c r="P47" i="74"/>
  <c r="O47" i="74"/>
  <c r="J49" i="90"/>
  <c r="J53" i="90"/>
  <c r="J54" i="90" s="1"/>
  <c r="P37" i="86"/>
  <c r="O37" i="86"/>
  <c r="I44" i="86"/>
  <c r="P34" i="86"/>
  <c r="I143" i="86"/>
  <c r="I138" i="86"/>
  <c r="I136" i="86"/>
  <c r="I142" i="86"/>
  <c r="I140" i="86"/>
  <c r="I135" i="86"/>
  <c r="I137" i="86"/>
  <c r="I141" i="86"/>
  <c r="I139" i="86"/>
  <c r="P52" i="86"/>
  <c r="O52" i="86"/>
  <c r="R11" i="86"/>
  <c r="D43" i="122" s="1"/>
  <c r="M49" i="9"/>
  <c r="M53" i="9"/>
  <c r="P42" i="77"/>
  <c r="M49" i="105"/>
  <c r="M53" i="105"/>
  <c r="O37" i="91"/>
  <c r="M144" i="97"/>
  <c r="P41" i="97"/>
  <c r="J144" i="87"/>
  <c r="O39" i="99"/>
  <c r="P38" i="74"/>
  <c r="I44" i="108"/>
  <c r="P34" i="108"/>
  <c r="I51" i="108"/>
  <c r="I48" i="108"/>
  <c r="P46" i="108"/>
  <c r="O46" i="108"/>
  <c r="K49" i="108"/>
  <c r="K53" i="108"/>
  <c r="J24" i="133" s="1"/>
  <c r="J49" i="83"/>
  <c r="J53" i="83"/>
  <c r="J49" i="9"/>
  <c r="J53" i="9"/>
  <c r="J54" i="9" s="1"/>
  <c r="K49" i="124"/>
  <c r="K53" i="124"/>
  <c r="O37" i="104"/>
  <c r="O38" i="79"/>
  <c r="P38" i="79"/>
  <c r="I44" i="79"/>
  <c r="P34" i="79"/>
  <c r="O34" i="79"/>
  <c r="P40" i="79"/>
  <c r="O40" i="79"/>
  <c r="M119" i="123"/>
  <c r="M115" i="123"/>
  <c r="M112" i="123"/>
  <c r="M117" i="123"/>
  <c r="M111" i="123"/>
  <c r="M113" i="123"/>
  <c r="M116" i="123"/>
  <c r="M118" i="123"/>
  <c r="M114" i="123"/>
  <c r="K49" i="109"/>
  <c r="K53" i="109"/>
  <c r="J21" i="133" s="1"/>
  <c r="J49" i="93"/>
  <c r="J53" i="93"/>
  <c r="K144" i="78"/>
  <c r="K14" i="80"/>
  <c r="L49" i="9"/>
  <c r="L53" i="9"/>
  <c r="L14" i="132"/>
  <c r="M57" i="110"/>
  <c r="M59" i="110" s="1"/>
  <c r="L16" i="132"/>
  <c r="BK22" i="133"/>
  <c r="P39" i="101"/>
  <c r="M49" i="124"/>
  <c r="M53" i="124"/>
  <c r="K49" i="84"/>
  <c r="K53" i="84"/>
  <c r="J144" i="88"/>
  <c r="O41" i="88"/>
  <c r="P41" i="88"/>
  <c r="O43" i="88"/>
  <c r="P43" i="88"/>
  <c r="I48" i="88"/>
  <c r="P46" i="88"/>
  <c r="O46" i="88"/>
  <c r="O48" i="88" s="1"/>
  <c r="K49" i="82"/>
  <c r="K53" i="82"/>
  <c r="L49" i="91"/>
  <c r="L53" i="91"/>
  <c r="M118" i="75"/>
  <c r="M117" i="75"/>
  <c r="M116" i="75"/>
  <c r="M113" i="75"/>
  <c r="M119" i="75"/>
  <c r="M114" i="75"/>
  <c r="M115" i="75"/>
  <c r="M112" i="75"/>
  <c r="M111" i="75"/>
  <c r="O42" i="128"/>
  <c r="P42" i="128"/>
  <c r="O39" i="128"/>
  <c r="L49" i="74"/>
  <c r="L53" i="74"/>
  <c r="L144" i="90"/>
  <c r="L49" i="90"/>
  <c r="L53" i="90"/>
  <c r="L54" i="90" s="1"/>
  <c r="O39" i="93"/>
  <c r="J49" i="108"/>
  <c r="J53" i="108"/>
  <c r="I24" i="133" s="1"/>
  <c r="AZ24" i="133" s="1"/>
  <c r="P35" i="83"/>
  <c r="O35" i="83"/>
  <c r="I51" i="83"/>
  <c r="I48" i="83"/>
  <c r="O46" i="83"/>
  <c r="P46" i="83"/>
  <c r="P42" i="80"/>
  <c r="AL38" i="16"/>
  <c r="AO38" i="16"/>
  <c r="AK38" i="16"/>
  <c r="AN38" i="16"/>
  <c r="AR38" i="16"/>
  <c r="AQ38" i="16"/>
  <c r="AP38" i="16"/>
  <c r="AM38" i="16"/>
  <c r="AJ38" i="16"/>
  <c r="K48" i="106"/>
  <c r="AM10" i="16"/>
  <c r="AO10" i="16"/>
  <c r="AK10" i="16"/>
  <c r="AP10" i="16"/>
  <c r="AJ10" i="16"/>
  <c r="AR10" i="16"/>
  <c r="AN10" i="16"/>
  <c r="AQ10" i="16"/>
  <c r="AL10" i="16"/>
  <c r="AR42" i="16"/>
  <c r="AQ42" i="16"/>
  <c r="AL42" i="16"/>
  <c r="AN42" i="16"/>
  <c r="AO42" i="16"/>
  <c r="AJ42" i="16"/>
  <c r="AK42" i="16"/>
  <c r="AP42" i="16"/>
  <c r="AM42" i="16"/>
  <c r="K44" i="110"/>
  <c r="L51" i="85"/>
  <c r="L48" i="85"/>
  <c r="M132" i="102"/>
  <c r="M150" i="90"/>
  <c r="M147" i="90"/>
  <c r="M120" i="90"/>
  <c r="K144" i="101"/>
  <c r="L144" i="127"/>
  <c r="L132" i="126"/>
  <c r="L144" i="94"/>
  <c r="M144" i="9"/>
  <c r="M149" i="77"/>
  <c r="M148" i="77"/>
  <c r="M132" i="106"/>
  <c r="K153" i="123"/>
  <c r="K150" i="123"/>
  <c r="L144" i="80"/>
  <c r="K144" i="104"/>
  <c r="K144" i="9"/>
  <c r="M148" i="79"/>
  <c r="M153" i="79"/>
  <c r="P42" i="91"/>
  <c r="O42" i="91"/>
  <c r="K129" i="91"/>
  <c r="K130" i="91"/>
  <c r="K124" i="91"/>
  <c r="K127" i="91"/>
  <c r="K126" i="91"/>
  <c r="K123" i="91"/>
  <c r="K125" i="91"/>
  <c r="K128" i="91"/>
  <c r="K131" i="91"/>
  <c r="I52" i="90"/>
  <c r="P47" i="90"/>
  <c r="O47" i="90"/>
  <c r="M131" i="86"/>
  <c r="M129" i="86"/>
  <c r="M127" i="86"/>
  <c r="M128" i="86"/>
  <c r="M124" i="86"/>
  <c r="M125" i="86"/>
  <c r="M123" i="86"/>
  <c r="M126" i="86"/>
  <c r="M130" i="86"/>
  <c r="AL17" i="16"/>
  <c r="H14" i="129" s="1"/>
  <c r="H76" i="129" s="1"/>
  <c r="AK17" i="16"/>
  <c r="G14" i="129" s="1"/>
  <c r="G76" i="129" s="1"/>
  <c r="AO17" i="16"/>
  <c r="K14" i="129" s="1"/>
  <c r="K76" i="129" s="1"/>
  <c r="AN17" i="16"/>
  <c r="J14" i="129" s="1"/>
  <c r="J76" i="129" s="1"/>
  <c r="AQ17" i="16"/>
  <c r="M14" i="129" s="1"/>
  <c r="M76" i="129" s="1"/>
  <c r="AP17" i="16"/>
  <c r="L14" i="129" s="1"/>
  <c r="L76" i="129" s="1"/>
  <c r="AM17" i="16"/>
  <c r="I14" i="129" s="1"/>
  <c r="AR17" i="16"/>
  <c r="N14" i="129" s="1"/>
  <c r="N76" i="129" s="1"/>
  <c r="P41" i="100"/>
  <c r="O41" i="100"/>
  <c r="I76" i="95"/>
  <c r="O40" i="106"/>
  <c r="P40" i="106"/>
  <c r="R11" i="106"/>
  <c r="D13" i="122" s="1"/>
  <c r="L117" i="105"/>
  <c r="L116" i="105"/>
  <c r="L118" i="105"/>
  <c r="L115" i="105"/>
  <c r="L113" i="105"/>
  <c r="L114" i="105"/>
  <c r="L111" i="105"/>
  <c r="L112" i="105"/>
  <c r="L119" i="105"/>
  <c r="L49" i="97"/>
  <c r="L53" i="97"/>
  <c r="M138" i="89"/>
  <c r="M142" i="89"/>
  <c r="M135" i="89"/>
  <c r="M136" i="89"/>
  <c r="M140" i="89"/>
  <c r="M143" i="89"/>
  <c r="M141" i="89"/>
  <c r="M139" i="89"/>
  <c r="M137" i="89"/>
  <c r="K129" i="105"/>
  <c r="K131" i="105"/>
  <c r="K123" i="105"/>
  <c r="K125" i="105"/>
  <c r="K124" i="105"/>
  <c r="K126" i="105"/>
  <c r="K127" i="105"/>
  <c r="K128" i="105"/>
  <c r="K130" i="105"/>
  <c r="P38" i="91"/>
  <c r="O38" i="91"/>
  <c r="P39" i="91"/>
  <c r="O39" i="91"/>
  <c r="O47" i="91"/>
  <c r="P47" i="91"/>
  <c r="AS46" i="16"/>
  <c r="K49" i="128"/>
  <c r="K53" i="128"/>
  <c r="K54" i="128" s="1"/>
  <c r="O38" i="90"/>
  <c r="P38" i="90"/>
  <c r="I51" i="90"/>
  <c r="P46" i="90"/>
  <c r="P48" i="90" s="1"/>
  <c r="O46" i="90"/>
  <c r="I48" i="90"/>
  <c r="K49" i="93"/>
  <c r="K53" i="93"/>
  <c r="J144" i="104"/>
  <c r="J144" i="9"/>
  <c r="K49" i="101"/>
  <c r="K53" i="101"/>
  <c r="I52" i="124"/>
  <c r="O47" i="124"/>
  <c r="P47" i="124"/>
  <c r="O39" i="106"/>
  <c r="M127" i="123"/>
  <c r="M124" i="123"/>
  <c r="M123" i="123"/>
  <c r="M128" i="123"/>
  <c r="M125" i="123"/>
  <c r="M131" i="123"/>
  <c r="M126" i="123"/>
  <c r="M130" i="123"/>
  <c r="M129" i="123"/>
  <c r="M54" i="123"/>
  <c r="K49" i="75"/>
  <c r="K53" i="75"/>
  <c r="K144" i="92"/>
  <c r="K144" i="74"/>
  <c r="I44" i="100"/>
  <c r="O34" i="100"/>
  <c r="P34" i="100"/>
  <c r="P46" i="100"/>
  <c r="P48" i="100" s="1"/>
  <c r="O46" i="100"/>
  <c r="O48" i="100" s="1"/>
  <c r="I48" i="100"/>
  <c r="K128" i="90"/>
  <c r="K131" i="90"/>
  <c r="K129" i="90"/>
  <c r="K126" i="90"/>
  <c r="K124" i="90"/>
  <c r="K123" i="90"/>
  <c r="K125" i="90"/>
  <c r="K127" i="90"/>
  <c r="K130" i="90"/>
  <c r="O42" i="95"/>
  <c r="P42" i="95"/>
  <c r="J14" i="95"/>
  <c r="O35" i="95"/>
  <c r="P35" i="95"/>
  <c r="I48" i="95"/>
  <c r="O46" i="95"/>
  <c r="P46" i="95"/>
  <c r="O40" i="93"/>
  <c r="P40" i="93"/>
  <c r="J14" i="93"/>
  <c r="I76" i="93"/>
  <c r="O47" i="93"/>
  <c r="P47" i="93"/>
  <c r="M128" i="94"/>
  <c r="M126" i="94"/>
  <c r="M129" i="94"/>
  <c r="M125" i="94"/>
  <c r="M131" i="94"/>
  <c r="M130" i="94"/>
  <c r="M124" i="94"/>
  <c r="M123" i="94"/>
  <c r="M127" i="94"/>
  <c r="O37" i="106"/>
  <c r="P37" i="106"/>
  <c r="P38" i="106"/>
  <c r="O38" i="106"/>
  <c r="O35" i="106"/>
  <c r="P35" i="106"/>
  <c r="O46" i="106"/>
  <c r="I48" i="106"/>
  <c r="P46" i="106"/>
  <c r="I52" i="101"/>
  <c r="J44" i="102"/>
  <c r="J139" i="102"/>
  <c r="J142" i="102"/>
  <c r="J138" i="102"/>
  <c r="J141" i="102"/>
  <c r="J137" i="102"/>
  <c r="J135" i="102"/>
  <c r="J143" i="102"/>
  <c r="J136" i="102"/>
  <c r="J140" i="102"/>
  <c r="M129" i="124"/>
  <c r="M131" i="124"/>
  <c r="M128" i="124"/>
  <c r="M126" i="124"/>
  <c r="M125" i="124"/>
  <c r="M123" i="124"/>
  <c r="M127" i="124"/>
  <c r="M130" i="124"/>
  <c r="M124" i="124"/>
  <c r="M54" i="124"/>
  <c r="K132" i="82"/>
  <c r="J48" i="98"/>
  <c r="J49" i="98" s="1"/>
  <c r="J127" i="127"/>
  <c r="J123" i="127"/>
  <c r="J126" i="127"/>
  <c r="J128" i="127"/>
  <c r="J124" i="127"/>
  <c r="J130" i="127"/>
  <c r="J129" i="127"/>
  <c r="J131" i="127"/>
  <c r="J125" i="127"/>
  <c r="J54" i="127"/>
  <c r="I76" i="127"/>
  <c r="P14" i="127"/>
  <c r="M131" i="75"/>
  <c r="M127" i="75"/>
  <c r="M129" i="75"/>
  <c r="M128" i="75"/>
  <c r="M124" i="75"/>
  <c r="M126" i="75"/>
  <c r="M125" i="75"/>
  <c r="M123" i="75"/>
  <c r="M130" i="75"/>
  <c r="M54" i="75"/>
  <c r="L132" i="99"/>
  <c r="M49" i="92"/>
  <c r="M53" i="92"/>
  <c r="P43" i="100"/>
  <c r="M44" i="89"/>
  <c r="M48" i="129"/>
  <c r="M49" i="129" s="1"/>
  <c r="L51" i="128"/>
  <c r="L48" i="128"/>
  <c r="J48" i="103"/>
  <c r="L14" i="77"/>
  <c r="K76" i="77"/>
  <c r="O35" i="77"/>
  <c r="P35" i="77"/>
  <c r="P46" i="77"/>
  <c r="P48" i="77" s="1"/>
  <c r="I48" i="77"/>
  <c r="O46" i="77"/>
  <c r="O48" i="77" s="1"/>
  <c r="K144" i="77"/>
  <c r="L130" i="104"/>
  <c r="L154" i="104" s="1"/>
  <c r="L128" i="104"/>
  <c r="L152" i="104" s="1"/>
  <c r="L124" i="104"/>
  <c r="L148" i="104" s="1"/>
  <c r="L125" i="104"/>
  <c r="L149" i="104" s="1"/>
  <c r="L126" i="104"/>
  <c r="L150" i="104" s="1"/>
  <c r="L129" i="104"/>
  <c r="L153" i="104" s="1"/>
  <c r="L131" i="104"/>
  <c r="L123" i="104"/>
  <c r="L127" i="104"/>
  <c r="L151" i="104" s="1"/>
  <c r="L54" i="104"/>
  <c r="J14" i="97"/>
  <c r="O42" i="97"/>
  <c r="P42" i="97"/>
  <c r="I51" i="97"/>
  <c r="M49" i="87"/>
  <c r="M53" i="87"/>
  <c r="L119" i="76"/>
  <c r="L155" i="76" s="1"/>
  <c r="L111" i="76"/>
  <c r="L112" i="76"/>
  <c r="L148" i="76" s="1"/>
  <c r="L117" i="76"/>
  <c r="L153" i="76" s="1"/>
  <c r="L118" i="76"/>
  <c r="L154" i="76" s="1"/>
  <c r="L115" i="76"/>
  <c r="L151" i="76" s="1"/>
  <c r="L116" i="76"/>
  <c r="L152" i="76" s="1"/>
  <c r="L113" i="76"/>
  <c r="L149" i="76" s="1"/>
  <c r="L114" i="76"/>
  <c r="L150" i="76" s="1"/>
  <c r="AS31" i="16"/>
  <c r="J144" i="78"/>
  <c r="L49" i="101"/>
  <c r="L53" i="101"/>
  <c r="J14" i="82"/>
  <c r="I76" i="82"/>
  <c r="I52" i="82"/>
  <c r="O47" i="82"/>
  <c r="P47" i="82"/>
  <c r="J126" i="104"/>
  <c r="J123" i="104"/>
  <c r="J131" i="104"/>
  <c r="J130" i="104"/>
  <c r="J129" i="104"/>
  <c r="J124" i="104"/>
  <c r="J127" i="104"/>
  <c r="J128" i="104"/>
  <c r="J125" i="104"/>
  <c r="J54" i="104"/>
  <c r="I44" i="104"/>
  <c r="P34" i="104"/>
  <c r="O34" i="104"/>
  <c r="P40" i="104"/>
  <c r="O40" i="104"/>
  <c r="I52" i="104"/>
  <c r="R11" i="104"/>
  <c r="D11" i="122" s="1"/>
  <c r="K118" i="127"/>
  <c r="K154" i="127" s="1"/>
  <c r="K113" i="127"/>
  <c r="K149" i="127" s="1"/>
  <c r="K116" i="127"/>
  <c r="K152" i="127" s="1"/>
  <c r="K119" i="127"/>
  <c r="K155" i="127" s="1"/>
  <c r="K114" i="127"/>
  <c r="K150" i="127" s="1"/>
  <c r="K111" i="127"/>
  <c r="K117" i="127"/>
  <c r="K153" i="127" s="1"/>
  <c r="K112" i="127"/>
  <c r="K148" i="127" s="1"/>
  <c r="K115" i="127"/>
  <c r="K151" i="127" s="1"/>
  <c r="M132" i="105"/>
  <c r="P36" i="91"/>
  <c r="O39" i="97"/>
  <c r="P40" i="76"/>
  <c r="O40" i="76"/>
  <c r="P36" i="76"/>
  <c r="O36" i="76"/>
  <c r="J14" i="76"/>
  <c r="I76" i="76"/>
  <c r="O39" i="90"/>
  <c r="AS48" i="16"/>
  <c r="P37" i="94"/>
  <c r="O37" i="94"/>
  <c r="P40" i="94"/>
  <c r="O40" i="94"/>
  <c r="I139" i="94"/>
  <c r="I141" i="94"/>
  <c r="I143" i="94"/>
  <c r="I142" i="94"/>
  <c r="I138" i="94"/>
  <c r="I137" i="94"/>
  <c r="I135" i="94"/>
  <c r="O52" i="94"/>
  <c r="I136" i="94"/>
  <c r="I140" i="94"/>
  <c r="P52" i="94"/>
  <c r="K130" i="96"/>
  <c r="K127" i="96"/>
  <c r="K129" i="96"/>
  <c r="K128" i="96"/>
  <c r="K126" i="96"/>
  <c r="K123" i="96"/>
  <c r="K124" i="96"/>
  <c r="K131" i="96"/>
  <c r="K125" i="96"/>
  <c r="K54" i="96"/>
  <c r="I76" i="124"/>
  <c r="P14" i="124"/>
  <c r="J49" i="77"/>
  <c r="J53" i="77"/>
  <c r="P36" i="104"/>
  <c r="J128" i="91"/>
  <c r="J124" i="91"/>
  <c r="J126" i="91"/>
  <c r="J130" i="91"/>
  <c r="J129" i="91"/>
  <c r="J131" i="91"/>
  <c r="J125" i="91"/>
  <c r="J123" i="91"/>
  <c r="J127" i="91"/>
  <c r="J54" i="91"/>
  <c r="J54" i="121"/>
  <c r="L144" i="129"/>
  <c r="I76" i="92"/>
  <c r="P35" i="92"/>
  <c r="O35" i="92"/>
  <c r="P47" i="92"/>
  <c r="O47" i="92"/>
  <c r="M49" i="76"/>
  <c r="M53" i="76"/>
  <c r="L116" i="83"/>
  <c r="L152" i="83" s="1"/>
  <c r="L112" i="83"/>
  <c r="L148" i="83" s="1"/>
  <c r="L113" i="83"/>
  <c r="L118" i="83"/>
  <c r="L111" i="83"/>
  <c r="L114" i="83"/>
  <c r="L150" i="83" s="1"/>
  <c r="L117" i="83"/>
  <c r="L115" i="83"/>
  <c r="L151" i="83" s="1"/>
  <c r="L119" i="83"/>
  <c r="L123" i="9"/>
  <c r="L128" i="9"/>
  <c r="L126" i="9"/>
  <c r="L130" i="9"/>
  <c r="L125" i="9"/>
  <c r="L131" i="9"/>
  <c r="L129" i="9"/>
  <c r="L124" i="9"/>
  <c r="L127" i="9"/>
  <c r="L54" i="9"/>
  <c r="O36" i="101"/>
  <c r="L49" i="77"/>
  <c r="L53" i="77"/>
  <c r="O38" i="125"/>
  <c r="P38" i="125"/>
  <c r="I44" i="125"/>
  <c r="P34" i="125"/>
  <c r="I52" i="125"/>
  <c r="P47" i="125"/>
  <c r="O47" i="125"/>
  <c r="K144" i="84"/>
  <c r="P14" i="98"/>
  <c r="I76" i="98"/>
  <c r="L129" i="105"/>
  <c r="L126" i="105"/>
  <c r="L124" i="105"/>
  <c r="L127" i="105"/>
  <c r="L131" i="105"/>
  <c r="L123" i="105"/>
  <c r="L128" i="105"/>
  <c r="L130" i="105"/>
  <c r="L125" i="105"/>
  <c r="L54" i="105"/>
  <c r="P35" i="87"/>
  <c r="O35" i="87"/>
  <c r="I52" i="87"/>
  <c r="P47" i="87"/>
  <c r="O47" i="87"/>
  <c r="P39" i="95"/>
  <c r="P43" i="93"/>
  <c r="O41" i="126"/>
  <c r="P41" i="126"/>
  <c r="P44" i="126" s="1"/>
  <c r="I51" i="126"/>
  <c r="R11" i="126"/>
  <c r="D20" i="122" s="1"/>
  <c r="O36" i="9"/>
  <c r="P36" i="9"/>
  <c r="I52" i="9"/>
  <c r="P47" i="9"/>
  <c r="O47" i="9"/>
  <c r="J49" i="96"/>
  <c r="J53" i="96"/>
  <c r="J54" i="96" s="1"/>
  <c r="AN14" i="16"/>
  <c r="J14" i="89" s="1"/>
  <c r="J76" i="89" s="1"/>
  <c r="AQ14" i="16"/>
  <c r="M14" i="89" s="1"/>
  <c r="M76" i="89" s="1"/>
  <c r="AO14" i="16"/>
  <c r="K14" i="89" s="1"/>
  <c r="K76" i="89" s="1"/>
  <c r="AJ14" i="16"/>
  <c r="AR14" i="16"/>
  <c r="N14" i="89" s="1"/>
  <c r="N76" i="89" s="1"/>
  <c r="AP14" i="16"/>
  <c r="L14" i="89" s="1"/>
  <c r="L76" i="89" s="1"/>
  <c r="AM14" i="16"/>
  <c r="I14" i="89" s="1"/>
  <c r="AL14" i="16"/>
  <c r="H14" i="89" s="1"/>
  <c r="H76" i="89" s="1"/>
  <c r="AK14" i="16"/>
  <c r="G14" i="89" s="1"/>
  <c r="G76" i="89" s="1"/>
  <c r="L51" i="103"/>
  <c r="L48" i="103"/>
  <c r="J51" i="85"/>
  <c r="K44" i="103"/>
  <c r="K142" i="103"/>
  <c r="K139" i="103"/>
  <c r="K140" i="103"/>
  <c r="K141" i="103"/>
  <c r="K136" i="103"/>
  <c r="K143" i="103"/>
  <c r="K137" i="103"/>
  <c r="K138" i="103"/>
  <c r="K135" i="103"/>
  <c r="AS34" i="16"/>
  <c r="M49" i="125"/>
  <c r="M53" i="125"/>
  <c r="M54" i="125" s="1"/>
  <c r="O35" i="105"/>
  <c r="P35" i="105"/>
  <c r="O39" i="105"/>
  <c r="P39" i="105"/>
  <c r="J123" i="79"/>
  <c r="J126" i="79"/>
  <c r="J131" i="79"/>
  <c r="J128" i="79"/>
  <c r="J129" i="79"/>
  <c r="J127" i="79"/>
  <c r="J130" i="79"/>
  <c r="J125" i="79"/>
  <c r="J124" i="79"/>
  <c r="J54" i="79"/>
  <c r="L132" i="123"/>
  <c r="O42" i="121"/>
  <c r="P42" i="121"/>
  <c r="O40" i="121"/>
  <c r="P40" i="121"/>
  <c r="P41" i="87"/>
  <c r="O38" i="109"/>
  <c r="P38" i="109"/>
  <c r="P42" i="109"/>
  <c r="O42" i="109"/>
  <c r="I52" i="109"/>
  <c r="I44" i="99"/>
  <c r="P34" i="99"/>
  <c r="P42" i="107"/>
  <c r="O42" i="107"/>
  <c r="I76" i="107"/>
  <c r="K132" i="93"/>
  <c r="O42" i="126"/>
  <c r="J14" i="78"/>
  <c r="P35" i="78"/>
  <c r="O35" i="78"/>
  <c r="O39" i="78"/>
  <c r="P39" i="78"/>
  <c r="R11" i="78"/>
  <c r="D35" i="122" s="1"/>
  <c r="M144" i="83"/>
  <c r="K132" i="102"/>
  <c r="O37" i="77"/>
  <c r="O37" i="84"/>
  <c r="P37" i="84"/>
  <c r="O46" i="84"/>
  <c r="O48" i="84" s="1"/>
  <c r="P46" i="84"/>
  <c r="I48" i="84"/>
  <c r="K131" i="88"/>
  <c r="K130" i="88"/>
  <c r="K127" i="88"/>
  <c r="K128" i="88"/>
  <c r="K129" i="88"/>
  <c r="K123" i="88"/>
  <c r="K126" i="88"/>
  <c r="K125" i="88"/>
  <c r="K124" i="88"/>
  <c r="P40" i="105"/>
  <c r="L152" i="79"/>
  <c r="L148" i="79"/>
  <c r="I44" i="123"/>
  <c r="O34" i="123"/>
  <c r="P34" i="123"/>
  <c r="P40" i="123"/>
  <c r="O40" i="123"/>
  <c r="L50" i="75"/>
  <c r="O42" i="99"/>
  <c r="L144" i="95"/>
  <c r="L147" i="95"/>
  <c r="L120" i="95"/>
  <c r="L153" i="95"/>
  <c r="M49" i="78"/>
  <c r="M53" i="78"/>
  <c r="M54" i="78" s="1"/>
  <c r="AS26" i="16"/>
  <c r="K144" i="94"/>
  <c r="L54" i="80"/>
  <c r="L132" i="80"/>
  <c r="M49" i="86"/>
  <c r="M53" i="86"/>
  <c r="M54" i="86" s="1"/>
  <c r="I44" i="96"/>
  <c r="O34" i="96"/>
  <c r="P34" i="96"/>
  <c r="I76" i="96"/>
  <c r="O36" i="96"/>
  <c r="P36" i="96"/>
  <c r="I52" i="96"/>
  <c r="O47" i="96"/>
  <c r="P47" i="96"/>
  <c r="I44" i="129"/>
  <c r="O34" i="129"/>
  <c r="P34" i="129"/>
  <c r="P40" i="129"/>
  <c r="O40" i="129"/>
  <c r="I52" i="129"/>
  <c r="M49" i="84"/>
  <c r="M53" i="84"/>
  <c r="O39" i="82"/>
  <c r="L48" i="98"/>
  <c r="M132" i="104"/>
  <c r="L14" i="75"/>
  <c r="L76" i="75" s="1"/>
  <c r="I44" i="75"/>
  <c r="P34" i="75"/>
  <c r="O34" i="75"/>
  <c r="P36" i="75"/>
  <c r="O36" i="75"/>
  <c r="I51" i="75"/>
  <c r="I48" i="75"/>
  <c r="P46" i="75"/>
  <c r="O46" i="75"/>
  <c r="L131" i="129"/>
  <c r="L129" i="129"/>
  <c r="L128" i="129"/>
  <c r="L124" i="129"/>
  <c r="L127" i="129"/>
  <c r="L125" i="129"/>
  <c r="L123" i="129"/>
  <c r="L126" i="129"/>
  <c r="L130" i="129"/>
  <c r="L54" i="129"/>
  <c r="J49" i="99"/>
  <c r="J53" i="99"/>
  <c r="J54" i="99" s="1"/>
  <c r="P14" i="100"/>
  <c r="I76" i="100"/>
  <c r="J49" i="95"/>
  <c r="J53" i="95"/>
  <c r="L152" i="126"/>
  <c r="M49" i="94"/>
  <c r="M53" i="94"/>
  <c r="M54" i="94" s="1"/>
  <c r="L144" i="9"/>
  <c r="P42" i="102"/>
  <c r="P35" i="102"/>
  <c r="O35" i="102"/>
  <c r="I129" i="102"/>
  <c r="I126" i="102"/>
  <c r="P51" i="102"/>
  <c r="I130" i="102"/>
  <c r="I124" i="102"/>
  <c r="I123" i="102"/>
  <c r="I125" i="102"/>
  <c r="I131" i="102"/>
  <c r="I128" i="102"/>
  <c r="O51" i="102"/>
  <c r="I127" i="102"/>
  <c r="R11" i="102"/>
  <c r="D9" i="122" s="1"/>
  <c r="F14" i="125"/>
  <c r="AS21" i="16"/>
  <c r="AT21" i="16" s="1"/>
  <c r="J128" i="88"/>
  <c r="J152" i="88" s="1"/>
  <c r="J125" i="88"/>
  <c r="J149" i="88" s="1"/>
  <c r="J127" i="88"/>
  <c r="J151" i="88" s="1"/>
  <c r="J124" i="88"/>
  <c r="J131" i="88"/>
  <c r="J130" i="88"/>
  <c r="J123" i="88"/>
  <c r="J126" i="88"/>
  <c r="J150" i="88" s="1"/>
  <c r="J129" i="88"/>
  <c r="J153" i="88" s="1"/>
  <c r="J54" i="88"/>
  <c r="P38" i="98"/>
  <c r="P40" i="98"/>
  <c r="O39" i="98"/>
  <c r="O47" i="98"/>
  <c r="P47" i="98"/>
  <c r="P37" i="127"/>
  <c r="O37" i="127"/>
  <c r="P43" i="127"/>
  <c r="O43" i="127"/>
  <c r="I140" i="127"/>
  <c r="I141" i="127"/>
  <c r="O52" i="127"/>
  <c r="I142" i="127"/>
  <c r="I136" i="127"/>
  <c r="P52" i="127"/>
  <c r="I143" i="127"/>
  <c r="I139" i="127"/>
  <c r="I138" i="127"/>
  <c r="I135" i="127"/>
  <c r="I137" i="127"/>
  <c r="R11" i="127"/>
  <c r="D19" i="122" s="1"/>
  <c r="L130" i="74"/>
  <c r="L128" i="74"/>
  <c r="L131" i="74"/>
  <c r="L126" i="74"/>
  <c r="L124" i="74"/>
  <c r="L127" i="74"/>
  <c r="L129" i="74"/>
  <c r="L123" i="74"/>
  <c r="L125" i="74"/>
  <c r="L54" i="74"/>
  <c r="K141" i="89"/>
  <c r="K138" i="89"/>
  <c r="K139" i="89"/>
  <c r="K143" i="89"/>
  <c r="K140" i="89"/>
  <c r="K136" i="89"/>
  <c r="K142" i="89"/>
  <c r="K137" i="89"/>
  <c r="K135" i="89"/>
  <c r="J44" i="128"/>
  <c r="L139" i="106"/>
  <c r="L137" i="106"/>
  <c r="L138" i="106"/>
  <c r="L142" i="106"/>
  <c r="L135" i="106"/>
  <c r="L143" i="106"/>
  <c r="L140" i="106"/>
  <c r="L136" i="106"/>
  <c r="L141" i="106"/>
  <c r="M44" i="85"/>
  <c r="J124" i="124"/>
  <c r="J130" i="124"/>
  <c r="J131" i="124"/>
  <c r="J127" i="124"/>
  <c r="J129" i="124"/>
  <c r="J125" i="124"/>
  <c r="J128" i="124"/>
  <c r="J123" i="124"/>
  <c r="J126" i="124"/>
  <c r="L49" i="82"/>
  <c r="L53" i="82"/>
  <c r="L54" i="82" s="1"/>
  <c r="O38" i="98"/>
  <c r="O36" i="98"/>
  <c r="M126" i="98"/>
  <c r="M123" i="98"/>
  <c r="M125" i="98"/>
  <c r="M131" i="98"/>
  <c r="M127" i="98"/>
  <c r="M124" i="98"/>
  <c r="M128" i="98"/>
  <c r="M130" i="98"/>
  <c r="M129" i="98"/>
  <c r="O39" i="127"/>
  <c r="J127" i="75"/>
  <c r="J129" i="75"/>
  <c r="J123" i="75"/>
  <c r="J125" i="75"/>
  <c r="J130" i="75"/>
  <c r="J128" i="75"/>
  <c r="J131" i="75"/>
  <c r="J126" i="75"/>
  <c r="J124" i="75"/>
  <c r="F14" i="99"/>
  <c r="AS6" i="16"/>
  <c r="AT6" i="16" s="1"/>
  <c r="J128" i="92"/>
  <c r="J131" i="92"/>
  <c r="J123" i="92"/>
  <c r="J129" i="92"/>
  <c r="J130" i="92"/>
  <c r="J124" i="92"/>
  <c r="J125" i="92"/>
  <c r="J126" i="92"/>
  <c r="J127" i="92"/>
  <c r="O37" i="74"/>
  <c r="P37" i="74"/>
  <c r="O46" i="74"/>
  <c r="O48" i="74" s="1"/>
  <c r="I48" i="74"/>
  <c r="P46" i="74"/>
  <c r="P48" i="74" s="1"/>
  <c r="K131" i="100"/>
  <c r="K125" i="100"/>
  <c r="K128" i="100"/>
  <c r="K129" i="100"/>
  <c r="K123" i="100"/>
  <c r="K124" i="100"/>
  <c r="K130" i="100"/>
  <c r="K126" i="100"/>
  <c r="K127" i="100"/>
  <c r="K54" i="100"/>
  <c r="M128" i="126"/>
  <c r="M124" i="126"/>
  <c r="M126" i="126"/>
  <c r="M125" i="126"/>
  <c r="M129" i="126"/>
  <c r="M130" i="126"/>
  <c r="M123" i="126"/>
  <c r="M127" i="126"/>
  <c r="M131" i="126"/>
  <c r="K124" i="80"/>
  <c r="K130" i="80"/>
  <c r="K129" i="80"/>
  <c r="K131" i="80"/>
  <c r="K126" i="80"/>
  <c r="K125" i="80"/>
  <c r="K127" i="80"/>
  <c r="K128" i="80"/>
  <c r="K123" i="80"/>
  <c r="O35" i="86"/>
  <c r="P35" i="86"/>
  <c r="L132" i="96"/>
  <c r="J49" i="82"/>
  <c r="J53" i="82"/>
  <c r="O34" i="105"/>
  <c r="J49" i="123"/>
  <c r="J53" i="123"/>
  <c r="J54" i="123" s="1"/>
  <c r="L123" i="75"/>
  <c r="L124" i="75"/>
  <c r="L129" i="75"/>
  <c r="L130" i="75"/>
  <c r="L131" i="75"/>
  <c r="L125" i="75"/>
  <c r="L126" i="75"/>
  <c r="L127" i="75"/>
  <c r="L128" i="75"/>
  <c r="L54" i="75"/>
  <c r="P43" i="107"/>
  <c r="P38" i="108"/>
  <c r="O38" i="108"/>
  <c r="P40" i="108"/>
  <c r="O40" i="108"/>
  <c r="P47" i="108"/>
  <c r="O47" i="108"/>
  <c r="M144" i="78"/>
  <c r="K127" i="94"/>
  <c r="K130" i="94"/>
  <c r="K129" i="94"/>
  <c r="K123" i="94"/>
  <c r="K128" i="94"/>
  <c r="K125" i="94"/>
  <c r="K126" i="94"/>
  <c r="K131" i="94"/>
  <c r="K124" i="94"/>
  <c r="AS28" i="16"/>
  <c r="L125" i="102"/>
  <c r="L123" i="102"/>
  <c r="L128" i="102"/>
  <c r="L130" i="102"/>
  <c r="L131" i="102"/>
  <c r="L126" i="102"/>
  <c r="L129" i="102"/>
  <c r="L127" i="102"/>
  <c r="L124" i="102"/>
  <c r="J132" i="77"/>
  <c r="O39" i="79"/>
  <c r="P39" i="79"/>
  <c r="I52" i="79"/>
  <c r="O47" i="79"/>
  <c r="P47" i="79"/>
  <c r="M144" i="123"/>
  <c r="K49" i="90"/>
  <c r="K53" i="90"/>
  <c r="M144" i="94"/>
  <c r="P35" i="80"/>
  <c r="O35" i="80"/>
  <c r="I125" i="80"/>
  <c r="I123" i="80"/>
  <c r="P51" i="80"/>
  <c r="I124" i="80"/>
  <c r="I128" i="80"/>
  <c r="O51" i="80"/>
  <c r="I129" i="80"/>
  <c r="I126" i="80"/>
  <c r="I127" i="80"/>
  <c r="I131" i="80"/>
  <c r="I130" i="80"/>
  <c r="M116" i="101"/>
  <c r="M113" i="101"/>
  <c r="M115" i="101"/>
  <c r="M114" i="101"/>
  <c r="M117" i="101"/>
  <c r="M118" i="101"/>
  <c r="M111" i="101"/>
  <c r="M112" i="101"/>
  <c r="M119" i="101"/>
  <c r="I76" i="88"/>
  <c r="R11" i="88"/>
  <c r="D45" i="122" s="1"/>
  <c r="J144" i="127"/>
  <c r="J119" i="127"/>
  <c r="J112" i="127"/>
  <c r="J113" i="127"/>
  <c r="J116" i="127"/>
  <c r="J117" i="127"/>
  <c r="J118" i="127"/>
  <c r="J154" i="127" s="1"/>
  <c r="J114" i="127"/>
  <c r="J115" i="127"/>
  <c r="J151" i="127" s="1"/>
  <c r="J111" i="127"/>
  <c r="AS44" i="16"/>
  <c r="O38" i="128"/>
  <c r="P38" i="128"/>
  <c r="I44" i="128"/>
  <c r="P34" i="128"/>
  <c r="O34" i="128"/>
  <c r="O43" i="128"/>
  <c r="O47" i="128"/>
  <c r="P47" i="128"/>
  <c r="K132" i="76"/>
  <c r="O40" i="100"/>
  <c r="P37" i="93"/>
  <c r="I76" i="126"/>
  <c r="P14" i="126"/>
  <c r="O38" i="83"/>
  <c r="P38" i="83"/>
  <c r="P40" i="83"/>
  <c r="O40" i="83"/>
  <c r="P43" i="83"/>
  <c r="O43" i="83"/>
  <c r="P47" i="83"/>
  <c r="O47" i="83"/>
  <c r="J129" i="94"/>
  <c r="J123" i="94"/>
  <c r="J128" i="94"/>
  <c r="J125" i="94"/>
  <c r="J126" i="94"/>
  <c r="J131" i="94"/>
  <c r="J124" i="94"/>
  <c r="J127" i="94"/>
  <c r="J130" i="94"/>
  <c r="M49" i="128"/>
  <c r="M53" i="128"/>
  <c r="K137" i="106"/>
  <c r="K143" i="106"/>
  <c r="K140" i="106"/>
  <c r="K136" i="106"/>
  <c r="K141" i="106"/>
  <c r="K135" i="106"/>
  <c r="K139" i="106"/>
  <c r="K142" i="106"/>
  <c r="K138" i="106"/>
  <c r="AN50" i="16"/>
  <c r="AM50" i="16"/>
  <c r="AK50" i="16"/>
  <c r="AO50" i="16"/>
  <c r="AL50" i="16"/>
  <c r="AR50" i="16"/>
  <c r="AP50" i="16"/>
  <c r="AQ50" i="16"/>
  <c r="AJ50" i="16"/>
  <c r="P11" i="103"/>
  <c r="O11" i="103"/>
  <c r="I46" i="103"/>
  <c r="I14" i="103"/>
  <c r="I47" i="103"/>
  <c r="I52" i="103" s="1"/>
  <c r="I39" i="103"/>
  <c r="I36" i="103"/>
  <c r="I40" i="103"/>
  <c r="I35" i="103"/>
  <c r="I43" i="103"/>
  <c r="I41" i="103"/>
  <c r="I37" i="103"/>
  <c r="I38" i="103"/>
  <c r="I34" i="103"/>
  <c r="I42" i="103"/>
  <c r="M132" i="83"/>
  <c r="L144" i="75"/>
  <c r="M149" i="90"/>
  <c r="M152" i="90"/>
  <c r="J120" i="89"/>
  <c r="M154" i="77"/>
  <c r="M153" i="77"/>
  <c r="M144" i="91"/>
  <c r="M144" i="90"/>
  <c r="K155" i="123"/>
  <c r="K152" i="123"/>
  <c r="M155" i="79"/>
  <c r="M147" i="79"/>
  <c r="M120" i="79"/>
  <c r="L144" i="86"/>
  <c r="M144" i="100"/>
  <c r="I44" i="91"/>
  <c r="O34" i="91"/>
  <c r="P34" i="91"/>
  <c r="J130" i="89"/>
  <c r="J154" i="89" s="1"/>
  <c r="J131" i="89"/>
  <c r="J155" i="89" s="1"/>
  <c r="J125" i="89"/>
  <c r="J149" i="89" s="1"/>
  <c r="J126" i="89"/>
  <c r="J150" i="89" s="1"/>
  <c r="J123" i="89"/>
  <c r="J128" i="89"/>
  <c r="J129" i="89"/>
  <c r="J124" i="89"/>
  <c r="J127" i="89"/>
  <c r="J151" i="89" s="1"/>
  <c r="J54" i="89"/>
  <c r="J126" i="123"/>
  <c r="J131" i="123"/>
  <c r="J127" i="123"/>
  <c r="J129" i="123"/>
  <c r="J128" i="123"/>
  <c r="J125" i="123"/>
  <c r="J124" i="123"/>
  <c r="J130" i="123"/>
  <c r="J123" i="123"/>
  <c r="M128" i="78"/>
  <c r="M130" i="78"/>
  <c r="M127" i="78"/>
  <c r="M125" i="78"/>
  <c r="M126" i="78"/>
  <c r="M124" i="78"/>
  <c r="M131" i="78"/>
  <c r="M129" i="78"/>
  <c r="M123" i="78"/>
  <c r="I130" i="93"/>
  <c r="I124" i="93"/>
  <c r="I128" i="93"/>
  <c r="I123" i="93"/>
  <c r="O51" i="93"/>
  <c r="I126" i="93"/>
  <c r="P51" i="93"/>
  <c r="I127" i="93"/>
  <c r="I131" i="93"/>
  <c r="I129" i="93"/>
  <c r="I125" i="93"/>
  <c r="I44" i="106"/>
  <c r="O34" i="106"/>
  <c r="P34" i="106"/>
  <c r="I52" i="106"/>
  <c r="P47" i="106"/>
  <c r="O47" i="106"/>
  <c r="R11" i="101"/>
  <c r="D8" i="122" s="1"/>
  <c r="J50" i="88"/>
  <c r="F14" i="127"/>
  <c r="F76" i="127" s="1"/>
  <c r="H77" i="127" s="1"/>
  <c r="AS19" i="16"/>
  <c r="AT19" i="16" s="1"/>
  <c r="P141" i="95"/>
  <c r="K123" i="77"/>
  <c r="K125" i="77"/>
  <c r="K130" i="77"/>
  <c r="K128" i="77"/>
  <c r="K131" i="77"/>
  <c r="K126" i="77"/>
  <c r="K124" i="77"/>
  <c r="K127" i="77"/>
  <c r="K129" i="77"/>
  <c r="K54" i="77"/>
  <c r="M144" i="88"/>
  <c r="K49" i="105"/>
  <c r="K53" i="105"/>
  <c r="K54" i="105" s="1"/>
  <c r="O14" i="91"/>
  <c r="R14" i="91" s="1"/>
  <c r="E16" i="122" s="1"/>
  <c r="L76" i="91"/>
  <c r="P14" i="91"/>
  <c r="R11" i="91"/>
  <c r="D16" i="122" s="1"/>
  <c r="J49" i="75"/>
  <c r="J53" i="75"/>
  <c r="AS49" i="16"/>
  <c r="K144" i="99"/>
  <c r="K144" i="128"/>
  <c r="O42" i="90"/>
  <c r="P42" i="90"/>
  <c r="O37" i="90"/>
  <c r="P37" i="90"/>
  <c r="J14" i="90"/>
  <c r="J76" i="90" s="1"/>
  <c r="I76" i="90"/>
  <c r="K130" i="95"/>
  <c r="K128" i="95"/>
  <c r="K123" i="95"/>
  <c r="K126" i="95"/>
  <c r="K124" i="95"/>
  <c r="K129" i="95"/>
  <c r="K131" i="95"/>
  <c r="K125" i="95"/>
  <c r="K127" i="95"/>
  <c r="L49" i="108"/>
  <c r="L53" i="108"/>
  <c r="K24" i="133" s="1"/>
  <c r="AS35" i="16"/>
  <c r="K49" i="81"/>
  <c r="K53" i="81"/>
  <c r="M132" i="77"/>
  <c r="K132" i="125"/>
  <c r="AS41" i="16"/>
  <c r="O43" i="91"/>
  <c r="M53" i="109"/>
  <c r="L21" i="133" s="1"/>
  <c r="M49" i="109"/>
  <c r="M50" i="109" s="1"/>
  <c r="M132" i="99"/>
  <c r="Q24" i="133"/>
  <c r="P38" i="124"/>
  <c r="O38" i="124"/>
  <c r="I51" i="124"/>
  <c r="O46" i="124"/>
  <c r="O48" i="124" s="1"/>
  <c r="I48" i="124"/>
  <c r="P46" i="124"/>
  <c r="P48" i="124" s="1"/>
  <c r="K132" i="124"/>
  <c r="AS36" i="16"/>
  <c r="Q21" i="133"/>
  <c r="O37" i="100"/>
  <c r="P37" i="100"/>
  <c r="P35" i="100"/>
  <c r="O35" i="100"/>
  <c r="J132" i="95"/>
  <c r="O41" i="95"/>
  <c r="P41" i="95"/>
  <c r="O43" i="95"/>
  <c r="P43" i="95"/>
  <c r="O47" i="95"/>
  <c r="P47" i="95"/>
  <c r="J132" i="93"/>
  <c r="P38" i="93"/>
  <c r="O38" i="93"/>
  <c r="O41" i="93"/>
  <c r="P41" i="93"/>
  <c r="O35" i="93"/>
  <c r="P35" i="93"/>
  <c r="I48" i="93"/>
  <c r="P46" i="93"/>
  <c r="P48" i="93" s="1"/>
  <c r="O46" i="93"/>
  <c r="O48" i="93" s="1"/>
  <c r="K49" i="86"/>
  <c r="K53" i="86"/>
  <c r="K54" i="86" s="1"/>
  <c r="O42" i="106"/>
  <c r="P42" i="106"/>
  <c r="P43" i="106"/>
  <c r="O43" i="106"/>
  <c r="K76" i="106"/>
  <c r="P14" i="106"/>
  <c r="O38" i="101"/>
  <c r="P38" i="101"/>
  <c r="I51" i="101"/>
  <c r="P46" i="101"/>
  <c r="P48" i="101" s="1"/>
  <c r="O46" i="101"/>
  <c r="O48" i="101" s="1"/>
  <c r="I48" i="101"/>
  <c r="M127" i="101"/>
  <c r="M126" i="101"/>
  <c r="M131" i="101"/>
  <c r="M128" i="101"/>
  <c r="M125" i="101"/>
  <c r="M129" i="101"/>
  <c r="M130" i="101"/>
  <c r="M123" i="101"/>
  <c r="M124" i="101"/>
  <c r="M54" i="101"/>
  <c r="AL9" i="16"/>
  <c r="H14" i="102" s="1"/>
  <c r="H76" i="102" s="1"/>
  <c r="AH9" i="16"/>
  <c r="O39" i="124"/>
  <c r="M76" i="127"/>
  <c r="M132" i="79"/>
  <c r="L130" i="91"/>
  <c r="L125" i="91"/>
  <c r="L123" i="91"/>
  <c r="L127" i="91"/>
  <c r="L129" i="91"/>
  <c r="L128" i="91"/>
  <c r="L126" i="91"/>
  <c r="L131" i="91"/>
  <c r="L124" i="91"/>
  <c r="L54" i="91"/>
  <c r="L49" i="109"/>
  <c r="L53" i="109"/>
  <c r="K21" i="133" s="1"/>
  <c r="O38" i="100"/>
  <c r="O36" i="95"/>
  <c r="K132" i="126"/>
  <c r="AS40" i="16"/>
  <c r="L136" i="128"/>
  <c r="L142" i="128"/>
  <c r="L137" i="128"/>
  <c r="L139" i="128"/>
  <c r="L143" i="128"/>
  <c r="L138" i="128"/>
  <c r="L140" i="128"/>
  <c r="L141" i="128"/>
  <c r="L135" i="128"/>
  <c r="L51" i="110"/>
  <c r="L48" i="110"/>
  <c r="J44" i="103"/>
  <c r="M49" i="102"/>
  <c r="M53" i="102"/>
  <c r="I52" i="77"/>
  <c r="I76" i="77"/>
  <c r="M132" i="88"/>
  <c r="M54" i="127"/>
  <c r="L144" i="123"/>
  <c r="L117" i="123"/>
  <c r="L153" i="123" s="1"/>
  <c r="L116" i="123"/>
  <c r="L152" i="123" s="1"/>
  <c r="L114" i="123"/>
  <c r="L150" i="123" s="1"/>
  <c r="L118" i="123"/>
  <c r="L154" i="123" s="1"/>
  <c r="L111" i="123"/>
  <c r="L113" i="123"/>
  <c r="L149" i="123" s="1"/>
  <c r="L119" i="123"/>
  <c r="L155" i="123" s="1"/>
  <c r="L112" i="123"/>
  <c r="L148" i="123" s="1"/>
  <c r="L115" i="123"/>
  <c r="L151" i="123" s="1"/>
  <c r="P37" i="97"/>
  <c r="O37" i="97"/>
  <c r="O40" i="97"/>
  <c r="P40" i="97"/>
  <c r="I52" i="97"/>
  <c r="P47" i="97"/>
  <c r="O47" i="97"/>
  <c r="M49" i="83"/>
  <c r="M53" i="83"/>
  <c r="AS43" i="16"/>
  <c r="M123" i="9"/>
  <c r="M128" i="9"/>
  <c r="M126" i="9"/>
  <c r="M130" i="9"/>
  <c r="M125" i="9"/>
  <c r="M131" i="9"/>
  <c r="M129" i="9"/>
  <c r="M124" i="9"/>
  <c r="M127" i="9"/>
  <c r="M54" i="9"/>
  <c r="K144" i="102"/>
  <c r="P43" i="77"/>
  <c r="L127" i="89"/>
  <c r="L131" i="89"/>
  <c r="L130" i="89"/>
  <c r="L126" i="89"/>
  <c r="L123" i="89"/>
  <c r="L125" i="89"/>
  <c r="L128" i="89"/>
  <c r="L124" i="89"/>
  <c r="L129" i="89"/>
  <c r="L54" i="89"/>
  <c r="J144" i="84"/>
  <c r="K49" i="88"/>
  <c r="K53" i="88"/>
  <c r="J132" i="82"/>
  <c r="I44" i="82"/>
  <c r="P34" i="82"/>
  <c r="O34" i="82"/>
  <c r="O40" i="82"/>
  <c r="P40" i="82"/>
  <c r="R11" i="82"/>
  <c r="D39" i="122" s="1"/>
  <c r="I51" i="104"/>
  <c r="J76" i="104"/>
  <c r="O14" i="104"/>
  <c r="R14" i="104" s="1"/>
  <c r="E11" i="122" s="1"/>
  <c r="P14" i="104"/>
  <c r="J144" i="123"/>
  <c r="S21" i="133"/>
  <c r="S29" i="133" s="1"/>
  <c r="M54" i="109"/>
  <c r="P42" i="76"/>
  <c r="O42" i="76"/>
  <c r="P35" i="76"/>
  <c r="O35" i="76"/>
  <c r="I52" i="76"/>
  <c r="R11" i="76"/>
  <c r="D33" i="122" s="1"/>
  <c r="L54" i="100"/>
  <c r="L132" i="100"/>
  <c r="P36" i="90"/>
  <c r="J144" i="126"/>
  <c r="L14" i="94"/>
  <c r="L76" i="94" s="1"/>
  <c r="I44" i="94"/>
  <c r="P34" i="94"/>
  <c r="O41" i="94"/>
  <c r="P41" i="94"/>
  <c r="O36" i="94"/>
  <c r="P36" i="94"/>
  <c r="P47" i="94"/>
  <c r="O47" i="94"/>
  <c r="K49" i="94"/>
  <c r="K53" i="94"/>
  <c r="F14" i="124"/>
  <c r="AS22" i="16"/>
  <c r="AT22" i="16" s="1"/>
  <c r="L114" i="125"/>
  <c r="L150" i="125" s="1"/>
  <c r="L112" i="125"/>
  <c r="L148" i="125" s="1"/>
  <c r="L115" i="125"/>
  <c r="L151" i="125" s="1"/>
  <c r="L116" i="125"/>
  <c r="L152" i="125" s="1"/>
  <c r="L113" i="125"/>
  <c r="L149" i="125" s="1"/>
  <c r="L111" i="125"/>
  <c r="L117" i="125"/>
  <c r="L153" i="125" s="1"/>
  <c r="L118" i="125"/>
  <c r="L154" i="125" s="1"/>
  <c r="L119" i="125"/>
  <c r="L155" i="125" s="1"/>
  <c r="L130" i="88"/>
  <c r="L125" i="88"/>
  <c r="L124" i="88"/>
  <c r="L129" i="88"/>
  <c r="L127" i="88"/>
  <c r="L131" i="88"/>
  <c r="L126" i="88"/>
  <c r="L128" i="88"/>
  <c r="L123" i="88"/>
  <c r="L54" i="88"/>
  <c r="M132" i="82"/>
  <c r="O36" i="82"/>
  <c r="J132" i="105"/>
  <c r="J117" i="105"/>
  <c r="J153" i="105" s="1"/>
  <c r="J111" i="105"/>
  <c r="J119" i="105"/>
  <c r="J155" i="105" s="1"/>
  <c r="J114" i="105"/>
  <c r="J150" i="105" s="1"/>
  <c r="J116" i="105"/>
  <c r="J152" i="105" s="1"/>
  <c r="J112" i="105"/>
  <c r="J148" i="105" s="1"/>
  <c r="J118" i="105"/>
  <c r="J154" i="105" s="1"/>
  <c r="J113" i="105"/>
  <c r="J149" i="105" s="1"/>
  <c r="J115" i="105"/>
  <c r="J151" i="105" s="1"/>
  <c r="L119" i="129"/>
  <c r="L113" i="129"/>
  <c r="L115" i="129"/>
  <c r="L114" i="129"/>
  <c r="L118" i="129"/>
  <c r="L111" i="129"/>
  <c r="L117" i="129"/>
  <c r="L153" i="129" s="1"/>
  <c r="L116" i="129"/>
  <c r="L152" i="129" s="1"/>
  <c r="L112" i="129"/>
  <c r="K14" i="92"/>
  <c r="I44" i="92"/>
  <c r="P34" i="92"/>
  <c r="O34" i="92"/>
  <c r="K128" i="74"/>
  <c r="K131" i="74"/>
  <c r="K123" i="74"/>
  <c r="K124" i="74"/>
  <c r="K125" i="74"/>
  <c r="K129" i="74"/>
  <c r="K130" i="74"/>
  <c r="K127" i="74"/>
  <c r="K126" i="74"/>
  <c r="K54" i="74"/>
  <c r="K144" i="90"/>
  <c r="G18" i="119"/>
  <c r="Q23" i="133"/>
  <c r="J49" i="80"/>
  <c r="J53" i="80"/>
  <c r="J54" i="80" s="1"/>
  <c r="M126" i="96"/>
  <c r="M128" i="96"/>
  <c r="M123" i="96"/>
  <c r="M124" i="96"/>
  <c r="M125" i="96"/>
  <c r="M130" i="96"/>
  <c r="M129" i="96"/>
  <c r="M131" i="96"/>
  <c r="M127" i="96"/>
  <c r="M54" i="96"/>
  <c r="O43" i="101"/>
  <c r="O37" i="125"/>
  <c r="P37" i="125"/>
  <c r="O40" i="125"/>
  <c r="P40" i="125"/>
  <c r="AS45" i="16"/>
  <c r="L49" i="121"/>
  <c r="L53" i="121"/>
  <c r="L54" i="121" s="1"/>
  <c r="L144" i="97"/>
  <c r="I44" i="87"/>
  <c r="O34" i="87"/>
  <c r="P34" i="87"/>
  <c r="J14" i="87"/>
  <c r="O39" i="87"/>
  <c r="P39" i="87"/>
  <c r="I51" i="87"/>
  <c r="O46" i="87"/>
  <c r="O48" i="87" s="1"/>
  <c r="I48" i="87"/>
  <c r="P46" i="87"/>
  <c r="K131" i="87"/>
  <c r="K125" i="87"/>
  <c r="K126" i="87"/>
  <c r="K127" i="87"/>
  <c r="K124" i="87"/>
  <c r="K123" i="87"/>
  <c r="K130" i="87"/>
  <c r="K129" i="87"/>
  <c r="K128" i="87"/>
  <c r="K54" i="87"/>
  <c r="L49" i="99"/>
  <c r="L53" i="99"/>
  <c r="O36" i="100"/>
  <c r="I52" i="126"/>
  <c r="P47" i="126"/>
  <c r="O47" i="126"/>
  <c r="K123" i="83"/>
  <c r="K127" i="83"/>
  <c r="K125" i="83"/>
  <c r="K124" i="83"/>
  <c r="K128" i="83"/>
  <c r="K126" i="83"/>
  <c r="K129" i="83"/>
  <c r="K131" i="83"/>
  <c r="K130" i="83"/>
  <c r="K54" i="83"/>
  <c r="I76" i="9"/>
  <c r="P39" i="9"/>
  <c r="O39" i="9"/>
  <c r="I48" i="9"/>
  <c r="P46" i="9"/>
  <c r="P48" i="9" s="1"/>
  <c r="O46" i="9"/>
  <c r="M132" i="128"/>
  <c r="P11" i="89"/>
  <c r="O11" i="89"/>
  <c r="I46" i="89"/>
  <c r="I47" i="89"/>
  <c r="I43" i="89"/>
  <c r="P43" i="89" s="1"/>
  <c r="I39" i="89"/>
  <c r="I36" i="89"/>
  <c r="I40" i="89"/>
  <c r="I35" i="89"/>
  <c r="I34" i="89"/>
  <c r="I42" i="89"/>
  <c r="O42" i="89" s="1"/>
  <c r="I41" i="89"/>
  <c r="P41" i="89" s="1"/>
  <c r="I37" i="89"/>
  <c r="P37" i="89" s="1"/>
  <c r="I38" i="89"/>
  <c r="O38" i="89" s="1"/>
  <c r="J51" i="106"/>
  <c r="L44" i="103"/>
  <c r="J53" i="85"/>
  <c r="J142" i="85"/>
  <c r="J139" i="85"/>
  <c r="J141" i="85"/>
  <c r="J140" i="85"/>
  <c r="J136" i="85"/>
  <c r="J143" i="85"/>
  <c r="J137" i="85"/>
  <c r="J135" i="85"/>
  <c r="J138" i="85"/>
  <c r="O34" i="125"/>
  <c r="L120" i="104"/>
  <c r="L147" i="104"/>
  <c r="L155" i="104"/>
  <c r="P37" i="105"/>
  <c r="O37" i="105"/>
  <c r="I52" i="105"/>
  <c r="P47" i="105"/>
  <c r="O47" i="105"/>
  <c r="K49" i="91"/>
  <c r="K53" i="91"/>
  <c r="I44" i="121"/>
  <c r="P34" i="121"/>
  <c r="P44" i="121" s="1"/>
  <c r="O34" i="121"/>
  <c r="O44" i="121" s="1"/>
  <c r="I52" i="121"/>
  <c r="P47" i="121"/>
  <c r="O47" i="121"/>
  <c r="L14" i="109"/>
  <c r="M14" i="109" s="1"/>
  <c r="I76" i="109"/>
  <c r="O41" i="109"/>
  <c r="P41" i="109"/>
  <c r="O40" i="109"/>
  <c r="P40" i="109"/>
  <c r="I51" i="109"/>
  <c r="O46" i="109"/>
  <c r="P46" i="109"/>
  <c r="P48" i="109" s="1"/>
  <c r="I48" i="109"/>
  <c r="P38" i="99"/>
  <c r="O38" i="99"/>
  <c r="P47" i="99"/>
  <c r="O47" i="99"/>
  <c r="K54" i="99"/>
  <c r="L54" i="76"/>
  <c r="L132" i="76"/>
  <c r="J123" i="74"/>
  <c r="J131" i="74"/>
  <c r="J155" i="74" s="1"/>
  <c r="J128" i="74"/>
  <c r="J152" i="74" s="1"/>
  <c r="J130" i="74"/>
  <c r="J154" i="74" s="1"/>
  <c r="J127" i="74"/>
  <c r="J151" i="74" s="1"/>
  <c r="J125" i="74"/>
  <c r="J149" i="74" s="1"/>
  <c r="J124" i="74"/>
  <c r="J148" i="74" s="1"/>
  <c r="J126" i="74"/>
  <c r="J150" i="74" s="1"/>
  <c r="J129" i="74"/>
  <c r="J153" i="74" s="1"/>
  <c r="J54" i="74"/>
  <c r="K144" i="100"/>
  <c r="P38" i="107"/>
  <c r="O38" i="107"/>
  <c r="O41" i="107"/>
  <c r="P41" i="107"/>
  <c r="O36" i="107"/>
  <c r="P36" i="107"/>
  <c r="I52" i="107"/>
  <c r="R24" i="133"/>
  <c r="L54" i="108"/>
  <c r="J54" i="78"/>
  <c r="J132" i="78"/>
  <c r="I52" i="78"/>
  <c r="L54" i="94"/>
  <c r="L132" i="94"/>
  <c r="O38" i="9"/>
  <c r="J125" i="84"/>
  <c r="J127" i="84"/>
  <c r="J130" i="84"/>
  <c r="J128" i="84"/>
  <c r="J123" i="84"/>
  <c r="J126" i="84"/>
  <c r="J124" i="84"/>
  <c r="J129" i="84"/>
  <c r="J131" i="84"/>
  <c r="J14" i="84"/>
  <c r="O42" i="84"/>
  <c r="P42" i="84"/>
  <c r="O35" i="84"/>
  <c r="P35" i="84"/>
  <c r="I52" i="84"/>
  <c r="R11" i="84"/>
  <c r="D41" i="122" s="1"/>
  <c r="K54" i="127"/>
  <c r="L144" i="79"/>
  <c r="L149" i="79"/>
  <c r="L153" i="79"/>
  <c r="R11" i="123"/>
  <c r="D23" i="122" s="1"/>
  <c r="R14" i="123"/>
  <c r="E23" i="122" s="1"/>
  <c r="O38" i="97"/>
  <c r="M49" i="99"/>
  <c r="M53" i="99"/>
  <c r="L50" i="100"/>
  <c r="L150" i="95"/>
  <c r="L151" i="95"/>
  <c r="L131" i="93"/>
  <c r="L155" i="93" s="1"/>
  <c r="L125" i="93"/>
  <c r="L149" i="93" s="1"/>
  <c r="L130" i="93"/>
  <c r="L154" i="93" s="1"/>
  <c r="L127" i="93"/>
  <c r="L151" i="93" s="1"/>
  <c r="L128" i="93"/>
  <c r="L152" i="93" s="1"/>
  <c r="L123" i="93"/>
  <c r="L124" i="93"/>
  <c r="L129" i="93"/>
  <c r="L153" i="93" s="1"/>
  <c r="L126" i="93"/>
  <c r="L150" i="93" s="1"/>
  <c r="L54" i="93"/>
  <c r="L148" i="93"/>
  <c r="O34" i="78"/>
  <c r="P38" i="96"/>
  <c r="O38" i="96"/>
  <c r="J14" i="96"/>
  <c r="P40" i="96"/>
  <c r="O40" i="96"/>
  <c r="P46" i="96"/>
  <c r="P48" i="96" s="1"/>
  <c r="O46" i="96"/>
  <c r="O48" i="96" s="1"/>
  <c r="I48" i="96"/>
  <c r="O38" i="129"/>
  <c r="P38" i="129"/>
  <c r="P35" i="129"/>
  <c r="I51" i="129"/>
  <c r="I48" i="129"/>
  <c r="O46" i="129"/>
  <c r="O48" i="129" s="1"/>
  <c r="P46" i="129"/>
  <c r="P48" i="129" s="1"/>
  <c r="K144" i="124"/>
  <c r="J144" i="77"/>
  <c r="O34" i="84"/>
  <c r="O37" i="82"/>
  <c r="L51" i="98"/>
  <c r="O36" i="106"/>
  <c r="K130" i="79"/>
  <c r="K128" i="79"/>
  <c r="K129" i="79"/>
  <c r="K127" i="79"/>
  <c r="K131" i="79"/>
  <c r="K124" i="79"/>
  <c r="K125" i="79"/>
  <c r="K126" i="79"/>
  <c r="K123" i="79"/>
  <c r="K54" i="79"/>
  <c r="O43" i="123"/>
  <c r="I76" i="75"/>
  <c r="P47" i="75"/>
  <c r="O47" i="75"/>
  <c r="K132" i="75"/>
  <c r="F14" i="100"/>
  <c r="AS7" i="16"/>
  <c r="AT7" i="16" s="1"/>
  <c r="L153" i="126"/>
  <c r="L155" i="126"/>
  <c r="O34" i="94"/>
  <c r="O41" i="102"/>
  <c r="P41" i="102"/>
  <c r="P43" i="102"/>
  <c r="I143" i="102"/>
  <c r="I139" i="102"/>
  <c r="P52" i="102"/>
  <c r="I141" i="102"/>
  <c r="I140" i="102"/>
  <c r="I142" i="102"/>
  <c r="I138" i="102"/>
  <c r="I136" i="102"/>
  <c r="I137" i="102"/>
  <c r="I135" i="102"/>
  <c r="O52" i="102"/>
  <c r="I76" i="125"/>
  <c r="P14" i="125"/>
  <c r="O37" i="98"/>
  <c r="P37" i="98"/>
  <c r="P35" i="98"/>
  <c r="O35" i="98"/>
  <c r="I139" i="98"/>
  <c r="I138" i="98"/>
  <c r="O52" i="98"/>
  <c r="I142" i="98"/>
  <c r="I136" i="98"/>
  <c r="P52" i="98"/>
  <c r="I140" i="98"/>
  <c r="I141" i="98"/>
  <c r="I137" i="98"/>
  <c r="I135" i="98"/>
  <c r="I143" i="98"/>
  <c r="I51" i="127"/>
  <c r="P46" i="127"/>
  <c r="P48" i="127" s="1"/>
  <c r="O46" i="127"/>
  <c r="O48" i="127" s="1"/>
  <c r="I48" i="127"/>
  <c r="L50" i="105"/>
  <c r="K50" i="123"/>
  <c r="K144" i="76"/>
  <c r="M54" i="100"/>
  <c r="L128" i="90"/>
  <c r="L124" i="90"/>
  <c r="L126" i="90"/>
  <c r="L127" i="90"/>
  <c r="L131" i="90"/>
  <c r="L129" i="90"/>
  <c r="L130" i="90"/>
  <c r="L125" i="90"/>
  <c r="L123" i="90"/>
  <c r="L49" i="107"/>
  <c r="L53" i="107"/>
  <c r="K129" i="9"/>
  <c r="K125" i="9"/>
  <c r="K127" i="9"/>
  <c r="K128" i="9"/>
  <c r="K130" i="9"/>
  <c r="K124" i="9"/>
  <c r="K131" i="9"/>
  <c r="K126" i="9"/>
  <c r="K123" i="9"/>
  <c r="K44" i="89"/>
  <c r="J130" i="129"/>
  <c r="J127" i="129"/>
  <c r="J129" i="129"/>
  <c r="J123" i="129"/>
  <c r="J125" i="129"/>
  <c r="J131" i="129"/>
  <c r="J126" i="129"/>
  <c r="J128" i="129"/>
  <c r="J124" i="129"/>
  <c r="L51" i="106"/>
  <c r="L48" i="106"/>
  <c r="P40" i="102"/>
  <c r="J49" i="124"/>
  <c r="J53" i="124"/>
  <c r="O43" i="98"/>
  <c r="I11" i="119"/>
  <c r="I27" i="119" s="1"/>
  <c r="S27" i="119" s="1"/>
  <c r="S11" i="119" s="1"/>
  <c r="M138" i="98"/>
  <c r="Z15" i="133" s="1"/>
  <c r="M139" i="98"/>
  <c r="Z16" i="133" s="1"/>
  <c r="M141" i="98"/>
  <c r="M142" i="98"/>
  <c r="Z19" i="133" s="1"/>
  <c r="M140" i="98"/>
  <c r="M135" i="98"/>
  <c r="M143" i="98"/>
  <c r="M137" i="98"/>
  <c r="Z14" i="133" s="1"/>
  <c r="M136" i="98"/>
  <c r="O41" i="127"/>
  <c r="J49" i="109"/>
  <c r="J53" i="109"/>
  <c r="J49" i="92"/>
  <c r="J53" i="92"/>
  <c r="O41" i="74"/>
  <c r="P41" i="74"/>
  <c r="P39" i="74"/>
  <c r="O39" i="74"/>
  <c r="R11" i="74"/>
  <c r="D31" i="122" s="1"/>
  <c r="K49" i="95"/>
  <c r="K53" i="95"/>
  <c r="O36" i="126"/>
  <c r="K49" i="80"/>
  <c r="K53" i="80"/>
  <c r="P41" i="86"/>
  <c r="O41" i="86"/>
  <c r="O46" i="86"/>
  <c r="P46" i="86"/>
  <c r="P48" i="86" s="1"/>
  <c r="I48" i="86"/>
  <c r="L127" i="101"/>
  <c r="L129" i="101"/>
  <c r="L128" i="101"/>
  <c r="L123" i="101"/>
  <c r="L125" i="101"/>
  <c r="L124" i="101"/>
  <c r="L130" i="101"/>
  <c r="L131" i="101"/>
  <c r="L126" i="101"/>
  <c r="L54" i="101"/>
  <c r="J49" i="84"/>
  <c r="J53" i="84"/>
  <c r="J54" i="84" s="1"/>
  <c r="K144" i="88"/>
  <c r="AS11" i="16"/>
  <c r="P43" i="105"/>
  <c r="P40" i="90"/>
  <c r="O37" i="108"/>
  <c r="P37" i="108"/>
  <c r="J14" i="108"/>
  <c r="I76" i="108"/>
  <c r="O35" i="108"/>
  <c r="P35" i="108"/>
  <c r="R11" i="108"/>
  <c r="D48" i="122" s="1"/>
  <c r="O36" i="78"/>
  <c r="K132" i="101"/>
  <c r="L49" i="102"/>
  <c r="L53" i="102"/>
  <c r="L54" i="102" s="1"/>
  <c r="M49" i="82"/>
  <c r="M50" i="82" s="1"/>
  <c r="M53" i="82"/>
  <c r="L127" i="127"/>
  <c r="L131" i="127"/>
  <c r="L124" i="127"/>
  <c r="L123" i="127"/>
  <c r="L129" i="127"/>
  <c r="L130" i="127"/>
  <c r="L125" i="127"/>
  <c r="L126" i="127"/>
  <c r="L128" i="127"/>
  <c r="L54" i="127"/>
  <c r="O41" i="79"/>
  <c r="P41" i="79"/>
  <c r="J76" i="79"/>
  <c r="O35" i="79"/>
  <c r="P35" i="79"/>
  <c r="P46" i="79"/>
  <c r="P48" i="79" s="1"/>
  <c r="I48" i="79"/>
  <c r="O46" i="79"/>
  <c r="O48" i="79" s="1"/>
  <c r="P36" i="123"/>
  <c r="K127" i="92"/>
  <c r="K128" i="92"/>
  <c r="K123" i="92"/>
  <c r="K126" i="92"/>
  <c r="K129" i="92"/>
  <c r="K124" i="92"/>
  <c r="K131" i="92"/>
  <c r="K125" i="92"/>
  <c r="K130" i="92"/>
  <c r="K49" i="107"/>
  <c r="K53" i="107"/>
  <c r="M49" i="108"/>
  <c r="M53" i="108"/>
  <c r="L24" i="133" s="1"/>
  <c r="BC24" i="133" s="1"/>
  <c r="P42" i="94"/>
  <c r="I44" i="80"/>
  <c r="P34" i="80"/>
  <c r="P44" i="80" s="1"/>
  <c r="O34" i="80"/>
  <c r="I48" i="80"/>
  <c r="P46" i="80"/>
  <c r="P48" i="80" s="1"/>
  <c r="O46" i="80"/>
  <c r="O48" i="80" s="1"/>
  <c r="P43" i="96"/>
  <c r="M144" i="101"/>
  <c r="P43" i="124"/>
  <c r="P42" i="88"/>
  <c r="O42" i="88"/>
  <c r="I44" i="88"/>
  <c r="P34" i="88"/>
  <c r="O34" i="88"/>
  <c r="O51" i="88"/>
  <c r="I123" i="88"/>
  <c r="I131" i="88"/>
  <c r="I125" i="88"/>
  <c r="I124" i="88"/>
  <c r="I126" i="88"/>
  <c r="I127" i="88"/>
  <c r="I130" i="88"/>
  <c r="P51" i="88"/>
  <c r="I128" i="88"/>
  <c r="I129" i="88"/>
  <c r="M144" i="75"/>
  <c r="O36" i="92"/>
  <c r="P37" i="128"/>
  <c r="O40" i="128"/>
  <c r="P40" i="128"/>
  <c r="O35" i="128"/>
  <c r="P35" i="128"/>
  <c r="P46" i="128"/>
  <c r="O46" i="128"/>
  <c r="O48" i="128" s="1"/>
  <c r="I48" i="128"/>
  <c r="P42" i="100"/>
  <c r="M49" i="95"/>
  <c r="M53" i="95"/>
  <c r="M144" i="93"/>
  <c r="M117" i="93"/>
  <c r="M153" i="93" s="1"/>
  <c r="M118" i="93"/>
  <c r="M111" i="93"/>
  <c r="M115" i="93"/>
  <c r="M119" i="93"/>
  <c r="M116" i="93"/>
  <c r="M152" i="93" s="1"/>
  <c r="M112" i="93"/>
  <c r="M148" i="93" s="1"/>
  <c r="M113" i="93"/>
  <c r="M149" i="93" s="1"/>
  <c r="M114" i="93"/>
  <c r="M150" i="93" s="1"/>
  <c r="F14" i="126"/>
  <c r="AS20" i="16"/>
  <c r="AT20" i="16" s="1"/>
  <c r="P37" i="83"/>
  <c r="O37" i="83"/>
  <c r="J76" i="83"/>
  <c r="R11" i="83"/>
  <c r="D40" i="122" s="1"/>
  <c r="M131" i="80"/>
  <c r="M130" i="80"/>
  <c r="M124" i="80"/>
  <c r="M128" i="80"/>
  <c r="M127" i="80"/>
  <c r="M126" i="80"/>
  <c r="M125" i="80"/>
  <c r="M123" i="80"/>
  <c r="M129" i="80"/>
  <c r="M54" i="80"/>
  <c r="L131" i="86"/>
  <c r="L130" i="86"/>
  <c r="L123" i="86"/>
  <c r="L125" i="86"/>
  <c r="L127" i="86"/>
  <c r="L124" i="86"/>
  <c r="L126" i="86"/>
  <c r="L128" i="86"/>
  <c r="L129" i="86"/>
  <c r="L54" i="86"/>
  <c r="AS30" i="16"/>
  <c r="J125" i="96"/>
  <c r="J131" i="96"/>
  <c r="J124" i="96"/>
  <c r="J128" i="96"/>
  <c r="J123" i="96"/>
  <c r="J130" i="96"/>
  <c r="J127" i="96"/>
  <c r="J126" i="96"/>
  <c r="J129" i="96"/>
  <c r="J114" i="81"/>
  <c r="J116" i="81"/>
  <c r="J112" i="81"/>
  <c r="J111" i="81"/>
  <c r="J113" i="81"/>
  <c r="J117" i="81"/>
  <c r="J118" i="81"/>
  <c r="J119" i="81"/>
  <c r="J115" i="81"/>
  <c r="J49" i="81"/>
  <c r="P11" i="81"/>
  <c r="O11" i="81"/>
  <c r="R11" i="81" s="1"/>
  <c r="D38" i="122" s="1"/>
  <c r="I46" i="81"/>
  <c r="I51" i="81" s="1"/>
  <c r="I47" i="81"/>
  <c r="I52" i="81" s="1"/>
  <c r="I40" i="81"/>
  <c r="I35" i="81"/>
  <c r="I43" i="81"/>
  <c r="I39" i="81"/>
  <c r="I36" i="81"/>
  <c r="I37" i="81"/>
  <c r="I38" i="81"/>
  <c r="I34" i="81"/>
  <c r="I42" i="81"/>
  <c r="I14" i="81"/>
  <c r="I41" i="81"/>
  <c r="K140" i="129"/>
  <c r="K141" i="129"/>
  <c r="K135" i="129"/>
  <c r="K136" i="129"/>
  <c r="K139" i="129"/>
  <c r="K142" i="129"/>
  <c r="K137" i="129"/>
  <c r="K138" i="129"/>
  <c r="K143" i="129"/>
  <c r="K131" i="106"/>
  <c r="K128" i="106"/>
  <c r="K127" i="106"/>
  <c r="K126" i="106"/>
  <c r="K129" i="106"/>
  <c r="K123" i="106"/>
  <c r="K124" i="106"/>
  <c r="K125" i="106"/>
  <c r="K130" i="106"/>
  <c r="K49" i="85"/>
  <c r="K135" i="85"/>
  <c r="K142" i="85"/>
  <c r="K141" i="85"/>
  <c r="K140" i="85"/>
  <c r="K143" i="85"/>
  <c r="K137" i="85"/>
  <c r="K138" i="85"/>
  <c r="K139" i="85"/>
  <c r="K136" i="85"/>
  <c r="P11" i="85"/>
  <c r="O11" i="85"/>
  <c r="I46" i="85"/>
  <c r="I47" i="85"/>
  <c r="I52" i="85" s="1"/>
  <c r="I39" i="85"/>
  <c r="O39" i="85" s="1"/>
  <c r="I36" i="85"/>
  <c r="P36" i="85" s="1"/>
  <c r="I40" i="85"/>
  <c r="I35" i="85"/>
  <c r="I43" i="85"/>
  <c r="O43" i="85" s="1"/>
  <c r="I41" i="85"/>
  <c r="I37" i="85"/>
  <c r="I38" i="85"/>
  <c r="I14" i="85"/>
  <c r="J14" i="85" s="1"/>
  <c r="I34" i="85"/>
  <c r="I42" i="85"/>
  <c r="P42" i="85" s="1"/>
  <c r="M144" i="125"/>
  <c r="M151" i="90"/>
  <c r="M148" i="90"/>
  <c r="M144" i="104"/>
  <c r="J148" i="88"/>
  <c r="J154" i="88"/>
  <c r="J155" i="88"/>
  <c r="K144" i="80"/>
  <c r="J153" i="89"/>
  <c r="J152" i="89"/>
  <c r="M147" i="77"/>
  <c r="M120" i="77"/>
  <c r="M150" i="77"/>
  <c r="M144" i="124"/>
  <c r="K147" i="123"/>
  <c r="K120" i="123"/>
  <c r="K151" i="123"/>
  <c r="M144" i="105"/>
  <c r="J144" i="76"/>
  <c r="M152" i="79"/>
  <c r="M149" i="79"/>
  <c r="M150" i="79"/>
  <c r="L144" i="99"/>
  <c r="K144" i="125"/>
  <c r="M144" i="96"/>
  <c r="J120" i="88" l="1"/>
  <c r="J155" i="127"/>
  <c r="L149" i="78"/>
  <c r="J152" i="127"/>
  <c r="L153" i="83"/>
  <c r="L149" i="83"/>
  <c r="L148" i="78"/>
  <c r="M113" i="129"/>
  <c r="M111" i="129"/>
  <c r="K54" i="108"/>
  <c r="O48" i="107"/>
  <c r="L154" i="78"/>
  <c r="M118" i="129"/>
  <c r="O44" i="94"/>
  <c r="O48" i="9"/>
  <c r="P48" i="87"/>
  <c r="L154" i="129"/>
  <c r="O44" i="80"/>
  <c r="O44" i="108"/>
  <c r="O44" i="86"/>
  <c r="L151" i="129"/>
  <c r="O14" i="127"/>
  <c r="R14" i="127" s="1"/>
  <c r="E19" i="122" s="1"/>
  <c r="J54" i="98"/>
  <c r="J115" i="98"/>
  <c r="J111" i="98"/>
  <c r="J147" i="98" s="1"/>
  <c r="M154" i="93"/>
  <c r="P48" i="128"/>
  <c r="Z13" i="133"/>
  <c r="Z17" i="133"/>
  <c r="P44" i="92"/>
  <c r="L150" i="129"/>
  <c r="J150" i="127"/>
  <c r="J149" i="127"/>
  <c r="L155" i="83"/>
  <c r="L155" i="78"/>
  <c r="L153" i="78"/>
  <c r="L148" i="92"/>
  <c r="J114" i="98"/>
  <c r="J118" i="98"/>
  <c r="J119" i="98"/>
  <c r="J155" i="98" s="1"/>
  <c r="P48" i="88"/>
  <c r="P130" i="125"/>
  <c r="J113" i="98"/>
  <c r="J117" i="98"/>
  <c r="J153" i="98" s="1"/>
  <c r="J148" i="127"/>
  <c r="P48" i="84"/>
  <c r="L154" i="83"/>
  <c r="O48" i="86"/>
  <c r="Z20" i="133"/>
  <c r="Z18" i="133"/>
  <c r="L149" i="129"/>
  <c r="K54" i="109"/>
  <c r="K88" i="2" s="1"/>
  <c r="K141" i="2" s="1"/>
  <c r="K142" i="2" s="1"/>
  <c r="K144" i="2" s="1"/>
  <c r="K145" i="2" s="1"/>
  <c r="K87" i="2" s="1"/>
  <c r="P44" i="91"/>
  <c r="J153" i="127"/>
  <c r="J116" i="98"/>
  <c r="M132" i="75"/>
  <c r="M115" i="129"/>
  <c r="M119" i="129"/>
  <c r="M116" i="129"/>
  <c r="O44" i="125"/>
  <c r="L14" i="9"/>
  <c r="N77" i="127"/>
  <c r="N78" i="127" s="1"/>
  <c r="N79" i="127" s="1"/>
  <c r="O44" i="87"/>
  <c r="O49" i="87" s="1"/>
  <c r="O50" i="87" s="1"/>
  <c r="O48" i="90"/>
  <c r="P44" i="88"/>
  <c r="J132" i="123"/>
  <c r="K132" i="80"/>
  <c r="M132" i="126"/>
  <c r="L14" i="83"/>
  <c r="L76" i="83" s="1"/>
  <c r="L144" i="81"/>
  <c r="J49" i="85"/>
  <c r="J50" i="85" s="1"/>
  <c r="L14" i="74"/>
  <c r="L76" i="74" s="1"/>
  <c r="K156" i="123"/>
  <c r="M156" i="77"/>
  <c r="O49" i="80"/>
  <c r="O50" i="80" s="1"/>
  <c r="K132" i="79"/>
  <c r="O44" i="84"/>
  <c r="O49" i="84" s="1"/>
  <c r="O50" i="84" s="1"/>
  <c r="O44" i="107"/>
  <c r="O49" i="107" s="1"/>
  <c r="O50" i="107" s="1"/>
  <c r="O44" i="74"/>
  <c r="O49" i="74" s="1"/>
  <c r="O50" i="74" s="1"/>
  <c r="J132" i="90"/>
  <c r="M132" i="93"/>
  <c r="J115" i="87"/>
  <c r="J151" i="87" s="1"/>
  <c r="J113" i="87"/>
  <c r="J149" i="87" s="1"/>
  <c r="J117" i="87"/>
  <c r="J153" i="87" s="1"/>
  <c r="J116" i="87"/>
  <c r="J152" i="87" s="1"/>
  <c r="J54" i="87"/>
  <c r="J112" i="87"/>
  <c r="J148" i="87" s="1"/>
  <c r="J119" i="87"/>
  <c r="J155" i="87" s="1"/>
  <c r="J118" i="87"/>
  <c r="J154" i="87" s="1"/>
  <c r="J114" i="87"/>
  <c r="J150" i="87" s="1"/>
  <c r="J111" i="87"/>
  <c r="J132" i="124"/>
  <c r="K132" i="88"/>
  <c r="M132" i="124"/>
  <c r="O14" i="90"/>
  <c r="R14" i="90" s="1"/>
  <c r="E15" i="122" s="1"/>
  <c r="P44" i="75"/>
  <c r="L144" i="85"/>
  <c r="P51" i="106"/>
  <c r="K132" i="91"/>
  <c r="J132" i="101"/>
  <c r="I143" i="103"/>
  <c r="I140" i="103"/>
  <c r="P52" i="103"/>
  <c r="I141" i="103"/>
  <c r="I136" i="103"/>
  <c r="O52" i="103"/>
  <c r="I135" i="103"/>
  <c r="I137" i="103"/>
  <c r="I142" i="103"/>
  <c r="I138" i="103"/>
  <c r="I139" i="103"/>
  <c r="I123" i="81"/>
  <c r="I127" i="81"/>
  <c r="I126" i="81"/>
  <c r="I128" i="81"/>
  <c r="I131" i="81"/>
  <c r="I130" i="81"/>
  <c r="I125" i="81"/>
  <c r="I124" i="81"/>
  <c r="I129" i="81"/>
  <c r="O51" i="81"/>
  <c r="P51" i="81"/>
  <c r="M76" i="109"/>
  <c r="P14" i="109"/>
  <c r="M50" i="129"/>
  <c r="J50" i="98"/>
  <c r="O52" i="110"/>
  <c r="V22" i="133"/>
  <c r="P52" i="110"/>
  <c r="I140" i="81"/>
  <c r="I137" i="81"/>
  <c r="P52" i="81"/>
  <c r="I143" i="81"/>
  <c r="I138" i="81"/>
  <c r="I135" i="81"/>
  <c r="I136" i="81"/>
  <c r="I142" i="81"/>
  <c r="I141" i="81"/>
  <c r="I139" i="81"/>
  <c r="O52" i="81"/>
  <c r="O40" i="85"/>
  <c r="P40" i="85"/>
  <c r="I44" i="85"/>
  <c r="P34" i="85"/>
  <c r="O41" i="85"/>
  <c r="P41" i="85"/>
  <c r="I51" i="85"/>
  <c r="P46" i="85"/>
  <c r="O46" i="85"/>
  <c r="I48" i="85"/>
  <c r="K50" i="85"/>
  <c r="J14" i="81"/>
  <c r="J76" i="81" s="1"/>
  <c r="I44" i="81"/>
  <c r="O34" i="81"/>
  <c r="P34" i="81"/>
  <c r="P39" i="81"/>
  <c r="O39" i="81"/>
  <c r="J120" i="81"/>
  <c r="F76" i="126"/>
  <c r="I77" i="126" s="1"/>
  <c r="O14" i="126"/>
  <c r="R14" i="126" s="1"/>
  <c r="E20" i="122" s="1"/>
  <c r="M115" i="95"/>
  <c r="M151" i="95" s="1"/>
  <c r="M116" i="95"/>
  <c r="M152" i="95" s="1"/>
  <c r="M113" i="95"/>
  <c r="M149" i="95" s="1"/>
  <c r="M114" i="95"/>
  <c r="M150" i="95" s="1"/>
  <c r="M119" i="95"/>
  <c r="M155" i="95" s="1"/>
  <c r="M111" i="95"/>
  <c r="M112" i="95"/>
  <c r="M148" i="95" s="1"/>
  <c r="M117" i="95"/>
  <c r="M118" i="95"/>
  <c r="M154" i="95" s="1"/>
  <c r="P124" i="88"/>
  <c r="O124" i="88"/>
  <c r="J23" i="133"/>
  <c r="BA23" i="133" s="1"/>
  <c r="L50" i="102"/>
  <c r="J50" i="109"/>
  <c r="P39" i="85"/>
  <c r="L132" i="90"/>
  <c r="P143" i="98"/>
  <c r="O143" i="98"/>
  <c r="P140" i="98"/>
  <c r="O140" i="98"/>
  <c r="P135" i="102"/>
  <c r="I144" i="102"/>
  <c r="O135" i="102"/>
  <c r="P142" i="102"/>
  <c r="O142" i="102"/>
  <c r="O139" i="102"/>
  <c r="P139" i="102"/>
  <c r="M117" i="99"/>
  <c r="M153" i="99" s="1"/>
  <c r="M114" i="99"/>
  <c r="M150" i="99" s="1"/>
  <c r="M115" i="99"/>
  <c r="M151" i="99" s="1"/>
  <c r="M111" i="99"/>
  <c r="M119" i="99"/>
  <c r="M155" i="99" s="1"/>
  <c r="M116" i="99"/>
  <c r="M113" i="99"/>
  <c r="M149" i="99" s="1"/>
  <c r="M112" i="99"/>
  <c r="M148" i="99" s="1"/>
  <c r="M118" i="99"/>
  <c r="M154" i="99" s="1"/>
  <c r="M54" i="99"/>
  <c r="P52" i="121"/>
  <c r="O52" i="121"/>
  <c r="K117" i="91"/>
  <c r="K153" i="91" s="1"/>
  <c r="K116" i="91"/>
  <c r="K152" i="91" s="1"/>
  <c r="K115" i="91"/>
  <c r="K151" i="91" s="1"/>
  <c r="K114" i="91"/>
  <c r="K150" i="91" s="1"/>
  <c r="K118" i="91"/>
  <c r="K154" i="91" s="1"/>
  <c r="K112" i="91"/>
  <c r="K148" i="91" s="1"/>
  <c r="K111" i="91"/>
  <c r="K113" i="91"/>
  <c r="K149" i="91" s="1"/>
  <c r="K119" i="91"/>
  <c r="K155" i="91" s="1"/>
  <c r="I140" i="105"/>
  <c r="I137" i="105"/>
  <c r="I143" i="105"/>
  <c r="I141" i="105"/>
  <c r="I136" i="105"/>
  <c r="I142" i="105"/>
  <c r="I135" i="105"/>
  <c r="P52" i="105"/>
  <c r="I139" i="105"/>
  <c r="I138" i="105"/>
  <c r="O52" i="105"/>
  <c r="L156" i="104"/>
  <c r="J144" i="85"/>
  <c r="J113" i="85"/>
  <c r="J115" i="85"/>
  <c r="J118" i="85"/>
  <c r="J116" i="85"/>
  <c r="J111" i="85"/>
  <c r="J114" i="85"/>
  <c r="J112" i="85"/>
  <c r="J117" i="85"/>
  <c r="J119" i="85"/>
  <c r="I44" i="89"/>
  <c r="O34" i="89"/>
  <c r="P34" i="89"/>
  <c r="O39" i="89"/>
  <c r="P39" i="89"/>
  <c r="R11" i="89"/>
  <c r="D14" i="122" s="1"/>
  <c r="I138" i="126"/>
  <c r="I137" i="126"/>
  <c r="I141" i="126"/>
  <c r="I139" i="126"/>
  <c r="I136" i="126"/>
  <c r="P52" i="126"/>
  <c r="I140" i="126"/>
  <c r="I135" i="126"/>
  <c r="I143" i="126"/>
  <c r="I142" i="126"/>
  <c r="O52" i="126"/>
  <c r="K132" i="87"/>
  <c r="J76" i="87"/>
  <c r="K14" i="87"/>
  <c r="K76" i="87" s="1"/>
  <c r="K76" i="92"/>
  <c r="L14" i="92"/>
  <c r="L76" i="92" s="1"/>
  <c r="L147" i="129"/>
  <c r="L120" i="129"/>
  <c r="L132" i="88"/>
  <c r="L120" i="125"/>
  <c r="L147" i="125"/>
  <c r="L156" i="125" s="1"/>
  <c r="P76" i="104"/>
  <c r="O76" i="104"/>
  <c r="L77" i="104"/>
  <c r="L78" i="104" s="1"/>
  <c r="L79" i="104" s="1"/>
  <c r="N77" i="104"/>
  <c r="N78" i="104" s="1"/>
  <c r="N79" i="104" s="1"/>
  <c r="M77" i="104"/>
  <c r="M78" i="104" s="1"/>
  <c r="M79" i="104" s="1"/>
  <c r="K77" i="104"/>
  <c r="K78" i="104" s="1"/>
  <c r="K79" i="104" s="1"/>
  <c r="I49" i="82"/>
  <c r="I53" i="82"/>
  <c r="I54" i="82" s="1"/>
  <c r="M119" i="83"/>
  <c r="M155" i="83" s="1"/>
  <c r="M113" i="83"/>
  <c r="M149" i="83" s="1"/>
  <c r="M111" i="83"/>
  <c r="M112" i="83"/>
  <c r="M148" i="83" s="1"/>
  <c r="M115" i="83"/>
  <c r="M151" i="83" s="1"/>
  <c r="M114" i="83"/>
  <c r="M150" i="83" s="1"/>
  <c r="M117" i="83"/>
  <c r="M153" i="83" s="1"/>
  <c r="M116" i="83"/>
  <c r="M152" i="83" s="1"/>
  <c r="M118" i="83"/>
  <c r="M54" i="83"/>
  <c r="I141" i="97"/>
  <c r="I136" i="97"/>
  <c r="P52" i="97"/>
  <c r="I140" i="97"/>
  <c r="I142" i="97"/>
  <c r="I135" i="97"/>
  <c r="I143" i="97"/>
  <c r="I139" i="97"/>
  <c r="I137" i="97"/>
  <c r="I138" i="97"/>
  <c r="O52" i="97"/>
  <c r="J49" i="103"/>
  <c r="J53" i="103"/>
  <c r="O43" i="89"/>
  <c r="I131" i="101"/>
  <c r="I123" i="101"/>
  <c r="O51" i="101"/>
  <c r="I126" i="101"/>
  <c r="I125" i="101"/>
  <c r="I130" i="101"/>
  <c r="I124" i="101"/>
  <c r="I128" i="101"/>
  <c r="I127" i="101"/>
  <c r="I129" i="101"/>
  <c r="P51" i="101"/>
  <c r="I124" i="124"/>
  <c r="I125" i="124"/>
  <c r="I126" i="124"/>
  <c r="I130" i="124"/>
  <c r="I123" i="124"/>
  <c r="I128" i="124"/>
  <c r="I127" i="124"/>
  <c r="O127" i="124" s="1"/>
  <c r="I131" i="124"/>
  <c r="I129" i="124"/>
  <c r="O51" i="124"/>
  <c r="P51" i="124"/>
  <c r="K119" i="81"/>
  <c r="K155" i="81" s="1"/>
  <c r="K111" i="81"/>
  <c r="K113" i="81"/>
  <c r="K149" i="81" s="1"/>
  <c r="K118" i="81"/>
  <c r="K154" i="81" s="1"/>
  <c r="K117" i="81"/>
  <c r="K153" i="81" s="1"/>
  <c r="K114" i="81"/>
  <c r="K150" i="81" s="1"/>
  <c r="K116" i="81"/>
  <c r="K152" i="81" s="1"/>
  <c r="K115" i="81"/>
  <c r="K151" i="81" s="1"/>
  <c r="K112" i="81"/>
  <c r="K148" i="81" s="1"/>
  <c r="K54" i="81"/>
  <c r="L50" i="108"/>
  <c r="K132" i="95"/>
  <c r="F78" i="127"/>
  <c r="O76" i="127"/>
  <c r="I136" i="106"/>
  <c r="I138" i="106"/>
  <c r="I135" i="106"/>
  <c r="I142" i="106"/>
  <c r="I137" i="106"/>
  <c r="P52" i="106"/>
  <c r="I141" i="106"/>
  <c r="I139" i="106"/>
  <c r="O52" i="106"/>
  <c r="I143" i="106"/>
  <c r="I140" i="106"/>
  <c r="P127" i="93"/>
  <c r="O127" i="93"/>
  <c r="O123" i="93"/>
  <c r="P123" i="93"/>
  <c r="I132" i="93"/>
  <c r="I49" i="91"/>
  <c r="I53" i="91"/>
  <c r="P42" i="103"/>
  <c r="O42" i="103"/>
  <c r="P41" i="103"/>
  <c r="O41" i="103"/>
  <c r="P36" i="103"/>
  <c r="O36" i="103"/>
  <c r="O14" i="103"/>
  <c r="R14" i="103" s="1"/>
  <c r="E10" i="122" s="1"/>
  <c r="I76" i="103"/>
  <c r="P14" i="103"/>
  <c r="AS50" i="16"/>
  <c r="K144" i="106"/>
  <c r="J132" i="94"/>
  <c r="P76" i="126"/>
  <c r="M120" i="101"/>
  <c r="M147" i="101"/>
  <c r="M151" i="101"/>
  <c r="P126" i="80"/>
  <c r="O126" i="80"/>
  <c r="O124" i="80"/>
  <c r="P124" i="80"/>
  <c r="K112" i="90"/>
  <c r="K148" i="90" s="1"/>
  <c r="K114" i="90"/>
  <c r="K150" i="90" s="1"/>
  <c r="K119" i="90"/>
  <c r="K155" i="90" s="1"/>
  <c r="K118" i="90"/>
  <c r="K154" i="90" s="1"/>
  <c r="K116" i="90"/>
  <c r="K152" i="90" s="1"/>
  <c r="K115" i="90"/>
  <c r="K151" i="90" s="1"/>
  <c r="K117" i="90"/>
  <c r="K153" i="90" s="1"/>
  <c r="K111" i="90"/>
  <c r="K113" i="90"/>
  <c r="K149" i="90" s="1"/>
  <c r="L132" i="75"/>
  <c r="J116" i="82"/>
  <c r="J152" i="82" s="1"/>
  <c r="J113" i="82"/>
  <c r="J149" i="82" s="1"/>
  <c r="J115" i="82"/>
  <c r="J151" i="82" s="1"/>
  <c r="J118" i="82"/>
  <c r="J154" i="82" s="1"/>
  <c r="J112" i="82"/>
  <c r="J148" i="82" s="1"/>
  <c r="J117" i="82"/>
  <c r="J153" i="82" s="1"/>
  <c r="J111" i="82"/>
  <c r="J119" i="82"/>
  <c r="J155" i="82" s="1"/>
  <c r="J114" i="82"/>
  <c r="J150" i="82" s="1"/>
  <c r="J54" i="82"/>
  <c r="L50" i="82"/>
  <c r="O42" i="85"/>
  <c r="J49" i="128"/>
  <c r="J53" i="128"/>
  <c r="J54" i="128" s="1"/>
  <c r="L132" i="74"/>
  <c r="O138" i="127"/>
  <c r="P138" i="127"/>
  <c r="O136" i="127"/>
  <c r="P136" i="127"/>
  <c r="P140" i="127"/>
  <c r="O140" i="127"/>
  <c r="F76" i="125"/>
  <c r="O14" i="125"/>
  <c r="R14" i="125" s="1"/>
  <c r="E21" i="122" s="1"/>
  <c r="M50" i="94"/>
  <c r="J50" i="99"/>
  <c r="L132" i="129"/>
  <c r="P48" i="75"/>
  <c r="M117" i="84"/>
  <c r="M153" i="84" s="1"/>
  <c r="M114" i="84"/>
  <c r="M150" i="84" s="1"/>
  <c r="M113" i="84"/>
  <c r="M149" i="84" s="1"/>
  <c r="M119" i="84"/>
  <c r="M155" i="84" s="1"/>
  <c r="M111" i="84"/>
  <c r="M112" i="84"/>
  <c r="M148" i="84" s="1"/>
  <c r="M118" i="84"/>
  <c r="M154" i="84" s="1"/>
  <c r="M116" i="84"/>
  <c r="M152" i="84" s="1"/>
  <c r="M115" i="84"/>
  <c r="M151" i="84" s="1"/>
  <c r="P44" i="96"/>
  <c r="P49" i="96" s="1"/>
  <c r="P50" i="96" s="1"/>
  <c r="M50" i="86"/>
  <c r="J132" i="79"/>
  <c r="M50" i="125"/>
  <c r="J123" i="85"/>
  <c r="J127" i="85"/>
  <c r="J124" i="85"/>
  <c r="J129" i="85"/>
  <c r="J126" i="85"/>
  <c r="J125" i="85"/>
  <c r="J130" i="85"/>
  <c r="J131" i="85"/>
  <c r="J128" i="85"/>
  <c r="J54" i="85"/>
  <c r="F14" i="89"/>
  <c r="AS14" i="16"/>
  <c r="AT14" i="16" s="1"/>
  <c r="J111" i="96"/>
  <c r="J115" i="96"/>
  <c r="J151" i="96" s="1"/>
  <c r="J113" i="96"/>
  <c r="J149" i="96" s="1"/>
  <c r="J118" i="96"/>
  <c r="J154" i="96" s="1"/>
  <c r="J114" i="96"/>
  <c r="J150" i="96" s="1"/>
  <c r="J112" i="96"/>
  <c r="J148" i="96" s="1"/>
  <c r="J117" i="96"/>
  <c r="J153" i="96" s="1"/>
  <c r="J119" i="96"/>
  <c r="J155" i="96" s="1"/>
  <c r="J116" i="96"/>
  <c r="J152" i="96" s="1"/>
  <c r="I139" i="9"/>
  <c r="I141" i="9"/>
  <c r="I137" i="9"/>
  <c r="I143" i="9"/>
  <c r="I138" i="9"/>
  <c r="I140" i="9"/>
  <c r="I135" i="9"/>
  <c r="P52" i="9"/>
  <c r="I142" i="9"/>
  <c r="I136" i="9"/>
  <c r="O52" i="9"/>
  <c r="I143" i="87"/>
  <c r="I141" i="87"/>
  <c r="I138" i="87"/>
  <c r="I135" i="87"/>
  <c r="I142" i="87"/>
  <c r="I140" i="87"/>
  <c r="I137" i="87"/>
  <c r="I136" i="87"/>
  <c r="I139" i="87"/>
  <c r="P52" i="87"/>
  <c r="O52" i="87"/>
  <c r="I49" i="125"/>
  <c r="I53" i="125"/>
  <c r="L50" i="77"/>
  <c r="M50" i="76"/>
  <c r="J132" i="91"/>
  <c r="P76" i="124"/>
  <c r="I144" i="94"/>
  <c r="P135" i="94"/>
  <c r="O135" i="94"/>
  <c r="P143" i="94"/>
  <c r="O143" i="94"/>
  <c r="O44" i="104"/>
  <c r="L114" i="101"/>
  <c r="L150" i="101" s="1"/>
  <c r="L115" i="101"/>
  <c r="L151" i="101" s="1"/>
  <c r="L112" i="101"/>
  <c r="L148" i="101" s="1"/>
  <c r="L113" i="101"/>
  <c r="L149" i="101" s="1"/>
  <c r="L118" i="101"/>
  <c r="L154" i="101" s="1"/>
  <c r="L119" i="101"/>
  <c r="L155" i="101" s="1"/>
  <c r="L111" i="101"/>
  <c r="L116" i="101"/>
  <c r="L152" i="101" s="1"/>
  <c r="L117" i="101"/>
  <c r="L153" i="101" s="1"/>
  <c r="L147" i="76"/>
  <c r="L120" i="76"/>
  <c r="I130" i="97"/>
  <c r="I123" i="97"/>
  <c r="O51" i="97"/>
  <c r="I128" i="97"/>
  <c r="I127" i="97"/>
  <c r="I125" i="97"/>
  <c r="I131" i="97"/>
  <c r="I129" i="97"/>
  <c r="I124" i="97"/>
  <c r="I126" i="97"/>
  <c r="P51" i="97"/>
  <c r="L76" i="77"/>
  <c r="M14" i="77"/>
  <c r="M112" i="92"/>
  <c r="M148" i="92" s="1"/>
  <c r="M117" i="92"/>
  <c r="M153" i="92" s="1"/>
  <c r="M114" i="92"/>
  <c r="M150" i="92" s="1"/>
  <c r="M119" i="92"/>
  <c r="M155" i="92" s="1"/>
  <c r="M111" i="92"/>
  <c r="M115" i="92"/>
  <c r="M151" i="92" s="1"/>
  <c r="M118" i="92"/>
  <c r="M154" i="92" s="1"/>
  <c r="M113" i="92"/>
  <c r="M149" i="92" s="1"/>
  <c r="M116" i="92"/>
  <c r="M54" i="92"/>
  <c r="I77" i="127"/>
  <c r="I78" i="127" s="1"/>
  <c r="P76" i="127"/>
  <c r="P127" i="124"/>
  <c r="O44" i="100"/>
  <c r="O49" i="100" s="1"/>
  <c r="O50" i="100" s="1"/>
  <c r="K119" i="75"/>
  <c r="K155" i="75" s="1"/>
  <c r="K114" i="75"/>
  <c r="K150" i="75" s="1"/>
  <c r="K115" i="75"/>
  <c r="K151" i="75" s="1"/>
  <c r="K117" i="75"/>
  <c r="K153" i="75" s="1"/>
  <c r="K116" i="75"/>
  <c r="K152" i="75" s="1"/>
  <c r="K111" i="75"/>
  <c r="K113" i="75"/>
  <c r="K149" i="75" s="1"/>
  <c r="K112" i="75"/>
  <c r="K148" i="75" s="1"/>
  <c r="K118" i="75"/>
  <c r="K154" i="75" s="1"/>
  <c r="K54" i="75"/>
  <c r="K116" i="101"/>
  <c r="K152" i="101" s="1"/>
  <c r="K118" i="101"/>
  <c r="K154" i="101" s="1"/>
  <c r="K115" i="101"/>
  <c r="K151" i="101" s="1"/>
  <c r="K112" i="101"/>
  <c r="K148" i="101" s="1"/>
  <c r="K114" i="101"/>
  <c r="K150" i="101" s="1"/>
  <c r="K113" i="101"/>
  <c r="K149" i="101" s="1"/>
  <c r="K117" i="101"/>
  <c r="K153" i="101" s="1"/>
  <c r="K111" i="101"/>
  <c r="K119" i="101"/>
  <c r="K155" i="101" s="1"/>
  <c r="K54" i="101"/>
  <c r="K50" i="93"/>
  <c r="I127" i="90"/>
  <c r="I128" i="90"/>
  <c r="I124" i="90"/>
  <c r="I123" i="90"/>
  <c r="I131" i="90"/>
  <c r="I126" i="90"/>
  <c r="I125" i="90"/>
  <c r="O51" i="90"/>
  <c r="I129" i="90"/>
  <c r="I130" i="90"/>
  <c r="P51" i="90"/>
  <c r="K50" i="128"/>
  <c r="M144" i="89"/>
  <c r="L111" i="97"/>
  <c r="L113" i="97"/>
  <c r="L149" i="97" s="1"/>
  <c r="L112" i="97"/>
  <c r="L148" i="97" s="1"/>
  <c r="L116" i="97"/>
  <c r="L152" i="97" s="1"/>
  <c r="L119" i="97"/>
  <c r="L155" i="97" s="1"/>
  <c r="L118" i="97"/>
  <c r="L154" i="97" s="1"/>
  <c r="L114" i="97"/>
  <c r="L150" i="97" s="1"/>
  <c r="L115" i="97"/>
  <c r="L151" i="97" s="1"/>
  <c r="L117" i="97"/>
  <c r="L153" i="97" s="1"/>
  <c r="L147" i="105"/>
  <c r="L120" i="105"/>
  <c r="L154" i="105"/>
  <c r="I124" i="83"/>
  <c r="I126" i="83"/>
  <c r="I131" i="83"/>
  <c r="I123" i="83"/>
  <c r="I125" i="83"/>
  <c r="P51" i="83"/>
  <c r="I130" i="83"/>
  <c r="I129" i="83"/>
  <c r="O51" i="83"/>
  <c r="I127" i="83"/>
  <c r="I128" i="83"/>
  <c r="J50" i="108"/>
  <c r="M151" i="75"/>
  <c r="M152" i="75"/>
  <c r="L116" i="91"/>
  <c r="L152" i="91" s="1"/>
  <c r="L115" i="91"/>
  <c r="L151" i="91" s="1"/>
  <c r="L118" i="91"/>
  <c r="L154" i="91" s="1"/>
  <c r="L112" i="91"/>
  <c r="L148" i="91" s="1"/>
  <c r="L117" i="91"/>
  <c r="L153" i="91" s="1"/>
  <c r="L114" i="91"/>
  <c r="L150" i="91" s="1"/>
  <c r="L113" i="91"/>
  <c r="L149" i="91" s="1"/>
  <c r="L119" i="91"/>
  <c r="L155" i="91" s="1"/>
  <c r="L111" i="91"/>
  <c r="K116" i="84"/>
  <c r="K152" i="84" s="1"/>
  <c r="K117" i="84"/>
  <c r="K153" i="84" s="1"/>
  <c r="K114" i="84"/>
  <c r="K150" i="84" s="1"/>
  <c r="K115" i="84"/>
  <c r="K151" i="84" s="1"/>
  <c r="K112" i="84"/>
  <c r="K148" i="84" s="1"/>
  <c r="K113" i="84"/>
  <c r="K149" i="84" s="1"/>
  <c r="K118" i="84"/>
  <c r="K154" i="84" s="1"/>
  <c r="K119" i="84"/>
  <c r="K155" i="84" s="1"/>
  <c r="K111" i="84"/>
  <c r="K54" i="84"/>
  <c r="K76" i="80"/>
  <c r="L14" i="80"/>
  <c r="M14" i="80" s="1"/>
  <c r="M76" i="80" s="1"/>
  <c r="J50" i="93"/>
  <c r="M154" i="123"/>
  <c r="M153" i="123"/>
  <c r="I49" i="79"/>
  <c r="I53" i="79"/>
  <c r="I54" i="79" s="1"/>
  <c r="K119" i="124"/>
  <c r="K155" i="124" s="1"/>
  <c r="K117" i="124"/>
  <c r="K153" i="124" s="1"/>
  <c r="K115" i="124"/>
  <c r="K151" i="124" s="1"/>
  <c r="K113" i="124"/>
  <c r="K149" i="124" s="1"/>
  <c r="K112" i="124"/>
  <c r="K148" i="124" s="1"/>
  <c r="K111" i="124"/>
  <c r="K116" i="124"/>
  <c r="K152" i="124" s="1"/>
  <c r="K118" i="124"/>
  <c r="K154" i="124" s="1"/>
  <c r="K114" i="124"/>
  <c r="K150" i="124" s="1"/>
  <c r="K54" i="124"/>
  <c r="J117" i="83"/>
  <c r="J153" i="83" s="1"/>
  <c r="J119" i="83"/>
  <c r="J155" i="83" s="1"/>
  <c r="J114" i="83"/>
  <c r="J150" i="83" s="1"/>
  <c r="J113" i="83"/>
  <c r="J149" i="83" s="1"/>
  <c r="J115" i="83"/>
  <c r="J151" i="83" s="1"/>
  <c r="J116" i="83"/>
  <c r="J152" i="83" s="1"/>
  <c r="J111" i="83"/>
  <c r="J112" i="83"/>
  <c r="J148" i="83" s="1"/>
  <c r="J118" i="83"/>
  <c r="J154" i="83" s="1"/>
  <c r="O48" i="108"/>
  <c r="O49" i="108" s="1"/>
  <c r="O50" i="108" s="1"/>
  <c r="P44" i="108"/>
  <c r="M116" i="105"/>
  <c r="M115" i="105"/>
  <c r="M151" i="105" s="1"/>
  <c r="M113" i="105"/>
  <c r="M149" i="105" s="1"/>
  <c r="M112" i="105"/>
  <c r="M148" i="105" s="1"/>
  <c r="M111" i="105"/>
  <c r="M117" i="105"/>
  <c r="M153" i="105" s="1"/>
  <c r="M119" i="105"/>
  <c r="M155" i="105" s="1"/>
  <c r="M118" i="105"/>
  <c r="M114" i="105"/>
  <c r="M150" i="105" s="1"/>
  <c r="M54" i="105"/>
  <c r="M50" i="9"/>
  <c r="I144" i="86"/>
  <c r="O135" i="86"/>
  <c r="P135" i="86"/>
  <c r="P138" i="86"/>
  <c r="O138" i="86"/>
  <c r="J50" i="90"/>
  <c r="K132" i="128"/>
  <c r="L132" i="82"/>
  <c r="L111" i="84"/>
  <c r="L117" i="84"/>
  <c r="L153" i="84" s="1"/>
  <c r="L113" i="84"/>
  <c r="L149" i="84" s="1"/>
  <c r="L116" i="84"/>
  <c r="L152" i="84" s="1"/>
  <c r="L112" i="84"/>
  <c r="L148" i="84" s="1"/>
  <c r="L118" i="84"/>
  <c r="L154" i="84" s="1"/>
  <c r="L119" i="84"/>
  <c r="L155" i="84" s="1"/>
  <c r="L114" i="84"/>
  <c r="L150" i="84" s="1"/>
  <c r="L115" i="84"/>
  <c r="L151" i="84" s="1"/>
  <c r="L54" i="84"/>
  <c r="M144" i="85"/>
  <c r="L49" i="106"/>
  <c r="L53" i="106"/>
  <c r="L54" i="106" s="1"/>
  <c r="P44" i="98"/>
  <c r="P136" i="75"/>
  <c r="O136" i="75"/>
  <c r="P137" i="75"/>
  <c r="O137" i="75"/>
  <c r="P141" i="75"/>
  <c r="O141" i="75"/>
  <c r="L49" i="98"/>
  <c r="L53" i="98"/>
  <c r="L54" i="98" s="1"/>
  <c r="O126" i="96"/>
  <c r="P126" i="96"/>
  <c r="P44" i="84"/>
  <c r="P49" i="84" s="1"/>
  <c r="P50" i="84" s="1"/>
  <c r="M50" i="103"/>
  <c r="P131" i="9"/>
  <c r="O131" i="9"/>
  <c r="O124" i="9"/>
  <c r="J116" i="94"/>
  <c r="J152" i="94" s="1"/>
  <c r="J111" i="94"/>
  <c r="J112" i="94"/>
  <c r="J148" i="94" s="1"/>
  <c r="J118" i="94"/>
  <c r="J154" i="94" s="1"/>
  <c r="J117" i="94"/>
  <c r="J153" i="94" s="1"/>
  <c r="J119" i="94"/>
  <c r="J155" i="94" s="1"/>
  <c r="J114" i="94"/>
  <c r="J150" i="94" s="1"/>
  <c r="J113" i="94"/>
  <c r="J149" i="94" s="1"/>
  <c r="J115" i="94"/>
  <c r="J151" i="94" s="1"/>
  <c r="L147" i="78"/>
  <c r="L120" i="78"/>
  <c r="M54" i="95"/>
  <c r="L54" i="109"/>
  <c r="O48" i="92"/>
  <c r="K153" i="79"/>
  <c r="K147" i="79"/>
  <c r="K120" i="79"/>
  <c r="O44" i="76"/>
  <c r="L120" i="92"/>
  <c r="L147" i="92"/>
  <c r="L156" i="92" s="1"/>
  <c r="K119" i="125"/>
  <c r="K155" i="125" s="1"/>
  <c r="K114" i="125"/>
  <c r="K150" i="125" s="1"/>
  <c r="K113" i="125"/>
  <c r="K149" i="125" s="1"/>
  <c r="K111" i="125"/>
  <c r="K115" i="125"/>
  <c r="K151" i="125" s="1"/>
  <c r="K112" i="125"/>
  <c r="K148" i="125" s="1"/>
  <c r="K116" i="125"/>
  <c r="K152" i="125" s="1"/>
  <c r="K118" i="125"/>
  <c r="K154" i="125" s="1"/>
  <c r="K117" i="125"/>
  <c r="K153" i="125" s="1"/>
  <c r="K54" i="125"/>
  <c r="J119" i="86"/>
  <c r="J155" i="86" s="1"/>
  <c r="J114" i="86"/>
  <c r="J150" i="86" s="1"/>
  <c r="J111" i="86"/>
  <c r="J116" i="86"/>
  <c r="J152" i="86" s="1"/>
  <c r="J113" i="86"/>
  <c r="J149" i="86" s="1"/>
  <c r="J112" i="86"/>
  <c r="J148" i="86" s="1"/>
  <c r="J117" i="86"/>
  <c r="J153" i="86" s="1"/>
  <c r="J118" i="86"/>
  <c r="J154" i="86" s="1"/>
  <c r="J115" i="86"/>
  <c r="J151" i="86" s="1"/>
  <c r="J114" i="101"/>
  <c r="J150" i="101" s="1"/>
  <c r="J118" i="101"/>
  <c r="J154" i="101" s="1"/>
  <c r="J113" i="101"/>
  <c r="J149" i="101" s="1"/>
  <c r="J119" i="101"/>
  <c r="J155" i="101" s="1"/>
  <c r="J117" i="101"/>
  <c r="J153" i="101" s="1"/>
  <c r="J112" i="101"/>
  <c r="J148" i="101" s="1"/>
  <c r="J115" i="101"/>
  <c r="J151" i="101" s="1"/>
  <c r="J111" i="101"/>
  <c r="J116" i="101"/>
  <c r="J152" i="101" s="1"/>
  <c r="J144" i="103"/>
  <c r="P44" i="101"/>
  <c r="P49" i="101" s="1"/>
  <c r="P50" i="101" s="1"/>
  <c r="L23" i="133"/>
  <c r="BC23" i="133" s="1"/>
  <c r="I20" i="119"/>
  <c r="S20" i="119" s="1"/>
  <c r="M54" i="107"/>
  <c r="G10" i="119"/>
  <c r="K128" i="98"/>
  <c r="K131" i="98"/>
  <c r="K129" i="98"/>
  <c r="K124" i="98"/>
  <c r="K126" i="98"/>
  <c r="K130" i="98"/>
  <c r="K127" i="98"/>
  <c r="K125" i="98"/>
  <c r="K123" i="98"/>
  <c r="Q22" i="133"/>
  <c r="Q29" i="133" s="1"/>
  <c r="I44" i="110"/>
  <c r="P34" i="110"/>
  <c r="O34" i="110"/>
  <c r="O35" i="110"/>
  <c r="P35" i="110"/>
  <c r="P44" i="83"/>
  <c r="J54" i="108"/>
  <c r="K50" i="76"/>
  <c r="K50" i="104"/>
  <c r="J50" i="125"/>
  <c r="K132" i="86"/>
  <c r="I135" i="80"/>
  <c r="I139" i="80"/>
  <c r="I141" i="80"/>
  <c r="I138" i="80"/>
  <c r="I136" i="80"/>
  <c r="I140" i="80"/>
  <c r="I143" i="80"/>
  <c r="P52" i="80"/>
  <c r="I137" i="80"/>
  <c r="I142" i="80"/>
  <c r="O52" i="80"/>
  <c r="L116" i="96"/>
  <c r="L152" i="96" s="1"/>
  <c r="L115" i="96"/>
  <c r="L151" i="96" s="1"/>
  <c r="L119" i="96"/>
  <c r="L155" i="96" s="1"/>
  <c r="L113" i="96"/>
  <c r="L149" i="96" s="1"/>
  <c r="L114" i="96"/>
  <c r="L150" i="96" s="1"/>
  <c r="L111" i="96"/>
  <c r="L118" i="96"/>
  <c r="L154" i="96" s="1"/>
  <c r="L112" i="96"/>
  <c r="L148" i="96" s="1"/>
  <c r="L117" i="96"/>
  <c r="L153" i="96" s="1"/>
  <c r="L54" i="96"/>
  <c r="L14" i="86"/>
  <c r="M14" i="86" s="1"/>
  <c r="M76" i="86" s="1"/>
  <c r="K76" i="86"/>
  <c r="F20" i="119"/>
  <c r="P20" i="119" s="1"/>
  <c r="I23" i="133"/>
  <c r="AZ23" i="133" s="1"/>
  <c r="J132" i="97"/>
  <c r="M49" i="98"/>
  <c r="M53" i="98"/>
  <c r="M128" i="85"/>
  <c r="S17" i="133" s="1"/>
  <c r="M123" i="85"/>
  <c r="S12" i="133" s="1"/>
  <c r="M125" i="85"/>
  <c r="M124" i="85"/>
  <c r="M130" i="85"/>
  <c r="S19" i="133" s="1"/>
  <c r="M131" i="85"/>
  <c r="S20" i="133" s="1"/>
  <c r="M126" i="85"/>
  <c r="S15" i="133" s="1"/>
  <c r="M127" i="85"/>
  <c r="S16" i="133" s="1"/>
  <c r="M129" i="85"/>
  <c r="S18" i="133" s="1"/>
  <c r="K111" i="9"/>
  <c r="K112" i="9"/>
  <c r="K148" i="9" s="1"/>
  <c r="K118" i="9"/>
  <c r="K154" i="9" s="1"/>
  <c r="K113" i="9"/>
  <c r="K149" i="9" s="1"/>
  <c r="K117" i="9"/>
  <c r="K153" i="9" s="1"/>
  <c r="K115" i="9"/>
  <c r="K151" i="9" s="1"/>
  <c r="K114" i="9"/>
  <c r="K150" i="9" s="1"/>
  <c r="K119" i="9"/>
  <c r="K155" i="9" s="1"/>
  <c r="K116" i="9"/>
  <c r="K152" i="9" s="1"/>
  <c r="I49" i="127"/>
  <c r="I53" i="127"/>
  <c r="I54" i="127" s="1"/>
  <c r="J118" i="100"/>
  <c r="J154" i="100" s="1"/>
  <c r="J116" i="100"/>
  <c r="J152" i="100" s="1"/>
  <c r="J111" i="100"/>
  <c r="J114" i="100"/>
  <c r="J150" i="100" s="1"/>
  <c r="J112" i="100"/>
  <c r="J148" i="100" s="1"/>
  <c r="J117" i="100"/>
  <c r="J153" i="100" s="1"/>
  <c r="J119" i="100"/>
  <c r="J155" i="100" s="1"/>
  <c r="J113" i="100"/>
  <c r="J149" i="100" s="1"/>
  <c r="J115" i="100"/>
  <c r="J151" i="100" s="1"/>
  <c r="K111" i="97"/>
  <c r="K113" i="97"/>
  <c r="K149" i="97" s="1"/>
  <c r="K112" i="97"/>
  <c r="K148" i="97" s="1"/>
  <c r="K116" i="97"/>
  <c r="K152" i="97" s="1"/>
  <c r="K119" i="97"/>
  <c r="K155" i="97" s="1"/>
  <c r="K118" i="97"/>
  <c r="K154" i="97" s="1"/>
  <c r="K114" i="97"/>
  <c r="K150" i="97" s="1"/>
  <c r="K115" i="97"/>
  <c r="K151" i="97" s="1"/>
  <c r="K117" i="97"/>
  <c r="K153" i="97" s="1"/>
  <c r="I129" i="123"/>
  <c r="I125" i="123"/>
  <c r="I126" i="123"/>
  <c r="I128" i="123"/>
  <c r="I123" i="123"/>
  <c r="I130" i="123"/>
  <c r="I124" i="123"/>
  <c r="P51" i="123"/>
  <c r="I131" i="123"/>
  <c r="I127" i="123"/>
  <c r="O51" i="123"/>
  <c r="O129" i="84"/>
  <c r="P129" i="84"/>
  <c r="P123" i="84"/>
  <c r="O123" i="84"/>
  <c r="I132" i="84"/>
  <c r="P48" i="78"/>
  <c r="P44" i="107"/>
  <c r="P49" i="107" s="1"/>
  <c r="P50" i="107" s="1"/>
  <c r="O48" i="99"/>
  <c r="P48" i="121"/>
  <c r="P48" i="105"/>
  <c r="K111" i="83"/>
  <c r="K117" i="83"/>
  <c r="K153" i="83" s="1"/>
  <c r="K115" i="83"/>
  <c r="K151" i="83" s="1"/>
  <c r="K112" i="83"/>
  <c r="K148" i="83" s="1"/>
  <c r="K113" i="83"/>
  <c r="K149" i="83" s="1"/>
  <c r="K116" i="83"/>
  <c r="K152" i="83" s="1"/>
  <c r="K118" i="83"/>
  <c r="K154" i="83" s="1"/>
  <c r="K119" i="83"/>
  <c r="K155" i="83" s="1"/>
  <c r="K114" i="83"/>
  <c r="K150" i="83" s="1"/>
  <c r="L132" i="78"/>
  <c r="M147" i="100"/>
  <c r="M156" i="100" s="1"/>
  <c r="M120" i="100"/>
  <c r="M54" i="108"/>
  <c r="K148" i="74"/>
  <c r="K152" i="74"/>
  <c r="P137" i="92"/>
  <c r="O137" i="92"/>
  <c r="P140" i="92"/>
  <c r="O140" i="92"/>
  <c r="M50" i="106"/>
  <c r="L148" i="88"/>
  <c r="L152" i="88"/>
  <c r="P124" i="9"/>
  <c r="P48" i="94"/>
  <c r="I128" i="76"/>
  <c r="I125" i="76"/>
  <c r="I127" i="76"/>
  <c r="I129" i="76"/>
  <c r="I124" i="76"/>
  <c r="I130" i="76"/>
  <c r="I126" i="76"/>
  <c r="P51" i="76"/>
  <c r="I123" i="76"/>
  <c r="I131" i="76"/>
  <c r="O51" i="76"/>
  <c r="L153" i="89"/>
  <c r="L154" i="89"/>
  <c r="L132" i="124"/>
  <c r="P48" i="97"/>
  <c r="O131" i="77"/>
  <c r="P131" i="77"/>
  <c r="P130" i="77"/>
  <c r="O130" i="77"/>
  <c r="O44" i="77"/>
  <c r="O49" i="77" s="1"/>
  <c r="O50" i="77" s="1"/>
  <c r="L49" i="128"/>
  <c r="L53" i="128"/>
  <c r="L54" i="128" s="1"/>
  <c r="K115" i="126"/>
  <c r="K151" i="126" s="1"/>
  <c r="K114" i="126"/>
  <c r="K150" i="126" s="1"/>
  <c r="K116" i="126"/>
  <c r="K152" i="126" s="1"/>
  <c r="K117" i="126"/>
  <c r="K153" i="126" s="1"/>
  <c r="K111" i="126"/>
  <c r="K113" i="126"/>
  <c r="K149" i="126" s="1"/>
  <c r="K112" i="126"/>
  <c r="K148" i="126" s="1"/>
  <c r="K118" i="126"/>
  <c r="K154" i="126" s="1"/>
  <c r="K119" i="126"/>
  <c r="K155" i="126" s="1"/>
  <c r="K54" i="126"/>
  <c r="L77" i="127"/>
  <c r="L78" i="127" s="1"/>
  <c r="L79" i="127" s="1"/>
  <c r="J132" i="98"/>
  <c r="F76" i="102"/>
  <c r="H77" i="102" s="1"/>
  <c r="O14" i="102"/>
  <c r="R14" i="102" s="1"/>
  <c r="E9" i="122" s="1"/>
  <c r="P143" i="93"/>
  <c r="O143" i="93"/>
  <c r="P136" i="93"/>
  <c r="O136" i="93"/>
  <c r="O44" i="93"/>
  <c r="O49" i="93" s="1"/>
  <c r="O50" i="93" s="1"/>
  <c r="O125" i="95"/>
  <c r="P125" i="95"/>
  <c r="O44" i="95"/>
  <c r="O131" i="100"/>
  <c r="P131" i="100"/>
  <c r="P126" i="100"/>
  <c r="O126" i="100"/>
  <c r="P125" i="100"/>
  <c r="O125" i="100"/>
  <c r="M119" i="104"/>
  <c r="M155" i="104" s="1"/>
  <c r="M113" i="104"/>
  <c r="M149" i="104" s="1"/>
  <c r="M115" i="104"/>
  <c r="M151" i="104" s="1"/>
  <c r="M118" i="104"/>
  <c r="M154" i="104" s="1"/>
  <c r="M116" i="104"/>
  <c r="M152" i="104" s="1"/>
  <c r="M111" i="104"/>
  <c r="M114" i="104"/>
  <c r="M150" i="104" s="1"/>
  <c r="M112" i="104"/>
  <c r="M117" i="104"/>
  <c r="M54" i="104"/>
  <c r="K115" i="96"/>
  <c r="K151" i="96" s="1"/>
  <c r="K117" i="96"/>
  <c r="K153" i="96" s="1"/>
  <c r="K111" i="96"/>
  <c r="K113" i="96"/>
  <c r="K149" i="96" s="1"/>
  <c r="K114" i="96"/>
  <c r="K150" i="96" s="1"/>
  <c r="K118" i="96"/>
  <c r="K154" i="96" s="1"/>
  <c r="K119" i="96"/>
  <c r="K155" i="96" s="1"/>
  <c r="K112" i="96"/>
  <c r="K148" i="96" s="1"/>
  <c r="K116" i="96"/>
  <c r="K152" i="96" s="1"/>
  <c r="J114" i="126"/>
  <c r="J150" i="126" s="1"/>
  <c r="J118" i="126"/>
  <c r="J154" i="126" s="1"/>
  <c r="J112" i="126"/>
  <c r="J148" i="126" s="1"/>
  <c r="J116" i="126"/>
  <c r="J152" i="126" s="1"/>
  <c r="J119" i="126"/>
  <c r="J155" i="126" s="1"/>
  <c r="J113" i="126"/>
  <c r="J149" i="126" s="1"/>
  <c r="J117" i="126"/>
  <c r="J153" i="126" s="1"/>
  <c r="J111" i="126"/>
  <c r="J115" i="126"/>
  <c r="J151" i="126" s="1"/>
  <c r="J54" i="126"/>
  <c r="L151" i="75"/>
  <c r="L148" i="75"/>
  <c r="L155" i="75"/>
  <c r="K144" i="98"/>
  <c r="X12" i="133"/>
  <c r="X15" i="133"/>
  <c r="K113" i="100"/>
  <c r="K149" i="100" s="1"/>
  <c r="K114" i="100"/>
  <c r="K150" i="100" s="1"/>
  <c r="K119" i="100"/>
  <c r="K155" i="100" s="1"/>
  <c r="K111" i="100"/>
  <c r="K112" i="100"/>
  <c r="K148" i="100" s="1"/>
  <c r="K117" i="100"/>
  <c r="K153" i="100" s="1"/>
  <c r="K118" i="100"/>
  <c r="K154" i="100" s="1"/>
  <c r="K115" i="100"/>
  <c r="K151" i="100" s="1"/>
  <c r="K116" i="100"/>
  <c r="K152" i="100" s="1"/>
  <c r="J50" i="97"/>
  <c r="P138" i="91"/>
  <c r="O138" i="91"/>
  <c r="P142" i="91"/>
  <c r="O142" i="91"/>
  <c r="M120" i="127"/>
  <c r="M147" i="127"/>
  <c r="K120" i="77"/>
  <c r="K147" i="77"/>
  <c r="K151" i="77"/>
  <c r="P138" i="95"/>
  <c r="O138" i="95"/>
  <c r="P142" i="95"/>
  <c r="O142" i="95"/>
  <c r="J155" i="91"/>
  <c r="J120" i="91"/>
  <c r="J147" i="91"/>
  <c r="J154" i="91"/>
  <c r="O44" i="124"/>
  <c r="O49" i="124" s="1"/>
  <c r="O50" i="124" s="1"/>
  <c r="M132" i="97"/>
  <c r="P18" i="119"/>
  <c r="I49" i="90"/>
  <c r="I53" i="90"/>
  <c r="I54" i="90" s="1"/>
  <c r="I127" i="91"/>
  <c r="I131" i="91"/>
  <c r="O51" i="91"/>
  <c r="I126" i="91"/>
  <c r="I130" i="91"/>
  <c r="I124" i="91"/>
  <c r="I123" i="91"/>
  <c r="I125" i="91"/>
  <c r="I128" i="91"/>
  <c r="I129" i="91"/>
  <c r="P51" i="91"/>
  <c r="I54" i="91"/>
  <c r="J144" i="81"/>
  <c r="P136" i="128"/>
  <c r="O136" i="128"/>
  <c r="P141" i="128"/>
  <c r="O141" i="128"/>
  <c r="O125" i="86"/>
  <c r="P125" i="86"/>
  <c r="P127" i="86"/>
  <c r="O127" i="86"/>
  <c r="M14" i="9"/>
  <c r="L76" i="9"/>
  <c r="M149" i="129"/>
  <c r="M153" i="129"/>
  <c r="M147" i="129"/>
  <c r="P136" i="83"/>
  <c r="O136" i="83"/>
  <c r="L14" i="88"/>
  <c r="K76" i="88"/>
  <c r="O129" i="79"/>
  <c r="P129" i="79"/>
  <c r="O123" i="79"/>
  <c r="I132" i="79"/>
  <c r="P123" i="79"/>
  <c r="P128" i="79"/>
  <c r="O128" i="79"/>
  <c r="O51" i="98"/>
  <c r="P143" i="99"/>
  <c r="O143" i="99"/>
  <c r="P138" i="99"/>
  <c r="O138" i="99"/>
  <c r="P140" i="99"/>
  <c r="O140" i="99"/>
  <c r="O129" i="125"/>
  <c r="P129" i="125"/>
  <c r="P127" i="125"/>
  <c r="O127" i="125"/>
  <c r="J152" i="98"/>
  <c r="J148" i="98"/>
  <c r="M14" i="83"/>
  <c r="O129" i="74"/>
  <c r="P129" i="74"/>
  <c r="P126" i="74"/>
  <c r="O126" i="74"/>
  <c r="Y16" i="133"/>
  <c r="Y19" i="133"/>
  <c r="Y17" i="133"/>
  <c r="W18" i="133"/>
  <c r="W20" i="133"/>
  <c r="O37" i="85"/>
  <c r="P37" i="85"/>
  <c r="I76" i="85"/>
  <c r="R11" i="85"/>
  <c r="D42" i="122" s="1"/>
  <c r="K132" i="106"/>
  <c r="K144" i="129"/>
  <c r="O41" i="81"/>
  <c r="P41" i="81"/>
  <c r="O38" i="81"/>
  <c r="P38" i="81"/>
  <c r="O43" i="81"/>
  <c r="P43" i="81"/>
  <c r="J132" i="96"/>
  <c r="M155" i="93"/>
  <c r="M50" i="95"/>
  <c r="O130" i="88"/>
  <c r="P130" i="88"/>
  <c r="P125" i="88"/>
  <c r="O125" i="88"/>
  <c r="O44" i="88"/>
  <c r="O49" i="88" s="1"/>
  <c r="O50" i="88" s="1"/>
  <c r="P49" i="80"/>
  <c r="P50" i="80" s="1"/>
  <c r="K50" i="107"/>
  <c r="K132" i="92"/>
  <c r="L132" i="127"/>
  <c r="M112" i="82"/>
  <c r="M148" i="82" s="1"/>
  <c r="M111" i="82"/>
  <c r="M118" i="82"/>
  <c r="M154" i="82" s="1"/>
  <c r="M117" i="82"/>
  <c r="M153" i="82" s="1"/>
  <c r="M114" i="82"/>
  <c r="M150" i="82" s="1"/>
  <c r="M116" i="82"/>
  <c r="M152" i="82" s="1"/>
  <c r="M119" i="82"/>
  <c r="M155" i="82" s="1"/>
  <c r="M115" i="82"/>
  <c r="M151" i="82" s="1"/>
  <c r="M113" i="82"/>
  <c r="M149" i="82" s="1"/>
  <c r="M54" i="82"/>
  <c r="J112" i="84"/>
  <c r="J148" i="84" s="1"/>
  <c r="J116" i="84"/>
  <c r="J152" i="84" s="1"/>
  <c r="J117" i="84"/>
  <c r="J153" i="84" s="1"/>
  <c r="J113" i="84"/>
  <c r="J149" i="84" s="1"/>
  <c r="J119" i="84"/>
  <c r="J155" i="84" s="1"/>
  <c r="J118" i="84"/>
  <c r="J154" i="84" s="1"/>
  <c r="J114" i="84"/>
  <c r="J150" i="84" s="1"/>
  <c r="J111" i="84"/>
  <c r="J115" i="84"/>
  <c r="J151" i="84" s="1"/>
  <c r="L132" i="101"/>
  <c r="K114" i="95"/>
  <c r="K150" i="95" s="1"/>
  <c r="K118" i="95"/>
  <c r="K154" i="95" s="1"/>
  <c r="K111" i="95"/>
  <c r="K115" i="95"/>
  <c r="K151" i="95" s="1"/>
  <c r="K116" i="95"/>
  <c r="K152" i="95" s="1"/>
  <c r="K117" i="95"/>
  <c r="K153" i="95" s="1"/>
  <c r="K119" i="95"/>
  <c r="K155" i="95" s="1"/>
  <c r="K113" i="95"/>
  <c r="K149" i="95" s="1"/>
  <c r="K112" i="95"/>
  <c r="K148" i="95" s="1"/>
  <c r="J116" i="92"/>
  <c r="J152" i="92" s="1"/>
  <c r="J111" i="92"/>
  <c r="J112" i="92"/>
  <c r="J148" i="92" s="1"/>
  <c r="J118" i="92"/>
  <c r="J154" i="92" s="1"/>
  <c r="J117" i="92"/>
  <c r="J153" i="92" s="1"/>
  <c r="J119" i="92"/>
  <c r="J155" i="92" s="1"/>
  <c r="J114" i="92"/>
  <c r="J150" i="92" s="1"/>
  <c r="J113" i="92"/>
  <c r="J149" i="92" s="1"/>
  <c r="J115" i="92"/>
  <c r="J151" i="92" s="1"/>
  <c r="M144" i="98"/>
  <c r="Z12" i="133"/>
  <c r="J118" i="124"/>
  <c r="J154" i="124" s="1"/>
  <c r="J113" i="124"/>
  <c r="J149" i="124" s="1"/>
  <c r="J114" i="124"/>
  <c r="J150" i="124" s="1"/>
  <c r="J116" i="124"/>
  <c r="J152" i="124" s="1"/>
  <c r="J119" i="124"/>
  <c r="J155" i="124" s="1"/>
  <c r="J111" i="124"/>
  <c r="J112" i="124"/>
  <c r="J148" i="124" s="1"/>
  <c r="J115" i="124"/>
  <c r="J151" i="124" s="1"/>
  <c r="J117" i="124"/>
  <c r="J153" i="124" s="1"/>
  <c r="J132" i="129"/>
  <c r="K49" i="89"/>
  <c r="K53" i="89"/>
  <c r="K54" i="89" s="1"/>
  <c r="K23" i="133"/>
  <c r="BB23" i="133" s="1"/>
  <c r="I144" i="98"/>
  <c r="P135" i="98"/>
  <c r="O135" i="98"/>
  <c r="P138" i="98"/>
  <c r="O138" i="98"/>
  <c r="I77" i="125"/>
  <c r="P76" i="125"/>
  <c r="P137" i="102"/>
  <c r="O137" i="102"/>
  <c r="P140" i="102"/>
  <c r="O140" i="102"/>
  <c r="P143" i="102"/>
  <c r="O143" i="102"/>
  <c r="H10" i="119"/>
  <c r="L128" i="98"/>
  <c r="L123" i="98"/>
  <c r="L124" i="98"/>
  <c r="L130" i="98"/>
  <c r="L129" i="98"/>
  <c r="L131" i="98"/>
  <c r="L126" i="98"/>
  <c r="L125" i="98"/>
  <c r="O125" i="98" s="1"/>
  <c r="L127" i="98"/>
  <c r="I127" i="129"/>
  <c r="I131" i="129"/>
  <c r="P51" i="129"/>
  <c r="I126" i="129"/>
  <c r="I128" i="129"/>
  <c r="I125" i="129"/>
  <c r="I123" i="129"/>
  <c r="I130" i="129"/>
  <c r="I124" i="129"/>
  <c r="I129" i="129"/>
  <c r="O51" i="129"/>
  <c r="L132" i="93"/>
  <c r="M50" i="99"/>
  <c r="J132" i="84"/>
  <c r="I136" i="78"/>
  <c r="I142" i="78"/>
  <c r="I141" i="78"/>
  <c r="I140" i="78"/>
  <c r="I139" i="78"/>
  <c r="I138" i="78"/>
  <c r="I137" i="78"/>
  <c r="I143" i="78"/>
  <c r="P52" i="78"/>
  <c r="I135" i="78"/>
  <c r="O52" i="78"/>
  <c r="L57" i="108"/>
  <c r="O21" i="133"/>
  <c r="P51" i="109"/>
  <c r="O51" i="109"/>
  <c r="L76" i="109"/>
  <c r="N14" i="109"/>
  <c r="N76" i="109" s="1"/>
  <c r="K50" i="91"/>
  <c r="L49" i="103"/>
  <c r="L53" i="103"/>
  <c r="L54" i="103" s="1"/>
  <c r="P35" i="89"/>
  <c r="O35" i="89"/>
  <c r="K132" i="83"/>
  <c r="I129" i="87"/>
  <c r="I130" i="87"/>
  <c r="I128" i="87"/>
  <c r="I126" i="87"/>
  <c r="I127" i="87"/>
  <c r="O51" i="87"/>
  <c r="I123" i="87"/>
  <c r="I124" i="87"/>
  <c r="P51" i="87"/>
  <c r="I125" i="87"/>
  <c r="I131" i="87"/>
  <c r="P44" i="87"/>
  <c r="J111" i="80"/>
  <c r="J115" i="80"/>
  <c r="J151" i="80" s="1"/>
  <c r="J112" i="80"/>
  <c r="J148" i="80" s="1"/>
  <c r="J114" i="80"/>
  <c r="J150" i="80" s="1"/>
  <c r="J119" i="80"/>
  <c r="J155" i="80" s="1"/>
  <c r="J118" i="80"/>
  <c r="J154" i="80" s="1"/>
  <c r="J113" i="80"/>
  <c r="J149" i="80" s="1"/>
  <c r="J116" i="80"/>
  <c r="J152" i="80" s="1"/>
  <c r="J117" i="80"/>
  <c r="J153" i="80" s="1"/>
  <c r="Q18" i="119"/>
  <c r="O44" i="92"/>
  <c r="L148" i="129"/>
  <c r="L155" i="129"/>
  <c r="K117" i="94"/>
  <c r="K153" i="94" s="1"/>
  <c r="K118" i="94"/>
  <c r="K154" i="94" s="1"/>
  <c r="K115" i="94"/>
  <c r="K151" i="94" s="1"/>
  <c r="K116" i="94"/>
  <c r="K152" i="94" s="1"/>
  <c r="K113" i="94"/>
  <c r="K149" i="94" s="1"/>
  <c r="K114" i="94"/>
  <c r="K150" i="94" s="1"/>
  <c r="K119" i="94"/>
  <c r="K155" i="94" s="1"/>
  <c r="K111" i="94"/>
  <c r="K112" i="94"/>
  <c r="K148" i="94" s="1"/>
  <c r="P44" i="94"/>
  <c r="I128" i="104"/>
  <c r="I130" i="104"/>
  <c r="O51" i="104"/>
  <c r="I123" i="104"/>
  <c r="I131" i="104"/>
  <c r="I124" i="104"/>
  <c r="I126" i="104"/>
  <c r="I129" i="104"/>
  <c r="I125" i="104"/>
  <c r="I127" i="104"/>
  <c r="P51" i="104"/>
  <c r="M50" i="83"/>
  <c r="I143" i="77"/>
  <c r="I140" i="77"/>
  <c r="I138" i="77"/>
  <c r="I137" i="77"/>
  <c r="I135" i="77"/>
  <c r="I136" i="77"/>
  <c r="I139" i="77"/>
  <c r="P52" i="77"/>
  <c r="I141" i="77"/>
  <c r="I142" i="77"/>
  <c r="O52" i="77"/>
  <c r="P38" i="89"/>
  <c r="H78" i="127"/>
  <c r="H79" i="127" s="1"/>
  <c r="M132" i="101"/>
  <c r="K118" i="86"/>
  <c r="K154" i="86" s="1"/>
  <c r="K119" i="86"/>
  <c r="K155" i="86" s="1"/>
  <c r="K111" i="86"/>
  <c r="K116" i="86"/>
  <c r="K152" i="86" s="1"/>
  <c r="K117" i="86"/>
  <c r="K153" i="86" s="1"/>
  <c r="K114" i="86"/>
  <c r="K150" i="86" s="1"/>
  <c r="K115" i="86"/>
  <c r="K151" i="86" s="1"/>
  <c r="K112" i="86"/>
  <c r="K148" i="86" s="1"/>
  <c r="K113" i="86"/>
  <c r="K149" i="86" s="1"/>
  <c r="K50" i="81"/>
  <c r="K54" i="95"/>
  <c r="P14" i="90"/>
  <c r="K119" i="105"/>
  <c r="K155" i="105" s="1"/>
  <c r="K112" i="105"/>
  <c r="K148" i="105" s="1"/>
  <c r="K118" i="105"/>
  <c r="K154" i="105" s="1"/>
  <c r="K115" i="105"/>
  <c r="K151" i="105" s="1"/>
  <c r="K113" i="105"/>
  <c r="K149" i="105" s="1"/>
  <c r="K116" i="105"/>
  <c r="K152" i="105" s="1"/>
  <c r="K114" i="105"/>
  <c r="K150" i="105" s="1"/>
  <c r="K111" i="105"/>
  <c r="K117" i="105"/>
  <c r="K153" i="105" s="1"/>
  <c r="K132" i="77"/>
  <c r="P44" i="106"/>
  <c r="P125" i="93"/>
  <c r="O125" i="93"/>
  <c r="O128" i="93"/>
  <c r="P128" i="93"/>
  <c r="M132" i="78"/>
  <c r="J132" i="89"/>
  <c r="M156" i="79"/>
  <c r="I44" i="103"/>
  <c r="O34" i="103"/>
  <c r="P34" i="103"/>
  <c r="O43" i="103"/>
  <c r="P43" i="103"/>
  <c r="O39" i="103"/>
  <c r="P39" i="103"/>
  <c r="I51" i="103"/>
  <c r="I48" i="103"/>
  <c r="P46" i="103"/>
  <c r="O46" i="103"/>
  <c r="O44" i="128"/>
  <c r="O49" i="128" s="1"/>
  <c r="O50" i="128" s="1"/>
  <c r="I77" i="88"/>
  <c r="M154" i="101"/>
  <c r="M149" i="101"/>
  <c r="P130" i="80"/>
  <c r="O130" i="80"/>
  <c r="O129" i="80"/>
  <c r="P129" i="80"/>
  <c r="K50" i="90"/>
  <c r="I142" i="79"/>
  <c r="I140" i="79"/>
  <c r="P52" i="79"/>
  <c r="I136" i="79"/>
  <c r="I143" i="79"/>
  <c r="I138" i="79"/>
  <c r="I141" i="79"/>
  <c r="I137" i="79"/>
  <c r="I135" i="79"/>
  <c r="I139" i="79"/>
  <c r="O52" i="79"/>
  <c r="K54" i="94"/>
  <c r="J117" i="123"/>
  <c r="J153" i="123" s="1"/>
  <c r="J119" i="123"/>
  <c r="J155" i="123" s="1"/>
  <c r="J112" i="123"/>
  <c r="J148" i="123" s="1"/>
  <c r="J114" i="123"/>
  <c r="J150" i="123" s="1"/>
  <c r="J116" i="123"/>
  <c r="J152" i="123" s="1"/>
  <c r="J113" i="123"/>
  <c r="J149" i="123" s="1"/>
  <c r="J118" i="123"/>
  <c r="J154" i="123" s="1"/>
  <c r="J111" i="123"/>
  <c r="J115" i="123"/>
  <c r="J151" i="123" s="1"/>
  <c r="J50" i="82"/>
  <c r="J132" i="92"/>
  <c r="O14" i="99"/>
  <c r="R14" i="99" s="1"/>
  <c r="E6" i="122" s="1"/>
  <c r="F76" i="99"/>
  <c r="J54" i="124"/>
  <c r="M49" i="85"/>
  <c r="M53" i="85"/>
  <c r="M54" i="85" s="1"/>
  <c r="K144" i="89"/>
  <c r="O139" i="127"/>
  <c r="P139" i="127"/>
  <c r="P142" i="127"/>
  <c r="O142" i="127"/>
  <c r="J132" i="88"/>
  <c r="I132" i="102"/>
  <c r="P76" i="100"/>
  <c r="O44" i="75"/>
  <c r="M50" i="84"/>
  <c r="P44" i="129"/>
  <c r="P49" i="129" s="1"/>
  <c r="P50" i="129" s="1"/>
  <c r="O44" i="96"/>
  <c r="O49" i="96" s="1"/>
  <c r="O50" i="96" s="1"/>
  <c r="M117" i="78"/>
  <c r="M111" i="78"/>
  <c r="M113" i="78"/>
  <c r="M149" i="78" s="1"/>
  <c r="M118" i="78"/>
  <c r="M115" i="78"/>
  <c r="M151" i="78" s="1"/>
  <c r="M114" i="78"/>
  <c r="M150" i="78" s="1"/>
  <c r="M112" i="78"/>
  <c r="M148" i="78" s="1"/>
  <c r="M116" i="78"/>
  <c r="M152" i="78" s="1"/>
  <c r="M119" i="78"/>
  <c r="M155" i="78" s="1"/>
  <c r="P44" i="123"/>
  <c r="P44" i="99"/>
  <c r="P14" i="89"/>
  <c r="I76" i="89"/>
  <c r="J50" i="96"/>
  <c r="I129" i="126"/>
  <c r="I131" i="126"/>
  <c r="I124" i="126"/>
  <c r="I126" i="126"/>
  <c r="I125" i="126"/>
  <c r="I123" i="126"/>
  <c r="I127" i="126"/>
  <c r="P51" i="126"/>
  <c r="I130" i="126"/>
  <c r="I128" i="126"/>
  <c r="O51" i="126"/>
  <c r="L132" i="105"/>
  <c r="P76" i="98"/>
  <c r="L132" i="9"/>
  <c r="J118" i="77"/>
  <c r="J154" i="77" s="1"/>
  <c r="J113" i="77"/>
  <c r="J149" i="77" s="1"/>
  <c r="J112" i="77"/>
  <c r="J148" i="77" s="1"/>
  <c r="J114" i="77"/>
  <c r="J150" i="77" s="1"/>
  <c r="J116" i="77"/>
  <c r="J152" i="77" s="1"/>
  <c r="J111" i="77"/>
  <c r="J119" i="77"/>
  <c r="J155" i="77" s="1"/>
  <c r="J117" i="77"/>
  <c r="J153" i="77" s="1"/>
  <c r="J115" i="77"/>
  <c r="J151" i="77" s="1"/>
  <c r="J54" i="77"/>
  <c r="O140" i="94"/>
  <c r="P140" i="94"/>
  <c r="P137" i="94"/>
  <c r="O137" i="94"/>
  <c r="P141" i="94"/>
  <c r="O141" i="94"/>
  <c r="K147" i="127"/>
  <c r="K156" i="127" s="1"/>
  <c r="K120" i="127"/>
  <c r="I141" i="104"/>
  <c r="I136" i="104"/>
  <c r="I139" i="104"/>
  <c r="I135" i="104"/>
  <c r="I142" i="104"/>
  <c r="P52" i="104"/>
  <c r="I137" i="104"/>
  <c r="I143" i="104"/>
  <c r="I138" i="104"/>
  <c r="I140" i="104"/>
  <c r="O52" i="104"/>
  <c r="P44" i="104"/>
  <c r="L50" i="101"/>
  <c r="O41" i="89"/>
  <c r="M50" i="92"/>
  <c r="J132" i="127"/>
  <c r="J49" i="102"/>
  <c r="J53" i="102"/>
  <c r="O48" i="106"/>
  <c r="I49" i="100"/>
  <c r="I53" i="100"/>
  <c r="K50" i="75"/>
  <c r="M132" i="123"/>
  <c r="K50" i="101"/>
  <c r="L50" i="97"/>
  <c r="L150" i="105"/>
  <c r="L152" i="105"/>
  <c r="M132" i="86"/>
  <c r="AS10" i="16"/>
  <c r="P48" i="83"/>
  <c r="L118" i="74"/>
  <c r="L154" i="74" s="1"/>
  <c r="L114" i="74"/>
  <c r="L150" i="74" s="1"/>
  <c r="L113" i="74"/>
  <c r="L149" i="74" s="1"/>
  <c r="L115" i="74"/>
  <c r="L151" i="74" s="1"/>
  <c r="L117" i="74"/>
  <c r="L153" i="74" s="1"/>
  <c r="L116" i="74"/>
  <c r="L152" i="74" s="1"/>
  <c r="L111" i="74"/>
  <c r="L112" i="74"/>
  <c r="L148" i="74" s="1"/>
  <c r="L119" i="74"/>
  <c r="L155" i="74" s="1"/>
  <c r="M150" i="75"/>
  <c r="M153" i="75"/>
  <c r="L50" i="91"/>
  <c r="K50" i="84"/>
  <c r="BA21" i="133"/>
  <c r="M152" i="123"/>
  <c r="M148" i="123"/>
  <c r="K50" i="124"/>
  <c r="J50" i="83"/>
  <c r="P48" i="108"/>
  <c r="I49" i="108"/>
  <c r="I53" i="108"/>
  <c r="M50" i="105"/>
  <c r="P139" i="86"/>
  <c r="O139" i="86"/>
  <c r="P140" i="86"/>
  <c r="O140" i="86"/>
  <c r="P143" i="86"/>
  <c r="O143" i="86"/>
  <c r="L50" i="84"/>
  <c r="I76" i="128"/>
  <c r="P14" i="128"/>
  <c r="O48" i="98"/>
  <c r="I49" i="98"/>
  <c r="I53" i="98"/>
  <c r="P140" i="75"/>
  <c r="O140" i="75"/>
  <c r="P142" i="75"/>
  <c r="O142" i="75"/>
  <c r="P139" i="75"/>
  <c r="O139" i="75"/>
  <c r="P125" i="96"/>
  <c r="O125" i="96"/>
  <c r="O124" i="96"/>
  <c r="P124" i="96"/>
  <c r="I49" i="84"/>
  <c r="I53" i="84"/>
  <c r="P44" i="78"/>
  <c r="P49" i="78" s="1"/>
  <c r="P50" i="78" s="1"/>
  <c r="L132" i="81"/>
  <c r="P126" i="9"/>
  <c r="O126" i="9"/>
  <c r="O130" i="9"/>
  <c r="P130" i="9"/>
  <c r="P44" i="9"/>
  <c r="P49" i="9" s="1"/>
  <c r="P50" i="9" s="1"/>
  <c r="J50" i="94"/>
  <c r="F76" i="98"/>
  <c r="O14" i="98"/>
  <c r="R14" i="98" s="1"/>
  <c r="E5" i="122" s="1"/>
  <c r="L132" i="83"/>
  <c r="K152" i="79"/>
  <c r="K150" i="79"/>
  <c r="P44" i="76"/>
  <c r="M50" i="121"/>
  <c r="O48" i="82"/>
  <c r="K50" i="125"/>
  <c r="J50" i="86"/>
  <c r="J50" i="101"/>
  <c r="I49" i="101"/>
  <c r="I53" i="101"/>
  <c r="M50" i="107"/>
  <c r="O38" i="110"/>
  <c r="P38" i="110"/>
  <c r="P36" i="110"/>
  <c r="O36" i="110"/>
  <c r="J14" i="110"/>
  <c r="I76" i="110"/>
  <c r="P47" i="110"/>
  <c r="O47" i="110"/>
  <c r="K49" i="106"/>
  <c r="K53" i="106"/>
  <c r="J126" i="81"/>
  <c r="J150" i="81" s="1"/>
  <c r="J124" i="81"/>
  <c r="J148" i="81" s="1"/>
  <c r="J130" i="81"/>
  <c r="J154" i="81" s="1"/>
  <c r="J123" i="81"/>
  <c r="J128" i="81"/>
  <c r="J152" i="81" s="1"/>
  <c r="J131" i="81"/>
  <c r="J155" i="81" s="1"/>
  <c r="J129" i="81"/>
  <c r="J127" i="81"/>
  <c r="J151" i="81" s="1"/>
  <c r="J125" i="81"/>
  <c r="J149" i="81" s="1"/>
  <c r="J54" i="81"/>
  <c r="K77" i="83"/>
  <c r="K78" i="83" s="1"/>
  <c r="K79" i="83" s="1"/>
  <c r="I49" i="83"/>
  <c r="I53" i="83"/>
  <c r="L132" i="95"/>
  <c r="K112" i="102"/>
  <c r="K148" i="102" s="1"/>
  <c r="K111" i="102"/>
  <c r="K118" i="102"/>
  <c r="K154" i="102" s="1"/>
  <c r="K119" i="102"/>
  <c r="K155" i="102" s="1"/>
  <c r="K114" i="102"/>
  <c r="K150" i="102" s="1"/>
  <c r="K116" i="102"/>
  <c r="K152" i="102" s="1"/>
  <c r="K117" i="102"/>
  <c r="K153" i="102" s="1"/>
  <c r="K113" i="102"/>
  <c r="K149" i="102" s="1"/>
  <c r="K115" i="102"/>
  <c r="K151" i="102" s="1"/>
  <c r="K54" i="102"/>
  <c r="L50" i="96"/>
  <c r="J54" i="86"/>
  <c r="J132" i="86"/>
  <c r="J50" i="107"/>
  <c r="P76" i="99"/>
  <c r="J111" i="79"/>
  <c r="J116" i="79"/>
  <c r="J152" i="79" s="1"/>
  <c r="J112" i="79"/>
  <c r="J148" i="79" s="1"/>
  <c r="J119" i="79"/>
  <c r="J155" i="79" s="1"/>
  <c r="J117" i="79"/>
  <c r="J153" i="79" s="1"/>
  <c r="J118" i="79"/>
  <c r="J154" i="79" s="1"/>
  <c r="J115" i="79"/>
  <c r="J151" i="79" s="1"/>
  <c r="J113" i="79"/>
  <c r="J149" i="79" s="1"/>
  <c r="J114" i="79"/>
  <c r="J150" i="79" s="1"/>
  <c r="M111" i="88"/>
  <c r="M113" i="88"/>
  <c r="M149" i="88" s="1"/>
  <c r="M117" i="88"/>
  <c r="M153" i="88" s="1"/>
  <c r="M119" i="88"/>
  <c r="M155" i="88" s="1"/>
  <c r="M118" i="88"/>
  <c r="M154" i="88" s="1"/>
  <c r="M114" i="88"/>
  <c r="M150" i="88" s="1"/>
  <c r="M112" i="88"/>
  <c r="M148" i="88" s="1"/>
  <c r="M115" i="88"/>
  <c r="M151" i="88" s="1"/>
  <c r="M116" i="88"/>
  <c r="M152" i="88" s="1"/>
  <c r="M54" i="88"/>
  <c r="J49" i="129"/>
  <c r="J53" i="129"/>
  <c r="K50" i="9"/>
  <c r="AS13" i="16"/>
  <c r="J50" i="100"/>
  <c r="K50" i="97"/>
  <c r="O48" i="123"/>
  <c r="O124" i="84"/>
  <c r="P124" i="84"/>
  <c r="O126" i="84"/>
  <c r="P126" i="84"/>
  <c r="O128" i="84"/>
  <c r="P128" i="84"/>
  <c r="I49" i="107"/>
  <c r="I53" i="107"/>
  <c r="P48" i="99"/>
  <c r="O44" i="99"/>
  <c r="P44" i="109"/>
  <c r="P49" i="109" s="1"/>
  <c r="P50" i="109" s="1"/>
  <c r="O48" i="105"/>
  <c r="J144" i="106"/>
  <c r="J49" i="106"/>
  <c r="J53" i="106"/>
  <c r="J54" i="106" s="1"/>
  <c r="K50" i="83"/>
  <c r="O48" i="126"/>
  <c r="O44" i="126"/>
  <c r="L54" i="107"/>
  <c r="K113" i="87"/>
  <c r="K149" i="87" s="1"/>
  <c r="K115" i="87"/>
  <c r="K151" i="87" s="1"/>
  <c r="K114" i="87"/>
  <c r="K150" i="87" s="1"/>
  <c r="K116" i="87"/>
  <c r="K152" i="87" s="1"/>
  <c r="K111" i="87"/>
  <c r="K112" i="87"/>
  <c r="K148" i="87" s="1"/>
  <c r="K117" i="87"/>
  <c r="K153" i="87" s="1"/>
  <c r="K119" i="87"/>
  <c r="K155" i="87" s="1"/>
  <c r="K118" i="87"/>
  <c r="K154" i="87" s="1"/>
  <c r="I22" i="133"/>
  <c r="AZ22" i="133" s="1"/>
  <c r="J54" i="110"/>
  <c r="F76" i="101"/>
  <c r="O14" i="101"/>
  <c r="R14" i="101" s="1"/>
  <c r="E8" i="122" s="1"/>
  <c r="K120" i="74"/>
  <c r="K147" i="74"/>
  <c r="K149" i="74"/>
  <c r="P143" i="92"/>
  <c r="O143" i="92"/>
  <c r="L155" i="88"/>
  <c r="L120" i="88"/>
  <c r="L147" i="88"/>
  <c r="O48" i="76"/>
  <c r="J114" i="76"/>
  <c r="J150" i="76" s="1"/>
  <c r="J119" i="76"/>
  <c r="J155" i="76" s="1"/>
  <c r="J111" i="76"/>
  <c r="J115" i="76"/>
  <c r="J151" i="76" s="1"/>
  <c r="J118" i="76"/>
  <c r="J154" i="76" s="1"/>
  <c r="J116" i="76"/>
  <c r="J152" i="76" s="1"/>
  <c r="J112" i="76"/>
  <c r="J148" i="76" s="1"/>
  <c r="J117" i="76"/>
  <c r="J153" i="76" s="1"/>
  <c r="J113" i="76"/>
  <c r="J149" i="76" s="1"/>
  <c r="J54" i="76"/>
  <c r="L151" i="89"/>
  <c r="L147" i="89"/>
  <c r="L120" i="89"/>
  <c r="K147" i="99"/>
  <c r="K156" i="99" s="1"/>
  <c r="K120" i="99"/>
  <c r="O124" i="77"/>
  <c r="P124" i="77"/>
  <c r="O129" i="77"/>
  <c r="P129" i="77"/>
  <c r="P127" i="77"/>
  <c r="O127" i="77"/>
  <c r="P44" i="77"/>
  <c r="P49" i="77" s="1"/>
  <c r="P50" i="77" s="1"/>
  <c r="M132" i="89"/>
  <c r="P42" i="89"/>
  <c r="K50" i="126"/>
  <c r="M114" i="81"/>
  <c r="M150" i="81" s="1"/>
  <c r="M111" i="81"/>
  <c r="M118" i="81"/>
  <c r="M154" i="81" s="1"/>
  <c r="M116" i="81"/>
  <c r="M152" i="81" s="1"/>
  <c r="M112" i="81"/>
  <c r="M148" i="81" s="1"/>
  <c r="M117" i="81"/>
  <c r="M153" i="81" s="1"/>
  <c r="M115" i="81"/>
  <c r="M151" i="81" s="1"/>
  <c r="M113" i="81"/>
  <c r="M149" i="81" s="1"/>
  <c r="M119" i="81"/>
  <c r="M155" i="81" s="1"/>
  <c r="M54" i="81"/>
  <c r="P138" i="93"/>
  <c r="O138" i="93"/>
  <c r="P140" i="93"/>
  <c r="O140" i="93"/>
  <c r="I49" i="93"/>
  <c r="I53" i="93"/>
  <c r="O124" i="95"/>
  <c r="P124" i="95"/>
  <c r="O128" i="95"/>
  <c r="P128" i="95"/>
  <c r="P44" i="95"/>
  <c r="P127" i="100"/>
  <c r="O127" i="100"/>
  <c r="P124" i="100"/>
  <c r="O124" i="100"/>
  <c r="J54" i="100"/>
  <c r="J132" i="100"/>
  <c r="M50" i="104"/>
  <c r="K50" i="96"/>
  <c r="J50" i="126"/>
  <c r="L147" i="75"/>
  <c r="L120" i="75"/>
  <c r="L153" i="75"/>
  <c r="M117" i="91"/>
  <c r="M153" i="91" s="1"/>
  <c r="M118" i="91"/>
  <c r="M154" i="91" s="1"/>
  <c r="M114" i="91"/>
  <c r="M112" i="91"/>
  <c r="M148" i="91" s="1"/>
  <c r="M119" i="91"/>
  <c r="M155" i="91" s="1"/>
  <c r="M113" i="91"/>
  <c r="M149" i="91" s="1"/>
  <c r="M115" i="91"/>
  <c r="M151" i="91" s="1"/>
  <c r="M116" i="91"/>
  <c r="M152" i="91" s="1"/>
  <c r="M111" i="91"/>
  <c r="M54" i="91"/>
  <c r="X18" i="133"/>
  <c r="X20" i="133"/>
  <c r="K49" i="98"/>
  <c r="K53" i="98"/>
  <c r="K54" i="98" s="1"/>
  <c r="K50" i="100"/>
  <c r="P137" i="91"/>
  <c r="O137" i="91"/>
  <c r="P135" i="91"/>
  <c r="I144" i="91"/>
  <c r="O135" i="91"/>
  <c r="M153" i="127"/>
  <c r="K153" i="77"/>
  <c r="K152" i="77"/>
  <c r="K154" i="77"/>
  <c r="P136" i="95"/>
  <c r="O136" i="95"/>
  <c r="P139" i="95"/>
  <c r="O139" i="95"/>
  <c r="J149" i="91"/>
  <c r="J150" i="91"/>
  <c r="L119" i="127"/>
  <c r="L155" i="127" s="1"/>
  <c r="L111" i="127"/>
  <c r="L114" i="127"/>
  <c r="L150" i="127" s="1"/>
  <c r="L117" i="127"/>
  <c r="L153" i="127" s="1"/>
  <c r="L118" i="127"/>
  <c r="L154" i="127" s="1"/>
  <c r="L115" i="127"/>
  <c r="L151" i="127" s="1"/>
  <c r="L113" i="127"/>
  <c r="L149" i="127" s="1"/>
  <c r="L116" i="127"/>
  <c r="L152" i="127" s="1"/>
  <c r="L112" i="127"/>
  <c r="L148" i="127" s="1"/>
  <c r="I49" i="124"/>
  <c r="I53" i="124"/>
  <c r="I54" i="124" s="1"/>
  <c r="L120" i="100"/>
  <c r="L147" i="100"/>
  <c r="L156" i="100" s="1"/>
  <c r="O48" i="91"/>
  <c r="M132" i="125"/>
  <c r="K120" i="85"/>
  <c r="P143" i="128"/>
  <c r="O143" i="128"/>
  <c r="P139" i="128"/>
  <c r="O139" i="128"/>
  <c r="P126" i="86"/>
  <c r="O126" i="86"/>
  <c r="O123" i="86"/>
  <c r="I132" i="86"/>
  <c r="P123" i="86"/>
  <c r="K77" i="9"/>
  <c r="K78" i="9" s="1"/>
  <c r="K79" i="9" s="1"/>
  <c r="M150" i="129"/>
  <c r="P138" i="83"/>
  <c r="O138" i="83"/>
  <c r="P143" i="83"/>
  <c r="O143" i="83"/>
  <c r="P131" i="79"/>
  <c r="O131" i="79"/>
  <c r="P126" i="79"/>
  <c r="O126" i="79"/>
  <c r="I132" i="98"/>
  <c r="P137" i="99"/>
  <c r="O137" i="99"/>
  <c r="P139" i="99"/>
  <c r="O139" i="99"/>
  <c r="O126" i="125"/>
  <c r="P126" i="125"/>
  <c r="O130" i="125"/>
  <c r="J150" i="98"/>
  <c r="J151" i="98"/>
  <c r="P131" i="74"/>
  <c r="O131" i="74"/>
  <c r="P125" i="74"/>
  <c r="O125" i="74"/>
  <c r="Y15" i="133"/>
  <c r="Y18" i="133"/>
  <c r="W16" i="133"/>
  <c r="W17" i="133"/>
  <c r="M144" i="129"/>
  <c r="K14" i="85"/>
  <c r="L14" i="85" s="1"/>
  <c r="L76" i="85" s="1"/>
  <c r="J76" i="85"/>
  <c r="O38" i="85"/>
  <c r="P38" i="85"/>
  <c r="O35" i="85"/>
  <c r="P35" i="85"/>
  <c r="I142" i="85"/>
  <c r="I140" i="85"/>
  <c r="O52" i="85"/>
  <c r="I136" i="85"/>
  <c r="I139" i="85"/>
  <c r="I143" i="85"/>
  <c r="I135" i="85"/>
  <c r="I137" i="85"/>
  <c r="I141" i="85"/>
  <c r="I138" i="85"/>
  <c r="P52" i="85"/>
  <c r="I76" i="81"/>
  <c r="O37" i="81"/>
  <c r="P37" i="81"/>
  <c r="O35" i="81"/>
  <c r="P35" i="81"/>
  <c r="P47" i="81"/>
  <c r="O47" i="81"/>
  <c r="J50" i="81"/>
  <c r="J153" i="81"/>
  <c r="L132" i="86"/>
  <c r="M151" i="93"/>
  <c r="P129" i="88"/>
  <c r="O129" i="88"/>
  <c r="P127" i="88"/>
  <c r="O127" i="88"/>
  <c r="O131" i="88"/>
  <c r="P131" i="88"/>
  <c r="I49" i="80"/>
  <c r="I53" i="80"/>
  <c r="J76" i="108"/>
  <c r="J50" i="84"/>
  <c r="K119" i="80"/>
  <c r="K155" i="80" s="1"/>
  <c r="K112" i="80"/>
  <c r="K148" i="80" s="1"/>
  <c r="K115" i="80"/>
  <c r="K151" i="80" s="1"/>
  <c r="K117" i="80"/>
  <c r="K153" i="80" s="1"/>
  <c r="K118" i="80"/>
  <c r="K154" i="80" s="1"/>
  <c r="K111" i="80"/>
  <c r="K113" i="80"/>
  <c r="K149" i="80" s="1"/>
  <c r="K114" i="80"/>
  <c r="K150" i="80" s="1"/>
  <c r="K116" i="80"/>
  <c r="K152" i="80" s="1"/>
  <c r="K50" i="95"/>
  <c r="J50" i="92"/>
  <c r="J50" i="124"/>
  <c r="L128" i="106"/>
  <c r="L123" i="106"/>
  <c r="L124" i="106"/>
  <c r="L130" i="106"/>
  <c r="L129" i="106"/>
  <c r="L131" i="106"/>
  <c r="L126" i="106"/>
  <c r="L125" i="106"/>
  <c r="L127" i="106"/>
  <c r="L50" i="107"/>
  <c r="P137" i="98"/>
  <c r="O137" i="98"/>
  <c r="O136" i="98"/>
  <c r="P136" i="98"/>
  <c r="P139" i="98"/>
  <c r="O139" i="98"/>
  <c r="P136" i="102"/>
  <c r="O136" i="102"/>
  <c r="O141" i="102"/>
  <c r="P141" i="102"/>
  <c r="F76" i="100"/>
  <c r="O14" i="100"/>
  <c r="R14" i="100" s="1"/>
  <c r="E7" i="122" s="1"/>
  <c r="J76" i="96"/>
  <c r="K14" i="96"/>
  <c r="K76" i="96" s="1"/>
  <c r="O44" i="78"/>
  <c r="I143" i="84"/>
  <c r="I137" i="84"/>
  <c r="I138" i="84"/>
  <c r="I141" i="84"/>
  <c r="I140" i="84"/>
  <c r="P52" i="84"/>
  <c r="I135" i="84"/>
  <c r="I142" i="84"/>
  <c r="I139" i="84"/>
  <c r="I136" i="84"/>
  <c r="O52" i="84"/>
  <c r="J132" i="74"/>
  <c r="P49" i="121"/>
  <c r="P50" i="121" s="1"/>
  <c r="F10" i="119"/>
  <c r="J129" i="106"/>
  <c r="P129" i="106" s="1"/>
  <c r="J131" i="106"/>
  <c r="P131" i="106" s="1"/>
  <c r="J125" i="106"/>
  <c r="J127" i="106"/>
  <c r="J130" i="106"/>
  <c r="J128" i="106"/>
  <c r="J123" i="106"/>
  <c r="P123" i="106" s="1"/>
  <c r="J126" i="106"/>
  <c r="J124" i="106"/>
  <c r="O40" i="89"/>
  <c r="P40" i="89"/>
  <c r="I52" i="89"/>
  <c r="E11" i="119" s="1"/>
  <c r="P47" i="89"/>
  <c r="O47" i="89"/>
  <c r="I77" i="9"/>
  <c r="I78" i="9" s="1"/>
  <c r="L116" i="99"/>
  <c r="L152" i="99" s="1"/>
  <c r="L113" i="99"/>
  <c r="L149" i="99" s="1"/>
  <c r="L115" i="99"/>
  <c r="L151" i="99" s="1"/>
  <c r="L112" i="99"/>
  <c r="L148" i="99" s="1"/>
  <c r="L119" i="99"/>
  <c r="L155" i="99" s="1"/>
  <c r="L118" i="99"/>
  <c r="L154" i="99" s="1"/>
  <c r="L111" i="99"/>
  <c r="L114" i="99"/>
  <c r="L150" i="99" s="1"/>
  <c r="L117" i="99"/>
  <c r="L153" i="99" s="1"/>
  <c r="L54" i="99"/>
  <c r="M132" i="96"/>
  <c r="J50" i="80"/>
  <c r="K132" i="74"/>
  <c r="J120" i="105"/>
  <c r="J147" i="105"/>
  <c r="J156" i="105" s="1"/>
  <c r="K50" i="94"/>
  <c r="I49" i="94"/>
  <c r="I53" i="94"/>
  <c r="I54" i="94" s="1"/>
  <c r="I136" i="76"/>
  <c r="I139" i="76"/>
  <c r="I141" i="76"/>
  <c r="I138" i="76"/>
  <c r="I140" i="76"/>
  <c r="I142" i="76"/>
  <c r="I135" i="76"/>
  <c r="I137" i="76"/>
  <c r="I143" i="76"/>
  <c r="P52" i="76"/>
  <c r="O52" i="76"/>
  <c r="O44" i="82"/>
  <c r="K112" i="88"/>
  <c r="K148" i="88" s="1"/>
  <c r="K113" i="88"/>
  <c r="K149" i="88" s="1"/>
  <c r="K111" i="88"/>
  <c r="K118" i="88"/>
  <c r="K154" i="88" s="1"/>
  <c r="K119" i="88"/>
  <c r="K155" i="88" s="1"/>
  <c r="K116" i="88"/>
  <c r="K152" i="88" s="1"/>
  <c r="K117" i="88"/>
  <c r="K153" i="88" s="1"/>
  <c r="K114" i="88"/>
  <c r="K150" i="88" s="1"/>
  <c r="K115" i="88"/>
  <c r="K151" i="88" s="1"/>
  <c r="L132" i="89"/>
  <c r="M132" i="9"/>
  <c r="L120" i="123"/>
  <c r="L147" i="123"/>
  <c r="L156" i="123" s="1"/>
  <c r="M114" i="102"/>
  <c r="M150" i="102" s="1"/>
  <c r="M115" i="102"/>
  <c r="M151" i="102" s="1"/>
  <c r="M116" i="102"/>
  <c r="M152" i="102" s="1"/>
  <c r="M113" i="102"/>
  <c r="M149" i="102" s="1"/>
  <c r="M112" i="102"/>
  <c r="M148" i="102" s="1"/>
  <c r="M117" i="102"/>
  <c r="M153" i="102" s="1"/>
  <c r="M119" i="102"/>
  <c r="M155" i="102" s="1"/>
  <c r="M118" i="102"/>
  <c r="M111" i="102"/>
  <c r="M54" i="102"/>
  <c r="R22" i="133"/>
  <c r="R29" i="133" s="1"/>
  <c r="BB21" i="133"/>
  <c r="K50" i="86"/>
  <c r="J114" i="75"/>
  <c r="J150" i="75" s="1"/>
  <c r="J117" i="75"/>
  <c r="J153" i="75" s="1"/>
  <c r="J113" i="75"/>
  <c r="J149" i="75" s="1"/>
  <c r="J112" i="75"/>
  <c r="J148" i="75" s="1"/>
  <c r="J115" i="75"/>
  <c r="J151" i="75" s="1"/>
  <c r="J119" i="75"/>
  <c r="J155" i="75" s="1"/>
  <c r="J116" i="75"/>
  <c r="J152" i="75" s="1"/>
  <c r="J118" i="75"/>
  <c r="J154" i="75" s="1"/>
  <c r="J111" i="75"/>
  <c r="K50" i="105"/>
  <c r="O44" i="106"/>
  <c r="P129" i="93"/>
  <c r="O129" i="93"/>
  <c r="P126" i="93"/>
  <c r="O126" i="93"/>
  <c r="P124" i="93"/>
  <c r="O124" i="93"/>
  <c r="P38" i="103"/>
  <c r="O38" i="103"/>
  <c r="O35" i="103"/>
  <c r="P35" i="103"/>
  <c r="R11" i="103"/>
  <c r="D10" i="122" s="1"/>
  <c r="M111" i="128"/>
  <c r="M115" i="128"/>
  <c r="M151" i="128" s="1"/>
  <c r="M114" i="128"/>
  <c r="M150" i="128" s="1"/>
  <c r="M112" i="128"/>
  <c r="M118" i="128"/>
  <c r="M154" i="128" s="1"/>
  <c r="M116" i="128"/>
  <c r="M152" i="128" s="1"/>
  <c r="M117" i="128"/>
  <c r="M153" i="128" s="1"/>
  <c r="M119" i="128"/>
  <c r="M155" i="128" s="1"/>
  <c r="M113" i="128"/>
  <c r="M149" i="128" s="1"/>
  <c r="M54" i="128"/>
  <c r="P44" i="128"/>
  <c r="P49" i="128" s="1"/>
  <c r="P50" i="128" s="1"/>
  <c r="M155" i="101"/>
  <c r="M153" i="101"/>
  <c r="M152" i="101"/>
  <c r="P131" i="80"/>
  <c r="O131" i="80"/>
  <c r="I132" i="80"/>
  <c r="P123" i="80"/>
  <c r="O123" i="80"/>
  <c r="L132" i="102"/>
  <c r="J50" i="123"/>
  <c r="K54" i="80"/>
  <c r="J54" i="92"/>
  <c r="J132" i="75"/>
  <c r="S14" i="133"/>
  <c r="O34" i="85"/>
  <c r="O137" i="127"/>
  <c r="P137" i="127"/>
  <c r="O143" i="127"/>
  <c r="P143" i="127"/>
  <c r="J118" i="95"/>
  <c r="J154" i="95" s="1"/>
  <c r="J114" i="95"/>
  <c r="J150" i="95" s="1"/>
  <c r="J115" i="95"/>
  <c r="J151" i="95" s="1"/>
  <c r="J111" i="95"/>
  <c r="J119" i="95"/>
  <c r="J155" i="95" s="1"/>
  <c r="J112" i="95"/>
  <c r="J148" i="95" s="1"/>
  <c r="J113" i="95"/>
  <c r="J149" i="95" s="1"/>
  <c r="J116" i="95"/>
  <c r="J152" i="95" s="1"/>
  <c r="J117" i="95"/>
  <c r="J153" i="95" s="1"/>
  <c r="J54" i="95"/>
  <c r="I123" i="75"/>
  <c r="I131" i="75"/>
  <c r="I130" i="75"/>
  <c r="I127" i="75"/>
  <c r="I129" i="75"/>
  <c r="I126" i="75"/>
  <c r="I125" i="75"/>
  <c r="P51" i="75"/>
  <c r="I124" i="75"/>
  <c r="I128" i="75"/>
  <c r="O51" i="75"/>
  <c r="P49" i="75"/>
  <c r="P50" i="75" s="1"/>
  <c r="I141" i="129"/>
  <c r="I142" i="129"/>
  <c r="O52" i="129"/>
  <c r="I135" i="129"/>
  <c r="I139" i="129"/>
  <c r="I143" i="129"/>
  <c r="I140" i="129"/>
  <c r="I137" i="129"/>
  <c r="I138" i="129"/>
  <c r="I136" i="129"/>
  <c r="P52" i="129"/>
  <c r="O44" i="129"/>
  <c r="O49" i="129" s="1"/>
  <c r="O50" i="129" s="1"/>
  <c r="I140" i="96"/>
  <c r="I137" i="96"/>
  <c r="I135" i="96"/>
  <c r="I141" i="96"/>
  <c r="I138" i="96"/>
  <c r="I143" i="96"/>
  <c r="I136" i="96"/>
  <c r="I139" i="96"/>
  <c r="P52" i="96"/>
  <c r="I142" i="96"/>
  <c r="O52" i="96"/>
  <c r="I49" i="96"/>
  <c r="I53" i="96"/>
  <c r="I54" i="96" s="1"/>
  <c r="M50" i="78"/>
  <c r="O44" i="123"/>
  <c r="I49" i="99"/>
  <c r="I53" i="99"/>
  <c r="I54" i="99" s="1"/>
  <c r="K144" i="103"/>
  <c r="L123" i="103"/>
  <c r="L125" i="103"/>
  <c r="L131" i="103"/>
  <c r="L126" i="103"/>
  <c r="L124" i="103"/>
  <c r="L128" i="103"/>
  <c r="L127" i="103"/>
  <c r="L130" i="103"/>
  <c r="L129" i="103"/>
  <c r="I140" i="125"/>
  <c r="I141" i="125"/>
  <c r="I138" i="125"/>
  <c r="I139" i="125"/>
  <c r="I135" i="125"/>
  <c r="I137" i="125"/>
  <c r="I142" i="125"/>
  <c r="P52" i="125"/>
  <c r="I143" i="125"/>
  <c r="I136" i="125"/>
  <c r="O52" i="125"/>
  <c r="L120" i="83"/>
  <c r="L147" i="83"/>
  <c r="L156" i="83" s="1"/>
  <c r="J50" i="77"/>
  <c r="K132" i="96"/>
  <c r="P136" i="94"/>
  <c r="O136" i="94"/>
  <c r="P138" i="94"/>
  <c r="O138" i="94"/>
  <c r="P139" i="94"/>
  <c r="O139" i="94"/>
  <c r="J76" i="76"/>
  <c r="K14" i="76"/>
  <c r="I49" i="104"/>
  <c r="I53" i="104"/>
  <c r="M116" i="87"/>
  <c r="M152" i="87" s="1"/>
  <c r="M117" i="87"/>
  <c r="M118" i="87"/>
  <c r="M114" i="87"/>
  <c r="M150" i="87" s="1"/>
  <c r="M115" i="87"/>
  <c r="M151" i="87" s="1"/>
  <c r="M112" i="87"/>
  <c r="M148" i="87" s="1"/>
  <c r="M113" i="87"/>
  <c r="M149" i="87" s="1"/>
  <c r="M119" i="87"/>
  <c r="M155" i="87" s="1"/>
  <c r="M111" i="87"/>
  <c r="M54" i="87"/>
  <c r="M49" i="89"/>
  <c r="M53" i="89"/>
  <c r="G77" i="127"/>
  <c r="I139" i="101"/>
  <c r="I141" i="101"/>
  <c r="I143" i="101"/>
  <c r="I137" i="101"/>
  <c r="I142" i="101"/>
  <c r="I138" i="101"/>
  <c r="I140" i="101"/>
  <c r="I136" i="101"/>
  <c r="I135" i="101"/>
  <c r="P52" i="101"/>
  <c r="O52" i="101"/>
  <c r="M132" i="94"/>
  <c r="P48" i="95"/>
  <c r="K54" i="90"/>
  <c r="K132" i="90"/>
  <c r="L155" i="105"/>
  <c r="L149" i="105"/>
  <c r="L153" i="105"/>
  <c r="I76" i="129"/>
  <c r="P14" i="129"/>
  <c r="I137" i="90"/>
  <c r="I135" i="90"/>
  <c r="O52" i="90"/>
  <c r="I140" i="90"/>
  <c r="I136" i="90"/>
  <c r="P52" i="90"/>
  <c r="I143" i="90"/>
  <c r="I138" i="90"/>
  <c r="I141" i="90"/>
  <c r="I139" i="90"/>
  <c r="I142" i="90"/>
  <c r="M156" i="90"/>
  <c r="L130" i="85"/>
  <c r="L129" i="85"/>
  <c r="L131" i="85"/>
  <c r="L128" i="85"/>
  <c r="L124" i="85"/>
  <c r="L126" i="85"/>
  <c r="L127" i="85"/>
  <c r="L125" i="85"/>
  <c r="L123" i="85"/>
  <c r="O48" i="83"/>
  <c r="L112" i="90"/>
  <c r="L148" i="90" s="1"/>
  <c r="L113" i="90"/>
  <c r="L149" i="90" s="1"/>
  <c r="L119" i="90"/>
  <c r="L155" i="90" s="1"/>
  <c r="L118" i="90"/>
  <c r="L154" i="90" s="1"/>
  <c r="L114" i="90"/>
  <c r="L150" i="90" s="1"/>
  <c r="L117" i="90"/>
  <c r="L153" i="90" s="1"/>
  <c r="L111" i="90"/>
  <c r="L116" i="90"/>
  <c r="L152" i="90" s="1"/>
  <c r="L115" i="90"/>
  <c r="L151" i="90" s="1"/>
  <c r="L50" i="74"/>
  <c r="M147" i="75"/>
  <c r="M120" i="75"/>
  <c r="M155" i="75"/>
  <c r="M154" i="75"/>
  <c r="K112" i="82"/>
  <c r="K148" i="82" s="1"/>
  <c r="K118" i="82"/>
  <c r="K154" i="82" s="1"/>
  <c r="K115" i="82"/>
  <c r="K151" i="82" s="1"/>
  <c r="K117" i="82"/>
  <c r="K153" i="82" s="1"/>
  <c r="K114" i="82"/>
  <c r="K150" i="82" s="1"/>
  <c r="K119" i="82"/>
  <c r="K155" i="82" s="1"/>
  <c r="K113" i="82"/>
  <c r="K149" i="82" s="1"/>
  <c r="K116" i="82"/>
  <c r="K152" i="82" s="1"/>
  <c r="K111" i="82"/>
  <c r="K54" i="82"/>
  <c r="M113" i="124"/>
  <c r="M149" i="124" s="1"/>
  <c r="M117" i="124"/>
  <c r="M114" i="124"/>
  <c r="M150" i="124" s="1"/>
  <c r="M112" i="124"/>
  <c r="M148" i="124" s="1"/>
  <c r="M111" i="124"/>
  <c r="M115" i="124"/>
  <c r="M151" i="124" s="1"/>
  <c r="M119" i="124"/>
  <c r="M118" i="124"/>
  <c r="M154" i="124" s="1"/>
  <c r="M116" i="124"/>
  <c r="L116" i="9"/>
  <c r="L152" i="9" s="1"/>
  <c r="L117" i="9"/>
  <c r="L153" i="9" s="1"/>
  <c r="L114" i="9"/>
  <c r="L150" i="9" s="1"/>
  <c r="L115" i="9"/>
  <c r="L151" i="9" s="1"/>
  <c r="L112" i="9"/>
  <c r="L148" i="9" s="1"/>
  <c r="L113" i="9"/>
  <c r="L149" i="9" s="1"/>
  <c r="L118" i="9"/>
  <c r="L154" i="9" s="1"/>
  <c r="L119" i="9"/>
  <c r="L155" i="9" s="1"/>
  <c r="L111" i="9"/>
  <c r="K50" i="109"/>
  <c r="M149" i="123"/>
  <c r="M151" i="123"/>
  <c r="O44" i="79"/>
  <c r="O49" i="79" s="1"/>
  <c r="O50" i="79" s="1"/>
  <c r="J115" i="9"/>
  <c r="J151" i="9" s="1"/>
  <c r="J113" i="9"/>
  <c r="J149" i="9" s="1"/>
  <c r="J111" i="9"/>
  <c r="J116" i="9"/>
  <c r="J152" i="9" s="1"/>
  <c r="J114" i="9"/>
  <c r="J150" i="9" s="1"/>
  <c r="J112" i="9"/>
  <c r="J148" i="9" s="1"/>
  <c r="J118" i="9"/>
  <c r="J154" i="9" s="1"/>
  <c r="J117" i="9"/>
  <c r="J153" i="9" s="1"/>
  <c r="J119" i="9"/>
  <c r="J155" i="9" s="1"/>
  <c r="BA24" i="133"/>
  <c r="BI24" i="133" s="1"/>
  <c r="P141" i="86"/>
  <c r="O141" i="86"/>
  <c r="P142" i="86"/>
  <c r="O142" i="86"/>
  <c r="P44" i="86"/>
  <c r="P49" i="86" s="1"/>
  <c r="P50" i="86" s="1"/>
  <c r="J131" i="128"/>
  <c r="J127" i="128"/>
  <c r="J130" i="128"/>
  <c r="J128" i="128"/>
  <c r="J125" i="128"/>
  <c r="J124" i="128"/>
  <c r="J123" i="128"/>
  <c r="J126" i="128"/>
  <c r="J129" i="128"/>
  <c r="O44" i="102"/>
  <c r="O49" i="102" s="1"/>
  <c r="O50" i="102" s="1"/>
  <c r="J132" i="99"/>
  <c r="P138" i="75"/>
  <c r="O138" i="75"/>
  <c r="P127" i="96"/>
  <c r="O127" i="96"/>
  <c r="P130" i="96"/>
  <c r="O130" i="96"/>
  <c r="O128" i="96"/>
  <c r="P128" i="96"/>
  <c r="O44" i="97"/>
  <c r="I140" i="123"/>
  <c r="I136" i="123"/>
  <c r="I143" i="123"/>
  <c r="I142" i="123"/>
  <c r="I138" i="123"/>
  <c r="P52" i="123"/>
  <c r="I139" i="123"/>
  <c r="I141" i="123"/>
  <c r="I135" i="123"/>
  <c r="I137" i="123"/>
  <c r="O52" i="123"/>
  <c r="I49" i="78"/>
  <c r="I53" i="78"/>
  <c r="I54" i="78" s="1"/>
  <c r="P44" i="105"/>
  <c r="P49" i="105" s="1"/>
  <c r="P50" i="105" s="1"/>
  <c r="P125" i="9"/>
  <c r="O125" i="9"/>
  <c r="O129" i="9"/>
  <c r="I132" i="9"/>
  <c r="O123" i="9"/>
  <c r="P123" i="9"/>
  <c r="O44" i="9"/>
  <c r="O49" i="9" s="1"/>
  <c r="O50" i="9" s="1"/>
  <c r="O48" i="125"/>
  <c r="P76" i="101"/>
  <c r="K112" i="92"/>
  <c r="K148" i="92" s="1"/>
  <c r="K116" i="92"/>
  <c r="K152" i="92" s="1"/>
  <c r="K117" i="92"/>
  <c r="K153" i="92" s="1"/>
  <c r="K111" i="92"/>
  <c r="K114" i="92"/>
  <c r="K150" i="92" s="1"/>
  <c r="K118" i="92"/>
  <c r="K154" i="92" s="1"/>
  <c r="K115" i="92"/>
  <c r="K151" i="92" s="1"/>
  <c r="K119" i="92"/>
  <c r="K155" i="92" s="1"/>
  <c r="K113" i="92"/>
  <c r="K149" i="92" s="1"/>
  <c r="P48" i="92"/>
  <c r="P49" i="92" s="1"/>
  <c r="P50" i="92" s="1"/>
  <c r="L120" i="87"/>
  <c r="L147" i="87"/>
  <c r="L156" i="87" s="1"/>
  <c r="K148" i="79"/>
  <c r="K154" i="79"/>
  <c r="M113" i="74"/>
  <c r="M118" i="74"/>
  <c r="M154" i="74" s="1"/>
  <c r="M116" i="74"/>
  <c r="M152" i="74" s="1"/>
  <c r="M115" i="74"/>
  <c r="M151" i="74" s="1"/>
  <c r="M114" i="74"/>
  <c r="M150" i="74" s="1"/>
  <c r="M111" i="74"/>
  <c r="M117" i="74"/>
  <c r="M153" i="74" s="1"/>
  <c r="M119" i="74"/>
  <c r="M155" i="74" s="1"/>
  <c r="M112" i="74"/>
  <c r="M148" i="74" s="1"/>
  <c r="M54" i="74"/>
  <c r="I49" i="76"/>
  <c r="I53" i="76"/>
  <c r="P48" i="82"/>
  <c r="L116" i="124"/>
  <c r="L152" i="124" s="1"/>
  <c r="L112" i="124"/>
  <c r="L148" i="124" s="1"/>
  <c r="L113" i="124"/>
  <c r="L149" i="124" s="1"/>
  <c r="L119" i="124"/>
  <c r="L155" i="124" s="1"/>
  <c r="L117" i="124"/>
  <c r="L153" i="124" s="1"/>
  <c r="L115" i="124"/>
  <c r="L151" i="124" s="1"/>
  <c r="L114" i="124"/>
  <c r="L150" i="124" s="1"/>
  <c r="L111" i="124"/>
  <c r="L118" i="124"/>
  <c r="L154" i="124" s="1"/>
  <c r="M116" i="126"/>
  <c r="M152" i="126" s="1"/>
  <c r="M112" i="126"/>
  <c r="M148" i="126" s="1"/>
  <c r="M113" i="126"/>
  <c r="M149" i="126" s="1"/>
  <c r="M114" i="126"/>
  <c r="M117" i="126"/>
  <c r="M153" i="126" s="1"/>
  <c r="M118" i="126"/>
  <c r="M154" i="126" s="1"/>
  <c r="M111" i="126"/>
  <c r="M119" i="126"/>
  <c r="M155" i="126" s="1"/>
  <c r="M115" i="126"/>
  <c r="M151" i="126" s="1"/>
  <c r="P44" i="97"/>
  <c r="P49" i="97" s="1"/>
  <c r="P50" i="97" s="1"/>
  <c r="K118" i="78"/>
  <c r="K154" i="78" s="1"/>
  <c r="K119" i="78"/>
  <c r="K155" i="78" s="1"/>
  <c r="K111" i="78"/>
  <c r="K116" i="78"/>
  <c r="K152" i="78" s="1"/>
  <c r="K117" i="78"/>
  <c r="K153" i="78" s="1"/>
  <c r="K114" i="78"/>
  <c r="K150" i="78" s="1"/>
  <c r="K115" i="78"/>
  <c r="K151" i="78" s="1"/>
  <c r="K112" i="78"/>
  <c r="K148" i="78" s="1"/>
  <c r="K113" i="78"/>
  <c r="K149" i="78" s="1"/>
  <c r="J148" i="89"/>
  <c r="J147" i="88"/>
  <c r="J156" i="88" s="1"/>
  <c r="L49" i="85"/>
  <c r="L53" i="85"/>
  <c r="K124" i="85"/>
  <c r="K148" i="85" s="1"/>
  <c r="K130" i="85"/>
  <c r="K154" i="85" s="1"/>
  <c r="K131" i="85"/>
  <c r="K155" i="85" s="1"/>
  <c r="K126" i="85"/>
  <c r="K150" i="85" s="1"/>
  <c r="K127" i="85"/>
  <c r="K151" i="85" s="1"/>
  <c r="K129" i="85"/>
  <c r="K153" i="85" s="1"/>
  <c r="K128" i="85"/>
  <c r="K152" i="85" s="1"/>
  <c r="K123" i="85"/>
  <c r="K125" i="85"/>
  <c r="K149" i="85" s="1"/>
  <c r="K54" i="85"/>
  <c r="O37" i="110"/>
  <c r="P37" i="110"/>
  <c r="O43" i="110"/>
  <c r="P43" i="110"/>
  <c r="P39" i="110"/>
  <c r="O39" i="110"/>
  <c r="O46" i="110"/>
  <c r="I48" i="110"/>
  <c r="P46" i="110"/>
  <c r="K125" i="129"/>
  <c r="K127" i="129"/>
  <c r="K130" i="129"/>
  <c r="K128" i="129"/>
  <c r="K123" i="129"/>
  <c r="K126" i="129"/>
  <c r="K124" i="129"/>
  <c r="K129" i="129"/>
  <c r="K131" i="129"/>
  <c r="L114" i="86"/>
  <c r="L150" i="86" s="1"/>
  <c r="L115" i="86"/>
  <c r="L151" i="86" s="1"/>
  <c r="L112" i="86"/>
  <c r="L148" i="86" s="1"/>
  <c r="L113" i="86"/>
  <c r="L149" i="86" s="1"/>
  <c r="L118" i="86"/>
  <c r="L154" i="86" s="1"/>
  <c r="L119" i="86"/>
  <c r="L155" i="86" s="1"/>
  <c r="L111" i="86"/>
  <c r="L116" i="86"/>
  <c r="L152" i="86" s="1"/>
  <c r="L117" i="86"/>
  <c r="L153" i="86" s="1"/>
  <c r="L77" i="83"/>
  <c r="L78" i="83" s="1"/>
  <c r="L79" i="83" s="1"/>
  <c r="M115" i="96"/>
  <c r="M151" i="96" s="1"/>
  <c r="M112" i="96"/>
  <c r="M118" i="96"/>
  <c r="M154" i="96" s="1"/>
  <c r="M119" i="96"/>
  <c r="M155" i="96" s="1"/>
  <c r="M116" i="96"/>
  <c r="M152" i="96" s="1"/>
  <c r="M117" i="96"/>
  <c r="M153" i="96" s="1"/>
  <c r="M113" i="96"/>
  <c r="M149" i="96" s="1"/>
  <c r="M114" i="96"/>
  <c r="M150" i="96" s="1"/>
  <c r="M111" i="96"/>
  <c r="J132" i="80"/>
  <c r="L76" i="79"/>
  <c r="L77" i="79" s="1"/>
  <c r="L78" i="79" s="1"/>
  <c r="L79" i="79" s="1"/>
  <c r="M14" i="79"/>
  <c r="N14" i="79" s="1"/>
  <c r="N76" i="79" s="1"/>
  <c r="J119" i="104"/>
  <c r="J155" i="104" s="1"/>
  <c r="J118" i="104"/>
  <c r="J154" i="104" s="1"/>
  <c r="J115" i="104"/>
  <c r="J151" i="104" s="1"/>
  <c r="J111" i="104"/>
  <c r="J116" i="104"/>
  <c r="J152" i="104" s="1"/>
  <c r="J113" i="104"/>
  <c r="J149" i="104" s="1"/>
  <c r="J112" i="104"/>
  <c r="J148" i="104" s="1"/>
  <c r="J114" i="104"/>
  <c r="J150" i="104" s="1"/>
  <c r="J117" i="104"/>
  <c r="J153" i="104" s="1"/>
  <c r="K50" i="102"/>
  <c r="P44" i="74"/>
  <c r="P49" i="74" s="1"/>
  <c r="P50" i="74" s="1"/>
  <c r="J50" i="79"/>
  <c r="M50" i="88"/>
  <c r="O44" i="127"/>
  <c r="O49" i="127" s="1"/>
  <c r="O50" i="127" s="1"/>
  <c r="P44" i="102"/>
  <c r="P49" i="102" s="1"/>
  <c r="P50" i="102" s="1"/>
  <c r="L156" i="126"/>
  <c r="K76" i="75"/>
  <c r="M14" i="75"/>
  <c r="L147" i="93"/>
  <c r="L156" i="93" s="1"/>
  <c r="S18" i="119"/>
  <c r="S30" i="133" s="1"/>
  <c r="M115" i="97"/>
  <c r="M151" i="97" s="1"/>
  <c r="M111" i="97"/>
  <c r="M113" i="97"/>
  <c r="M149" i="97" s="1"/>
  <c r="M114" i="97"/>
  <c r="M150" i="97" s="1"/>
  <c r="M118" i="97"/>
  <c r="M154" i="97" s="1"/>
  <c r="M117" i="97"/>
  <c r="M153" i="97" s="1"/>
  <c r="M116" i="97"/>
  <c r="M152" i="97" s="1"/>
  <c r="M112" i="97"/>
  <c r="M148" i="97" s="1"/>
  <c r="M119" i="97"/>
  <c r="M155" i="97" s="1"/>
  <c r="P48" i="123"/>
  <c r="O125" i="84"/>
  <c r="P125" i="84"/>
  <c r="O130" i="84"/>
  <c r="P130" i="84"/>
  <c r="O48" i="78"/>
  <c r="I124" i="99"/>
  <c r="I131" i="99"/>
  <c r="I123" i="99"/>
  <c r="I130" i="99"/>
  <c r="I126" i="99"/>
  <c r="I125" i="99"/>
  <c r="I127" i="99"/>
  <c r="I129" i="99"/>
  <c r="P51" i="99"/>
  <c r="I128" i="99"/>
  <c r="O51" i="99"/>
  <c r="O44" i="109"/>
  <c r="P51" i="121"/>
  <c r="O51" i="121"/>
  <c r="O53" i="80"/>
  <c r="O54" i="80" s="1"/>
  <c r="M111" i="80"/>
  <c r="M117" i="80"/>
  <c r="M153" i="80" s="1"/>
  <c r="M118" i="80"/>
  <c r="M154" i="80" s="1"/>
  <c r="M112" i="80"/>
  <c r="M148" i="80" s="1"/>
  <c r="M115" i="80"/>
  <c r="M151" i="80" s="1"/>
  <c r="M116" i="80"/>
  <c r="M152" i="80" s="1"/>
  <c r="M119" i="80"/>
  <c r="M155" i="80" s="1"/>
  <c r="M113" i="80"/>
  <c r="M149" i="80" s="1"/>
  <c r="M114" i="80"/>
  <c r="M150" i="80" s="1"/>
  <c r="P48" i="126"/>
  <c r="P49" i="126" s="1"/>
  <c r="P50" i="126" s="1"/>
  <c r="I49" i="126"/>
  <c r="I53" i="126"/>
  <c r="K50" i="87"/>
  <c r="J50" i="110"/>
  <c r="K154" i="74"/>
  <c r="K153" i="74"/>
  <c r="K155" i="74"/>
  <c r="P138" i="92"/>
  <c r="O138" i="92"/>
  <c r="P135" i="92"/>
  <c r="I144" i="92"/>
  <c r="O135" i="92"/>
  <c r="P142" i="92"/>
  <c r="O142" i="92"/>
  <c r="L154" i="88"/>
  <c r="L150" i="88"/>
  <c r="L153" i="88"/>
  <c r="P129" i="9"/>
  <c r="J132" i="9"/>
  <c r="I125" i="94"/>
  <c r="I131" i="94"/>
  <c r="I128" i="94"/>
  <c r="I129" i="94"/>
  <c r="I124" i="94"/>
  <c r="I123" i="94"/>
  <c r="I126" i="94"/>
  <c r="I127" i="94"/>
  <c r="I130" i="94"/>
  <c r="P130" i="94" s="1"/>
  <c r="P51" i="94"/>
  <c r="O51" i="94"/>
  <c r="P48" i="76"/>
  <c r="J50" i="76"/>
  <c r="O48" i="104"/>
  <c r="L150" i="89"/>
  <c r="L152" i="89"/>
  <c r="J120" i="78"/>
  <c r="J147" i="78"/>
  <c r="J156" i="78" s="1"/>
  <c r="I132" i="77"/>
  <c r="O123" i="77"/>
  <c r="P123" i="77"/>
  <c r="P125" i="77"/>
  <c r="O125" i="77"/>
  <c r="I49" i="77"/>
  <c r="I53" i="77"/>
  <c r="I54" i="77" s="1"/>
  <c r="J132" i="103"/>
  <c r="M50" i="81"/>
  <c r="L132" i="97"/>
  <c r="I132" i="106"/>
  <c r="O51" i="106"/>
  <c r="K54" i="78"/>
  <c r="K132" i="78"/>
  <c r="P142" i="93"/>
  <c r="O142" i="93"/>
  <c r="P139" i="93"/>
  <c r="O139" i="93"/>
  <c r="P141" i="93"/>
  <c r="O141" i="93"/>
  <c r="O131" i="95"/>
  <c r="P131" i="95"/>
  <c r="O130" i="95"/>
  <c r="P130" i="95"/>
  <c r="O126" i="95"/>
  <c r="P126" i="95"/>
  <c r="I49" i="95"/>
  <c r="I53" i="95"/>
  <c r="O123" i="100"/>
  <c r="I132" i="100"/>
  <c r="P123" i="100"/>
  <c r="M54" i="84"/>
  <c r="O131" i="84"/>
  <c r="J54" i="83"/>
  <c r="L154" i="75"/>
  <c r="L149" i="75"/>
  <c r="M50" i="91"/>
  <c r="X16" i="133"/>
  <c r="X17" i="133"/>
  <c r="P143" i="91"/>
  <c r="O143" i="91"/>
  <c r="P141" i="91"/>
  <c r="O141" i="91"/>
  <c r="K150" i="77"/>
  <c r="K155" i="77"/>
  <c r="P137" i="95"/>
  <c r="O137" i="95"/>
  <c r="P140" i="95"/>
  <c r="O140" i="95"/>
  <c r="J152" i="91"/>
  <c r="J153" i="91"/>
  <c r="L50" i="127"/>
  <c r="P44" i="90"/>
  <c r="P49" i="90" s="1"/>
  <c r="P50" i="90" s="1"/>
  <c r="P138" i="128"/>
  <c r="O138" i="128"/>
  <c r="P140" i="128"/>
  <c r="O140" i="128"/>
  <c r="O124" i="86"/>
  <c r="P130" i="86"/>
  <c r="O130" i="86"/>
  <c r="P128" i="86"/>
  <c r="O128" i="86"/>
  <c r="M154" i="129"/>
  <c r="M148" i="129"/>
  <c r="P141" i="83"/>
  <c r="O141" i="83"/>
  <c r="P140" i="83"/>
  <c r="O140" i="83"/>
  <c r="P142" i="83"/>
  <c r="O142" i="83"/>
  <c r="J77" i="88"/>
  <c r="J78" i="88" s="1"/>
  <c r="J79" i="88" s="1"/>
  <c r="P125" i="79"/>
  <c r="O125" i="79"/>
  <c r="P130" i="79"/>
  <c r="O130" i="79"/>
  <c r="O124" i="98"/>
  <c r="P135" i="99"/>
  <c r="I144" i="99"/>
  <c r="O135" i="99"/>
  <c r="P141" i="99"/>
  <c r="O141" i="99"/>
  <c r="P131" i="125"/>
  <c r="O131" i="125"/>
  <c r="O123" i="125"/>
  <c r="I132" i="125"/>
  <c r="P123" i="125"/>
  <c r="P125" i="125"/>
  <c r="O125" i="125"/>
  <c r="K14" i="108"/>
  <c r="K76" i="108" s="1"/>
  <c r="J149" i="98"/>
  <c r="J154" i="98"/>
  <c r="P51" i="128"/>
  <c r="P124" i="74"/>
  <c r="O124" i="74"/>
  <c r="O127" i="74"/>
  <c r="P127" i="74"/>
  <c r="O130" i="74"/>
  <c r="P130" i="74"/>
  <c r="Y14" i="133"/>
  <c r="Y13" i="133"/>
  <c r="W14" i="133"/>
  <c r="W13" i="133"/>
  <c r="W19" i="133"/>
  <c r="O47" i="85"/>
  <c r="P47" i="85"/>
  <c r="K144" i="85"/>
  <c r="K14" i="81"/>
  <c r="K76" i="81" s="1"/>
  <c r="P42" i="81"/>
  <c r="O42" i="81"/>
  <c r="O36" i="81"/>
  <c r="P36" i="81"/>
  <c r="O40" i="81"/>
  <c r="P40" i="81"/>
  <c r="I48" i="81"/>
  <c r="P46" i="81"/>
  <c r="O46" i="81"/>
  <c r="O48" i="81" s="1"/>
  <c r="M132" i="80"/>
  <c r="M147" i="93"/>
  <c r="M120" i="93"/>
  <c r="O128" i="88"/>
  <c r="P128" i="88"/>
  <c r="P126" i="88"/>
  <c r="O126" i="88"/>
  <c r="I132" i="88"/>
  <c r="O123" i="88"/>
  <c r="P123" i="88"/>
  <c r="I49" i="88"/>
  <c r="I53" i="88"/>
  <c r="M50" i="108"/>
  <c r="L111" i="102"/>
  <c r="L118" i="102"/>
  <c r="L154" i="102" s="1"/>
  <c r="L116" i="102"/>
  <c r="L152" i="102" s="1"/>
  <c r="L114" i="102"/>
  <c r="L150" i="102" s="1"/>
  <c r="L112" i="102"/>
  <c r="L148" i="102" s="1"/>
  <c r="L119" i="102"/>
  <c r="L155" i="102" s="1"/>
  <c r="L117" i="102"/>
  <c r="L153" i="102" s="1"/>
  <c r="L115" i="102"/>
  <c r="L151" i="102" s="1"/>
  <c r="L113" i="102"/>
  <c r="L149" i="102" s="1"/>
  <c r="K50" i="80"/>
  <c r="I21" i="133"/>
  <c r="J54" i="109"/>
  <c r="K132" i="9"/>
  <c r="I125" i="127"/>
  <c r="I127" i="127"/>
  <c r="O51" i="127"/>
  <c r="I131" i="127"/>
  <c r="I126" i="127"/>
  <c r="I129" i="127"/>
  <c r="I130" i="127"/>
  <c r="I124" i="127"/>
  <c r="I123" i="127"/>
  <c r="I128" i="127"/>
  <c r="P51" i="127"/>
  <c r="O141" i="98"/>
  <c r="P141" i="98"/>
  <c r="O142" i="98"/>
  <c r="P142" i="98"/>
  <c r="O138" i="102"/>
  <c r="P138" i="102"/>
  <c r="K14" i="84"/>
  <c r="K76" i="84" s="1"/>
  <c r="J76" i="84"/>
  <c r="E19" i="119"/>
  <c r="V23" i="133"/>
  <c r="P52" i="107"/>
  <c r="O52" i="107"/>
  <c r="I49" i="121"/>
  <c r="I53" i="121"/>
  <c r="O36" i="89"/>
  <c r="P36" i="89"/>
  <c r="I51" i="89"/>
  <c r="O46" i="89"/>
  <c r="I48" i="89"/>
  <c r="P46" i="89"/>
  <c r="J77" i="9"/>
  <c r="J78" i="9" s="1"/>
  <c r="J79" i="9" s="1"/>
  <c r="L50" i="99"/>
  <c r="I49" i="87"/>
  <c r="I53" i="87"/>
  <c r="L50" i="121"/>
  <c r="K54" i="107"/>
  <c r="I49" i="92"/>
  <c r="I53" i="92"/>
  <c r="O53" i="92" s="1"/>
  <c r="F76" i="124"/>
  <c r="O14" i="124"/>
  <c r="R14" i="124" s="1"/>
  <c r="E22" i="122" s="1"/>
  <c r="M88" i="2"/>
  <c r="M141" i="2" s="1"/>
  <c r="M142" i="2" s="1"/>
  <c r="M144" i="2" s="1"/>
  <c r="M145" i="2" s="1"/>
  <c r="M87" i="2" s="1"/>
  <c r="P44" i="82"/>
  <c r="P49" i="82" s="1"/>
  <c r="P50" i="82" s="1"/>
  <c r="K50" i="88"/>
  <c r="M50" i="102"/>
  <c r="L144" i="128"/>
  <c r="L50" i="109"/>
  <c r="L132" i="91"/>
  <c r="M77" i="127"/>
  <c r="K57" i="108"/>
  <c r="K59" i="108" s="1"/>
  <c r="BC21" i="133"/>
  <c r="BB24" i="133"/>
  <c r="BJ24" i="133" s="1"/>
  <c r="L77" i="90"/>
  <c r="L78" i="90" s="1"/>
  <c r="L79" i="90" s="1"/>
  <c r="P76" i="90"/>
  <c r="N77" i="90"/>
  <c r="N78" i="90" s="1"/>
  <c r="N79" i="90" s="1"/>
  <c r="K77" i="90"/>
  <c r="K78" i="90" s="1"/>
  <c r="K79" i="90" s="1"/>
  <c r="M77" i="90"/>
  <c r="M78" i="90" s="1"/>
  <c r="M79" i="90" s="1"/>
  <c r="O76" i="90"/>
  <c r="J50" i="75"/>
  <c r="P76" i="91"/>
  <c r="O76" i="91"/>
  <c r="N77" i="91"/>
  <c r="N78" i="91" s="1"/>
  <c r="N79" i="91" s="1"/>
  <c r="M77" i="91"/>
  <c r="M78" i="91" s="1"/>
  <c r="M79" i="91" s="1"/>
  <c r="I49" i="106"/>
  <c r="I53" i="106"/>
  <c r="P131" i="93"/>
  <c r="O131" i="93"/>
  <c r="P130" i="93"/>
  <c r="O130" i="93"/>
  <c r="O44" i="91"/>
  <c r="O49" i="91" s="1"/>
  <c r="O50" i="91" s="1"/>
  <c r="J147" i="89"/>
  <c r="P37" i="103"/>
  <c r="O37" i="103"/>
  <c r="P40" i="103"/>
  <c r="O40" i="103"/>
  <c r="O47" i="103"/>
  <c r="P47" i="103"/>
  <c r="M50" i="128"/>
  <c r="I49" i="128"/>
  <c r="I53" i="128"/>
  <c r="J147" i="127"/>
  <c r="J120" i="127"/>
  <c r="M148" i="101"/>
  <c r="M150" i="101"/>
  <c r="P127" i="80"/>
  <c r="O127" i="80"/>
  <c r="P128" i="80"/>
  <c r="O128" i="80"/>
  <c r="P125" i="80"/>
  <c r="O125" i="80"/>
  <c r="K132" i="94"/>
  <c r="O44" i="105"/>
  <c r="O49" i="105" s="1"/>
  <c r="O50" i="105" s="1"/>
  <c r="K132" i="100"/>
  <c r="J54" i="75"/>
  <c r="I26" i="119"/>
  <c r="S13" i="133"/>
  <c r="M132" i="98"/>
  <c r="L119" i="82"/>
  <c r="L155" i="82" s="1"/>
  <c r="L117" i="82"/>
  <c r="L153" i="82" s="1"/>
  <c r="L114" i="82"/>
  <c r="L150" i="82" s="1"/>
  <c r="L115" i="82"/>
  <c r="L151" i="82" s="1"/>
  <c r="L116" i="82"/>
  <c r="L152" i="82" s="1"/>
  <c r="L113" i="82"/>
  <c r="L149" i="82" s="1"/>
  <c r="L118" i="82"/>
  <c r="L154" i="82" s="1"/>
  <c r="L112" i="82"/>
  <c r="L148" i="82" s="1"/>
  <c r="L111" i="82"/>
  <c r="O36" i="85"/>
  <c r="L144" i="106"/>
  <c r="I144" i="127"/>
  <c r="O135" i="127"/>
  <c r="P135" i="127"/>
  <c r="P141" i="127"/>
  <c r="O141" i="127"/>
  <c r="M112" i="94"/>
  <c r="M148" i="94" s="1"/>
  <c r="M111" i="94"/>
  <c r="M115" i="94"/>
  <c r="M151" i="94" s="1"/>
  <c r="M113" i="94"/>
  <c r="M116" i="94"/>
  <c r="M152" i="94" s="1"/>
  <c r="M114" i="94"/>
  <c r="M150" i="94" s="1"/>
  <c r="M118" i="94"/>
  <c r="M117" i="94"/>
  <c r="M153" i="94" s="1"/>
  <c r="M119" i="94"/>
  <c r="M155" i="94" s="1"/>
  <c r="J50" i="95"/>
  <c r="J119" i="99"/>
  <c r="J155" i="99" s="1"/>
  <c r="J114" i="99"/>
  <c r="J150" i="99" s="1"/>
  <c r="J112" i="99"/>
  <c r="J148" i="99" s="1"/>
  <c r="J115" i="99"/>
  <c r="J151" i="99" s="1"/>
  <c r="J117" i="99"/>
  <c r="J153" i="99" s="1"/>
  <c r="J111" i="99"/>
  <c r="J113" i="99"/>
  <c r="J149" i="99" s="1"/>
  <c r="J118" i="99"/>
  <c r="J154" i="99" s="1"/>
  <c r="J116" i="99"/>
  <c r="J152" i="99" s="1"/>
  <c r="O48" i="75"/>
  <c r="I49" i="75"/>
  <c r="I53" i="75"/>
  <c r="I49" i="129"/>
  <c r="I53" i="129"/>
  <c r="I54" i="129" s="1"/>
  <c r="M118" i="86"/>
  <c r="M154" i="86" s="1"/>
  <c r="M113" i="86"/>
  <c r="M149" i="86" s="1"/>
  <c r="M114" i="86"/>
  <c r="M150" i="86" s="1"/>
  <c r="M112" i="86"/>
  <c r="M148" i="86" s="1"/>
  <c r="M111" i="86"/>
  <c r="M115" i="86"/>
  <c r="M119" i="86"/>
  <c r="M155" i="86" s="1"/>
  <c r="M117" i="86"/>
  <c r="M153" i="86" s="1"/>
  <c r="M116" i="86"/>
  <c r="M152" i="86" s="1"/>
  <c r="L156" i="95"/>
  <c r="I49" i="123"/>
  <c r="I53" i="123"/>
  <c r="K54" i="88"/>
  <c r="J76" i="78"/>
  <c r="K14" i="78"/>
  <c r="V21" i="133"/>
  <c r="P52" i="109"/>
  <c r="O52" i="109"/>
  <c r="O53" i="125"/>
  <c r="M114" i="125"/>
  <c r="M150" i="125" s="1"/>
  <c r="M112" i="125"/>
  <c r="M148" i="125" s="1"/>
  <c r="M119" i="125"/>
  <c r="M155" i="125" s="1"/>
  <c r="M115" i="125"/>
  <c r="M151" i="125" s="1"/>
  <c r="M116" i="125"/>
  <c r="M152" i="125" s="1"/>
  <c r="M113" i="125"/>
  <c r="M149" i="125" s="1"/>
  <c r="M117" i="125"/>
  <c r="M153" i="125" s="1"/>
  <c r="M111" i="125"/>
  <c r="M118" i="125"/>
  <c r="M154" i="125" s="1"/>
  <c r="K49" i="103"/>
  <c r="K53" i="103"/>
  <c r="K54" i="103" s="1"/>
  <c r="P44" i="125"/>
  <c r="L118" i="77"/>
  <c r="L154" i="77" s="1"/>
  <c r="L111" i="77"/>
  <c r="L116" i="77"/>
  <c r="L152" i="77" s="1"/>
  <c r="L112" i="77"/>
  <c r="L148" i="77" s="1"/>
  <c r="L115" i="77"/>
  <c r="L117" i="77"/>
  <c r="L153" i="77" s="1"/>
  <c r="L119" i="77"/>
  <c r="L155" i="77" s="1"/>
  <c r="L114" i="77"/>
  <c r="L150" i="77" s="1"/>
  <c r="L113" i="77"/>
  <c r="L149" i="77" s="1"/>
  <c r="M112" i="76"/>
  <c r="M148" i="76" s="1"/>
  <c r="M116" i="76"/>
  <c r="M152" i="76" s="1"/>
  <c r="M118" i="76"/>
  <c r="M154" i="76" s="1"/>
  <c r="M119" i="76"/>
  <c r="M155" i="76" s="1"/>
  <c r="M111" i="76"/>
  <c r="M113" i="76"/>
  <c r="M149" i="76" s="1"/>
  <c r="M117" i="76"/>
  <c r="M153" i="76" s="1"/>
  <c r="M115" i="76"/>
  <c r="M151" i="76" s="1"/>
  <c r="M114" i="76"/>
  <c r="M150" i="76" s="1"/>
  <c r="O142" i="94"/>
  <c r="P142" i="94"/>
  <c r="M14" i="94"/>
  <c r="N14" i="94" s="1"/>
  <c r="N76" i="94" s="1"/>
  <c r="J132" i="104"/>
  <c r="I139" i="82"/>
  <c r="I135" i="82"/>
  <c r="I137" i="82"/>
  <c r="I142" i="82"/>
  <c r="I140" i="82"/>
  <c r="I141" i="82"/>
  <c r="I143" i="82"/>
  <c r="I136" i="82"/>
  <c r="I138" i="82"/>
  <c r="P52" i="82"/>
  <c r="O52" i="82"/>
  <c r="J76" i="82"/>
  <c r="K14" i="82"/>
  <c r="K76" i="82" s="1"/>
  <c r="M50" i="87"/>
  <c r="J76" i="97"/>
  <c r="K14" i="97"/>
  <c r="L132" i="104"/>
  <c r="L131" i="128"/>
  <c r="L124" i="128"/>
  <c r="L128" i="128"/>
  <c r="L123" i="128"/>
  <c r="L125" i="128"/>
  <c r="L130" i="128"/>
  <c r="L126" i="128"/>
  <c r="L127" i="128"/>
  <c r="L129" i="128"/>
  <c r="J144" i="102"/>
  <c r="P48" i="106"/>
  <c r="J76" i="93"/>
  <c r="K14" i="93"/>
  <c r="O48" i="95"/>
  <c r="J76" i="95"/>
  <c r="P44" i="100"/>
  <c r="P49" i="100" s="1"/>
  <c r="P50" i="100" s="1"/>
  <c r="I141" i="124"/>
  <c r="I139" i="124"/>
  <c r="I138" i="124"/>
  <c r="I142" i="124"/>
  <c r="I136" i="124"/>
  <c r="I140" i="124"/>
  <c r="I135" i="124"/>
  <c r="I137" i="124"/>
  <c r="I143" i="124"/>
  <c r="O52" i="124"/>
  <c r="P52" i="124"/>
  <c r="K112" i="93"/>
  <c r="K148" i="93" s="1"/>
  <c r="K116" i="93"/>
  <c r="K152" i="93" s="1"/>
  <c r="K119" i="93"/>
  <c r="K155" i="93" s="1"/>
  <c r="K114" i="93"/>
  <c r="K150" i="93" s="1"/>
  <c r="K118" i="93"/>
  <c r="K154" i="93" s="1"/>
  <c r="K115" i="93"/>
  <c r="K151" i="93" s="1"/>
  <c r="K117" i="93"/>
  <c r="K153" i="93" s="1"/>
  <c r="K111" i="93"/>
  <c r="K113" i="93"/>
  <c r="K149" i="93" s="1"/>
  <c r="K54" i="93"/>
  <c r="K112" i="128"/>
  <c r="K148" i="128" s="1"/>
  <c r="K111" i="128"/>
  <c r="K119" i="128"/>
  <c r="K155" i="128" s="1"/>
  <c r="K116" i="128"/>
  <c r="K152" i="128" s="1"/>
  <c r="K115" i="128"/>
  <c r="K151" i="128" s="1"/>
  <c r="K117" i="128"/>
  <c r="K153" i="128" s="1"/>
  <c r="K118" i="128"/>
  <c r="K154" i="128" s="1"/>
  <c r="K114" i="128"/>
  <c r="K150" i="128" s="1"/>
  <c r="K113" i="128"/>
  <c r="K149" i="128" s="1"/>
  <c r="K132" i="105"/>
  <c r="O37" i="89"/>
  <c r="L148" i="105"/>
  <c r="L151" i="105"/>
  <c r="J77" i="127"/>
  <c r="J78" i="127" s="1"/>
  <c r="J79" i="127" s="1"/>
  <c r="AJ17" i="16"/>
  <c r="AH17" i="16"/>
  <c r="P124" i="86"/>
  <c r="K54" i="91"/>
  <c r="K49" i="110"/>
  <c r="K53" i="110"/>
  <c r="J22" i="133" s="1"/>
  <c r="AS42" i="16"/>
  <c r="AS38" i="16"/>
  <c r="L50" i="90"/>
  <c r="M148" i="75"/>
  <c r="M149" i="75"/>
  <c r="K50" i="82"/>
  <c r="M50" i="124"/>
  <c r="M69" i="110"/>
  <c r="M66" i="110"/>
  <c r="M73" i="110"/>
  <c r="M71" i="110"/>
  <c r="M70" i="110"/>
  <c r="M68" i="110"/>
  <c r="M65" i="110"/>
  <c r="M67" i="110"/>
  <c r="M64" i="110"/>
  <c r="M72" i="110"/>
  <c r="L50" i="9"/>
  <c r="J113" i="93"/>
  <c r="J149" i="93" s="1"/>
  <c r="J118" i="93"/>
  <c r="J154" i="93" s="1"/>
  <c r="J116" i="93"/>
  <c r="J152" i="93" s="1"/>
  <c r="J112" i="93"/>
  <c r="J148" i="93" s="1"/>
  <c r="J117" i="93"/>
  <c r="J153" i="93" s="1"/>
  <c r="J119" i="93"/>
  <c r="J155" i="93" s="1"/>
  <c r="J114" i="93"/>
  <c r="J150" i="93" s="1"/>
  <c r="J111" i="93"/>
  <c r="J115" i="93"/>
  <c r="J151" i="93" s="1"/>
  <c r="J54" i="93"/>
  <c r="M150" i="123"/>
  <c r="M147" i="123"/>
  <c r="M120" i="123"/>
  <c r="M155" i="123"/>
  <c r="P44" i="79"/>
  <c r="P49" i="79" s="1"/>
  <c r="P50" i="79" s="1"/>
  <c r="J50" i="9"/>
  <c r="K50" i="108"/>
  <c r="O24" i="133"/>
  <c r="O51" i="108"/>
  <c r="P51" i="108"/>
  <c r="I54" i="108"/>
  <c r="M112" i="9"/>
  <c r="M148" i="9" s="1"/>
  <c r="M118" i="9"/>
  <c r="M154" i="9" s="1"/>
  <c r="M115" i="9"/>
  <c r="M151" i="9" s="1"/>
  <c r="M114" i="9"/>
  <c r="M117" i="9"/>
  <c r="M153" i="9" s="1"/>
  <c r="M113" i="9"/>
  <c r="M149" i="9" s="1"/>
  <c r="M116" i="9"/>
  <c r="M111" i="9"/>
  <c r="M119" i="9"/>
  <c r="M155" i="9" s="1"/>
  <c r="O137" i="86"/>
  <c r="P137" i="86"/>
  <c r="P136" i="86"/>
  <c r="O136" i="86"/>
  <c r="I49" i="86"/>
  <c r="I53" i="86"/>
  <c r="J117" i="90"/>
  <c r="J153" i="90" s="1"/>
  <c r="J119" i="90"/>
  <c r="J155" i="90" s="1"/>
  <c r="J114" i="90"/>
  <c r="J150" i="90" s="1"/>
  <c r="J113" i="90"/>
  <c r="J149" i="90" s="1"/>
  <c r="J115" i="90"/>
  <c r="J151" i="90" s="1"/>
  <c r="J112" i="90"/>
  <c r="J148" i="90" s="1"/>
  <c r="J118" i="90"/>
  <c r="J154" i="90" s="1"/>
  <c r="J116" i="90"/>
  <c r="J152" i="90" s="1"/>
  <c r="J111" i="90"/>
  <c r="I136" i="74"/>
  <c r="I135" i="74"/>
  <c r="I140" i="74"/>
  <c r="I138" i="74"/>
  <c r="I139" i="74"/>
  <c r="I137" i="74"/>
  <c r="I142" i="74"/>
  <c r="I143" i="74"/>
  <c r="I141" i="74"/>
  <c r="P52" i="74"/>
  <c r="O52" i="74"/>
  <c r="P43" i="85"/>
  <c r="K125" i="89"/>
  <c r="K128" i="89"/>
  <c r="K126" i="89"/>
  <c r="K131" i="89"/>
  <c r="K130" i="89"/>
  <c r="K129" i="89"/>
  <c r="K127" i="89"/>
  <c r="K124" i="89"/>
  <c r="K123" i="89"/>
  <c r="F14" i="128"/>
  <c r="AS18" i="16"/>
  <c r="AT18" i="16" s="1"/>
  <c r="P48" i="98"/>
  <c r="O44" i="98"/>
  <c r="L54" i="77"/>
  <c r="L132" i="77"/>
  <c r="P135" i="75"/>
  <c r="I144" i="75"/>
  <c r="O135" i="75"/>
  <c r="P143" i="75"/>
  <c r="O143" i="75"/>
  <c r="P129" i="96"/>
  <c r="O129" i="96"/>
  <c r="I132" i="96"/>
  <c r="O123" i="96"/>
  <c r="P123" i="96"/>
  <c r="P131" i="96"/>
  <c r="O131" i="96"/>
  <c r="L156" i="79"/>
  <c r="O51" i="107"/>
  <c r="P51" i="107"/>
  <c r="O23" i="133"/>
  <c r="I54" i="107"/>
  <c r="J147" i="74"/>
  <c r="J156" i="74" s="1"/>
  <c r="P76" i="105"/>
  <c r="O76" i="105"/>
  <c r="N77" i="105"/>
  <c r="N78" i="105" s="1"/>
  <c r="N79" i="105" s="1"/>
  <c r="I49" i="105"/>
  <c r="I53" i="105"/>
  <c r="I54" i="105" s="1"/>
  <c r="L144" i="103"/>
  <c r="M113" i="103"/>
  <c r="M149" i="103" s="1"/>
  <c r="M115" i="103"/>
  <c r="M151" i="103" s="1"/>
  <c r="M119" i="103"/>
  <c r="M155" i="103" s="1"/>
  <c r="M112" i="103"/>
  <c r="M148" i="103" s="1"/>
  <c r="M114" i="103"/>
  <c r="M150" i="103" s="1"/>
  <c r="M116" i="103"/>
  <c r="M152" i="103" s="1"/>
  <c r="M117" i="103"/>
  <c r="M118" i="103"/>
  <c r="M154" i="103" s="1"/>
  <c r="M111" i="103"/>
  <c r="M54" i="103"/>
  <c r="P128" i="9"/>
  <c r="O128" i="9"/>
  <c r="P127" i="9"/>
  <c r="O127" i="9"/>
  <c r="I49" i="9"/>
  <c r="I53" i="9"/>
  <c r="O53" i="9" s="1"/>
  <c r="M132" i="95"/>
  <c r="P48" i="125"/>
  <c r="K50" i="92"/>
  <c r="I124" i="92"/>
  <c r="I127" i="92"/>
  <c r="I128" i="92"/>
  <c r="I130" i="92"/>
  <c r="I129" i="92"/>
  <c r="I123" i="92"/>
  <c r="I131" i="92"/>
  <c r="O51" i="92"/>
  <c r="I125" i="92"/>
  <c r="I126" i="92"/>
  <c r="P51" i="92"/>
  <c r="K155" i="79"/>
  <c r="K149" i="79"/>
  <c r="K151" i="79"/>
  <c r="M50" i="74"/>
  <c r="I127" i="82"/>
  <c r="I128" i="82"/>
  <c r="I125" i="82"/>
  <c r="I131" i="82"/>
  <c r="I129" i="82"/>
  <c r="P51" i="82"/>
  <c r="I126" i="82"/>
  <c r="I124" i="82"/>
  <c r="O51" i="82"/>
  <c r="I123" i="82"/>
  <c r="I130" i="82"/>
  <c r="L50" i="124"/>
  <c r="M50" i="126"/>
  <c r="I49" i="97"/>
  <c r="I53" i="97"/>
  <c r="I54" i="97" s="1"/>
  <c r="O44" i="101"/>
  <c r="O49" i="101" s="1"/>
  <c r="O50" i="101" s="1"/>
  <c r="K50" i="78"/>
  <c r="O42" i="110"/>
  <c r="P42" i="110"/>
  <c r="O41" i="110"/>
  <c r="P41" i="110"/>
  <c r="O40" i="110"/>
  <c r="P40" i="110"/>
  <c r="I51" i="110"/>
  <c r="E18" i="119" s="1"/>
  <c r="R11" i="110"/>
  <c r="D50" i="122" s="1"/>
  <c r="K49" i="129"/>
  <c r="K53" i="129"/>
  <c r="L50" i="86"/>
  <c r="O44" i="83"/>
  <c r="K118" i="76"/>
  <c r="K154" i="76" s="1"/>
  <c r="K119" i="76"/>
  <c r="K155" i="76" s="1"/>
  <c r="K113" i="76"/>
  <c r="K149" i="76" s="1"/>
  <c r="K115" i="76"/>
  <c r="K151" i="76" s="1"/>
  <c r="K114" i="76"/>
  <c r="K150" i="76" s="1"/>
  <c r="K117" i="76"/>
  <c r="K153" i="76" s="1"/>
  <c r="K111" i="76"/>
  <c r="K112" i="76"/>
  <c r="K148" i="76" s="1"/>
  <c r="K116" i="76"/>
  <c r="K152" i="76" s="1"/>
  <c r="K54" i="76"/>
  <c r="K116" i="104"/>
  <c r="K152" i="104" s="1"/>
  <c r="K111" i="104"/>
  <c r="K113" i="104"/>
  <c r="K149" i="104" s="1"/>
  <c r="K115" i="104"/>
  <c r="K151" i="104" s="1"/>
  <c r="K119" i="104"/>
  <c r="K155" i="104" s="1"/>
  <c r="K114" i="104"/>
  <c r="K150" i="104" s="1"/>
  <c r="K112" i="104"/>
  <c r="K148" i="104" s="1"/>
  <c r="K118" i="104"/>
  <c r="K154" i="104" s="1"/>
  <c r="K117" i="104"/>
  <c r="K153" i="104" s="1"/>
  <c r="K54" i="104"/>
  <c r="I141" i="88"/>
  <c r="I140" i="88"/>
  <c r="I136" i="88"/>
  <c r="I142" i="88"/>
  <c r="I139" i="88"/>
  <c r="P52" i="88"/>
  <c r="I143" i="88"/>
  <c r="I138" i="88"/>
  <c r="I137" i="88"/>
  <c r="I135" i="88"/>
  <c r="O52" i="88"/>
  <c r="J113" i="125"/>
  <c r="J149" i="125" s="1"/>
  <c r="J112" i="125"/>
  <c r="J148" i="125" s="1"/>
  <c r="J116" i="125"/>
  <c r="J152" i="125" s="1"/>
  <c r="J117" i="125"/>
  <c r="J153" i="125" s="1"/>
  <c r="J115" i="125"/>
  <c r="J151" i="125" s="1"/>
  <c r="J119" i="125"/>
  <c r="J155" i="125" s="1"/>
  <c r="J118" i="125"/>
  <c r="J154" i="125" s="1"/>
  <c r="J114" i="125"/>
  <c r="J150" i="125" s="1"/>
  <c r="J111" i="125"/>
  <c r="J54" i="125"/>
  <c r="M50" i="96"/>
  <c r="M54" i="76"/>
  <c r="M132" i="76"/>
  <c r="K132" i="97"/>
  <c r="J50" i="104"/>
  <c r="I49" i="74"/>
  <c r="I53" i="74"/>
  <c r="P53" i="74" s="1"/>
  <c r="P44" i="127"/>
  <c r="P49" i="127" s="1"/>
  <c r="P50" i="127" s="1"/>
  <c r="I49" i="102"/>
  <c r="I53" i="102"/>
  <c r="N14" i="75"/>
  <c r="N76" i="75" s="1"/>
  <c r="M50" i="97"/>
  <c r="P131" i="84"/>
  <c r="O127" i="84"/>
  <c r="P127" i="84"/>
  <c r="I124" i="78"/>
  <c r="I123" i="78"/>
  <c r="I125" i="78"/>
  <c r="I127" i="78"/>
  <c r="I128" i="78"/>
  <c r="I126" i="78"/>
  <c r="I130" i="78"/>
  <c r="P51" i="78"/>
  <c r="I131" i="78"/>
  <c r="I129" i="78"/>
  <c r="O51" i="78"/>
  <c r="K76" i="107"/>
  <c r="L14" i="107"/>
  <c r="O48" i="109"/>
  <c r="I49" i="109"/>
  <c r="I53" i="109"/>
  <c r="O48" i="121"/>
  <c r="O49" i="121" s="1"/>
  <c r="O50" i="121" s="1"/>
  <c r="I127" i="105"/>
  <c r="I123" i="105"/>
  <c r="O51" i="105"/>
  <c r="I124" i="105"/>
  <c r="I126" i="105"/>
  <c r="I128" i="105"/>
  <c r="I131" i="105"/>
  <c r="I129" i="105"/>
  <c r="I125" i="105"/>
  <c r="I130" i="105"/>
  <c r="P51" i="105"/>
  <c r="K123" i="103"/>
  <c r="K128" i="103"/>
  <c r="K124" i="103"/>
  <c r="K129" i="103"/>
  <c r="K127" i="103"/>
  <c r="K125" i="103"/>
  <c r="K131" i="103"/>
  <c r="K126" i="103"/>
  <c r="K130" i="103"/>
  <c r="L49" i="81"/>
  <c r="L53" i="81"/>
  <c r="H18" i="119"/>
  <c r="P76" i="102"/>
  <c r="K150" i="74"/>
  <c r="K151" i="74"/>
  <c r="P136" i="92"/>
  <c r="O136" i="92"/>
  <c r="P141" i="92"/>
  <c r="O141" i="92"/>
  <c r="P139" i="92"/>
  <c r="O139" i="92"/>
  <c r="M114" i="106"/>
  <c r="M150" i="106" s="1"/>
  <c r="M113" i="106"/>
  <c r="M116" i="106"/>
  <c r="M152" i="106" s="1"/>
  <c r="M115" i="106"/>
  <c r="M151" i="106" s="1"/>
  <c r="M119" i="106"/>
  <c r="M155" i="106" s="1"/>
  <c r="M111" i="106"/>
  <c r="M112" i="106"/>
  <c r="M148" i="106" s="1"/>
  <c r="M117" i="106"/>
  <c r="M153" i="106" s="1"/>
  <c r="M118" i="106"/>
  <c r="M154" i="106" s="1"/>
  <c r="M54" i="106"/>
  <c r="L151" i="88"/>
  <c r="L149" i="88"/>
  <c r="L147" i="80"/>
  <c r="L156" i="80" s="1"/>
  <c r="L120" i="80"/>
  <c r="O48" i="94"/>
  <c r="O49" i="94" s="1"/>
  <c r="O50" i="94" s="1"/>
  <c r="L132" i="92"/>
  <c r="P48" i="104"/>
  <c r="L155" i="89"/>
  <c r="L148" i="89"/>
  <c r="L149" i="89"/>
  <c r="L120" i="94"/>
  <c r="L147" i="94"/>
  <c r="L156" i="94" s="1"/>
  <c r="O48" i="97"/>
  <c r="O128" i="77"/>
  <c r="P128" i="77"/>
  <c r="O126" i="77"/>
  <c r="P126" i="77"/>
  <c r="J54" i="101"/>
  <c r="L49" i="110"/>
  <c r="L53" i="110"/>
  <c r="K22" i="133" s="1"/>
  <c r="M132" i="129"/>
  <c r="L54" i="97"/>
  <c r="K77" i="127"/>
  <c r="K78" i="127" s="1"/>
  <c r="K79" i="127" s="1"/>
  <c r="AS9" i="16"/>
  <c r="AT9" i="16" s="1"/>
  <c r="O14" i="106"/>
  <c r="R14" i="106" s="1"/>
  <c r="E13" i="122" s="1"/>
  <c r="M76" i="106"/>
  <c r="P76" i="106" s="1"/>
  <c r="I144" i="93"/>
  <c r="P135" i="93"/>
  <c r="O135" i="93"/>
  <c r="P137" i="93"/>
  <c r="O137" i="93"/>
  <c r="P44" i="93"/>
  <c r="P49" i="93" s="1"/>
  <c r="P50" i="93" s="1"/>
  <c r="O127" i="95"/>
  <c r="P127" i="95"/>
  <c r="I132" i="95"/>
  <c r="O123" i="95"/>
  <c r="P123" i="95"/>
  <c r="O129" i="95"/>
  <c r="P129" i="95"/>
  <c r="P130" i="100"/>
  <c r="O130" i="100"/>
  <c r="P128" i="100"/>
  <c r="O128" i="100"/>
  <c r="O129" i="100"/>
  <c r="P129" i="100"/>
  <c r="M132" i="84"/>
  <c r="J132" i="83"/>
  <c r="L150" i="75"/>
  <c r="L152" i="75"/>
  <c r="X14" i="133"/>
  <c r="X13" i="133"/>
  <c r="X19" i="133"/>
  <c r="J113" i="97"/>
  <c r="J149" i="97" s="1"/>
  <c r="J115" i="97"/>
  <c r="J151" i="97" s="1"/>
  <c r="J116" i="97"/>
  <c r="J152" i="97" s="1"/>
  <c r="J111" i="97"/>
  <c r="J112" i="97"/>
  <c r="J148" i="97" s="1"/>
  <c r="J118" i="97"/>
  <c r="J154" i="97" s="1"/>
  <c r="J117" i="97"/>
  <c r="J153" i="97" s="1"/>
  <c r="J119" i="97"/>
  <c r="J155" i="97" s="1"/>
  <c r="J114" i="97"/>
  <c r="J150" i="97" s="1"/>
  <c r="P139" i="91"/>
  <c r="O139" i="91"/>
  <c r="P136" i="91"/>
  <c r="O136" i="91"/>
  <c r="P140" i="91"/>
  <c r="O140" i="91"/>
  <c r="K148" i="77"/>
  <c r="K149" i="77"/>
  <c r="J124" i="102"/>
  <c r="P124" i="102" s="1"/>
  <c r="J126" i="102"/>
  <c r="J127" i="102"/>
  <c r="O127" i="102" s="1"/>
  <c r="J129" i="102"/>
  <c r="J123" i="102"/>
  <c r="J128" i="102"/>
  <c r="J131" i="102"/>
  <c r="O131" i="102" s="1"/>
  <c r="J130" i="102"/>
  <c r="J125" i="102"/>
  <c r="P125" i="102" s="1"/>
  <c r="J54" i="102"/>
  <c r="P135" i="95"/>
  <c r="I144" i="95"/>
  <c r="O135" i="95"/>
  <c r="P143" i="95"/>
  <c r="O143" i="95"/>
  <c r="I141" i="100"/>
  <c r="I142" i="100"/>
  <c r="O52" i="100"/>
  <c r="I136" i="100"/>
  <c r="I139" i="100"/>
  <c r="I135" i="100"/>
  <c r="I143" i="100"/>
  <c r="I140" i="100"/>
  <c r="I138" i="100"/>
  <c r="I137" i="100"/>
  <c r="P52" i="100"/>
  <c r="J151" i="91"/>
  <c r="J148" i="91"/>
  <c r="P44" i="124"/>
  <c r="P49" i="124" s="1"/>
  <c r="P50" i="124" s="1"/>
  <c r="M54" i="97"/>
  <c r="J54" i="107"/>
  <c r="O44" i="90"/>
  <c r="P48" i="91"/>
  <c r="P49" i="91" s="1"/>
  <c r="P50" i="91" s="1"/>
  <c r="P135" i="128"/>
  <c r="I144" i="128"/>
  <c r="O135" i="128"/>
  <c r="P142" i="128"/>
  <c r="O142" i="128"/>
  <c r="P137" i="128"/>
  <c r="O137" i="128"/>
  <c r="P129" i="86"/>
  <c r="O129" i="86"/>
  <c r="P131" i="86"/>
  <c r="O131" i="86"/>
  <c r="Y30" i="133"/>
  <c r="M151" i="129"/>
  <c r="M155" i="129"/>
  <c r="P137" i="83"/>
  <c r="O137" i="83"/>
  <c r="P139" i="83"/>
  <c r="O139" i="83"/>
  <c r="P135" i="83"/>
  <c r="I144" i="83"/>
  <c r="O135" i="83"/>
  <c r="P127" i="79"/>
  <c r="O127" i="79"/>
  <c r="O124" i="79"/>
  <c r="P124" i="79"/>
  <c r="P51" i="98"/>
  <c r="P136" i="99"/>
  <c r="O136" i="99"/>
  <c r="P142" i="99"/>
  <c r="O142" i="99"/>
  <c r="P124" i="125"/>
  <c r="O124" i="125"/>
  <c r="P128" i="125"/>
  <c r="O128" i="125"/>
  <c r="J144" i="129"/>
  <c r="K14" i="95"/>
  <c r="O51" i="128"/>
  <c r="I132" i="128"/>
  <c r="P128" i="74"/>
  <c r="O128" i="74"/>
  <c r="P123" i="74"/>
  <c r="I132" i="74"/>
  <c r="O123" i="74"/>
  <c r="J144" i="128"/>
  <c r="H27" i="119"/>
  <c r="R27" i="119" s="1"/>
  <c r="R11" i="119" s="1"/>
  <c r="Y20" i="133"/>
  <c r="Y12" i="133"/>
  <c r="L144" i="98"/>
  <c r="W12" i="133"/>
  <c r="J144" i="98"/>
  <c r="W15" i="133"/>
  <c r="O49" i="86" l="1"/>
  <c r="O50" i="86" s="1"/>
  <c r="J120" i="98"/>
  <c r="O123" i="98"/>
  <c r="P53" i="106"/>
  <c r="L29" i="133"/>
  <c r="P123" i="98"/>
  <c r="P126" i="98"/>
  <c r="L156" i="78"/>
  <c r="BC29" i="133"/>
  <c r="P48" i="89"/>
  <c r="BI21" i="133"/>
  <c r="P49" i="87"/>
  <c r="P50" i="87" s="1"/>
  <c r="J156" i="127"/>
  <c r="P128" i="98"/>
  <c r="Z26" i="133"/>
  <c r="Z27" i="133" s="1"/>
  <c r="O129" i="106"/>
  <c r="O127" i="106"/>
  <c r="O49" i="90"/>
  <c r="O50" i="90" s="1"/>
  <c r="O54" i="9"/>
  <c r="O49" i="125"/>
  <c r="O50" i="125" s="1"/>
  <c r="L30" i="133"/>
  <c r="I21" i="119"/>
  <c r="P48" i="110"/>
  <c r="M14" i="74"/>
  <c r="N14" i="74" s="1"/>
  <c r="N76" i="74" s="1"/>
  <c r="O49" i="83"/>
  <c r="O50" i="83" s="1"/>
  <c r="R54" i="80"/>
  <c r="F37" i="122" s="1"/>
  <c r="O130" i="98"/>
  <c r="P123" i="128"/>
  <c r="O49" i="123"/>
  <c r="O50" i="123" s="1"/>
  <c r="O126" i="98"/>
  <c r="F21" i="119"/>
  <c r="P49" i="88"/>
  <c r="P50" i="88" s="1"/>
  <c r="O131" i="106"/>
  <c r="O129" i="98"/>
  <c r="Q30" i="133"/>
  <c r="P19" i="133"/>
  <c r="O128" i="128"/>
  <c r="J156" i="89"/>
  <c r="P17" i="133"/>
  <c r="P15" i="133"/>
  <c r="M120" i="129"/>
  <c r="O127" i="98"/>
  <c r="P126" i="106"/>
  <c r="M152" i="129"/>
  <c r="M156" i="129" s="1"/>
  <c r="O49" i="106"/>
  <c r="O50" i="106" s="1"/>
  <c r="O124" i="128"/>
  <c r="O48" i="89"/>
  <c r="P14" i="80"/>
  <c r="O126" i="106"/>
  <c r="O125" i="106"/>
  <c r="N77" i="109"/>
  <c r="N78" i="109" s="1"/>
  <c r="N79" i="109" s="1"/>
  <c r="P127" i="98"/>
  <c r="P129" i="98"/>
  <c r="O123" i="106"/>
  <c r="F12" i="119"/>
  <c r="F28" i="119" s="1"/>
  <c r="P28" i="119" s="1"/>
  <c r="P12" i="119" s="1"/>
  <c r="P130" i="98"/>
  <c r="O123" i="128"/>
  <c r="P125" i="98"/>
  <c r="P124" i="98"/>
  <c r="P18" i="133"/>
  <c r="I54" i="92"/>
  <c r="O125" i="128"/>
  <c r="P125" i="106"/>
  <c r="P53" i="124"/>
  <c r="O49" i="82"/>
  <c r="O50" i="82" s="1"/>
  <c r="O49" i="98"/>
  <c r="O50" i="98" s="1"/>
  <c r="P48" i="81"/>
  <c r="O49" i="99"/>
  <c r="O50" i="99" s="1"/>
  <c r="O132" i="74"/>
  <c r="P12" i="133"/>
  <c r="BB22" i="133"/>
  <c r="BB29" i="133" s="1"/>
  <c r="BA22" i="133"/>
  <c r="BA29" i="133" s="1"/>
  <c r="O53" i="94"/>
  <c r="O54" i="94" s="1"/>
  <c r="R54" i="94" s="1"/>
  <c r="F26" i="122" s="1"/>
  <c r="O48" i="110"/>
  <c r="P49" i="94"/>
  <c r="P50" i="94" s="1"/>
  <c r="O49" i="92"/>
  <c r="O50" i="92" s="1"/>
  <c r="P128" i="128"/>
  <c r="O54" i="125"/>
  <c r="L14" i="87"/>
  <c r="P124" i="106"/>
  <c r="E10" i="119"/>
  <c r="E26" i="119" s="1"/>
  <c r="P130" i="106"/>
  <c r="O49" i="126"/>
  <c r="O50" i="126" s="1"/>
  <c r="P144" i="127"/>
  <c r="K132" i="85"/>
  <c r="J132" i="128"/>
  <c r="L14" i="96"/>
  <c r="O144" i="127"/>
  <c r="P132" i="96"/>
  <c r="M156" i="123"/>
  <c r="O126" i="128"/>
  <c r="P144" i="83"/>
  <c r="P130" i="128"/>
  <c r="J120" i="87"/>
  <c r="J147" i="87"/>
  <c r="J156" i="87" s="1"/>
  <c r="P132" i="74"/>
  <c r="P144" i="93"/>
  <c r="L14" i="82"/>
  <c r="L76" i="82" s="1"/>
  <c r="O54" i="92"/>
  <c r="P127" i="128"/>
  <c r="I54" i="9"/>
  <c r="P132" i="88"/>
  <c r="O129" i="128"/>
  <c r="P125" i="128"/>
  <c r="P131" i="128"/>
  <c r="O128" i="106"/>
  <c r="M74" i="110"/>
  <c r="I18" i="14" s="1"/>
  <c r="T18" i="14" s="1"/>
  <c r="T40" i="14" s="1"/>
  <c r="E27" i="119"/>
  <c r="J11" i="119"/>
  <c r="I79" i="127"/>
  <c r="P54" i="74"/>
  <c r="O18" i="119"/>
  <c r="J18" i="119"/>
  <c r="L14" i="95"/>
  <c r="L76" i="95" s="1"/>
  <c r="K76" i="95"/>
  <c r="P143" i="100"/>
  <c r="O143" i="100"/>
  <c r="L50" i="110"/>
  <c r="L112" i="81"/>
  <c r="L148" i="81" s="1"/>
  <c r="L115" i="81"/>
  <c r="L151" i="81" s="1"/>
  <c r="L113" i="81"/>
  <c r="L149" i="81" s="1"/>
  <c r="L116" i="81"/>
  <c r="L152" i="81" s="1"/>
  <c r="L117" i="81"/>
  <c r="L153" i="81" s="1"/>
  <c r="L118" i="81"/>
  <c r="L154" i="81" s="1"/>
  <c r="L119" i="81"/>
  <c r="L155" i="81" s="1"/>
  <c r="L114" i="81"/>
  <c r="L150" i="81" s="1"/>
  <c r="L111" i="81"/>
  <c r="L54" i="81"/>
  <c r="O129" i="105"/>
  <c r="P129" i="105"/>
  <c r="O124" i="105"/>
  <c r="P124" i="105"/>
  <c r="P127" i="78"/>
  <c r="O127" i="78"/>
  <c r="I61" i="102"/>
  <c r="I50" i="102"/>
  <c r="P135" i="88"/>
  <c r="O135" i="88"/>
  <c r="I144" i="88"/>
  <c r="P140" i="88"/>
  <c r="O140" i="88"/>
  <c r="I50" i="97"/>
  <c r="I61" i="97"/>
  <c r="P129" i="82"/>
  <c r="O129" i="82"/>
  <c r="P127" i="82"/>
  <c r="O127" i="82"/>
  <c r="P131" i="92"/>
  <c r="O131" i="92"/>
  <c r="O128" i="92"/>
  <c r="P128" i="92"/>
  <c r="I61" i="9"/>
  <c r="J61" i="9" s="1"/>
  <c r="K61" i="9" s="1"/>
  <c r="L61" i="9" s="1"/>
  <c r="M61" i="9" s="1"/>
  <c r="N61" i="9" s="1"/>
  <c r="I50" i="9"/>
  <c r="I57" i="107"/>
  <c r="F76" i="128"/>
  <c r="O14" i="128"/>
  <c r="R14" i="128" s="1"/>
  <c r="E18" i="122" s="1"/>
  <c r="I144" i="74"/>
  <c r="P141" i="74"/>
  <c r="O141" i="74"/>
  <c r="P139" i="74"/>
  <c r="O139" i="74"/>
  <c r="O136" i="74"/>
  <c r="P136" i="74"/>
  <c r="F14" i="129"/>
  <c r="AS17" i="16"/>
  <c r="AT17" i="16" s="1"/>
  <c r="P137" i="124"/>
  <c r="O137" i="124"/>
  <c r="P142" i="124"/>
  <c r="O142" i="124"/>
  <c r="K76" i="93"/>
  <c r="O136" i="82"/>
  <c r="P136" i="82"/>
  <c r="P142" i="82"/>
  <c r="O142" i="82"/>
  <c r="M147" i="76"/>
  <c r="M156" i="76" s="1"/>
  <c r="M120" i="76"/>
  <c r="L147" i="77"/>
  <c r="L120" i="77"/>
  <c r="K50" i="103"/>
  <c r="M151" i="86"/>
  <c r="I61" i="129"/>
  <c r="J61" i="129" s="1"/>
  <c r="K61" i="129" s="1"/>
  <c r="L61" i="129" s="1"/>
  <c r="M61" i="129" s="1"/>
  <c r="N61" i="129" s="1"/>
  <c r="I50" i="129"/>
  <c r="M149" i="94"/>
  <c r="P131" i="102"/>
  <c r="L147" i="82"/>
  <c r="L120" i="82"/>
  <c r="I117" i="128"/>
  <c r="I113" i="128"/>
  <c r="I119" i="128"/>
  <c r="I116" i="128"/>
  <c r="I118" i="128"/>
  <c r="I111" i="128"/>
  <c r="I115" i="128"/>
  <c r="I114" i="128"/>
  <c r="I112" i="128"/>
  <c r="O53" i="128"/>
  <c r="O54" i="128" s="1"/>
  <c r="R54" i="128" s="1"/>
  <c r="F18" i="122" s="1"/>
  <c r="P53" i="128"/>
  <c r="I54" i="128"/>
  <c r="I114" i="106"/>
  <c r="I112" i="106"/>
  <c r="I113" i="106"/>
  <c r="I111" i="106"/>
  <c r="I117" i="106"/>
  <c r="I118" i="106"/>
  <c r="I115" i="106"/>
  <c r="I119" i="106"/>
  <c r="I116" i="106"/>
  <c r="O53" i="106"/>
  <c r="O54" i="106" s="1"/>
  <c r="M89" i="2"/>
  <c r="M97" i="2" s="1"/>
  <c r="M56" i="109" s="1"/>
  <c r="M57" i="109" s="1"/>
  <c r="M86" i="2"/>
  <c r="I61" i="92"/>
  <c r="I50" i="92"/>
  <c r="L14" i="84"/>
  <c r="I132" i="127"/>
  <c r="O123" i="127"/>
  <c r="P123" i="127"/>
  <c r="O126" i="127"/>
  <c r="P126" i="127"/>
  <c r="O125" i="127"/>
  <c r="P125" i="127"/>
  <c r="I29" i="133"/>
  <c r="I30" i="133" s="1"/>
  <c r="AZ21" i="133"/>
  <c r="AZ29" i="133" s="1"/>
  <c r="O132" i="88"/>
  <c r="P144" i="99"/>
  <c r="P132" i="100"/>
  <c r="O126" i="94"/>
  <c r="P126" i="94"/>
  <c r="O128" i="94"/>
  <c r="P128" i="94"/>
  <c r="I116" i="126"/>
  <c r="I119" i="126"/>
  <c r="I111" i="126"/>
  <c r="I114" i="126"/>
  <c r="P114" i="126" s="1"/>
  <c r="I118" i="126"/>
  <c r="I115" i="126"/>
  <c r="I113" i="126"/>
  <c r="I112" i="126"/>
  <c r="I117" i="126"/>
  <c r="O53" i="126"/>
  <c r="O54" i="126" s="1"/>
  <c r="M147" i="80"/>
  <c r="M156" i="80" s="1"/>
  <c r="M120" i="80"/>
  <c r="I132" i="99"/>
  <c r="P128" i="99"/>
  <c r="O128" i="99"/>
  <c r="P125" i="99"/>
  <c r="O125" i="99"/>
  <c r="O131" i="99"/>
  <c r="P131" i="99"/>
  <c r="O53" i="97"/>
  <c r="O54" i="97" s="1"/>
  <c r="M76" i="75"/>
  <c r="P14" i="75"/>
  <c r="O14" i="75"/>
  <c r="R14" i="75" s="1"/>
  <c r="E32" i="122" s="1"/>
  <c r="K147" i="78"/>
  <c r="K156" i="78" s="1"/>
  <c r="K120" i="78"/>
  <c r="I119" i="76"/>
  <c r="I112" i="76"/>
  <c r="I117" i="76"/>
  <c r="I111" i="76"/>
  <c r="I114" i="76"/>
  <c r="I115" i="76"/>
  <c r="I113" i="76"/>
  <c r="I118" i="76"/>
  <c r="I116" i="76"/>
  <c r="P53" i="76"/>
  <c r="O53" i="76"/>
  <c r="O54" i="76" s="1"/>
  <c r="P132" i="9"/>
  <c r="I50" i="78"/>
  <c r="I61" i="78"/>
  <c r="P141" i="123"/>
  <c r="O141" i="123"/>
  <c r="O142" i="123"/>
  <c r="P142" i="123"/>
  <c r="O49" i="97"/>
  <c r="O50" i="97" s="1"/>
  <c r="L132" i="85"/>
  <c r="P141" i="90"/>
  <c r="O141" i="90"/>
  <c r="P136" i="90"/>
  <c r="O136" i="90"/>
  <c r="P137" i="90"/>
  <c r="O137" i="90"/>
  <c r="P136" i="101"/>
  <c r="O136" i="101"/>
  <c r="P137" i="101"/>
  <c r="O137" i="101"/>
  <c r="G78" i="127"/>
  <c r="G79" i="127" s="1"/>
  <c r="G83" i="127"/>
  <c r="H83" i="127" s="1"/>
  <c r="I83" i="127" s="1"/>
  <c r="J83" i="127" s="1"/>
  <c r="K83" i="127" s="1"/>
  <c r="L83" i="127" s="1"/>
  <c r="M83" i="127" s="1"/>
  <c r="N83" i="127" s="1"/>
  <c r="O77" i="127"/>
  <c r="M153" i="87"/>
  <c r="L14" i="76"/>
  <c r="K76" i="76"/>
  <c r="P139" i="125"/>
  <c r="O139" i="125"/>
  <c r="I50" i="96"/>
  <c r="I61" i="96"/>
  <c r="P138" i="96"/>
  <c r="O138" i="96"/>
  <c r="P140" i="96"/>
  <c r="O140" i="96"/>
  <c r="O138" i="129"/>
  <c r="P138" i="129"/>
  <c r="P139" i="129"/>
  <c r="O139" i="129"/>
  <c r="P141" i="129"/>
  <c r="O141" i="129"/>
  <c r="P128" i="75"/>
  <c r="O128" i="75"/>
  <c r="O126" i="75"/>
  <c r="P126" i="75"/>
  <c r="O131" i="75"/>
  <c r="P131" i="75"/>
  <c r="J147" i="95"/>
  <c r="J156" i="95" s="1"/>
  <c r="J120" i="95"/>
  <c r="O129" i="102"/>
  <c r="O128" i="102"/>
  <c r="M147" i="128"/>
  <c r="M120" i="128"/>
  <c r="M147" i="102"/>
  <c r="M120" i="102"/>
  <c r="P142" i="76"/>
  <c r="O142" i="76"/>
  <c r="P139" i="76"/>
  <c r="O139" i="76"/>
  <c r="I83" i="9"/>
  <c r="J83" i="9" s="1"/>
  <c r="K83" i="9" s="1"/>
  <c r="F26" i="119"/>
  <c r="P135" i="84"/>
  <c r="I144" i="84"/>
  <c r="O135" i="84"/>
  <c r="P138" i="84"/>
  <c r="O138" i="84"/>
  <c r="L132" i="106"/>
  <c r="L14" i="108"/>
  <c r="I61" i="80"/>
  <c r="I50" i="80"/>
  <c r="O138" i="85"/>
  <c r="P138" i="85"/>
  <c r="P143" i="85"/>
  <c r="O143" i="85"/>
  <c r="P140" i="85"/>
  <c r="O140" i="85"/>
  <c r="O130" i="128"/>
  <c r="O144" i="91"/>
  <c r="K50" i="98"/>
  <c r="M147" i="91"/>
  <c r="M120" i="91"/>
  <c r="P49" i="95"/>
  <c r="P50" i="95" s="1"/>
  <c r="I50" i="93"/>
  <c r="I61" i="93"/>
  <c r="P128" i="106"/>
  <c r="L156" i="89"/>
  <c r="J50" i="106"/>
  <c r="K147" i="102"/>
  <c r="K156" i="102" s="1"/>
  <c r="K120" i="102"/>
  <c r="I115" i="101"/>
  <c r="I117" i="101"/>
  <c r="I113" i="101"/>
  <c r="I119" i="101"/>
  <c r="I116" i="101"/>
  <c r="I111" i="101"/>
  <c r="I118" i="101"/>
  <c r="I112" i="101"/>
  <c r="I114" i="101"/>
  <c r="P53" i="101"/>
  <c r="O53" i="101"/>
  <c r="O54" i="101" s="1"/>
  <c r="I116" i="84"/>
  <c r="I115" i="84"/>
  <c r="I113" i="84"/>
  <c r="I114" i="84"/>
  <c r="I112" i="84"/>
  <c r="I118" i="84"/>
  <c r="I119" i="84"/>
  <c r="I117" i="84"/>
  <c r="I111" i="84"/>
  <c r="P53" i="84"/>
  <c r="I50" i="98"/>
  <c r="I61" i="98"/>
  <c r="J61" i="98" s="1"/>
  <c r="K61" i="98" s="1"/>
  <c r="L61" i="98" s="1"/>
  <c r="M61" i="98" s="1"/>
  <c r="N61" i="98" s="1"/>
  <c r="P76" i="128"/>
  <c r="H24" i="133"/>
  <c r="AY24" i="133" s="1"/>
  <c r="BG24" i="133" s="1"/>
  <c r="P53" i="108"/>
  <c r="O53" i="108"/>
  <c r="O54" i="108" s="1"/>
  <c r="R54" i="108" s="1"/>
  <c r="F48" i="122" s="1"/>
  <c r="I50" i="100"/>
  <c r="I61" i="100"/>
  <c r="J61" i="100" s="1"/>
  <c r="K61" i="100" s="1"/>
  <c r="L61" i="100" s="1"/>
  <c r="M61" i="100" s="1"/>
  <c r="N61" i="100" s="1"/>
  <c r="P49" i="104"/>
  <c r="P50" i="104" s="1"/>
  <c r="P143" i="104"/>
  <c r="O143" i="104"/>
  <c r="P135" i="104"/>
  <c r="I144" i="104"/>
  <c r="O135" i="104"/>
  <c r="J147" i="77"/>
  <c r="J156" i="77" s="1"/>
  <c r="J120" i="77"/>
  <c r="O130" i="126"/>
  <c r="P130" i="126"/>
  <c r="P125" i="126"/>
  <c r="O125" i="126"/>
  <c r="O129" i="126"/>
  <c r="P129" i="126"/>
  <c r="P49" i="123"/>
  <c r="P50" i="123" s="1"/>
  <c r="M147" i="78"/>
  <c r="M120" i="78"/>
  <c r="O126" i="102"/>
  <c r="P123" i="102"/>
  <c r="M50" i="85"/>
  <c r="K77" i="99"/>
  <c r="K78" i="99" s="1"/>
  <c r="K79" i="99" s="1"/>
  <c r="O76" i="99"/>
  <c r="F78" i="99"/>
  <c r="N77" i="99"/>
  <c r="N78" i="99" s="1"/>
  <c r="N79" i="99" s="1"/>
  <c r="M77" i="99"/>
  <c r="M78" i="99" s="1"/>
  <c r="M79" i="99" s="1"/>
  <c r="L77" i="99"/>
  <c r="L78" i="99" s="1"/>
  <c r="L79" i="99" s="1"/>
  <c r="H77" i="99"/>
  <c r="G77" i="99"/>
  <c r="P141" i="79"/>
  <c r="O141" i="79"/>
  <c r="I128" i="103"/>
  <c r="P128" i="103" s="1"/>
  <c r="I127" i="103"/>
  <c r="O127" i="103" s="1"/>
  <c r="I130" i="103"/>
  <c r="I131" i="103"/>
  <c r="I126" i="103"/>
  <c r="I124" i="103"/>
  <c r="I129" i="103"/>
  <c r="I125" i="103"/>
  <c r="I123" i="103"/>
  <c r="O51" i="103"/>
  <c r="P51" i="103"/>
  <c r="K147" i="105"/>
  <c r="K156" i="105" s="1"/>
  <c r="K120" i="105"/>
  <c r="P139" i="77"/>
  <c r="O139" i="77"/>
  <c r="P138" i="77"/>
  <c r="O138" i="77"/>
  <c r="P126" i="104"/>
  <c r="O126" i="104"/>
  <c r="O131" i="87"/>
  <c r="P131" i="87"/>
  <c r="O123" i="87"/>
  <c r="I132" i="87"/>
  <c r="P123" i="87"/>
  <c r="O128" i="87"/>
  <c r="P128" i="87"/>
  <c r="P137" i="78"/>
  <c r="O137" i="78"/>
  <c r="P141" i="78"/>
  <c r="O141" i="78"/>
  <c r="P130" i="129"/>
  <c r="O130" i="129"/>
  <c r="O126" i="129"/>
  <c r="P126" i="129"/>
  <c r="R20" i="133"/>
  <c r="L132" i="98"/>
  <c r="R12" i="133"/>
  <c r="O144" i="102"/>
  <c r="O144" i="98"/>
  <c r="K50" i="89"/>
  <c r="J147" i="92"/>
  <c r="J156" i="92" s="1"/>
  <c r="J120" i="92"/>
  <c r="K147" i="95"/>
  <c r="K156" i="95" s="1"/>
  <c r="K120" i="95"/>
  <c r="O44" i="85"/>
  <c r="O127" i="128"/>
  <c r="P126" i="128"/>
  <c r="K77" i="88"/>
  <c r="K78" i="88" s="1"/>
  <c r="K79" i="88" s="1"/>
  <c r="O129" i="91"/>
  <c r="P129" i="91"/>
  <c r="O124" i="91"/>
  <c r="P124" i="91"/>
  <c r="O131" i="91"/>
  <c r="P131" i="91"/>
  <c r="K120" i="100"/>
  <c r="K147" i="100"/>
  <c r="K156" i="100" s="1"/>
  <c r="J147" i="126"/>
  <c r="J156" i="126" s="1"/>
  <c r="J120" i="126"/>
  <c r="O130" i="106"/>
  <c r="P126" i="76"/>
  <c r="O126" i="76"/>
  <c r="O127" i="76"/>
  <c r="P127" i="76"/>
  <c r="K120" i="83"/>
  <c r="K147" i="83"/>
  <c r="K156" i="83" s="1"/>
  <c r="P132" i="84"/>
  <c r="O124" i="123"/>
  <c r="P124" i="123"/>
  <c r="O126" i="123"/>
  <c r="P126" i="123"/>
  <c r="M132" i="85"/>
  <c r="P138" i="80"/>
  <c r="O138" i="80"/>
  <c r="P49" i="83"/>
  <c r="P50" i="83" s="1"/>
  <c r="P44" i="110"/>
  <c r="P49" i="110" s="1"/>
  <c r="P50" i="110" s="1"/>
  <c r="Q16" i="133"/>
  <c r="Q18" i="133"/>
  <c r="BK23" i="133"/>
  <c r="M57" i="107"/>
  <c r="K156" i="79"/>
  <c r="J147" i="94"/>
  <c r="J156" i="94" s="1"/>
  <c r="J120" i="94"/>
  <c r="H12" i="119"/>
  <c r="L117" i="98"/>
  <c r="L111" i="98"/>
  <c r="L118" i="98"/>
  <c r="L113" i="98"/>
  <c r="L114" i="98"/>
  <c r="L116" i="98"/>
  <c r="L112" i="98"/>
  <c r="L119" i="98"/>
  <c r="L115" i="98"/>
  <c r="P49" i="98"/>
  <c r="P50" i="98" s="1"/>
  <c r="L50" i="106"/>
  <c r="O144" i="86"/>
  <c r="I118" i="79"/>
  <c r="I117" i="79"/>
  <c r="I114" i="79"/>
  <c r="I115" i="79"/>
  <c r="I112" i="79"/>
  <c r="I116" i="79"/>
  <c r="I119" i="79"/>
  <c r="I113" i="79"/>
  <c r="I111" i="79"/>
  <c r="O53" i="79"/>
  <c r="O54" i="79" s="1"/>
  <c r="R54" i="79" s="1"/>
  <c r="F36" i="122" s="1"/>
  <c r="P53" i="79"/>
  <c r="L76" i="80"/>
  <c r="N14" i="80"/>
  <c r="K120" i="84"/>
  <c r="K147" i="84"/>
  <c r="K156" i="84" s="1"/>
  <c r="P127" i="83"/>
  <c r="O127" i="83"/>
  <c r="O126" i="83"/>
  <c r="P126" i="83"/>
  <c r="L156" i="105"/>
  <c r="P129" i="90"/>
  <c r="O129" i="90"/>
  <c r="O131" i="90"/>
  <c r="P131" i="90"/>
  <c r="O127" i="90"/>
  <c r="P127" i="90"/>
  <c r="P126" i="97"/>
  <c r="O126" i="97"/>
  <c r="O125" i="97"/>
  <c r="P125" i="97"/>
  <c r="I132" i="97"/>
  <c r="P123" i="97"/>
  <c r="O123" i="97"/>
  <c r="P140" i="87"/>
  <c r="O140" i="87"/>
  <c r="P141" i="87"/>
  <c r="O141" i="87"/>
  <c r="P142" i="9"/>
  <c r="O142" i="9"/>
  <c r="P138" i="9"/>
  <c r="O138" i="9"/>
  <c r="O139" i="9"/>
  <c r="P139" i="9"/>
  <c r="P127" i="102"/>
  <c r="P139" i="106"/>
  <c r="O139" i="106"/>
  <c r="O142" i="106"/>
  <c r="P142" i="106"/>
  <c r="P131" i="124"/>
  <c r="O131" i="124"/>
  <c r="P130" i="124"/>
  <c r="O130" i="124"/>
  <c r="P124" i="101"/>
  <c r="O124" i="101"/>
  <c r="P137" i="97"/>
  <c r="O137" i="97"/>
  <c r="P142" i="97"/>
  <c r="O142" i="97"/>
  <c r="P141" i="97"/>
  <c r="O141" i="97"/>
  <c r="M147" i="83"/>
  <c r="M120" i="83"/>
  <c r="I61" i="82"/>
  <c r="I50" i="82"/>
  <c r="P143" i="126"/>
  <c r="O143" i="126"/>
  <c r="P136" i="126"/>
  <c r="O136" i="126"/>
  <c r="P138" i="126"/>
  <c r="O138" i="126"/>
  <c r="I49" i="89"/>
  <c r="I53" i="89"/>
  <c r="O53" i="89" s="1"/>
  <c r="J150" i="85"/>
  <c r="J151" i="85"/>
  <c r="P135" i="105"/>
  <c r="O135" i="105"/>
  <c r="I144" i="105"/>
  <c r="O143" i="105"/>
  <c r="P143" i="105"/>
  <c r="G20" i="119"/>
  <c r="O44" i="81"/>
  <c r="O49" i="81" s="1"/>
  <c r="O50" i="81" s="1"/>
  <c r="P48" i="85"/>
  <c r="P44" i="85"/>
  <c r="P139" i="81"/>
  <c r="O139" i="81"/>
  <c r="I144" i="81"/>
  <c r="O135" i="81"/>
  <c r="P135" i="81"/>
  <c r="P137" i="81"/>
  <c r="O137" i="81"/>
  <c r="V29" i="133"/>
  <c r="P125" i="81"/>
  <c r="O125" i="81"/>
  <c r="O126" i="81"/>
  <c r="P126" i="81"/>
  <c r="O137" i="103"/>
  <c r="P137" i="103"/>
  <c r="P141" i="103"/>
  <c r="O141" i="103"/>
  <c r="W26" i="133"/>
  <c r="W27" i="133" s="1"/>
  <c r="P144" i="128"/>
  <c r="P137" i="100"/>
  <c r="O137" i="100"/>
  <c r="P135" i="100"/>
  <c r="O135" i="100"/>
  <c r="I144" i="100"/>
  <c r="P142" i="100"/>
  <c r="O142" i="100"/>
  <c r="O144" i="95"/>
  <c r="J132" i="102"/>
  <c r="M147" i="106"/>
  <c r="M120" i="106"/>
  <c r="M149" i="106"/>
  <c r="L50" i="81"/>
  <c r="O131" i="105"/>
  <c r="P131" i="105"/>
  <c r="H21" i="133"/>
  <c r="O53" i="109"/>
  <c r="O54" i="109" s="1"/>
  <c r="P53" i="109"/>
  <c r="M14" i="107"/>
  <c r="L76" i="107"/>
  <c r="P130" i="78"/>
  <c r="O130" i="78"/>
  <c r="P125" i="78"/>
  <c r="O125" i="78"/>
  <c r="P137" i="88"/>
  <c r="O137" i="88"/>
  <c r="P139" i="88"/>
  <c r="O139" i="88"/>
  <c r="P141" i="88"/>
  <c r="O141" i="88"/>
  <c r="K114" i="129"/>
  <c r="K150" i="129" s="1"/>
  <c r="K111" i="129"/>
  <c r="K118" i="129"/>
  <c r="K154" i="129" s="1"/>
  <c r="K117" i="129"/>
  <c r="K153" i="129" s="1"/>
  <c r="K116" i="129"/>
  <c r="K152" i="129" s="1"/>
  <c r="K115" i="129"/>
  <c r="K151" i="129" s="1"/>
  <c r="K119" i="129"/>
  <c r="K155" i="129" s="1"/>
  <c r="K113" i="129"/>
  <c r="K149" i="129" s="1"/>
  <c r="K112" i="129"/>
  <c r="K148" i="129" s="1"/>
  <c r="O22" i="133"/>
  <c r="O29" i="133" s="1"/>
  <c r="O51" i="110"/>
  <c r="P51" i="110"/>
  <c r="P124" i="82"/>
  <c r="O124" i="82"/>
  <c r="P131" i="82"/>
  <c r="O131" i="82"/>
  <c r="P126" i="92"/>
  <c r="O126" i="92"/>
  <c r="P123" i="92"/>
  <c r="O123" i="92"/>
  <c r="I132" i="92"/>
  <c r="O127" i="92"/>
  <c r="P127" i="92"/>
  <c r="M153" i="103"/>
  <c r="I115" i="105"/>
  <c r="I118" i="105"/>
  <c r="O118" i="105" s="1"/>
  <c r="I117" i="105"/>
  <c r="I116" i="105"/>
  <c r="O116" i="105" s="1"/>
  <c r="I119" i="105"/>
  <c r="I111" i="105"/>
  <c r="I114" i="105"/>
  <c r="I112" i="105"/>
  <c r="I113" i="105"/>
  <c r="O53" i="105"/>
  <c r="O54" i="105" s="1"/>
  <c r="R54" i="105" s="1"/>
  <c r="F12" i="122" s="1"/>
  <c r="O132" i="96"/>
  <c r="P144" i="75"/>
  <c r="P143" i="74"/>
  <c r="O143" i="74"/>
  <c r="P138" i="74"/>
  <c r="O138" i="74"/>
  <c r="J147" i="90"/>
  <c r="J156" i="90" s="1"/>
  <c r="J120" i="90"/>
  <c r="M147" i="9"/>
  <c r="M120" i="9"/>
  <c r="M150" i="9"/>
  <c r="K147" i="128"/>
  <c r="K156" i="128" s="1"/>
  <c r="K120" i="128"/>
  <c r="K147" i="93"/>
  <c r="K156" i="93" s="1"/>
  <c r="K120" i="93"/>
  <c r="I144" i="124"/>
  <c r="P135" i="124"/>
  <c r="O135" i="124"/>
  <c r="P138" i="124"/>
  <c r="O138" i="124"/>
  <c r="L132" i="128"/>
  <c r="K76" i="97"/>
  <c r="O143" i="82"/>
  <c r="P143" i="82"/>
  <c r="P137" i="82"/>
  <c r="O137" i="82"/>
  <c r="P14" i="94"/>
  <c r="M76" i="94"/>
  <c r="L151" i="77"/>
  <c r="M147" i="86"/>
  <c r="M120" i="86"/>
  <c r="I113" i="75"/>
  <c r="I115" i="75"/>
  <c r="I118" i="75"/>
  <c r="I116" i="75"/>
  <c r="I111" i="75"/>
  <c r="I114" i="75"/>
  <c r="I112" i="75"/>
  <c r="I117" i="75"/>
  <c r="I119" i="75"/>
  <c r="O53" i="75"/>
  <c r="O54" i="75" s="1"/>
  <c r="P53" i="75"/>
  <c r="M154" i="94"/>
  <c r="O130" i="102"/>
  <c r="S26" i="133"/>
  <c r="I61" i="128"/>
  <c r="I50" i="128"/>
  <c r="I50" i="106"/>
  <c r="I61" i="106"/>
  <c r="J61" i="106" s="1"/>
  <c r="K61" i="106" s="1"/>
  <c r="F78" i="124"/>
  <c r="O76" i="124"/>
  <c r="M77" i="124"/>
  <c r="M78" i="124" s="1"/>
  <c r="M79" i="124" s="1"/>
  <c r="G77" i="124"/>
  <c r="L77" i="124"/>
  <c r="L78" i="124" s="1"/>
  <c r="L79" i="124" s="1"/>
  <c r="K77" i="124"/>
  <c r="K78" i="124" s="1"/>
  <c r="K79" i="124" s="1"/>
  <c r="N77" i="124"/>
  <c r="N78" i="124" s="1"/>
  <c r="N79" i="124" s="1"/>
  <c r="O53" i="121"/>
  <c r="O54" i="121" s="1"/>
  <c r="R54" i="121" s="1"/>
  <c r="F46" i="122" s="1"/>
  <c r="P53" i="121"/>
  <c r="P124" i="127"/>
  <c r="O124" i="127"/>
  <c r="P131" i="127"/>
  <c r="O131" i="127"/>
  <c r="L120" i="102"/>
  <c r="L147" i="102"/>
  <c r="L156" i="102" s="1"/>
  <c r="I118" i="88"/>
  <c r="I115" i="88"/>
  <c r="I114" i="88"/>
  <c r="I119" i="88"/>
  <c r="I112" i="88"/>
  <c r="I111" i="88"/>
  <c r="I113" i="88"/>
  <c r="I116" i="88"/>
  <c r="I117" i="88"/>
  <c r="O53" i="88"/>
  <c r="O54" i="88" s="1"/>
  <c r="R54" i="88" s="1"/>
  <c r="F45" i="122" s="1"/>
  <c r="P53" i="88"/>
  <c r="I54" i="88"/>
  <c r="K77" i="81"/>
  <c r="O132" i="125"/>
  <c r="I119" i="95"/>
  <c r="I116" i="95"/>
  <c r="I117" i="95"/>
  <c r="P117" i="95" s="1"/>
  <c r="I112" i="95"/>
  <c r="I111" i="95"/>
  <c r="O111" i="95" s="1"/>
  <c r="I118" i="95"/>
  <c r="I114" i="95"/>
  <c r="I113" i="95"/>
  <c r="I115" i="95"/>
  <c r="O53" i="95"/>
  <c r="O54" i="95" s="1"/>
  <c r="P53" i="95"/>
  <c r="I54" i="95"/>
  <c r="P16" i="133"/>
  <c r="I115" i="77"/>
  <c r="I112" i="77"/>
  <c r="I116" i="77"/>
  <c r="I118" i="77"/>
  <c r="I117" i="77"/>
  <c r="I111" i="77"/>
  <c r="P111" i="77" s="1"/>
  <c r="I114" i="77"/>
  <c r="I119" i="77"/>
  <c r="I113" i="77"/>
  <c r="O53" i="77"/>
  <c r="O54" i="77" s="1"/>
  <c r="R54" i="77" s="1"/>
  <c r="F34" i="122" s="1"/>
  <c r="P53" i="77"/>
  <c r="P132" i="77"/>
  <c r="I132" i="94"/>
  <c r="P123" i="94"/>
  <c r="O123" i="94"/>
  <c r="O131" i="94"/>
  <c r="P131" i="94"/>
  <c r="P144" i="92"/>
  <c r="I61" i="126"/>
  <c r="J61" i="126" s="1"/>
  <c r="K61" i="126" s="1"/>
  <c r="L61" i="126" s="1"/>
  <c r="M61" i="126" s="1"/>
  <c r="N61" i="126" s="1"/>
  <c r="I50" i="126"/>
  <c r="O49" i="109"/>
  <c r="O50" i="109" s="1"/>
  <c r="R54" i="109" s="1"/>
  <c r="F49" i="122" s="1"/>
  <c r="O126" i="99"/>
  <c r="P126" i="99"/>
  <c r="O124" i="99"/>
  <c r="P124" i="99"/>
  <c r="J120" i="104"/>
  <c r="J147" i="104"/>
  <c r="J156" i="104" s="1"/>
  <c r="M148" i="96"/>
  <c r="K54" i="129"/>
  <c r="M150" i="126"/>
  <c r="P53" i="126"/>
  <c r="I50" i="76"/>
  <c r="I61" i="76"/>
  <c r="O132" i="9"/>
  <c r="O139" i="123"/>
  <c r="P139" i="123"/>
  <c r="P143" i="123"/>
  <c r="O143" i="123"/>
  <c r="J147" i="9"/>
  <c r="J156" i="9" s="1"/>
  <c r="J120" i="9"/>
  <c r="M155" i="124"/>
  <c r="P138" i="90"/>
  <c r="O138" i="90"/>
  <c r="P140" i="90"/>
  <c r="O140" i="90"/>
  <c r="P140" i="101"/>
  <c r="O140" i="101"/>
  <c r="P143" i="101"/>
  <c r="O143" i="101"/>
  <c r="M112" i="89"/>
  <c r="M148" i="89" s="1"/>
  <c r="M118" i="89"/>
  <c r="M154" i="89" s="1"/>
  <c r="M119" i="89"/>
  <c r="M155" i="89" s="1"/>
  <c r="M117" i="89"/>
  <c r="M153" i="89" s="1"/>
  <c r="M114" i="89"/>
  <c r="M150" i="89" s="1"/>
  <c r="M113" i="89"/>
  <c r="M149" i="89" s="1"/>
  <c r="M111" i="89"/>
  <c r="M115" i="89"/>
  <c r="M151" i="89" s="1"/>
  <c r="M116" i="89"/>
  <c r="M152" i="89" s="1"/>
  <c r="M54" i="89"/>
  <c r="M147" i="87"/>
  <c r="M120" i="87"/>
  <c r="P142" i="125"/>
  <c r="O142" i="125"/>
  <c r="P138" i="125"/>
  <c r="O138" i="125"/>
  <c r="I115" i="99"/>
  <c r="I118" i="99"/>
  <c r="I117" i="99"/>
  <c r="I111" i="99"/>
  <c r="I116" i="99"/>
  <c r="P116" i="99" s="1"/>
  <c r="I112" i="99"/>
  <c r="I119" i="99"/>
  <c r="I114" i="99"/>
  <c r="I113" i="99"/>
  <c r="P53" i="99"/>
  <c r="P139" i="96"/>
  <c r="O139" i="96"/>
  <c r="P141" i="96"/>
  <c r="O141" i="96"/>
  <c r="O137" i="129"/>
  <c r="P137" i="129"/>
  <c r="P135" i="129"/>
  <c r="O135" i="129"/>
  <c r="I144" i="129"/>
  <c r="O124" i="75"/>
  <c r="P124" i="75"/>
  <c r="O129" i="75"/>
  <c r="P129" i="75"/>
  <c r="P123" i="75"/>
  <c r="O123" i="75"/>
  <c r="I132" i="75"/>
  <c r="P129" i="102"/>
  <c r="P128" i="102"/>
  <c r="O132" i="80"/>
  <c r="M148" i="128"/>
  <c r="H78" i="102"/>
  <c r="H79" i="102" s="1"/>
  <c r="L54" i="110"/>
  <c r="M154" i="102"/>
  <c r="P143" i="76"/>
  <c r="O143" i="76"/>
  <c r="P140" i="76"/>
  <c r="O140" i="76"/>
  <c r="P136" i="76"/>
  <c r="O136" i="76"/>
  <c r="J132" i="106"/>
  <c r="P136" i="84"/>
  <c r="O136" i="84"/>
  <c r="P137" i="84"/>
  <c r="O137" i="84"/>
  <c r="P141" i="85"/>
  <c r="O141" i="85"/>
  <c r="O139" i="85"/>
  <c r="P139" i="85"/>
  <c r="P142" i="85"/>
  <c r="O142" i="85"/>
  <c r="P132" i="86"/>
  <c r="I116" i="124"/>
  <c r="I111" i="124"/>
  <c r="O111" i="124" s="1"/>
  <c r="I118" i="124"/>
  <c r="I113" i="124"/>
  <c r="I117" i="124"/>
  <c r="O117" i="124" s="1"/>
  <c r="I115" i="124"/>
  <c r="I119" i="124"/>
  <c r="O119" i="124" s="1"/>
  <c r="I112" i="124"/>
  <c r="I114" i="124"/>
  <c r="O53" i="124"/>
  <c r="O54" i="124" s="1"/>
  <c r="R54" i="124" s="1"/>
  <c r="F22" i="122" s="1"/>
  <c r="P127" i="106"/>
  <c r="J147" i="76"/>
  <c r="J156" i="76" s="1"/>
  <c r="J120" i="76"/>
  <c r="L156" i="88"/>
  <c r="K147" i="87"/>
  <c r="K156" i="87" s="1"/>
  <c r="K120" i="87"/>
  <c r="M120" i="88"/>
  <c r="M147" i="88"/>
  <c r="M156" i="88" s="1"/>
  <c r="I113" i="83"/>
  <c r="I111" i="83"/>
  <c r="P111" i="83" s="1"/>
  <c r="I116" i="83"/>
  <c r="I115" i="83"/>
  <c r="I114" i="83"/>
  <c r="I117" i="83"/>
  <c r="I118" i="83"/>
  <c r="P118" i="83" s="1"/>
  <c r="I119" i="83"/>
  <c r="I112" i="83"/>
  <c r="O53" i="83"/>
  <c r="O54" i="83" s="1"/>
  <c r="P53" i="83"/>
  <c r="J76" i="110"/>
  <c r="I50" i="101"/>
  <c r="I61" i="101"/>
  <c r="I50" i="84"/>
  <c r="I61" i="84"/>
  <c r="I50" i="108"/>
  <c r="I61" i="108"/>
  <c r="L147" i="74"/>
  <c r="L156" i="74" s="1"/>
  <c r="L120" i="74"/>
  <c r="P137" i="104"/>
  <c r="O137" i="104"/>
  <c r="P139" i="104"/>
  <c r="O139" i="104"/>
  <c r="I54" i="126"/>
  <c r="P126" i="126"/>
  <c r="O126" i="126"/>
  <c r="P76" i="89"/>
  <c r="M153" i="78"/>
  <c r="P126" i="102"/>
  <c r="P139" i="79"/>
  <c r="O139" i="79"/>
  <c r="P138" i="79"/>
  <c r="O138" i="79"/>
  <c r="P140" i="79"/>
  <c r="O140" i="79"/>
  <c r="O48" i="103"/>
  <c r="P44" i="103"/>
  <c r="P49" i="106"/>
  <c r="P50" i="106" s="1"/>
  <c r="K147" i="86"/>
  <c r="K156" i="86" s="1"/>
  <c r="K120" i="86"/>
  <c r="O142" i="77"/>
  <c r="P142" i="77"/>
  <c r="P136" i="77"/>
  <c r="O136" i="77"/>
  <c r="O140" i="77"/>
  <c r="P140" i="77"/>
  <c r="O127" i="104"/>
  <c r="P127" i="104"/>
  <c r="P124" i="104"/>
  <c r="O124" i="104"/>
  <c r="P130" i="104"/>
  <c r="O130" i="104"/>
  <c r="K120" i="94"/>
  <c r="K147" i="94"/>
  <c r="K156" i="94" s="1"/>
  <c r="J147" i="80"/>
  <c r="J156" i="80" s="1"/>
  <c r="J120" i="80"/>
  <c r="O125" i="87"/>
  <c r="P125" i="87"/>
  <c r="O130" i="87"/>
  <c r="P130" i="87"/>
  <c r="I54" i="109"/>
  <c r="I144" i="78"/>
  <c r="P135" i="78"/>
  <c r="O135" i="78"/>
  <c r="P138" i="78"/>
  <c r="O138" i="78"/>
  <c r="P142" i="78"/>
  <c r="O142" i="78"/>
  <c r="P123" i="129"/>
  <c r="I132" i="129"/>
  <c r="O123" i="129"/>
  <c r="R16" i="133"/>
  <c r="R18" i="133"/>
  <c r="R17" i="133"/>
  <c r="P144" i="98"/>
  <c r="J147" i="124"/>
  <c r="J156" i="124" s="1"/>
  <c r="J120" i="124"/>
  <c r="J147" i="84"/>
  <c r="J156" i="84" s="1"/>
  <c r="J120" i="84"/>
  <c r="M147" i="82"/>
  <c r="M156" i="82" s="1"/>
  <c r="M120" i="82"/>
  <c r="P129" i="128"/>
  <c r="M76" i="83"/>
  <c r="N14" i="83"/>
  <c r="N76" i="83" s="1"/>
  <c r="P14" i="83"/>
  <c r="P131" i="98"/>
  <c r="O132" i="79"/>
  <c r="L76" i="88"/>
  <c r="M14" i="88"/>
  <c r="L77" i="9"/>
  <c r="L78" i="9" s="1"/>
  <c r="L79" i="9" s="1"/>
  <c r="O128" i="91"/>
  <c r="P128" i="91"/>
  <c r="P130" i="91"/>
  <c r="O130" i="91"/>
  <c r="O127" i="91"/>
  <c r="P127" i="91"/>
  <c r="P30" i="133"/>
  <c r="P21" i="119"/>
  <c r="G11" i="131" s="1"/>
  <c r="J156" i="91"/>
  <c r="K156" i="77"/>
  <c r="X26" i="133"/>
  <c r="X27" i="133" s="1"/>
  <c r="M120" i="104"/>
  <c r="M147" i="104"/>
  <c r="O49" i="95"/>
  <c r="O50" i="95" s="1"/>
  <c r="R54" i="95" s="1"/>
  <c r="F27" i="122" s="1"/>
  <c r="O124" i="106"/>
  <c r="I54" i="106"/>
  <c r="K147" i="126"/>
  <c r="K156" i="126" s="1"/>
  <c r="K120" i="126"/>
  <c r="O131" i="76"/>
  <c r="P131" i="76"/>
  <c r="P130" i="76"/>
  <c r="O130" i="76"/>
  <c r="P125" i="76"/>
  <c r="O125" i="76"/>
  <c r="P127" i="123"/>
  <c r="O127" i="123"/>
  <c r="O130" i="123"/>
  <c r="P130" i="123"/>
  <c r="P125" i="123"/>
  <c r="O125" i="123"/>
  <c r="I115" i="127"/>
  <c r="I112" i="127"/>
  <c r="I116" i="127"/>
  <c r="I114" i="127"/>
  <c r="I111" i="127"/>
  <c r="I113" i="127"/>
  <c r="I119" i="127"/>
  <c r="I118" i="127"/>
  <c r="I117" i="127"/>
  <c r="P53" i="127"/>
  <c r="O53" i="127"/>
  <c r="O54" i="127" s="1"/>
  <c r="R54" i="127" s="1"/>
  <c r="F19" i="122" s="1"/>
  <c r="L76" i="86"/>
  <c r="P14" i="86"/>
  <c r="N14" i="86"/>
  <c r="N76" i="86" s="1"/>
  <c r="P143" i="80"/>
  <c r="O143" i="80"/>
  <c r="O141" i="80"/>
  <c r="P141" i="80"/>
  <c r="I49" i="110"/>
  <c r="I53" i="110"/>
  <c r="E20" i="119" s="1"/>
  <c r="Q19" i="133"/>
  <c r="Q20" i="133"/>
  <c r="J147" i="86"/>
  <c r="J156" i="86" s="1"/>
  <c r="J120" i="86"/>
  <c r="O49" i="76"/>
  <c r="O50" i="76" s="1"/>
  <c r="L88" i="2"/>
  <c r="L141" i="2" s="1"/>
  <c r="L142" i="2" s="1"/>
  <c r="L144" i="2" s="1"/>
  <c r="L145" i="2" s="1"/>
  <c r="L87" i="2" s="1"/>
  <c r="BJ21" i="133"/>
  <c r="L50" i="98"/>
  <c r="M147" i="105"/>
  <c r="M120" i="105"/>
  <c r="M152" i="105"/>
  <c r="I50" i="79"/>
  <c r="I61" i="79"/>
  <c r="J61" i="79" s="1"/>
  <c r="L147" i="91"/>
  <c r="L156" i="91" s="1"/>
  <c r="L120" i="91"/>
  <c r="O125" i="83"/>
  <c r="P125" i="83"/>
  <c r="P124" i="83"/>
  <c r="O124" i="83"/>
  <c r="L147" i="97"/>
  <c r="L156" i="97" s="1"/>
  <c r="L120" i="97"/>
  <c r="I132" i="90"/>
  <c r="O123" i="90"/>
  <c r="P123" i="90"/>
  <c r="K147" i="101"/>
  <c r="K156" i="101" s="1"/>
  <c r="K120" i="101"/>
  <c r="K147" i="75"/>
  <c r="K156" i="75" s="1"/>
  <c r="K120" i="75"/>
  <c r="M152" i="92"/>
  <c r="M147" i="92"/>
  <c r="M120" i="92"/>
  <c r="L14" i="97"/>
  <c r="P124" i="97"/>
  <c r="O124" i="97"/>
  <c r="P127" i="97"/>
  <c r="O127" i="97"/>
  <c r="O130" i="97"/>
  <c r="P130" i="97"/>
  <c r="O144" i="94"/>
  <c r="I77" i="124"/>
  <c r="I117" i="125"/>
  <c r="I112" i="125"/>
  <c r="I119" i="125"/>
  <c r="I115" i="125"/>
  <c r="I114" i="125"/>
  <c r="I113" i="125"/>
  <c r="I116" i="125"/>
  <c r="I118" i="125"/>
  <c r="I111" i="125"/>
  <c r="P111" i="125" s="1"/>
  <c r="P53" i="125"/>
  <c r="P139" i="87"/>
  <c r="O139" i="87"/>
  <c r="P142" i="87"/>
  <c r="O142" i="87"/>
  <c r="P143" i="87"/>
  <c r="O143" i="87"/>
  <c r="P143" i="9"/>
  <c r="O143" i="9"/>
  <c r="J120" i="96"/>
  <c r="J147" i="96"/>
  <c r="J156" i="96" s="1"/>
  <c r="O125" i="102"/>
  <c r="M156" i="101"/>
  <c r="O76" i="103"/>
  <c r="P76" i="103"/>
  <c r="J77" i="103"/>
  <c r="J78" i="103" s="1"/>
  <c r="J79" i="103" s="1"/>
  <c r="M77" i="103"/>
  <c r="M78" i="103" s="1"/>
  <c r="M79" i="103" s="1"/>
  <c r="L77" i="103"/>
  <c r="L78" i="103" s="1"/>
  <c r="L79" i="103" s="1"/>
  <c r="N77" i="103"/>
  <c r="N78" i="103" s="1"/>
  <c r="N79" i="103" s="1"/>
  <c r="K77" i="103"/>
  <c r="K78" i="103" s="1"/>
  <c r="K79" i="103" s="1"/>
  <c r="I112" i="91"/>
  <c r="I113" i="91"/>
  <c r="I118" i="91"/>
  <c r="I119" i="91"/>
  <c r="I114" i="91"/>
  <c r="P114" i="91" s="1"/>
  <c r="I116" i="91"/>
  <c r="I111" i="91"/>
  <c r="I115" i="91"/>
  <c r="I117" i="91"/>
  <c r="P53" i="91"/>
  <c r="O53" i="91"/>
  <c r="O54" i="91" s="1"/>
  <c r="R54" i="91" s="1"/>
  <c r="F16" i="122" s="1"/>
  <c r="P132" i="93"/>
  <c r="O140" i="106"/>
  <c r="P140" i="106"/>
  <c r="O141" i="106"/>
  <c r="P141" i="106"/>
  <c r="I144" i="106"/>
  <c r="P135" i="106"/>
  <c r="O135" i="106"/>
  <c r="F79" i="127"/>
  <c r="P126" i="124"/>
  <c r="O126" i="124"/>
  <c r="O76" i="106"/>
  <c r="P129" i="101"/>
  <c r="O129" i="101"/>
  <c r="P130" i="101"/>
  <c r="O130" i="101"/>
  <c r="P123" i="101"/>
  <c r="I132" i="101"/>
  <c r="O123" i="101"/>
  <c r="J113" i="103"/>
  <c r="J149" i="103" s="1"/>
  <c r="J116" i="103"/>
  <c r="J152" i="103" s="1"/>
  <c r="J118" i="103"/>
  <c r="J154" i="103" s="1"/>
  <c r="J115" i="103"/>
  <c r="J151" i="103" s="1"/>
  <c r="J119" i="103"/>
  <c r="J155" i="103" s="1"/>
  <c r="J114" i="103"/>
  <c r="J150" i="103" s="1"/>
  <c r="J112" i="103"/>
  <c r="J148" i="103" s="1"/>
  <c r="J111" i="103"/>
  <c r="J117" i="103"/>
  <c r="J153" i="103" s="1"/>
  <c r="J54" i="103"/>
  <c r="P139" i="97"/>
  <c r="O139" i="97"/>
  <c r="P140" i="97"/>
  <c r="O140" i="97"/>
  <c r="L156" i="129"/>
  <c r="I144" i="126"/>
  <c r="P135" i="126"/>
  <c r="O135" i="126"/>
  <c r="P139" i="126"/>
  <c r="O139" i="126"/>
  <c r="J155" i="85"/>
  <c r="J120" i="85"/>
  <c r="J147" i="85"/>
  <c r="J149" i="85"/>
  <c r="P138" i="105"/>
  <c r="O138" i="105"/>
  <c r="P142" i="105"/>
  <c r="O142" i="105"/>
  <c r="P137" i="105"/>
  <c r="O137" i="105"/>
  <c r="K120" i="91"/>
  <c r="K147" i="91"/>
  <c r="K156" i="91" s="1"/>
  <c r="O111" i="99"/>
  <c r="M147" i="99"/>
  <c r="M120" i="99"/>
  <c r="O53" i="99"/>
  <c r="O54" i="99" s="1"/>
  <c r="M120" i="95"/>
  <c r="M147" i="95"/>
  <c r="F78" i="126"/>
  <c r="O76" i="126"/>
  <c r="J77" i="126"/>
  <c r="J78" i="126" s="1"/>
  <c r="J79" i="126" s="1"/>
  <c r="M77" i="126"/>
  <c r="M78" i="126" s="1"/>
  <c r="M79" i="126" s="1"/>
  <c r="G77" i="126"/>
  <c r="H77" i="126"/>
  <c r="L77" i="126"/>
  <c r="L78" i="126" s="1"/>
  <c r="L79" i="126" s="1"/>
  <c r="N77" i="126"/>
  <c r="N78" i="126" s="1"/>
  <c r="N79" i="126" s="1"/>
  <c r="K77" i="126"/>
  <c r="K78" i="126" s="1"/>
  <c r="K79" i="126" s="1"/>
  <c r="I49" i="81"/>
  <c r="I53" i="81"/>
  <c r="I128" i="85"/>
  <c r="I131" i="85"/>
  <c r="P131" i="85" s="1"/>
  <c r="I123" i="85"/>
  <c r="I125" i="85"/>
  <c r="I129" i="85"/>
  <c r="I127" i="85"/>
  <c r="I130" i="85"/>
  <c r="O130" i="85" s="1"/>
  <c r="I124" i="85"/>
  <c r="I126" i="85"/>
  <c r="P51" i="85"/>
  <c r="O51" i="85"/>
  <c r="I49" i="85"/>
  <c r="I53" i="85"/>
  <c r="I54" i="85" s="1"/>
  <c r="P141" i="81"/>
  <c r="O141" i="81"/>
  <c r="P138" i="81"/>
  <c r="O138" i="81"/>
  <c r="O140" i="81"/>
  <c r="P140" i="81"/>
  <c r="I54" i="84"/>
  <c r="P76" i="109"/>
  <c r="O130" i="81"/>
  <c r="P130" i="81"/>
  <c r="P127" i="81"/>
  <c r="O127" i="81"/>
  <c r="I54" i="125"/>
  <c r="O139" i="103"/>
  <c r="P139" i="103"/>
  <c r="O135" i="103"/>
  <c r="P135" i="103"/>
  <c r="I144" i="103"/>
  <c r="P138" i="100"/>
  <c r="O138" i="100"/>
  <c r="P139" i="100"/>
  <c r="O139" i="100"/>
  <c r="P141" i="100"/>
  <c r="O141" i="100"/>
  <c r="P132" i="95"/>
  <c r="O144" i="93"/>
  <c r="P14" i="133"/>
  <c r="P130" i="105"/>
  <c r="O130" i="105"/>
  <c r="P128" i="105"/>
  <c r="O128" i="105"/>
  <c r="O123" i="105"/>
  <c r="P123" i="105"/>
  <c r="I132" i="105"/>
  <c r="I61" i="109"/>
  <c r="I50" i="109"/>
  <c r="O129" i="78"/>
  <c r="P129" i="78"/>
  <c r="P126" i="78"/>
  <c r="O126" i="78"/>
  <c r="I132" i="78"/>
  <c r="P123" i="78"/>
  <c r="O123" i="78"/>
  <c r="N77" i="75"/>
  <c r="N78" i="75" s="1"/>
  <c r="N79" i="75" s="1"/>
  <c r="I117" i="74"/>
  <c r="I119" i="74"/>
  <c r="I114" i="74"/>
  <c r="I113" i="74"/>
  <c r="P113" i="74" s="1"/>
  <c r="I115" i="74"/>
  <c r="I116" i="74"/>
  <c r="I111" i="74"/>
  <c r="I112" i="74"/>
  <c r="I118" i="74"/>
  <c r="O53" i="74"/>
  <c r="O54" i="74" s="1"/>
  <c r="R54" i="74" s="1"/>
  <c r="F31" i="122" s="1"/>
  <c r="J147" i="125"/>
  <c r="J156" i="125" s="1"/>
  <c r="J120" i="125"/>
  <c r="O138" i="88"/>
  <c r="P138" i="88"/>
  <c r="P142" i="88"/>
  <c r="O142" i="88"/>
  <c r="K147" i="104"/>
  <c r="K156" i="104" s="1"/>
  <c r="K120" i="104"/>
  <c r="K50" i="129"/>
  <c r="R54" i="101"/>
  <c r="F8" i="122" s="1"/>
  <c r="O130" i="82"/>
  <c r="P130" i="82"/>
  <c r="O126" i="82"/>
  <c r="P126" i="82"/>
  <c r="P125" i="82"/>
  <c r="O125" i="82"/>
  <c r="O125" i="92"/>
  <c r="P125" i="92"/>
  <c r="P129" i="92"/>
  <c r="O129" i="92"/>
  <c r="O124" i="92"/>
  <c r="P124" i="92"/>
  <c r="I50" i="105"/>
  <c r="I61" i="105"/>
  <c r="J61" i="105" s="1"/>
  <c r="K61" i="105" s="1"/>
  <c r="L61" i="105" s="1"/>
  <c r="P142" i="74"/>
  <c r="O142" i="74"/>
  <c r="P140" i="74"/>
  <c r="O140" i="74"/>
  <c r="I117" i="86"/>
  <c r="I113" i="86"/>
  <c r="I115" i="86"/>
  <c r="I111" i="86"/>
  <c r="I116" i="86"/>
  <c r="I112" i="86"/>
  <c r="I118" i="86"/>
  <c r="I119" i="86"/>
  <c r="I114" i="86"/>
  <c r="P53" i="86"/>
  <c r="I54" i="86"/>
  <c r="M152" i="9"/>
  <c r="I57" i="108"/>
  <c r="J120" i="93"/>
  <c r="J147" i="93"/>
  <c r="J156" i="93" s="1"/>
  <c r="P140" i="124"/>
  <c r="O140" i="124"/>
  <c r="O139" i="124"/>
  <c r="P139" i="124"/>
  <c r="L14" i="93"/>
  <c r="L76" i="93" s="1"/>
  <c r="M14" i="82"/>
  <c r="P14" i="82" s="1"/>
  <c r="O141" i="82"/>
  <c r="P141" i="82"/>
  <c r="P135" i="82"/>
  <c r="O135" i="82"/>
  <c r="P49" i="125"/>
  <c r="P50" i="125" s="1"/>
  <c r="M147" i="125"/>
  <c r="M156" i="125" s="1"/>
  <c r="M120" i="125"/>
  <c r="I116" i="123"/>
  <c r="I117" i="123"/>
  <c r="I119" i="123"/>
  <c r="I112" i="123"/>
  <c r="I115" i="123"/>
  <c r="I114" i="123"/>
  <c r="I118" i="123"/>
  <c r="I111" i="123"/>
  <c r="I113" i="123"/>
  <c r="O53" i="123"/>
  <c r="O54" i="123" s="1"/>
  <c r="P53" i="123"/>
  <c r="O53" i="86"/>
  <c r="O54" i="86" s="1"/>
  <c r="R54" i="86" s="1"/>
  <c r="F43" i="122" s="1"/>
  <c r="I61" i="75"/>
  <c r="I50" i="75"/>
  <c r="M147" i="94"/>
  <c r="M120" i="94"/>
  <c r="P130" i="102"/>
  <c r="S26" i="119"/>
  <c r="S10" i="119" s="1"/>
  <c r="BI23" i="133"/>
  <c r="K57" i="107"/>
  <c r="I118" i="87"/>
  <c r="P118" i="87" s="1"/>
  <c r="I119" i="87"/>
  <c r="I116" i="87"/>
  <c r="I113" i="87"/>
  <c r="I117" i="87"/>
  <c r="I112" i="87"/>
  <c r="I114" i="87"/>
  <c r="I115" i="87"/>
  <c r="I111" i="87"/>
  <c r="O111" i="87" s="1"/>
  <c r="O53" i="87"/>
  <c r="O54" i="87" s="1"/>
  <c r="R54" i="87" s="1"/>
  <c r="F44" i="122" s="1"/>
  <c r="I123" i="89"/>
  <c r="I129" i="89"/>
  <c r="I128" i="89"/>
  <c r="I131" i="89"/>
  <c r="I130" i="89"/>
  <c r="I126" i="89"/>
  <c r="I124" i="89"/>
  <c r="I127" i="89"/>
  <c r="I125" i="89"/>
  <c r="P51" i="89"/>
  <c r="O51" i="89"/>
  <c r="I50" i="121"/>
  <c r="I61" i="121"/>
  <c r="J61" i="121" s="1"/>
  <c r="K61" i="121" s="1"/>
  <c r="L61" i="121" s="1"/>
  <c r="M61" i="121" s="1"/>
  <c r="N61" i="121" s="1"/>
  <c r="O19" i="119"/>
  <c r="J19" i="119"/>
  <c r="P130" i="127"/>
  <c r="O130" i="127"/>
  <c r="I61" i="88"/>
  <c r="J61" i="88" s="1"/>
  <c r="K61" i="88" s="1"/>
  <c r="L61" i="88" s="1"/>
  <c r="M61" i="88" s="1"/>
  <c r="N61" i="88" s="1"/>
  <c r="I50" i="88"/>
  <c r="P124" i="128"/>
  <c r="O144" i="99"/>
  <c r="O132" i="100"/>
  <c r="I50" i="95"/>
  <c r="I61" i="95"/>
  <c r="I61" i="77"/>
  <c r="I50" i="77"/>
  <c r="O132" i="77"/>
  <c r="P124" i="94"/>
  <c r="O124" i="94"/>
  <c r="O125" i="94"/>
  <c r="P125" i="94"/>
  <c r="I54" i="121"/>
  <c r="P129" i="99"/>
  <c r="O129" i="99"/>
  <c r="P130" i="99"/>
  <c r="O130" i="99"/>
  <c r="M147" i="97"/>
  <c r="M156" i="97" s="1"/>
  <c r="M120" i="97"/>
  <c r="S21" i="119"/>
  <c r="J11" i="131" s="1"/>
  <c r="BC30" i="133" s="1"/>
  <c r="M76" i="79"/>
  <c r="M77" i="79" s="1"/>
  <c r="M78" i="79" s="1"/>
  <c r="M79" i="79" s="1"/>
  <c r="P14" i="79"/>
  <c r="O14" i="79"/>
  <c r="R14" i="79" s="1"/>
  <c r="E36" i="122" s="1"/>
  <c r="M147" i="96"/>
  <c r="M156" i="96" s="1"/>
  <c r="M120" i="96"/>
  <c r="L147" i="86"/>
  <c r="L156" i="86" s="1"/>
  <c r="L120" i="86"/>
  <c r="K132" i="129"/>
  <c r="L111" i="85"/>
  <c r="L116" i="85"/>
  <c r="L152" i="85" s="1"/>
  <c r="L117" i="85"/>
  <c r="L153" i="85" s="1"/>
  <c r="L112" i="85"/>
  <c r="L148" i="85" s="1"/>
  <c r="L115" i="85"/>
  <c r="L151" i="85" s="1"/>
  <c r="L114" i="85"/>
  <c r="L150" i="85" s="1"/>
  <c r="L118" i="85"/>
  <c r="L154" i="85" s="1"/>
  <c r="L113" i="85"/>
  <c r="L149" i="85" s="1"/>
  <c r="L119" i="85"/>
  <c r="L155" i="85" s="1"/>
  <c r="M147" i="126"/>
  <c r="M120" i="126"/>
  <c r="M120" i="74"/>
  <c r="M147" i="74"/>
  <c r="P137" i="123"/>
  <c r="O137" i="123"/>
  <c r="P136" i="123"/>
  <c r="O136" i="123"/>
  <c r="L147" i="9"/>
  <c r="L156" i="9" s="1"/>
  <c r="L120" i="9"/>
  <c r="M153" i="124"/>
  <c r="K147" i="82"/>
  <c r="K156" i="82" s="1"/>
  <c r="K120" i="82"/>
  <c r="M156" i="75"/>
  <c r="P142" i="90"/>
  <c r="O142" i="90"/>
  <c r="P143" i="90"/>
  <c r="O143" i="90"/>
  <c r="P138" i="101"/>
  <c r="O138" i="101"/>
  <c r="P141" i="101"/>
  <c r="O141" i="101"/>
  <c r="M50" i="89"/>
  <c r="P53" i="87"/>
  <c r="I111" i="104"/>
  <c r="I117" i="104"/>
  <c r="P117" i="104" s="1"/>
  <c r="I114" i="104"/>
  <c r="I118" i="104"/>
  <c r="I113" i="104"/>
  <c r="I115" i="104"/>
  <c r="I116" i="104"/>
  <c r="I119" i="104"/>
  <c r="I112" i="104"/>
  <c r="O53" i="104"/>
  <c r="O54" i="104" s="1"/>
  <c r="P53" i="104"/>
  <c r="P136" i="125"/>
  <c r="O136" i="125"/>
  <c r="P137" i="125"/>
  <c r="O137" i="125"/>
  <c r="P141" i="125"/>
  <c r="O141" i="125"/>
  <c r="I50" i="99"/>
  <c r="I61" i="99"/>
  <c r="P136" i="96"/>
  <c r="O136" i="96"/>
  <c r="P135" i="96"/>
  <c r="O135" i="96"/>
  <c r="P140" i="129"/>
  <c r="O140" i="129"/>
  <c r="I54" i="75"/>
  <c r="P127" i="75"/>
  <c r="O127" i="75"/>
  <c r="O124" i="102"/>
  <c r="P132" i="80"/>
  <c r="J147" i="75"/>
  <c r="J156" i="75" s="1"/>
  <c r="J120" i="75"/>
  <c r="P137" i="76"/>
  <c r="O137" i="76"/>
  <c r="P138" i="76"/>
  <c r="O138" i="76"/>
  <c r="I118" i="94"/>
  <c r="I117" i="94"/>
  <c r="I116" i="94"/>
  <c r="I119" i="94"/>
  <c r="I114" i="94"/>
  <c r="I111" i="94"/>
  <c r="P111" i="94" s="1"/>
  <c r="I113" i="94"/>
  <c r="I112" i="94"/>
  <c r="I115" i="94"/>
  <c r="P53" i="94"/>
  <c r="L147" i="99"/>
  <c r="L156" i="99" s="1"/>
  <c r="L120" i="99"/>
  <c r="P139" i="84"/>
  <c r="O139" i="84"/>
  <c r="P140" i="84"/>
  <c r="O140" i="84"/>
  <c r="P143" i="84"/>
  <c r="O143" i="84"/>
  <c r="P44" i="81"/>
  <c r="I77" i="81"/>
  <c r="P137" i="85"/>
  <c r="O137" i="85"/>
  <c r="P136" i="85"/>
  <c r="O136" i="85"/>
  <c r="O131" i="128"/>
  <c r="O132" i="128" s="1"/>
  <c r="I61" i="124"/>
  <c r="J61" i="124" s="1"/>
  <c r="K61" i="124" s="1"/>
  <c r="L61" i="124" s="1"/>
  <c r="M61" i="124" s="1"/>
  <c r="N61" i="124" s="1"/>
  <c r="I50" i="124"/>
  <c r="L147" i="127"/>
  <c r="L156" i="127" s="1"/>
  <c r="L120" i="127"/>
  <c r="P144" i="91"/>
  <c r="M150" i="91"/>
  <c r="F78" i="101"/>
  <c r="O76" i="101"/>
  <c r="J77" i="101"/>
  <c r="J78" i="101" s="1"/>
  <c r="J79" i="101" s="1"/>
  <c r="K77" i="101"/>
  <c r="K78" i="101" s="1"/>
  <c r="K79" i="101" s="1"/>
  <c r="G77" i="101"/>
  <c r="L77" i="101"/>
  <c r="L78" i="101" s="1"/>
  <c r="L79" i="101" s="1"/>
  <c r="M77" i="101"/>
  <c r="M78" i="101" s="1"/>
  <c r="M79" i="101" s="1"/>
  <c r="N77" i="101"/>
  <c r="N78" i="101" s="1"/>
  <c r="N79" i="101" s="1"/>
  <c r="L57" i="107"/>
  <c r="BJ23" i="133"/>
  <c r="H23" i="133"/>
  <c r="AY23" i="133" s="1"/>
  <c r="BG23" i="133" s="1"/>
  <c r="O53" i="107"/>
  <c r="O54" i="107" s="1"/>
  <c r="R54" i="107" s="1"/>
  <c r="F47" i="122" s="1"/>
  <c r="J112" i="129"/>
  <c r="J148" i="129" s="1"/>
  <c r="J117" i="129"/>
  <c r="J153" i="129" s="1"/>
  <c r="J115" i="129"/>
  <c r="J151" i="129" s="1"/>
  <c r="J119" i="129"/>
  <c r="J155" i="129" s="1"/>
  <c r="J118" i="129"/>
  <c r="J154" i="129" s="1"/>
  <c r="J114" i="129"/>
  <c r="J150" i="129" s="1"/>
  <c r="J111" i="129"/>
  <c r="J113" i="129"/>
  <c r="J149" i="129" s="1"/>
  <c r="J116" i="129"/>
  <c r="J152" i="129" s="1"/>
  <c r="J54" i="129"/>
  <c r="J147" i="79"/>
  <c r="J156" i="79" s="1"/>
  <c r="J120" i="79"/>
  <c r="I50" i="83"/>
  <c r="I61" i="83"/>
  <c r="J61" i="83" s="1"/>
  <c r="J132" i="81"/>
  <c r="K113" i="106"/>
  <c r="K149" i="106" s="1"/>
  <c r="K114" i="106"/>
  <c r="K150" i="106" s="1"/>
  <c r="K119" i="106"/>
  <c r="K155" i="106" s="1"/>
  <c r="K111" i="106"/>
  <c r="K112" i="106"/>
  <c r="K148" i="106" s="1"/>
  <c r="K117" i="106"/>
  <c r="K153" i="106" s="1"/>
  <c r="K118" i="106"/>
  <c r="K154" i="106" s="1"/>
  <c r="K115" i="106"/>
  <c r="K151" i="106" s="1"/>
  <c r="K116" i="106"/>
  <c r="K152" i="106" s="1"/>
  <c r="K54" i="106"/>
  <c r="F78" i="98"/>
  <c r="O76" i="98"/>
  <c r="K77" i="98"/>
  <c r="K78" i="98" s="1"/>
  <c r="K79" i="98" s="1"/>
  <c r="H77" i="98"/>
  <c r="N77" i="98"/>
  <c r="N78" i="98" s="1"/>
  <c r="N79" i="98" s="1"/>
  <c r="L77" i="98"/>
  <c r="L78" i="98" s="1"/>
  <c r="L79" i="98" s="1"/>
  <c r="M77" i="98"/>
  <c r="M78" i="98" s="1"/>
  <c r="M79" i="98" s="1"/>
  <c r="G77" i="98"/>
  <c r="J113" i="102"/>
  <c r="J149" i="102" s="1"/>
  <c r="J112" i="102"/>
  <c r="J148" i="102" s="1"/>
  <c r="J117" i="102"/>
  <c r="J119" i="102"/>
  <c r="J155" i="102" s="1"/>
  <c r="J111" i="102"/>
  <c r="J115" i="102"/>
  <c r="J151" i="102" s="1"/>
  <c r="J118" i="102"/>
  <c r="J154" i="102" s="1"/>
  <c r="J116" i="102"/>
  <c r="J152" i="102" s="1"/>
  <c r="J114" i="102"/>
  <c r="J150" i="102" s="1"/>
  <c r="P140" i="104"/>
  <c r="O140" i="104"/>
  <c r="P136" i="104"/>
  <c r="O136" i="104"/>
  <c r="P127" i="126"/>
  <c r="O127" i="126"/>
  <c r="P124" i="126"/>
  <c r="O124" i="126"/>
  <c r="M154" i="78"/>
  <c r="O49" i="75"/>
  <c r="O50" i="75" s="1"/>
  <c r="O123" i="102"/>
  <c r="J147" i="123"/>
  <c r="J156" i="123" s="1"/>
  <c r="J120" i="123"/>
  <c r="O130" i="94"/>
  <c r="I144" i="79"/>
  <c r="O135" i="79"/>
  <c r="P135" i="79"/>
  <c r="O143" i="79"/>
  <c r="P143" i="79"/>
  <c r="O142" i="79"/>
  <c r="P142" i="79"/>
  <c r="P48" i="103"/>
  <c r="O44" i="103"/>
  <c r="K89" i="2"/>
  <c r="K97" i="2" s="1"/>
  <c r="K56" i="109" s="1"/>
  <c r="K57" i="109" s="1"/>
  <c r="K86" i="2"/>
  <c r="P141" i="77"/>
  <c r="O141" i="77"/>
  <c r="P135" i="77"/>
  <c r="I144" i="77"/>
  <c r="O135" i="77"/>
  <c r="O143" i="77"/>
  <c r="P143" i="77"/>
  <c r="P125" i="104"/>
  <c r="O125" i="104"/>
  <c r="P131" i="104"/>
  <c r="O131" i="104"/>
  <c r="P128" i="104"/>
  <c r="O128" i="104"/>
  <c r="O127" i="87"/>
  <c r="P127" i="87"/>
  <c r="O129" i="87"/>
  <c r="P129" i="87"/>
  <c r="L119" i="103"/>
  <c r="L155" i="103" s="1"/>
  <c r="L114" i="103"/>
  <c r="L150" i="103" s="1"/>
  <c r="L112" i="103"/>
  <c r="L148" i="103" s="1"/>
  <c r="L115" i="103"/>
  <c r="L151" i="103" s="1"/>
  <c r="L117" i="103"/>
  <c r="L153" i="103" s="1"/>
  <c r="L111" i="103"/>
  <c r="L113" i="103"/>
  <c r="L149" i="103" s="1"/>
  <c r="L118" i="103"/>
  <c r="L154" i="103" s="1"/>
  <c r="L116" i="103"/>
  <c r="L152" i="103" s="1"/>
  <c r="O139" i="78"/>
  <c r="P139" i="78"/>
  <c r="O136" i="78"/>
  <c r="P136" i="78"/>
  <c r="P129" i="129"/>
  <c r="O129" i="129"/>
  <c r="P125" i="129"/>
  <c r="O125" i="129"/>
  <c r="P131" i="129"/>
  <c r="O131" i="129"/>
  <c r="R14" i="133"/>
  <c r="R19" i="133"/>
  <c r="H26" i="119"/>
  <c r="H13" i="119"/>
  <c r="H20" i="119"/>
  <c r="R20" i="119" s="1"/>
  <c r="P54" i="125"/>
  <c r="M76" i="9"/>
  <c r="N14" i="9"/>
  <c r="N76" i="9" s="1"/>
  <c r="P14" i="9"/>
  <c r="O125" i="91"/>
  <c r="P125" i="91"/>
  <c r="P126" i="91"/>
  <c r="O126" i="91"/>
  <c r="I111" i="90"/>
  <c r="I116" i="90"/>
  <c r="I113" i="90"/>
  <c r="I112" i="90"/>
  <c r="I118" i="90"/>
  <c r="I117" i="90"/>
  <c r="I115" i="90"/>
  <c r="I119" i="90"/>
  <c r="I114" i="90"/>
  <c r="O53" i="90"/>
  <c r="O54" i="90" s="1"/>
  <c r="R54" i="90" s="1"/>
  <c r="F15" i="122" s="1"/>
  <c r="P53" i="90"/>
  <c r="K120" i="96"/>
  <c r="K147" i="96"/>
  <c r="K156" i="96" s="1"/>
  <c r="M153" i="104"/>
  <c r="P20" i="133"/>
  <c r="L115" i="128"/>
  <c r="L151" i="128" s="1"/>
  <c r="L114" i="128"/>
  <c r="L150" i="128" s="1"/>
  <c r="L111" i="128"/>
  <c r="L117" i="128"/>
  <c r="L153" i="128" s="1"/>
  <c r="L113" i="128"/>
  <c r="L149" i="128" s="1"/>
  <c r="L118" i="128"/>
  <c r="L154" i="128" s="1"/>
  <c r="L119" i="128"/>
  <c r="L155" i="128" s="1"/>
  <c r="L112" i="128"/>
  <c r="L148" i="128" s="1"/>
  <c r="L116" i="128"/>
  <c r="L152" i="128" s="1"/>
  <c r="O123" i="76"/>
  <c r="I132" i="76"/>
  <c r="P123" i="76"/>
  <c r="P124" i="76"/>
  <c r="O124" i="76"/>
  <c r="P128" i="76"/>
  <c r="O128" i="76"/>
  <c r="P131" i="123"/>
  <c r="O131" i="123"/>
  <c r="P123" i="123"/>
  <c r="O123" i="123"/>
  <c r="I132" i="123"/>
  <c r="P129" i="123"/>
  <c r="O129" i="123"/>
  <c r="J147" i="100"/>
  <c r="J156" i="100" s="1"/>
  <c r="J120" i="100"/>
  <c r="I61" i="127"/>
  <c r="J61" i="127" s="1"/>
  <c r="K61" i="127" s="1"/>
  <c r="L61" i="127" s="1"/>
  <c r="M61" i="127" s="1"/>
  <c r="N61" i="127" s="1"/>
  <c r="I50" i="127"/>
  <c r="M112" i="98"/>
  <c r="M113" i="98"/>
  <c r="M115" i="98"/>
  <c r="M116" i="98"/>
  <c r="I12" i="119"/>
  <c r="M118" i="98"/>
  <c r="M111" i="98"/>
  <c r="M117" i="98"/>
  <c r="M119" i="98"/>
  <c r="M114" i="98"/>
  <c r="M54" i="98"/>
  <c r="L147" i="96"/>
  <c r="L156" i="96" s="1"/>
  <c r="L120" i="96"/>
  <c r="P142" i="80"/>
  <c r="O142" i="80"/>
  <c r="P140" i="80"/>
  <c r="O140" i="80"/>
  <c r="P139" i="80"/>
  <c r="O139" i="80"/>
  <c r="K132" i="98"/>
  <c r="Q12" i="133"/>
  <c r="Q15" i="133"/>
  <c r="Q17" i="133"/>
  <c r="K147" i="125"/>
  <c r="K156" i="125" s="1"/>
  <c r="K120" i="125"/>
  <c r="O14" i="94"/>
  <c r="R14" i="94" s="1"/>
  <c r="E26" i="122" s="1"/>
  <c r="M154" i="105"/>
  <c r="P53" i="105"/>
  <c r="K120" i="124"/>
  <c r="K147" i="124"/>
  <c r="K156" i="124" s="1"/>
  <c r="I54" i="83"/>
  <c r="O129" i="83"/>
  <c r="P129" i="83"/>
  <c r="I132" i="83"/>
  <c r="P123" i="83"/>
  <c r="O123" i="83"/>
  <c r="P125" i="90"/>
  <c r="O125" i="90"/>
  <c r="O124" i="90"/>
  <c r="P124" i="90"/>
  <c r="O129" i="97"/>
  <c r="P129" i="97"/>
  <c r="P128" i="97"/>
  <c r="O128" i="97"/>
  <c r="L120" i="101"/>
  <c r="L147" i="101"/>
  <c r="L156" i="101" s="1"/>
  <c r="O49" i="104"/>
  <c r="O50" i="104" s="1"/>
  <c r="R54" i="104" s="1"/>
  <c r="F11" i="122" s="1"/>
  <c r="P144" i="94"/>
  <c r="J77" i="124"/>
  <c r="J78" i="124" s="1"/>
  <c r="J79" i="124" s="1"/>
  <c r="I50" i="125"/>
  <c r="I61" i="125"/>
  <c r="J61" i="125" s="1"/>
  <c r="K61" i="125" s="1"/>
  <c r="L61" i="125" s="1"/>
  <c r="M61" i="125" s="1"/>
  <c r="N61" i="125" s="1"/>
  <c r="P136" i="87"/>
  <c r="O136" i="87"/>
  <c r="P135" i="87"/>
  <c r="I144" i="87"/>
  <c r="O135" i="87"/>
  <c r="I144" i="9"/>
  <c r="O135" i="9"/>
  <c r="P135" i="9"/>
  <c r="P137" i="9"/>
  <c r="O137" i="9"/>
  <c r="P111" i="84"/>
  <c r="M147" i="84"/>
  <c r="M156" i="84" s="1"/>
  <c r="M120" i="84"/>
  <c r="O76" i="125"/>
  <c r="F78" i="125"/>
  <c r="N77" i="125"/>
  <c r="N78" i="125" s="1"/>
  <c r="N79" i="125" s="1"/>
  <c r="J77" i="125"/>
  <c r="J78" i="125" s="1"/>
  <c r="J79" i="125" s="1"/>
  <c r="L77" i="125"/>
  <c r="L78" i="125" s="1"/>
  <c r="L79" i="125" s="1"/>
  <c r="H77" i="125"/>
  <c r="H78" i="125" s="1"/>
  <c r="H79" i="125" s="1"/>
  <c r="K77" i="125"/>
  <c r="K78" i="125" s="1"/>
  <c r="K79" i="125" s="1"/>
  <c r="G77" i="125"/>
  <c r="M77" i="125"/>
  <c r="M78" i="125" s="1"/>
  <c r="M79" i="125" s="1"/>
  <c r="J115" i="128"/>
  <c r="J151" i="128" s="1"/>
  <c r="J116" i="128"/>
  <c r="J152" i="128" s="1"/>
  <c r="J118" i="128"/>
  <c r="J154" i="128" s="1"/>
  <c r="J113" i="128"/>
  <c r="J149" i="128" s="1"/>
  <c r="J112" i="128"/>
  <c r="J148" i="128" s="1"/>
  <c r="J117" i="128"/>
  <c r="J153" i="128" s="1"/>
  <c r="J114" i="128"/>
  <c r="J150" i="128" s="1"/>
  <c r="J111" i="128"/>
  <c r="J119" i="128"/>
  <c r="J155" i="128" s="1"/>
  <c r="J147" i="82"/>
  <c r="J156" i="82" s="1"/>
  <c r="J120" i="82"/>
  <c r="I50" i="91"/>
  <c r="I61" i="91"/>
  <c r="J61" i="91" s="1"/>
  <c r="K61" i="91" s="1"/>
  <c r="L61" i="91" s="1"/>
  <c r="O132" i="93"/>
  <c r="O143" i="106"/>
  <c r="P143" i="106"/>
  <c r="P138" i="106"/>
  <c r="O138" i="106"/>
  <c r="K147" i="81"/>
  <c r="K156" i="81" s="1"/>
  <c r="K120" i="81"/>
  <c r="P128" i="124"/>
  <c r="O128" i="124"/>
  <c r="O125" i="124"/>
  <c r="P125" i="124"/>
  <c r="O127" i="101"/>
  <c r="P127" i="101"/>
  <c r="O125" i="101"/>
  <c r="P125" i="101"/>
  <c r="O131" i="101"/>
  <c r="P131" i="101"/>
  <c r="J50" i="103"/>
  <c r="P143" i="97"/>
  <c r="O143" i="97"/>
  <c r="M154" i="83"/>
  <c r="M14" i="92"/>
  <c r="P140" i="126"/>
  <c r="O140" i="126"/>
  <c r="P141" i="126"/>
  <c r="O141" i="126"/>
  <c r="P44" i="89"/>
  <c r="P49" i="89" s="1"/>
  <c r="P50" i="89" s="1"/>
  <c r="J153" i="85"/>
  <c r="J152" i="85"/>
  <c r="P139" i="105"/>
  <c r="O139" i="105"/>
  <c r="P136" i="105"/>
  <c r="O136" i="105"/>
  <c r="O140" i="105"/>
  <c r="P140" i="105"/>
  <c r="O76" i="109"/>
  <c r="O76" i="75"/>
  <c r="J77" i="81"/>
  <c r="J78" i="81" s="1"/>
  <c r="J79" i="81" s="1"/>
  <c r="M14" i="85"/>
  <c r="M76" i="85" s="1"/>
  <c r="P142" i="81"/>
  <c r="O142" i="81"/>
  <c r="P143" i="81"/>
  <c r="O143" i="81"/>
  <c r="L14" i="81"/>
  <c r="P129" i="81"/>
  <c r="O129" i="81"/>
  <c r="P131" i="81"/>
  <c r="O131" i="81"/>
  <c r="I132" i="81"/>
  <c r="P123" i="81"/>
  <c r="O123" i="81"/>
  <c r="O138" i="103"/>
  <c r="P138" i="103"/>
  <c r="P140" i="103"/>
  <c r="O140" i="103"/>
  <c r="Y26" i="133"/>
  <c r="Y27" i="133" s="1"/>
  <c r="O144" i="83"/>
  <c r="O144" i="128"/>
  <c r="BH23" i="133"/>
  <c r="J57" i="107"/>
  <c r="J59" i="107" s="1"/>
  <c r="O140" i="100"/>
  <c r="P140" i="100"/>
  <c r="P136" i="100"/>
  <c r="O136" i="100"/>
  <c r="P144" i="95"/>
  <c r="J147" i="97"/>
  <c r="J156" i="97" s="1"/>
  <c r="J120" i="97"/>
  <c r="O132" i="95"/>
  <c r="N77" i="106"/>
  <c r="N78" i="106" s="1"/>
  <c r="N79" i="106" s="1"/>
  <c r="R18" i="119"/>
  <c r="K132" i="103"/>
  <c r="O125" i="105"/>
  <c r="P125" i="105"/>
  <c r="P126" i="105"/>
  <c r="O126" i="105"/>
  <c r="O127" i="105"/>
  <c r="P127" i="105"/>
  <c r="O131" i="78"/>
  <c r="P131" i="78"/>
  <c r="P128" i="78"/>
  <c r="O128" i="78"/>
  <c r="O124" i="78"/>
  <c r="P124" i="78"/>
  <c r="I115" i="102"/>
  <c r="I112" i="102"/>
  <c r="I116" i="102"/>
  <c r="I114" i="102"/>
  <c r="I117" i="102"/>
  <c r="I119" i="102"/>
  <c r="I118" i="102"/>
  <c r="I111" i="102"/>
  <c r="I113" i="102"/>
  <c r="P53" i="102"/>
  <c r="O53" i="102"/>
  <c r="O54" i="102" s="1"/>
  <c r="I54" i="102"/>
  <c r="I50" i="74"/>
  <c r="I61" i="74"/>
  <c r="P143" i="88"/>
  <c r="O143" i="88"/>
  <c r="P136" i="88"/>
  <c r="O136" i="88"/>
  <c r="K120" i="76"/>
  <c r="K147" i="76"/>
  <c r="K156" i="76" s="1"/>
  <c r="I115" i="97"/>
  <c r="I113" i="97"/>
  <c r="I119" i="97"/>
  <c r="I114" i="97"/>
  <c r="I112" i="97"/>
  <c r="I116" i="97"/>
  <c r="I117" i="97"/>
  <c r="I118" i="97"/>
  <c r="I111" i="97"/>
  <c r="P53" i="97"/>
  <c r="P123" i="82"/>
  <c r="O123" i="82"/>
  <c r="I132" i="82"/>
  <c r="P128" i="82"/>
  <c r="O128" i="82"/>
  <c r="P130" i="92"/>
  <c r="O130" i="92"/>
  <c r="I116" i="9"/>
  <c r="I114" i="9"/>
  <c r="I119" i="9"/>
  <c r="I115" i="9"/>
  <c r="I113" i="9"/>
  <c r="I118" i="9"/>
  <c r="I117" i="9"/>
  <c r="I111" i="9"/>
  <c r="O111" i="9" s="1"/>
  <c r="I112" i="9"/>
  <c r="P53" i="9"/>
  <c r="M120" i="103"/>
  <c r="M147" i="103"/>
  <c r="M156" i="103" s="1"/>
  <c r="O144" i="75"/>
  <c r="K132" i="89"/>
  <c r="O137" i="74"/>
  <c r="P137" i="74"/>
  <c r="P135" i="74"/>
  <c r="O135" i="74"/>
  <c r="I50" i="86"/>
  <c r="I61" i="86"/>
  <c r="K50" i="110"/>
  <c r="O143" i="124"/>
  <c r="P143" i="124"/>
  <c r="P136" i="124"/>
  <c r="O136" i="124"/>
  <c r="P141" i="124"/>
  <c r="O141" i="124"/>
  <c r="I144" i="82"/>
  <c r="O138" i="82"/>
  <c r="P138" i="82"/>
  <c r="P140" i="82"/>
  <c r="O140" i="82"/>
  <c r="P139" i="82"/>
  <c r="O139" i="82"/>
  <c r="K116" i="103"/>
  <c r="K152" i="103" s="1"/>
  <c r="K113" i="103"/>
  <c r="K149" i="103" s="1"/>
  <c r="K119" i="103"/>
  <c r="K155" i="103" s="1"/>
  <c r="K112" i="103"/>
  <c r="K148" i="103" s="1"/>
  <c r="K118" i="103"/>
  <c r="K154" i="103" s="1"/>
  <c r="K114" i="103"/>
  <c r="K150" i="103" s="1"/>
  <c r="K117" i="103"/>
  <c r="K153" i="103" s="1"/>
  <c r="K115" i="103"/>
  <c r="K151" i="103" s="1"/>
  <c r="K111" i="103"/>
  <c r="L14" i="78"/>
  <c r="K76" i="78"/>
  <c r="I61" i="123"/>
  <c r="J61" i="123" s="1"/>
  <c r="K61" i="123" s="1"/>
  <c r="L61" i="123" s="1"/>
  <c r="M61" i="123" s="1"/>
  <c r="N61" i="123" s="1"/>
  <c r="I50" i="123"/>
  <c r="I111" i="129"/>
  <c r="I117" i="129"/>
  <c r="I119" i="129"/>
  <c r="I113" i="129"/>
  <c r="I115" i="129"/>
  <c r="I116" i="129"/>
  <c r="I112" i="129"/>
  <c r="I118" i="129"/>
  <c r="I114" i="129"/>
  <c r="O53" i="129"/>
  <c r="O54" i="129" s="1"/>
  <c r="R54" i="129" s="1"/>
  <c r="F17" i="122" s="1"/>
  <c r="P53" i="129"/>
  <c r="J120" i="99"/>
  <c r="J147" i="99"/>
  <c r="J156" i="99" s="1"/>
  <c r="K65" i="108"/>
  <c r="K64" i="108"/>
  <c r="K69" i="108"/>
  <c r="K66" i="108"/>
  <c r="K67" i="108"/>
  <c r="K71" i="108"/>
  <c r="G19" i="14" s="1"/>
  <c r="R19" i="14" s="1"/>
  <c r="K68" i="108"/>
  <c r="K70" i="108"/>
  <c r="K72" i="108"/>
  <c r="K73" i="108"/>
  <c r="M78" i="127"/>
  <c r="M79" i="127" s="1"/>
  <c r="BK21" i="133"/>
  <c r="I117" i="92"/>
  <c r="I112" i="92"/>
  <c r="I115" i="92"/>
  <c r="I113" i="92"/>
  <c r="I114" i="92"/>
  <c r="I118" i="92"/>
  <c r="I116" i="92"/>
  <c r="O116" i="92" s="1"/>
  <c r="I119" i="92"/>
  <c r="I111" i="92"/>
  <c r="P53" i="92"/>
  <c r="I50" i="87"/>
  <c r="I61" i="87"/>
  <c r="M14" i="84"/>
  <c r="P128" i="127"/>
  <c r="O128" i="127"/>
  <c r="O129" i="127"/>
  <c r="P129" i="127"/>
  <c r="O127" i="127"/>
  <c r="P127" i="127"/>
  <c r="J88" i="2"/>
  <c r="J141" i="2" s="1"/>
  <c r="J142" i="2" s="1"/>
  <c r="J144" i="2" s="1"/>
  <c r="J145" i="2" s="1"/>
  <c r="J87" i="2" s="1"/>
  <c r="BH21" i="133"/>
  <c r="M156" i="93"/>
  <c r="P132" i="125"/>
  <c r="P13" i="133"/>
  <c r="O127" i="94"/>
  <c r="P127" i="94"/>
  <c r="O129" i="94"/>
  <c r="P129" i="94"/>
  <c r="O144" i="92"/>
  <c r="P127" i="99"/>
  <c r="O127" i="99"/>
  <c r="P123" i="99"/>
  <c r="O123" i="99"/>
  <c r="L50" i="85"/>
  <c r="L120" i="124"/>
  <c r="L147" i="124"/>
  <c r="L156" i="124" s="1"/>
  <c r="M149" i="74"/>
  <c r="K147" i="92"/>
  <c r="K156" i="92" s="1"/>
  <c r="K120" i="92"/>
  <c r="R54" i="9"/>
  <c r="F30" i="122" s="1"/>
  <c r="I114" i="78"/>
  <c r="I112" i="78"/>
  <c r="I113" i="78"/>
  <c r="I111" i="78"/>
  <c r="I119" i="78"/>
  <c r="I115" i="78"/>
  <c r="I118" i="78"/>
  <c r="I117" i="78"/>
  <c r="P117" i="78" s="1"/>
  <c r="I116" i="78"/>
  <c r="O53" i="78"/>
  <c r="O54" i="78" s="1"/>
  <c r="P53" i="78"/>
  <c r="I144" i="123"/>
  <c r="P135" i="123"/>
  <c r="O135" i="123"/>
  <c r="P138" i="123"/>
  <c r="O138" i="123"/>
  <c r="P140" i="123"/>
  <c r="O140" i="123"/>
  <c r="R54" i="102"/>
  <c r="F9" i="122" s="1"/>
  <c r="O116" i="124"/>
  <c r="M152" i="124"/>
  <c r="M120" i="124"/>
  <c r="M147" i="124"/>
  <c r="L120" i="90"/>
  <c r="L147" i="90"/>
  <c r="L156" i="90" s="1"/>
  <c r="L54" i="85"/>
  <c r="P139" i="90"/>
  <c r="O139" i="90"/>
  <c r="P135" i="90"/>
  <c r="I144" i="90"/>
  <c r="O135" i="90"/>
  <c r="P76" i="129"/>
  <c r="I144" i="101"/>
  <c r="P135" i="101"/>
  <c r="O135" i="101"/>
  <c r="P142" i="101"/>
  <c r="O142" i="101"/>
  <c r="P139" i="101"/>
  <c r="O139" i="101"/>
  <c r="M154" i="87"/>
  <c r="I61" i="104"/>
  <c r="J61" i="104" s="1"/>
  <c r="I50" i="104"/>
  <c r="P143" i="125"/>
  <c r="O143" i="125"/>
  <c r="P135" i="125"/>
  <c r="I144" i="125"/>
  <c r="O135" i="125"/>
  <c r="P140" i="125"/>
  <c r="O140" i="125"/>
  <c r="L132" i="103"/>
  <c r="R54" i="123"/>
  <c r="F23" i="122" s="1"/>
  <c r="I116" i="96"/>
  <c r="I114" i="96"/>
  <c r="I117" i="96"/>
  <c r="I113" i="96"/>
  <c r="I111" i="96"/>
  <c r="I119" i="96"/>
  <c r="I118" i="96"/>
  <c r="I112" i="96"/>
  <c r="I115" i="96"/>
  <c r="O53" i="96"/>
  <c r="O54" i="96" s="1"/>
  <c r="R54" i="96" s="1"/>
  <c r="F28" i="122" s="1"/>
  <c r="P53" i="96"/>
  <c r="I144" i="96"/>
  <c r="P142" i="96"/>
  <c r="O142" i="96"/>
  <c r="P143" i="96"/>
  <c r="O143" i="96"/>
  <c r="P137" i="96"/>
  <c r="O137" i="96"/>
  <c r="P136" i="129"/>
  <c r="O136" i="129"/>
  <c r="P143" i="129"/>
  <c r="O143" i="129"/>
  <c r="O142" i="129"/>
  <c r="P142" i="129"/>
  <c r="P125" i="75"/>
  <c r="O125" i="75"/>
  <c r="O130" i="75"/>
  <c r="P130" i="75"/>
  <c r="R54" i="106"/>
  <c r="F13" i="122" s="1"/>
  <c r="K29" i="133"/>
  <c r="K120" i="88"/>
  <c r="K147" i="88"/>
  <c r="K156" i="88" s="1"/>
  <c r="I144" i="76"/>
  <c r="P135" i="76"/>
  <c r="O135" i="76"/>
  <c r="P141" i="76"/>
  <c r="O141" i="76"/>
  <c r="I61" i="94"/>
  <c r="I50" i="94"/>
  <c r="I79" i="9"/>
  <c r="J80" i="9" s="1"/>
  <c r="J81" i="9" s="1"/>
  <c r="I140" i="89"/>
  <c r="V17" i="133" s="1"/>
  <c r="I142" i="89"/>
  <c r="V19" i="133" s="1"/>
  <c r="I135" i="89"/>
  <c r="I136" i="89"/>
  <c r="V13" i="133" s="1"/>
  <c r="I138" i="89"/>
  <c r="V15" i="133" s="1"/>
  <c r="P52" i="89"/>
  <c r="I137" i="89"/>
  <c r="V14" i="133" s="1"/>
  <c r="I143" i="89"/>
  <c r="I139" i="89"/>
  <c r="V16" i="133" s="1"/>
  <c r="I141" i="89"/>
  <c r="O52" i="89"/>
  <c r="P142" i="84"/>
  <c r="O142" i="84"/>
  <c r="P141" i="84"/>
  <c r="O141" i="84"/>
  <c r="O49" i="78"/>
  <c r="O50" i="78" s="1"/>
  <c r="O76" i="100"/>
  <c r="F78" i="100"/>
  <c r="M77" i="100"/>
  <c r="M78" i="100" s="1"/>
  <c r="M79" i="100" s="1"/>
  <c r="K77" i="100"/>
  <c r="K78" i="100" s="1"/>
  <c r="K79" i="100" s="1"/>
  <c r="G77" i="100"/>
  <c r="N77" i="100"/>
  <c r="N78" i="100" s="1"/>
  <c r="N79" i="100" s="1"/>
  <c r="L77" i="100"/>
  <c r="L78" i="100" s="1"/>
  <c r="L79" i="100" s="1"/>
  <c r="K147" i="80"/>
  <c r="K156" i="80" s="1"/>
  <c r="K120" i="80"/>
  <c r="M14" i="108"/>
  <c r="M76" i="108" s="1"/>
  <c r="I112" i="80"/>
  <c r="I118" i="80"/>
  <c r="I119" i="80"/>
  <c r="I114" i="80"/>
  <c r="I115" i="80"/>
  <c r="I117" i="80"/>
  <c r="I116" i="80"/>
  <c r="I111" i="80"/>
  <c r="I113" i="80"/>
  <c r="P53" i="80"/>
  <c r="I54" i="80"/>
  <c r="I144" i="85"/>
  <c r="O135" i="85"/>
  <c r="P135" i="85"/>
  <c r="K76" i="85"/>
  <c r="M76" i="74"/>
  <c r="O76" i="74" s="1"/>
  <c r="P14" i="74"/>
  <c r="O14" i="74"/>
  <c r="R14" i="74" s="1"/>
  <c r="E31" i="122" s="1"/>
  <c r="J156" i="98"/>
  <c r="O132" i="86"/>
  <c r="K147" i="85"/>
  <c r="K156" i="85" s="1"/>
  <c r="G12" i="119"/>
  <c r="K114" i="98"/>
  <c r="K117" i="98"/>
  <c r="K119" i="98"/>
  <c r="K118" i="98"/>
  <c r="K115" i="98"/>
  <c r="K112" i="98"/>
  <c r="K113" i="98"/>
  <c r="K116" i="98"/>
  <c r="K111" i="98"/>
  <c r="L156" i="75"/>
  <c r="I115" i="93"/>
  <c r="I119" i="93"/>
  <c r="I117" i="93"/>
  <c r="I112" i="93"/>
  <c r="I111" i="93"/>
  <c r="I118" i="93"/>
  <c r="I114" i="93"/>
  <c r="I113" i="93"/>
  <c r="I116" i="93"/>
  <c r="O53" i="93"/>
  <c r="O54" i="93" s="1"/>
  <c r="R54" i="93" s="1"/>
  <c r="F25" i="122" s="1"/>
  <c r="P53" i="93"/>
  <c r="I54" i="93"/>
  <c r="M147" i="81"/>
  <c r="M156" i="81" s="1"/>
  <c r="M120" i="81"/>
  <c r="K156" i="74"/>
  <c r="BH22" i="133"/>
  <c r="J57" i="110"/>
  <c r="I14" i="132"/>
  <c r="I16" i="132"/>
  <c r="R54" i="126"/>
  <c r="F20" i="122" s="1"/>
  <c r="J114" i="106"/>
  <c r="J150" i="106" s="1"/>
  <c r="J112" i="106"/>
  <c r="J148" i="106" s="1"/>
  <c r="J117" i="106"/>
  <c r="J153" i="106" s="1"/>
  <c r="J119" i="106"/>
  <c r="J155" i="106" s="1"/>
  <c r="J113" i="106"/>
  <c r="J149" i="106" s="1"/>
  <c r="J115" i="106"/>
  <c r="J151" i="106" s="1"/>
  <c r="J118" i="106"/>
  <c r="J154" i="106" s="1"/>
  <c r="J116" i="106"/>
  <c r="J152" i="106" s="1"/>
  <c r="J111" i="106"/>
  <c r="I61" i="107"/>
  <c r="I50" i="107"/>
  <c r="J50" i="129"/>
  <c r="K50" i="106"/>
  <c r="P49" i="76"/>
  <c r="P50" i="76" s="1"/>
  <c r="I112" i="98"/>
  <c r="I116" i="98"/>
  <c r="I111" i="98"/>
  <c r="I114" i="98"/>
  <c r="I118" i="98"/>
  <c r="I113" i="98"/>
  <c r="I117" i="98"/>
  <c r="I119" i="98"/>
  <c r="I115" i="98"/>
  <c r="P53" i="98"/>
  <c r="O53" i="98"/>
  <c r="O54" i="98" s="1"/>
  <c r="R54" i="98" s="1"/>
  <c r="F5" i="122" s="1"/>
  <c r="I54" i="98"/>
  <c r="J29" i="133"/>
  <c r="I116" i="100"/>
  <c r="I114" i="100"/>
  <c r="I115" i="100"/>
  <c r="I112" i="100"/>
  <c r="I118" i="100"/>
  <c r="I119" i="100"/>
  <c r="I117" i="100"/>
  <c r="I113" i="100"/>
  <c r="I111" i="100"/>
  <c r="P53" i="100"/>
  <c r="O53" i="100"/>
  <c r="O54" i="100" s="1"/>
  <c r="R54" i="100" s="1"/>
  <c r="F7" i="122" s="1"/>
  <c r="I54" i="100"/>
  <c r="J61" i="102"/>
  <c r="K61" i="102" s="1"/>
  <c r="L61" i="102" s="1"/>
  <c r="M61" i="102" s="1"/>
  <c r="N61" i="102" s="1"/>
  <c r="J50" i="102"/>
  <c r="P138" i="104"/>
  <c r="O138" i="104"/>
  <c r="P142" i="104"/>
  <c r="O142" i="104"/>
  <c r="P141" i="104"/>
  <c r="O141" i="104"/>
  <c r="P128" i="126"/>
  <c r="O128" i="126"/>
  <c r="I132" i="126"/>
  <c r="O123" i="126"/>
  <c r="P123" i="126"/>
  <c r="P131" i="126"/>
  <c r="O131" i="126"/>
  <c r="P49" i="99"/>
  <c r="P50" i="99" s="1"/>
  <c r="M114" i="85"/>
  <c r="M150" i="85" s="1"/>
  <c r="M113" i="85"/>
  <c r="M112" i="85"/>
  <c r="M148" i="85" s="1"/>
  <c r="M117" i="85"/>
  <c r="M153" i="85" s="1"/>
  <c r="M118" i="85"/>
  <c r="M154" i="85" s="1"/>
  <c r="M115" i="85"/>
  <c r="M151" i="85" s="1"/>
  <c r="M119" i="85"/>
  <c r="M155" i="85" s="1"/>
  <c r="M116" i="85"/>
  <c r="M152" i="85" s="1"/>
  <c r="M111" i="85"/>
  <c r="P137" i="79"/>
  <c r="O137" i="79"/>
  <c r="O136" i="79"/>
  <c r="P136" i="79"/>
  <c r="I78" i="88"/>
  <c r="I83" i="88"/>
  <c r="J83" i="88" s="1"/>
  <c r="K83" i="88" s="1"/>
  <c r="I49" i="103"/>
  <c r="I53" i="103"/>
  <c r="O137" i="77"/>
  <c r="P137" i="77"/>
  <c r="I54" i="104"/>
  <c r="P129" i="104"/>
  <c r="O129" i="104"/>
  <c r="O123" i="104"/>
  <c r="I132" i="104"/>
  <c r="P123" i="104"/>
  <c r="I54" i="87"/>
  <c r="O124" i="87"/>
  <c r="P124" i="87"/>
  <c r="O126" i="87"/>
  <c r="P126" i="87"/>
  <c r="L50" i="103"/>
  <c r="P54" i="109"/>
  <c r="L59" i="108"/>
  <c r="P143" i="78"/>
  <c r="O143" i="78"/>
  <c r="P140" i="78"/>
  <c r="O140" i="78"/>
  <c r="P124" i="129"/>
  <c r="O124" i="129"/>
  <c r="P128" i="129"/>
  <c r="O128" i="129"/>
  <c r="O127" i="129"/>
  <c r="P127" i="129"/>
  <c r="R15" i="133"/>
  <c r="R13" i="133"/>
  <c r="I78" i="125"/>
  <c r="K112" i="89"/>
  <c r="K148" i="89" s="1"/>
  <c r="K114" i="89"/>
  <c r="K150" i="89" s="1"/>
  <c r="K115" i="89"/>
  <c r="K151" i="89" s="1"/>
  <c r="K119" i="89"/>
  <c r="K155" i="89" s="1"/>
  <c r="K113" i="89"/>
  <c r="K149" i="89" s="1"/>
  <c r="K111" i="89"/>
  <c r="K116" i="89"/>
  <c r="K152" i="89" s="1"/>
  <c r="K118" i="89"/>
  <c r="K154" i="89" s="1"/>
  <c r="K117" i="89"/>
  <c r="K153" i="89" s="1"/>
  <c r="O128" i="98"/>
  <c r="O131" i="98"/>
  <c r="P132" i="79"/>
  <c r="P54" i="91"/>
  <c r="I132" i="91"/>
  <c r="O123" i="91"/>
  <c r="P123" i="91"/>
  <c r="I50" i="90"/>
  <c r="I61" i="90"/>
  <c r="M156" i="127"/>
  <c r="O112" i="104"/>
  <c r="M148" i="104"/>
  <c r="F78" i="102"/>
  <c r="O76" i="102"/>
  <c r="K77" i="102"/>
  <c r="K78" i="102" s="1"/>
  <c r="K79" i="102" s="1"/>
  <c r="M77" i="102"/>
  <c r="M78" i="102" s="1"/>
  <c r="M79" i="102" s="1"/>
  <c r="G77" i="102"/>
  <c r="N77" i="102"/>
  <c r="N78" i="102" s="1"/>
  <c r="N79" i="102" s="1"/>
  <c r="L77" i="102"/>
  <c r="L78" i="102" s="1"/>
  <c r="L79" i="102" s="1"/>
  <c r="L50" i="128"/>
  <c r="I54" i="76"/>
  <c r="O129" i="76"/>
  <c r="P129" i="76"/>
  <c r="BK24" i="133"/>
  <c r="M57" i="108"/>
  <c r="M59" i="108" s="1"/>
  <c r="O132" i="84"/>
  <c r="I54" i="123"/>
  <c r="O128" i="123"/>
  <c r="P128" i="123"/>
  <c r="K147" i="97"/>
  <c r="K156" i="97" s="1"/>
  <c r="K120" i="97"/>
  <c r="K147" i="9"/>
  <c r="K156" i="9" s="1"/>
  <c r="K120" i="9"/>
  <c r="M50" i="98"/>
  <c r="P137" i="80"/>
  <c r="O137" i="80"/>
  <c r="P136" i="80"/>
  <c r="O136" i="80"/>
  <c r="P135" i="80"/>
  <c r="I144" i="80"/>
  <c r="O135" i="80"/>
  <c r="J57" i="108"/>
  <c r="J59" i="108" s="1"/>
  <c r="BH24" i="133"/>
  <c r="O44" i="110"/>
  <c r="O49" i="110" s="1"/>
  <c r="O50" i="110" s="1"/>
  <c r="K54" i="110"/>
  <c r="Q14" i="133"/>
  <c r="Q13" i="133"/>
  <c r="G26" i="119"/>
  <c r="P53" i="107"/>
  <c r="J120" i="101"/>
  <c r="J147" i="101"/>
  <c r="J156" i="101" s="1"/>
  <c r="L117" i="106"/>
  <c r="L153" i="106" s="1"/>
  <c r="L118" i="106"/>
  <c r="L154" i="106" s="1"/>
  <c r="L115" i="106"/>
  <c r="L151" i="106" s="1"/>
  <c r="L116" i="106"/>
  <c r="L152" i="106" s="1"/>
  <c r="L113" i="106"/>
  <c r="L149" i="106" s="1"/>
  <c r="L114" i="106"/>
  <c r="L150" i="106" s="1"/>
  <c r="L119" i="106"/>
  <c r="L155" i="106" s="1"/>
  <c r="L111" i="106"/>
  <c r="L112" i="106"/>
  <c r="L148" i="106" s="1"/>
  <c r="L147" i="84"/>
  <c r="L156" i="84" s="1"/>
  <c r="L120" i="84"/>
  <c r="P144" i="86"/>
  <c r="P49" i="108"/>
  <c r="P50" i="108" s="1"/>
  <c r="J120" i="83"/>
  <c r="J147" i="83"/>
  <c r="J156" i="83" s="1"/>
  <c r="P76" i="80"/>
  <c r="P128" i="83"/>
  <c r="O128" i="83"/>
  <c r="P130" i="83"/>
  <c r="O130" i="83"/>
  <c r="O131" i="83"/>
  <c r="P131" i="83"/>
  <c r="O130" i="90"/>
  <c r="P130" i="90"/>
  <c r="P126" i="90"/>
  <c r="O126" i="90"/>
  <c r="O128" i="90"/>
  <c r="P128" i="90"/>
  <c r="P77" i="127"/>
  <c r="N14" i="77"/>
  <c r="N76" i="77" s="1"/>
  <c r="M76" i="77"/>
  <c r="P14" i="77"/>
  <c r="O131" i="97"/>
  <c r="P131" i="97"/>
  <c r="L156" i="76"/>
  <c r="P137" i="87"/>
  <c r="O137" i="87"/>
  <c r="P138" i="87"/>
  <c r="O138" i="87"/>
  <c r="P136" i="9"/>
  <c r="O136" i="9"/>
  <c r="O140" i="9"/>
  <c r="P140" i="9"/>
  <c r="P141" i="9"/>
  <c r="O141" i="9"/>
  <c r="F76" i="89"/>
  <c r="O14" i="89"/>
  <c r="R14" i="89" s="1"/>
  <c r="E14" i="122" s="1"/>
  <c r="J132" i="85"/>
  <c r="O53" i="84"/>
  <c r="O54" i="84" s="1"/>
  <c r="R54" i="84" s="1"/>
  <c r="F41" i="122" s="1"/>
  <c r="J61" i="128"/>
  <c r="K61" i="128" s="1"/>
  <c r="L61" i="128" s="1"/>
  <c r="M61" i="128" s="1"/>
  <c r="N61" i="128" s="1"/>
  <c r="J50" i="128"/>
  <c r="K147" i="90"/>
  <c r="K156" i="90" s="1"/>
  <c r="K120" i="90"/>
  <c r="I78" i="126"/>
  <c r="P137" i="106"/>
  <c r="O137" i="106"/>
  <c r="P136" i="106"/>
  <c r="O136" i="106"/>
  <c r="I132" i="124"/>
  <c r="P129" i="124"/>
  <c r="O129" i="124"/>
  <c r="O123" i="124"/>
  <c r="P123" i="124"/>
  <c r="P124" i="124"/>
  <c r="O124" i="124"/>
  <c r="I54" i="101"/>
  <c r="O128" i="101"/>
  <c r="P128" i="101"/>
  <c r="O126" i="101"/>
  <c r="P126" i="101"/>
  <c r="P138" i="97"/>
  <c r="O138" i="97"/>
  <c r="I144" i="97"/>
  <c r="P135" i="97"/>
  <c r="O135" i="97"/>
  <c r="P136" i="97"/>
  <c r="O136" i="97"/>
  <c r="I118" i="82"/>
  <c r="I119" i="82"/>
  <c r="I111" i="82"/>
  <c r="O111" i="82" s="1"/>
  <c r="I115" i="82"/>
  <c r="I112" i="82"/>
  <c r="I114" i="82"/>
  <c r="I113" i="82"/>
  <c r="I116" i="82"/>
  <c r="I117" i="82"/>
  <c r="O53" i="82"/>
  <c r="O54" i="82" s="1"/>
  <c r="R54" i="82" s="1"/>
  <c r="F39" i="122" s="1"/>
  <c r="P53" i="82"/>
  <c r="P142" i="126"/>
  <c r="O142" i="126"/>
  <c r="P137" i="126"/>
  <c r="O137" i="126"/>
  <c r="O44" i="89"/>
  <c r="O49" i="89" s="1"/>
  <c r="O50" i="89" s="1"/>
  <c r="J148" i="85"/>
  <c r="J154" i="85"/>
  <c r="O141" i="105"/>
  <c r="P141" i="105"/>
  <c r="M152" i="99"/>
  <c r="P144" i="102"/>
  <c r="M153" i="95"/>
  <c r="J147" i="81"/>
  <c r="J156" i="81" s="1"/>
  <c r="O48" i="85"/>
  <c r="I54" i="74"/>
  <c r="P136" i="81"/>
  <c r="O136" i="81"/>
  <c r="P54" i="106"/>
  <c r="O14" i="109"/>
  <c r="R14" i="109" s="1"/>
  <c r="E49" i="122" s="1"/>
  <c r="P124" i="81"/>
  <c r="O124" i="81"/>
  <c r="O128" i="81"/>
  <c r="P128" i="81"/>
  <c r="K14" i="110"/>
  <c r="P142" i="103"/>
  <c r="O142" i="103"/>
  <c r="P136" i="103"/>
  <c r="O136" i="103"/>
  <c r="P143" i="103"/>
  <c r="O143" i="103"/>
  <c r="M156" i="126" l="1"/>
  <c r="P54" i="124"/>
  <c r="AZ30" i="133"/>
  <c r="R54" i="83"/>
  <c r="F40" i="122" s="1"/>
  <c r="E12" i="119"/>
  <c r="R54" i="99"/>
  <c r="F6" i="122" s="1"/>
  <c r="L80" i="127"/>
  <c r="L81" i="127" s="1"/>
  <c r="R54" i="76"/>
  <c r="F33" i="122" s="1"/>
  <c r="O30" i="133"/>
  <c r="P54" i="97"/>
  <c r="R54" i="125"/>
  <c r="F21" i="122" s="1"/>
  <c r="P132" i="91"/>
  <c r="I54" i="89"/>
  <c r="O128" i="103"/>
  <c r="O17" i="133"/>
  <c r="P54" i="123"/>
  <c r="O131" i="85"/>
  <c r="J10" i="119"/>
  <c r="P54" i="75"/>
  <c r="P132" i="128"/>
  <c r="R54" i="92"/>
  <c r="F24" i="122" s="1"/>
  <c r="P54" i="90"/>
  <c r="O132" i="91"/>
  <c r="N14" i="85"/>
  <c r="N76" i="85" s="1"/>
  <c r="N77" i="85" s="1"/>
  <c r="N78" i="85" s="1"/>
  <c r="N79" i="85" s="1"/>
  <c r="P26" i="133"/>
  <c r="P54" i="108"/>
  <c r="P54" i="127"/>
  <c r="O132" i="106"/>
  <c r="P132" i="98"/>
  <c r="P132" i="106"/>
  <c r="P54" i="128"/>
  <c r="M75" i="110"/>
  <c r="F13" i="119"/>
  <c r="O144" i="85"/>
  <c r="P54" i="87"/>
  <c r="G28" i="119"/>
  <c r="Q28" i="119" s="1"/>
  <c r="P118" i="102"/>
  <c r="P127" i="103"/>
  <c r="O49" i="103"/>
  <c r="O50" i="103" s="1"/>
  <c r="P49" i="81"/>
  <c r="P50" i="81" s="1"/>
  <c r="G13" i="119"/>
  <c r="P54" i="101"/>
  <c r="L76" i="87"/>
  <c r="L77" i="87" s="1"/>
  <c r="L78" i="87" s="1"/>
  <c r="L79" i="87" s="1"/>
  <c r="M14" i="87"/>
  <c r="P132" i="104"/>
  <c r="O14" i="86"/>
  <c r="R14" i="86" s="1"/>
  <c r="E43" i="122" s="1"/>
  <c r="O132" i="98"/>
  <c r="P14" i="108"/>
  <c r="P77" i="126"/>
  <c r="P77" i="125"/>
  <c r="P76" i="85"/>
  <c r="P144" i="76"/>
  <c r="K30" i="133"/>
  <c r="O20" i="133"/>
  <c r="P54" i="96"/>
  <c r="P144" i="85"/>
  <c r="H21" i="119"/>
  <c r="P76" i="79"/>
  <c r="O132" i="102"/>
  <c r="P49" i="85"/>
  <c r="P50" i="85" s="1"/>
  <c r="L76" i="96"/>
  <c r="M14" i="96"/>
  <c r="P144" i="80"/>
  <c r="O132" i="104"/>
  <c r="P144" i="125"/>
  <c r="O12" i="133"/>
  <c r="O15" i="133"/>
  <c r="N77" i="77"/>
  <c r="N78" i="77" s="1"/>
  <c r="N79" i="77" s="1"/>
  <c r="O14" i="77"/>
  <c r="R14" i="77" s="1"/>
  <c r="E34" i="122" s="1"/>
  <c r="K77" i="106"/>
  <c r="L61" i="106"/>
  <c r="G83" i="102"/>
  <c r="H83" i="102" s="1"/>
  <c r="G78" i="102"/>
  <c r="G79" i="102" s="1"/>
  <c r="I50" i="103"/>
  <c r="I61" i="103"/>
  <c r="I79" i="88"/>
  <c r="I153" i="100"/>
  <c r="O117" i="100"/>
  <c r="P117" i="100"/>
  <c r="I151" i="100"/>
  <c r="P115" i="100"/>
  <c r="O115" i="100"/>
  <c r="I155" i="98"/>
  <c r="P119" i="98"/>
  <c r="I150" i="98"/>
  <c r="P114" i="98"/>
  <c r="E28" i="119"/>
  <c r="J12" i="119"/>
  <c r="J120" i="106"/>
  <c r="J147" i="106"/>
  <c r="J156" i="106" s="1"/>
  <c r="I149" i="93"/>
  <c r="O113" i="93"/>
  <c r="P113" i="93"/>
  <c r="I148" i="93"/>
  <c r="P112" i="93"/>
  <c r="O112" i="93"/>
  <c r="J14" i="133"/>
  <c r="BA14" i="133" s="1"/>
  <c r="K149" i="98"/>
  <c r="J20" i="133"/>
  <c r="BA20" i="133" s="1"/>
  <c r="K155" i="98"/>
  <c r="I149" i="80"/>
  <c r="P113" i="80"/>
  <c r="O113" i="80"/>
  <c r="I151" i="80"/>
  <c r="O115" i="80"/>
  <c r="P115" i="80"/>
  <c r="I148" i="80"/>
  <c r="O112" i="80"/>
  <c r="P112" i="80"/>
  <c r="F79" i="100"/>
  <c r="P137" i="89"/>
  <c r="O137" i="89"/>
  <c r="I144" i="89"/>
  <c r="P135" i="89"/>
  <c r="O135" i="89"/>
  <c r="I77" i="94"/>
  <c r="J61" i="94"/>
  <c r="I155" i="96"/>
  <c r="P119" i="96"/>
  <c r="O119" i="96"/>
  <c r="I150" i="96"/>
  <c r="O114" i="96"/>
  <c r="P114" i="96"/>
  <c r="I151" i="78"/>
  <c r="O115" i="78"/>
  <c r="P115" i="78"/>
  <c r="I148" i="78"/>
  <c r="O112" i="78"/>
  <c r="P112" i="78"/>
  <c r="P54" i="100"/>
  <c r="BH29" i="133"/>
  <c r="I154" i="92"/>
  <c r="P118" i="92"/>
  <c r="O118" i="92"/>
  <c r="I148" i="92"/>
  <c r="P112" i="92"/>
  <c r="O112" i="92"/>
  <c r="J28" i="132"/>
  <c r="J26" i="132" s="1"/>
  <c r="R41" i="14"/>
  <c r="K74" i="108"/>
  <c r="K75" i="108" s="1"/>
  <c r="I154" i="129"/>
  <c r="P118" i="129"/>
  <c r="O118" i="129"/>
  <c r="I149" i="129"/>
  <c r="O113" i="129"/>
  <c r="P113" i="129"/>
  <c r="I77" i="86"/>
  <c r="J61" i="86"/>
  <c r="K61" i="86" s="1"/>
  <c r="L61" i="86" s="1"/>
  <c r="M61" i="86" s="1"/>
  <c r="N61" i="86" s="1"/>
  <c r="P54" i="9"/>
  <c r="I154" i="9"/>
  <c r="O118" i="9"/>
  <c r="P118" i="9"/>
  <c r="I150" i="9"/>
  <c r="P114" i="9"/>
  <c r="I152" i="97"/>
  <c r="P116" i="97"/>
  <c r="O116" i="97"/>
  <c r="I149" i="97"/>
  <c r="O113" i="97"/>
  <c r="P113" i="97"/>
  <c r="J61" i="74"/>
  <c r="I77" i="74"/>
  <c r="P54" i="102"/>
  <c r="I155" i="102"/>
  <c r="P119" i="102"/>
  <c r="O119" i="102"/>
  <c r="I148" i="102"/>
  <c r="P112" i="102"/>
  <c r="O112" i="102"/>
  <c r="M14" i="81"/>
  <c r="L76" i="81"/>
  <c r="P132" i="83"/>
  <c r="Q26" i="133"/>
  <c r="O117" i="98"/>
  <c r="M153" i="98"/>
  <c r="L18" i="133"/>
  <c r="BC18" i="133" s="1"/>
  <c r="M152" i="98"/>
  <c r="L17" i="133"/>
  <c r="BC17" i="133" s="1"/>
  <c r="P132" i="123"/>
  <c r="I150" i="90"/>
  <c r="P114" i="90"/>
  <c r="O114" i="90"/>
  <c r="I154" i="90"/>
  <c r="O118" i="90"/>
  <c r="P118" i="90"/>
  <c r="I120" i="90"/>
  <c r="I147" i="90"/>
  <c r="O111" i="90"/>
  <c r="P111" i="90"/>
  <c r="N77" i="9"/>
  <c r="N78" i="9" s="1"/>
  <c r="N79" i="9" s="1"/>
  <c r="R26" i="119"/>
  <c r="L147" i="103"/>
  <c r="L156" i="103" s="1"/>
  <c r="L120" i="103"/>
  <c r="L59" i="107"/>
  <c r="I151" i="94"/>
  <c r="P115" i="94"/>
  <c r="O115" i="94"/>
  <c r="I150" i="94"/>
  <c r="O114" i="94"/>
  <c r="P114" i="94"/>
  <c r="I154" i="94"/>
  <c r="O118" i="94"/>
  <c r="I151" i="104"/>
  <c r="P115" i="104"/>
  <c r="O115" i="104"/>
  <c r="I153" i="104"/>
  <c r="O117" i="104"/>
  <c r="I77" i="77"/>
  <c r="J61" i="77"/>
  <c r="I20" i="133"/>
  <c r="AZ20" i="133" s="1"/>
  <c r="BH20" i="133" s="1"/>
  <c r="T19" i="119"/>
  <c r="P124" i="89"/>
  <c r="O124" i="89"/>
  <c r="P128" i="89"/>
  <c r="O128" i="89"/>
  <c r="I150" i="87"/>
  <c r="P114" i="87"/>
  <c r="O114" i="87"/>
  <c r="I152" i="87"/>
  <c r="O116" i="87"/>
  <c r="P116" i="87"/>
  <c r="M156" i="94"/>
  <c r="I149" i="123"/>
  <c r="P113" i="123"/>
  <c r="O113" i="123"/>
  <c r="I151" i="123"/>
  <c r="O115" i="123"/>
  <c r="P115" i="123"/>
  <c r="I152" i="123"/>
  <c r="O116" i="123"/>
  <c r="P116" i="123"/>
  <c r="I150" i="86"/>
  <c r="P114" i="86"/>
  <c r="O114" i="86"/>
  <c r="I152" i="86"/>
  <c r="O116" i="86"/>
  <c r="P116" i="86"/>
  <c r="I153" i="86"/>
  <c r="P117" i="86"/>
  <c r="O117" i="86"/>
  <c r="L77" i="105"/>
  <c r="M61" i="105"/>
  <c r="I148" i="74"/>
  <c r="P112" i="74"/>
  <c r="O112" i="74"/>
  <c r="I149" i="74"/>
  <c r="O113" i="74"/>
  <c r="O144" i="103"/>
  <c r="P124" i="85"/>
  <c r="O124" i="85"/>
  <c r="P125" i="85"/>
  <c r="O125" i="85"/>
  <c r="I114" i="81"/>
  <c r="I115" i="81"/>
  <c r="I118" i="81"/>
  <c r="I117" i="81"/>
  <c r="I119" i="81"/>
  <c r="I113" i="81"/>
  <c r="I116" i="81"/>
  <c r="I111" i="81"/>
  <c r="I112" i="81"/>
  <c r="P53" i="81"/>
  <c r="O53" i="81"/>
  <c r="O54" i="81" s="1"/>
  <c r="R54" i="81" s="1"/>
  <c r="F38" i="122" s="1"/>
  <c r="I54" i="81"/>
  <c r="P144" i="126"/>
  <c r="F80" i="127"/>
  <c r="F81" i="127" s="1"/>
  <c r="O79" i="127"/>
  <c r="N80" i="127"/>
  <c r="N81" i="127" s="1"/>
  <c r="I151" i="91"/>
  <c r="P115" i="91"/>
  <c r="O115" i="91"/>
  <c r="I155" i="91"/>
  <c r="O119" i="91"/>
  <c r="P119" i="91"/>
  <c r="I154" i="125"/>
  <c r="P118" i="125"/>
  <c r="O118" i="125"/>
  <c r="I151" i="125"/>
  <c r="P115" i="125"/>
  <c r="O115" i="125"/>
  <c r="I78" i="124"/>
  <c r="P77" i="124"/>
  <c r="O132" i="90"/>
  <c r="J77" i="79"/>
  <c r="K61" i="79"/>
  <c r="I50" i="110"/>
  <c r="I61" i="110"/>
  <c r="P76" i="86"/>
  <c r="O76" i="86"/>
  <c r="I154" i="127"/>
  <c r="P118" i="127"/>
  <c r="O118" i="127"/>
  <c r="I150" i="127"/>
  <c r="P114" i="127"/>
  <c r="O114" i="127"/>
  <c r="L80" i="9"/>
  <c r="L81" i="9" s="1"/>
  <c r="M76" i="88"/>
  <c r="M77" i="88" s="1"/>
  <c r="M78" i="88" s="1"/>
  <c r="M79" i="88" s="1"/>
  <c r="N14" i="88"/>
  <c r="N77" i="83"/>
  <c r="N78" i="83" s="1"/>
  <c r="N79" i="83" s="1"/>
  <c r="P54" i="129"/>
  <c r="P132" i="129"/>
  <c r="I88" i="2"/>
  <c r="I141" i="2" s="1"/>
  <c r="I154" i="83"/>
  <c r="O118" i="83"/>
  <c r="I152" i="83"/>
  <c r="P116" i="83"/>
  <c r="O116" i="83"/>
  <c r="I151" i="124"/>
  <c r="P115" i="124"/>
  <c r="O115" i="124"/>
  <c r="I120" i="124"/>
  <c r="I147" i="124"/>
  <c r="P147" i="124" s="1"/>
  <c r="P111" i="124"/>
  <c r="I15" i="133"/>
  <c r="AZ15" i="133" s="1"/>
  <c r="BH15" i="133" s="1"/>
  <c r="O112" i="128"/>
  <c r="P132" i="75"/>
  <c r="I149" i="99"/>
  <c r="O113" i="99"/>
  <c r="P113" i="99"/>
  <c r="I152" i="99"/>
  <c r="P152" i="99" s="1"/>
  <c r="O116" i="99"/>
  <c r="I151" i="99"/>
  <c r="P115" i="99"/>
  <c r="O115" i="99"/>
  <c r="M156" i="87"/>
  <c r="O54" i="89"/>
  <c r="N14" i="108"/>
  <c r="N76" i="108" s="1"/>
  <c r="I149" i="77"/>
  <c r="O113" i="77"/>
  <c r="P113" i="77"/>
  <c r="I153" i="77"/>
  <c r="P117" i="77"/>
  <c r="O117" i="77"/>
  <c r="I151" i="77"/>
  <c r="P115" i="77"/>
  <c r="P54" i="95"/>
  <c r="I150" i="95"/>
  <c r="P114" i="95"/>
  <c r="O114" i="95"/>
  <c r="I153" i="95"/>
  <c r="O117" i="95"/>
  <c r="I153" i="88"/>
  <c r="O117" i="88"/>
  <c r="P117" i="88"/>
  <c r="I148" i="88"/>
  <c r="O112" i="88"/>
  <c r="P112" i="88"/>
  <c r="I154" i="88"/>
  <c r="P118" i="88"/>
  <c r="O118" i="88"/>
  <c r="I148" i="75"/>
  <c r="O112" i="75"/>
  <c r="P112" i="75"/>
  <c r="I154" i="75"/>
  <c r="O118" i="75"/>
  <c r="P118" i="75"/>
  <c r="P76" i="94"/>
  <c r="O76" i="94"/>
  <c r="I148" i="105"/>
  <c r="O112" i="105"/>
  <c r="P112" i="105"/>
  <c r="I152" i="105"/>
  <c r="P116" i="105"/>
  <c r="AY21" i="133"/>
  <c r="BG21" i="133" s="1"/>
  <c r="P113" i="106"/>
  <c r="V30" i="133"/>
  <c r="O144" i="81"/>
  <c r="O132" i="97"/>
  <c r="N76" i="80"/>
  <c r="N77" i="80" s="1"/>
  <c r="N78" i="80" s="1"/>
  <c r="N79" i="80" s="1"/>
  <c r="O14" i="80"/>
  <c r="R14" i="80" s="1"/>
  <c r="E37" i="122" s="1"/>
  <c r="I120" i="79"/>
  <c r="I147" i="79"/>
  <c r="O111" i="79"/>
  <c r="P111" i="79"/>
  <c r="I148" i="79"/>
  <c r="O112" i="79"/>
  <c r="P112" i="79"/>
  <c r="I154" i="79"/>
  <c r="P118" i="79"/>
  <c r="O118" i="79"/>
  <c r="L151" i="98"/>
  <c r="K16" i="133"/>
  <c r="BB16" i="133" s="1"/>
  <c r="L150" i="98"/>
  <c r="K15" i="133"/>
  <c r="BB15" i="133" s="1"/>
  <c r="L153" i="98"/>
  <c r="K18" i="133"/>
  <c r="BB18" i="133" s="1"/>
  <c r="I17" i="133"/>
  <c r="AZ17" i="133" s="1"/>
  <c r="BH17" i="133" s="1"/>
  <c r="O14" i="85"/>
  <c r="R14" i="85" s="1"/>
  <c r="E42" i="122" s="1"/>
  <c r="O129" i="103"/>
  <c r="P129" i="103"/>
  <c r="O18" i="133"/>
  <c r="P130" i="103"/>
  <c r="O130" i="103"/>
  <c r="O19" i="133"/>
  <c r="I147" i="84"/>
  <c r="I120" i="84"/>
  <c r="O111" i="84"/>
  <c r="I148" i="84"/>
  <c r="P112" i="84"/>
  <c r="O112" i="84"/>
  <c r="I152" i="84"/>
  <c r="P116" i="84"/>
  <c r="O116" i="84"/>
  <c r="I148" i="101"/>
  <c r="P112" i="101"/>
  <c r="O112" i="101"/>
  <c r="I155" i="101"/>
  <c r="P119" i="101"/>
  <c r="O119" i="101"/>
  <c r="P144" i="84"/>
  <c r="M156" i="102"/>
  <c r="M156" i="128"/>
  <c r="I149" i="76"/>
  <c r="P113" i="76"/>
  <c r="O113" i="76"/>
  <c r="I153" i="76"/>
  <c r="P117" i="76"/>
  <c r="O117" i="76"/>
  <c r="I148" i="126"/>
  <c r="O112" i="126"/>
  <c r="P112" i="126"/>
  <c r="I150" i="126"/>
  <c r="O150" i="126" s="1"/>
  <c r="O114" i="126"/>
  <c r="L76" i="84"/>
  <c r="P14" i="84"/>
  <c r="M59" i="109"/>
  <c r="I155" i="106"/>
  <c r="O119" i="106"/>
  <c r="P119" i="106"/>
  <c r="I120" i="106"/>
  <c r="I147" i="106"/>
  <c r="O111" i="106"/>
  <c r="P111" i="106"/>
  <c r="I150" i="128"/>
  <c r="O114" i="128"/>
  <c r="P114" i="128"/>
  <c r="I152" i="128"/>
  <c r="O116" i="128"/>
  <c r="P116" i="128"/>
  <c r="L156" i="77"/>
  <c r="P54" i="78"/>
  <c r="L147" i="81"/>
  <c r="L156" i="81" s="1"/>
  <c r="L120" i="81"/>
  <c r="P76" i="75"/>
  <c r="T18" i="119"/>
  <c r="P78" i="127"/>
  <c r="J70" i="108"/>
  <c r="J69" i="108"/>
  <c r="J68" i="108"/>
  <c r="J66" i="108"/>
  <c r="J67" i="108"/>
  <c r="J65" i="108"/>
  <c r="J73" i="108"/>
  <c r="J72" i="108"/>
  <c r="J64" i="108"/>
  <c r="J71" i="108"/>
  <c r="F19" i="14" s="1"/>
  <c r="Q19" i="14" s="1"/>
  <c r="F79" i="102"/>
  <c r="H80" i="102" s="1"/>
  <c r="H81" i="102" s="1"/>
  <c r="M66" i="108"/>
  <c r="M67" i="108"/>
  <c r="M69" i="108"/>
  <c r="M71" i="108"/>
  <c r="M65" i="108"/>
  <c r="M68" i="108"/>
  <c r="M64" i="108"/>
  <c r="M72" i="108"/>
  <c r="M73" i="108"/>
  <c r="M70" i="108"/>
  <c r="I79" i="125"/>
  <c r="P78" i="125"/>
  <c r="M149" i="85"/>
  <c r="I155" i="100"/>
  <c r="O119" i="100"/>
  <c r="P119" i="100"/>
  <c r="I150" i="100"/>
  <c r="P114" i="100"/>
  <c r="O114" i="100"/>
  <c r="I153" i="98"/>
  <c r="P117" i="98"/>
  <c r="I147" i="98"/>
  <c r="I120" i="98"/>
  <c r="P111" i="98"/>
  <c r="O111" i="98"/>
  <c r="P54" i="93"/>
  <c r="I150" i="93"/>
  <c r="P114" i="93"/>
  <c r="O114" i="93"/>
  <c r="I153" i="93"/>
  <c r="O117" i="93"/>
  <c r="P117" i="93"/>
  <c r="K148" i="98"/>
  <c r="BI13" i="133" s="1"/>
  <c r="J13" i="133"/>
  <c r="BA13" i="133" s="1"/>
  <c r="J18" i="133"/>
  <c r="BA18" i="133" s="1"/>
  <c r="K153" i="98"/>
  <c r="I147" i="80"/>
  <c r="I120" i="80"/>
  <c r="P111" i="80"/>
  <c r="O111" i="80"/>
  <c r="I150" i="80"/>
  <c r="P114" i="80"/>
  <c r="O114" i="80"/>
  <c r="P141" i="89"/>
  <c r="O141" i="89"/>
  <c r="P142" i="89"/>
  <c r="O142" i="89"/>
  <c r="I80" i="9"/>
  <c r="I81" i="9" s="1"/>
  <c r="P144" i="96"/>
  <c r="I151" i="96"/>
  <c r="P115" i="96"/>
  <c r="O115" i="96"/>
  <c r="I147" i="96"/>
  <c r="I120" i="96"/>
  <c r="P111" i="96"/>
  <c r="I152" i="96"/>
  <c r="P116" i="96"/>
  <c r="O116" i="96"/>
  <c r="J77" i="104"/>
  <c r="K61" i="104"/>
  <c r="L61" i="104" s="1"/>
  <c r="M61" i="104" s="1"/>
  <c r="N61" i="104" s="1"/>
  <c r="O144" i="101"/>
  <c r="O144" i="90"/>
  <c r="P144" i="123"/>
  <c r="I152" i="78"/>
  <c r="O116" i="78"/>
  <c r="P116" i="78"/>
  <c r="I155" i="78"/>
  <c r="P119" i="78"/>
  <c r="O119" i="78"/>
  <c r="I150" i="78"/>
  <c r="O114" i="78"/>
  <c r="P114" i="78"/>
  <c r="J89" i="2"/>
  <c r="J97" i="2" s="1"/>
  <c r="J56" i="109" s="1"/>
  <c r="J57" i="109" s="1"/>
  <c r="J86" i="2"/>
  <c r="N14" i="84"/>
  <c r="N76" i="84" s="1"/>
  <c r="M76" i="84"/>
  <c r="I120" i="92"/>
  <c r="I147" i="92"/>
  <c r="O111" i="92"/>
  <c r="P111" i="92"/>
  <c r="I150" i="92"/>
  <c r="O114" i="92"/>
  <c r="P114" i="92"/>
  <c r="I153" i="92"/>
  <c r="O117" i="92"/>
  <c r="P117" i="92"/>
  <c r="I148" i="129"/>
  <c r="P112" i="129"/>
  <c r="O112" i="129"/>
  <c r="I155" i="129"/>
  <c r="P119" i="129"/>
  <c r="O119" i="129"/>
  <c r="L76" i="78"/>
  <c r="M14" i="78"/>
  <c r="M76" i="78" s="1"/>
  <c r="I148" i="9"/>
  <c r="P112" i="9"/>
  <c r="O112" i="9"/>
  <c r="I149" i="9"/>
  <c r="P113" i="9"/>
  <c r="O113" i="9"/>
  <c r="I152" i="9"/>
  <c r="P152" i="9" s="1"/>
  <c r="P116" i="9"/>
  <c r="I147" i="97"/>
  <c r="I120" i="97"/>
  <c r="O111" i="97"/>
  <c r="I148" i="97"/>
  <c r="P112" i="97"/>
  <c r="O112" i="97"/>
  <c r="I151" i="97"/>
  <c r="O115" i="97"/>
  <c r="P115" i="97"/>
  <c r="I149" i="102"/>
  <c r="P113" i="102"/>
  <c r="O113" i="102"/>
  <c r="I153" i="102"/>
  <c r="P117" i="102"/>
  <c r="O117" i="102"/>
  <c r="I151" i="102"/>
  <c r="P115" i="102"/>
  <c r="O115" i="102"/>
  <c r="R10" i="119"/>
  <c r="R21" i="119"/>
  <c r="I11" i="131" s="1"/>
  <c r="O132" i="81"/>
  <c r="L77" i="91"/>
  <c r="M61" i="91"/>
  <c r="N61" i="91" s="1"/>
  <c r="F79" i="125"/>
  <c r="O144" i="87"/>
  <c r="L12" i="133"/>
  <c r="M147" i="98"/>
  <c r="M120" i="98"/>
  <c r="M151" i="98"/>
  <c r="L16" i="133"/>
  <c r="BC16" i="133" s="1"/>
  <c r="P132" i="76"/>
  <c r="I155" i="90"/>
  <c r="O119" i="90"/>
  <c r="P119" i="90"/>
  <c r="I148" i="90"/>
  <c r="P112" i="90"/>
  <c r="O112" i="90"/>
  <c r="O76" i="9"/>
  <c r="P76" i="9"/>
  <c r="I13" i="133"/>
  <c r="AZ13" i="133" s="1"/>
  <c r="BH13" i="133" s="1"/>
  <c r="O144" i="77"/>
  <c r="J147" i="102"/>
  <c r="J120" i="102"/>
  <c r="K147" i="106"/>
  <c r="K156" i="106" s="1"/>
  <c r="K120" i="106"/>
  <c r="J147" i="129"/>
  <c r="J156" i="129" s="1"/>
  <c r="J120" i="129"/>
  <c r="O20" i="119"/>
  <c r="J20" i="119"/>
  <c r="J21" i="119" s="1"/>
  <c r="G83" i="101"/>
  <c r="H77" i="101" s="1"/>
  <c r="G78" i="101"/>
  <c r="G79" i="101" s="1"/>
  <c r="F79" i="101"/>
  <c r="I16" i="133"/>
  <c r="AZ16" i="133" s="1"/>
  <c r="BH16" i="133" s="1"/>
  <c r="I148" i="94"/>
  <c r="O112" i="94"/>
  <c r="P112" i="94"/>
  <c r="I155" i="94"/>
  <c r="O119" i="94"/>
  <c r="P119" i="94"/>
  <c r="I148" i="104"/>
  <c r="P112" i="104"/>
  <c r="I149" i="104"/>
  <c r="O113" i="104"/>
  <c r="P113" i="104"/>
  <c r="I120" i="104"/>
  <c r="I147" i="104"/>
  <c r="O111" i="104"/>
  <c r="P111" i="104"/>
  <c r="L147" i="85"/>
  <c r="L156" i="85" s="1"/>
  <c r="L120" i="85"/>
  <c r="I77" i="95"/>
  <c r="J61" i="95"/>
  <c r="V18" i="133"/>
  <c r="P126" i="89"/>
  <c r="O126" i="89"/>
  <c r="P129" i="89"/>
  <c r="O129" i="89"/>
  <c r="I148" i="87"/>
  <c r="P112" i="87"/>
  <c r="O112" i="87"/>
  <c r="I155" i="87"/>
  <c r="P119" i="87"/>
  <c r="O119" i="87"/>
  <c r="I120" i="123"/>
  <c r="I147" i="123"/>
  <c r="O111" i="123"/>
  <c r="P111" i="123"/>
  <c r="I148" i="123"/>
  <c r="O112" i="123"/>
  <c r="P112" i="123"/>
  <c r="O116" i="9"/>
  <c r="I155" i="86"/>
  <c r="O119" i="86"/>
  <c r="P119" i="86"/>
  <c r="I147" i="86"/>
  <c r="O147" i="86" s="1"/>
  <c r="I120" i="86"/>
  <c r="O111" i="86"/>
  <c r="I120" i="74"/>
  <c r="I147" i="74"/>
  <c r="P147" i="74" s="1"/>
  <c r="P111" i="74"/>
  <c r="O111" i="74"/>
  <c r="I150" i="74"/>
  <c r="O114" i="74"/>
  <c r="P114" i="74"/>
  <c r="O132" i="78"/>
  <c r="P132" i="105"/>
  <c r="I132" i="85"/>
  <c r="P123" i="85"/>
  <c r="O123" i="85"/>
  <c r="I61" i="81"/>
  <c r="J61" i="81" s="1"/>
  <c r="K61" i="81" s="1"/>
  <c r="L61" i="81" s="1"/>
  <c r="M61" i="81" s="1"/>
  <c r="N61" i="81" s="1"/>
  <c r="I50" i="81"/>
  <c r="H78" i="126"/>
  <c r="H79" i="126" s="1"/>
  <c r="P132" i="101"/>
  <c r="O144" i="106"/>
  <c r="I147" i="91"/>
  <c r="P147" i="91" s="1"/>
  <c r="I120" i="91"/>
  <c r="O111" i="91"/>
  <c r="I154" i="91"/>
  <c r="P118" i="91"/>
  <c r="O118" i="91"/>
  <c r="I152" i="125"/>
  <c r="O116" i="125"/>
  <c r="P116" i="125"/>
  <c r="I155" i="125"/>
  <c r="P119" i="125"/>
  <c r="O119" i="125"/>
  <c r="L76" i="97"/>
  <c r="M156" i="105"/>
  <c r="I155" i="127"/>
  <c r="P119" i="127"/>
  <c r="O119" i="127"/>
  <c r="I152" i="127"/>
  <c r="P116" i="127"/>
  <c r="O116" i="127"/>
  <c r="M77" i="9"/>
  <c r="M78" i="9" s="1"/>
  <c r="M77" i="83"/>
  <c r="M78" i="83" s="1"/>
  <c r="M79" i="83" s="1"/>
  <c r="P76" i="83"/>
  <c r="O76" i="83"/>
  <c r="O144" i="78"/>
  <c r="J61" i="84"/>
  <c r="K61" i="84" s="1"/>
  <c r="L61" i="84" s="1"/>
  <c r="M61" i="84" s="1"/>
  <c r="N61" i="84" s="1"/>
  <c r="I77" i="84"/>
  <c r="L14" i="110"/>
  <c r="L76" i="110" s="1"/>
  <c r="I153" i="83"/>
  <c r="O117" i="83"/>
  <c r="P117" i="83"/>
  <c r="I147" i="83"/>
  <c r="I120" i="83"/>
  <c r="O111" i="83"/>
  <c r="I150" i="124"/>
  <c r="O114" i="124"/>
  <c r="P114" i="124"/>
  <c r="I153" i="124"/>
  <c r="O153" i="124" s="1"/>
  <c r="P117" i="124"/>
  <c r="I152" i="124"/>
  <c r="P116" i="124"/>
  <c r="K16" i="132"/>
  <c r="K14" i="132"/>
  <c r="L57" i="110"/>
  <c r="BJ22" i="133"/>
  <c r="I150" i="99"/>
  <c r="P114" i="99"/>
  <c r="O114" i="99"/>
  <c r="I120" i="99"/>
  <c r="I147" i="99"/>
  <c r="P111" i="99"/>
  <c r="M147" i="89"/>
  <c r="M156" i="89" s="1"/>
  <c r="M120" i="89"/>
  <c r="I155" i="77"/>
  <c r="O119" i="77"/>
  <c r="P119" i="77"/>
  <c r="I154" i="77"/>
  <c r="P118" i="77"/>
  <c r="O118" i="77"/>
  <c r="I154" i="95"/>
  <c r="P118" i="95"/>
  <c r="O118" i="95"/>
  <c r="I152" i="95"/>
  <c r="O116" i="95"/>
  <c r="P116" i="95"/>
  <c r="I152" i="88"/>
  <c r="P116" i="88"/>
  <c r="O116" i="88"/>
  <c r="I155" i="88"/>
  <c r="O119" i="88"/>
  <c r="P119" i="88"/>
  <c r="R54" i="75"/>
  <c r="F32" i="122" s="1"/>
  <c r="I150" i="75"/>
  <c r="P114" i="75"/>
  <c r="O114" i="75"/>
  <c r="I151" i="75"/>
  <c r="O115" i="75"/>
  <c r="P115" i="75"/>
  <c r="M156" i="86"/>
  <c r="J80" i="127"/>
  <c r="J81" i="127" s="1"/>
  <c r="O114" i="9"/>
  <c r="I150" i="105"/>
  <c r="P114" i="105"/>
  <c r="O114" i="105"/>
  <c r="I153" i="105"/>
  <c r="O117" i="105"/>
  <c r="P117" i="105"/>
  <c r="M76" i="107"/>
  <c r="N14" i="107"/>
  <c r="N76" i="107" s="1"/>
  <c r="E13" i="119"/>
  <c r="O144" i="105"/>
  <c r="I115" i="89"/>
  <c r="I118" i="89"/>
  <c r="I119" i="89"/>
  <c r="I117" i="89"/>
  <c r="I113" i="89"/>
  <c r="I111" i="89"/>
  <c r="I116" i="89"/>
  <c r="I114" i="89"/>
  <c r="I112" i="89"/>
  <c r="P53" i="89"/>
  <c r="I77" i="82"/>
  <c r="J61" i="82"/>
  <c r="P132" i="97"/>
  <c r="O76" i="80"/>
  <c r="I149" i="79"/>
  <c r="O113" i="79"/>
  <c r="P113" i="79"/>
  <c r="I151" i="79"/>
  <c r="O115" i="79"/>
  <c r="P115" i="79"/>
  <c r="K20" i="133"/>
  <c r="BB20" i="133" s="1"/>
  <c r="L155" i="98"/>
  <c r="K14" i="133"/>
  <c r="BB14" i="133" s="1"/>
  <c r="L149" i="98"/>
  <c r="H28" i="119"/>
  <c r="R28" i="119" s="1"/>
  <c r="K80" i="88"/>
  <c r="K81" i="88" s="1"/>
  <c r="P132" i="87"/>
  <c r="P124" i="103"/>
  <c r="O124" i="103"/>
  <c r="O13" i="133"/>
  <c r="G83" i="99"/>
  <c r="H83" i="99" s="1"/>
  <c r="I77" i="99" s="1"/>
  <c r="G78" i="99"/>
  <c r="G79" i="99" s="1"/>
  <c r="P144" i="104"/>
  <c r="I153" i="84"/>
  <c r="O117" i="84"/>
  <c r="P117" i="84"/>
  <c r="I150" i="84"/>
  <c r="O114" i="84"/>
  <c r="P114" i="84"/>
  <c r="I154" i="101"/>
  <c r="O118" i="101"/>
  <c r="P118" i="101"/>
  <c r="I149" i="101"/>
  <c r="O113" i="101"/>
  <c r="P113" i="101"/>
  <c r="I77" i="93"/>
  <c r="J61" i="93"/>
  <c r="M156" i="91"/>
  <c r="L83" i="9"/>
  <c r="BB30" i="133"/>
  <c r="J61" i="96"/>
  <c r="K61" i="96" s="1"/>
  <c r="L61" i="96" s="1"/>
  <c r="M61" i="96" s="1"/>
  <c r="I77" i="96"/>
  <c r="J61" i="78"/>
  <c r="I77" i="78"/>
  <c r="P54" i="76"/>
  <c r="I151" i="76"/>
  <c r="O115" i="76"/>
  <c r="P115" i="76"/>
  <c r="I148" i="76"/>
  <c r="P112" i="76"/>
  <c r="O112" i="76"/>
  <c r="R54" i="97"/>
  <c r="F29" i="122" s="1"/>
  <c r="I149" i="126"/>
  <c r="P113" i="126"/>
  <c r="O113" i="126"/>
  <c r="I120" i="126"/>
  <c r="I147" i="126"/>
  <c r="P111" i="126"/>
  <c r="O111" i="126"/>
  <c r="I19" i="133"/>
  <c r="AZ19" i="133" s="1"/>
  <c r="BH19" i="133" s="1"/>
  <c r="P132" i="127"/>
  <c r="I151" i="106"/>
  <c r="P115" i="106"/>
  <c r="O115" i="106"/>
  <c r="I149" i="106"/>
  <c r="O113" i="106"/>
  <c r="I151" i="128"/>
  <c r="O115" i="128"/>
  <c r="P115" i="128"/>
  <c r="I155" i="128"/>
  <c r="P119" i="128"/>
  <c r="O119" i="128"/>
  <c r="F76" i="129"/>
  <c r="O14" i="129"/>
  <c r="R14" i="129" s="1"/>
  <c r="E17" i="122" s="1"/>
  <c r="I77" i="128"/>
  <c r="F78" i="128"/>
  <c r="O76" i="128"/>
  <c r="M77" i="128"/>
  <c r="M78" i="128" s="1"/>
  <c r="M79" i="128" s="1"/>
  <c r="K77" i="128"/>
  <c r="K78" i="128" s="1"/>
  <c r="K79" i="128" s="1"/>
  <c r="H77" i="128"/>
  <c r="H78" i="128" s="1"/>
  <c r="H79" i="128" s="1"/>
  <c r="N77" i="128"/>
  <c r="N78" i="128" s="1"/>
  <c r="N79" i="128" s="1"/>
  <c r="L77" i="128"/>
  <c r="L78" i="128" s="1"/>
  <c r="L79" i="128" s="1"/>
  <c r="J77" i="128"/>
  <c r="J78" i="128" s="1"/>
  <c r="J79" i="128" s="1"/>
  <c r="G77" i="128"/>
  <c r="P54" i="92"/>
  <c r="O144" i="88"/>
  <c r="I77" i="102"/>
  <c r="O16" i="133"/>
  <c r="K80" i="127"/>
  <c r="K81" i="127" s="1"/>
  <c r="I80" i="127"/>
  <c r="I81" i="127" s="1"/>
  <c r="P79" i="127"/>
  <c r="N77" i="94"/>
  <c r="N78" i="94" s="1"/>
  <c r="N79" i="94" s="1"/>
  <c r="I149" i="82"/>
  <c r="O113" i="82"/>
  <c r="P113" i="82"/>
  <c r="I79" i="126"/>
  <c r="P78" i="126"/>
  <c r="I155" i="82"/>
  <c r="P119" i="82"/>
  <c r="O119" i="82"/>
  <c r="R54" i="89"/>
  <c r="F14" i="122" s="1"/>
  <c r="I153" i="82"/>
  <c r="O117" i="82"/>
  <c r="P117" i="82"/>
  <c r="I148" i="82"/>
  <c r="P112" i="82"/>
  <c r="O112" i="82"/>
  <c r="I154" i="82"/>
  <c r="P118" i="82"/>
  <c r="O118" i="82"/>
  <c r="O144" i="97"/>
  <c r="P132" i="124"/>
  <c r="P76" i="77"/>
  <c r="J14" i="132"/>
  <c r="K57" i="110"/>
  <c r="K59" i="110" s="1"/>
  <c r="J16" i="132"/>
  <c r="BI22" i="133"/>
  <c r="BI29" i="133" s="1"/>
  <c r="K120" i="89"/>
  <c r="K147" i="89"/>
  <c r="K156" i="89" s="1"/>
  <c r="M147" i="85"/>
  <c r="M120" i="85"/>
  <c r="P132" i="126"/>
  <c r="I147" i="100"/>
  <c r="I120" i="100"/>
  <c r="O111" i="100"/>
  <c r="P111" i="100"/>
  <c r="I154" i="100"/>
  <c r="P118" i="100"/>
  <c r="O118" i="100"/>
  <c r="I152" i="100"/>
  <c r="P116" i="100"/>
  <c r="O116" i="100"/>
  <c r="I149" i="98"/>
  <c r="P113" i="98"/>
  <c r="I152" i="98"/>
  <c r="O116" i="98"/>
  <c r="P116" i="98"/>
  <c r="J59" i="110"/>
  <c r="I154" i="93"/>
  <c r="P118" i="93"/>
  <c r="O118" i="93"/>
  <c r="I155" i="93"/>
  <c r="O119" i="93"/>
  <c r="P119" i="93"/>
  <c r="K120" i="98"/>
  <c r="J12" i="133"/>
  <c r="K147" i="98"/>
  <c r="J16" i="133"/>
  <c r="BA16" i="133" s="1"/>
  <c r="K151" i="98"/>
  <c r="K150" i="98"/>
  <c r="J15" i="133"/>
  <c r="BA15" i="133" s="1"/>
  <c r="I152" i="80"/>
  <c r="O116" i="80"/>
  <c r="P116" i="80"/>
  <c r="I155" i="80"/>
  <c r="O119" i="80"/>
  <c r="P119" i="80"/>
  <c r="P139" i="89"/>
  <c r="O139" i="89"/>
  <c r="P138" i="89"/>
  <c r="O138" i="89"/>
  <c r="P140" i="89"/>
  <c r="O140" i="89"/>
  <c r="I148" i="96"/>
  <c r="O112" i="96"/>
  <c r="I149" i="96"/>
  <c r="P113" i="96"/>
  <c r="O113" i="96"/>
  <c r="O144" i="125"/>
  <c r="P144" i="101"/>
  <c r="M156" i="124"/>
  <c r="I153" i="78"/>
  <c r="P153" i="78" s="1"/>
  <c r="O117" i="78"/>
  <c r="I147" i="78"/>
  <c r="I120" i="78"/>
  <c r="O111" i="78"/>
  <c r="O132" i="99"/>
  <c r="J61" i="87"/>
  <c r="K61" i="87" s="1"/>
  <c r="L61" i="87" s="1"/>
  <c r="M61" i="87" s="1"/>
  <c r="N61" i="87" s="1"/>
  <c r="I77" i="87"/>
  <c r="I155" i="92"/>
  <c r="P119" i="92"/>
  <c r="O119" i="92"/>
  <c r="I149" i="92"/>
  <c r="P113" i="92"/>
  <c r="O113" i="92"/>
  <c r="BK29" i="133"/>
  <c r="I152" i="129"/>
  <c r="P116" i="129"/>
  <c r="O116" i="129"/>
  <c r="I153" i="129"/>
  <c r="P117" i="129"/>
  <c r="O117" i="129"/>
  <c r="K147" i="103"/>
  <c r="K156" i="103" s="1"/>
  <c r="K120" i="103"/>
  <c r="O144" i="74"/>
  <c r="I147" i="9"/>
  <c r="I120" i="9"/>
  <c r="P111" i="9"/>
  <c r="I151" i="9"/>
  <c r="P115" i="9"/>
  <c r="O115" i="9"/>
  <c r="O132" i="82"/>
  <c r="I154" i="97"/>
  <c r="O118" i="97"/>
  <c r="P118" i="97"/>
  <c r="I150" i="97"/>
  <c r="O114" i="97"/>
  <c r="P114" i="97"/>
  <c r="I147" i="102"/>
  <c r="I120" i="102"/>
  <c r="P111" i="102"/>
  <c r="O111" i="102"/>
  <c r="I150" i="102"/>
  <c r="O114" i="102"/>
  <c r="P114" i="102"/>
  <c r="J71" i="107"/>
  <c r="J72" i="107"/>
  <c r="J70" i="107"/>
  <c r="J67" i="107"/>
  <c r="J65" i="107"/>
  <c r="J69" i="107"/>
  <c r="J68" i="107"/>
  <c r="J66" i="107"/>
  <c r="J73" i="107"/>
  <c r="J64" i="107"/>
  <c r="P132" i="81"/>
  <c r="M76" i="92"/>
  <c r="P14" i="92"/>
  <c r="O14" i="92"/>
  <c r="R14" i="92" s="1"/>
  <c r="E24" i="122" s="1"/>
  <c r="J120" i="128"/>
  <c r="J147" i="128"/>
  <c r="J156" i="128" s="1"/>
  <c r="P144" i="9"/>
  <c r="O114" i="98"/>
  <c r="M150" i="98"/>
  <c r="L15" i="133"/>
  <c r="BC15" i="133" s="1"/>
  <c r="M154" i="98"/>
  <c r="L19" i="133"/>
  <c r="BC19" i="133" s="1"/>
  <c r="O113" i="98"/>
  <c r="M149" i="98"/>
  <c r="L14" i="133"/>
  <c r="BC14" i="133" s="1"/>
  <c r="L147" i="128"/>
  <c r="L156" i="128" s="1"/>
  <c r="L120" i="128"/>
  <c r="I151" i="90"/>
  <c r="O115" i="90"/>
  <c r="P115" i="90"/>
  <c r="I149" i="90"/>
  <c r="P113" i="90"/>
  <c r="O113" i="90"/>
  <c r="O14" i="9"/>
  <c r="R14" i="9" s="1"/>
  <c r="E30" i="122" s="1"/>
  <c r="O76" i="85"/>
  <c r="V12" i="133"/>
  <c r="P144" i="79"/>
  <c r="F79" i="98"/>
  <c r="J77" i="83"/>
  <c r="K61" i="83"/>
  <c r="L61" i="83" s="1"/>
  <c r="M61" i="83" s="1"/>
  <c r="N61" i="83" s="1"/>
  <c r="I78" i="81"/>
  <c r="I83" i="81"/>
  <c r="J83" i="81" s="1"/>
  <c r="K83" i="81" s="1"/>
  <c r="I149" i="94"/>
  <c r="O113" i="94"/>
  <c r="I152" i="94"/>
  <c r="O116" i="94"/>
  <c r="P116" i="94"/>
  <c r="O144" i="96"/>
  <c r="J61" i="99"/>
  <c r="K61" i="99" s="1"/>
  <c r="L61" i="99" s="1"/>
  <c r="M61" i="99" s="1"/>
  <c r="N61" i="99" s="1"/>
  <c r="I155" i="104"/>
  <c r="O119" i="104"/>
  <c r="P119" i="104"/>
  <c r="I154" i="104"/>
  <c r="O118" i="104"/>
  <c r="P118" i="104"/>
  <c r="O144" i="123"/>
  <c r="M156" i="74"/>
  <c r="O125" i="89"/>
  <c r="P125" i="89"/>
  <c r="O130" i="89"/>
  <c r="P130" i="89"/>
  <c r="P123" i="89"/>
  <c r="I132" i="89"/>
  <c r="O123" i="89"/>
  <c r="I147" i="87"/>
  <c r="I120" i="87"/>
  <c r="P111" i="87"/>
  <c r="I153" i="87"/>
  <c r="O117" i="87"/>
  <c r="I154" i="87"/>
  <c r="O118" i="87"/>
  <c r="I154" i="123"/>
  <c r="P118" i="123"/>
  <c r="O118" i="123"/>
  <c r="I155" i="123"/>
  <c r="P119" i="123"/>
  <c r="O119" i="123"/>
  <c r="O144" i="82"/>
  <c r="N14" i="82"/>
  <c r="N76" i="82" s="1"/>
  <c r="M76" i="82"/>
  <c r="I59" i="108"/>
  <c r="I60" i="108"/>
  <c r="J60" i="108" s="1"/>
  <c r="K60" i="108" s="1"/>
  <c r="L60" i="108" s="1"/>
  <c r="M60" i="108" s="1"/>
  <c r="N60" i="108" s="1"/>
  <c r="O57" i="108"/>
  <c r="O59" i="108" s="1"/>
  <c r="P57" i="108"/>
  <c r="I154" i="86"/>
  <c r="P118" i="86"/>
  <c r="O118" i="86"/>
  <c r="I151" i="86"/>
  <c r="O151" i="86" s="1"/>
  <c r="O115" i="86"/>
  <c r="P54" i="107"/>
  <c r="I152" i="74"/>
  <c r="P116" i="74"/>
  <c r="O116" i="74"/>
  <c r="I155" i="74"/>
  <c r="P119" i="74"/>
  <c r="O119" i="74"/>
  <c r="P132" i="78"/>
  <c r="O132" i="105"/>
  <c r="I111" i="85"/>
  <c r="I114" i="85"/>
  <c r="I115" i="85"/>
  <c r="I117" i="85"/>
  <c r="I112" i="85"/>
  <c r="I118" i="85"/>
  <c r="I116" i="85"/>
  <c r="I113" i="85"/>
  <c r="O113" i="85" s="1"/>
  <c r="I119" i="85"/>
  <c r="O53" i="85"/>
  <c r="O54" i="85" s="1"/>
  <c r="P53" i="85"/>
  <c r="O127" i="85"/>
  <c r="P127" i="85"/>
  <c r="G83" i="126"/>
  <c r="H83" i="126" s="1"/>
  <c r="I83" i="126" s="1"/>
  <c r="J83" i="126" s="1"/>
  <c r="K83" i="126" s="1"/>
  <c r="L83" i="126" s="1"/>
  <c r="M83" i="126" s="1"/>
  <c r="N83" i="126" s="1"/>
  <c r="O77" i="126"/>
  <c r="G78" i="126"/>
  <c r="G79" i="126" s="1"/>
  <c r="F79" i="126"/>
  <c r="O76" i="79"/>
  <c r="M156" i="99"/>
  <c r="J156" i="85"/>
  <c r="P144" i="106"/>
  <c r="I152" i="91"/>
  <c r="P116" i="91"/>
  <c r="O116" i="91"/>
  <c r="I149" i="91"/>
  <c r="P113" i="91"/>
  <c r="O113" i="91"/>
  <c r="I149" i="125"/>
  <c r="O113" i="125"/>
  <c r="P113" i="125"/>
  <c r="I148" i="125"/>
  <c r="O112" i="125"/>
  <c r="P112" i="125"/>
  <c r="BJ29" i="133"/>
  <c r="N77" i="86"/>
  <c r="N78" i="86" s="1"/>
  <c r="N79" i="86" s="1"/>
  <c r="I149" i="127"/>
  <c r="O113" i="127"/>
  <c r="P113" i="127"/>
  <c r="I148" i="127"/>
  <c r="P112" i="127"/>
  <c r="O112" i="127"/>
  <c r="M156" i="104"/>
  <c r="P76" i="88"/>
  <c r="O14" i="83"/>
  <c r="R14" i="83" s="1"/>
  <c r="E40" i="122" s="1"/>
  <c r="O132" i="129"/>
  <c r="P144" i="78"/>
  <c r="P49" i="103"/>
  <c r="P50" i="103" s="1"/>
  <c r="P54" i="126"/>
  <c r="I148" i="83"/>
  <c r="O112" i="83"/>
  <c r="P112" i="83"/>
  <c r="I150" i="83"/>
  <c r="O114" i="83"/>
  <c r="P114" i="83"/>
  <c r="I149" i="83"/>
  <c r="O113" i="83"/>
  <c r="P113" i="83"/>
  <c r="I148" i="124"/>
  <c r="P112" i="124"/>
  <c r="O112" i="124"/>
  <c r="I149" i="124"/>
  <c r="O113" i="124"/>
  <c r="P113" i="124"/>
  <c r="O144" i="129"/>
  <c r="I155" i="99"/>
  <c r="O119" i="99"/>
  <c r="P119" i="99"/>
  <c r="I153" i="99"/>
  <c r="P117" i="99"/>
  <c r="O117" i="99"/>
  <c r="P112" i="96"/>
  <c r="P54" i="99"/>
  <c r="O132" i="94"/>
  <c r="P54" i="77"/>
  <c r="I150" i="77"/>
  <c r="O114" i="77"/>
  <c r="P114" i="77"/>
  <c r="I152" i="77"/>
  <c r="P116" i="77"/>
  <c r="O116" i="77"/>
  <c r="I151" i="95"/>
  <c r="O115" i="95"/>
  <c r="P115" i="95"/>
  <c r="I147" i="95"/>
  <c r="I120" i="95"/>
  <c r="P111" i="95"/>
  <c r="I155" i="95"/>
  <c r="P119" i="95"/>
  <c r="O119" i="95"/>
  <c r="I149" i="88"/>
  <c r="P113" i="88"/>
  <c r="O113" i="88"/>
  <c r="I150" i="88"/>
  <c r="O114" i="88"/>
  <c r="P114" i="88"/>
  <c r="G83" i="124"/>
  <c r="H77" i="124" s="1"/>
  <c r="O77" i="124" s="1"/>
  <c r="G78" i="124"/>
  <c r="G79" i="124" s="1"/>
  <c r="F79" i="124"/>
  <c r="S27" i="133"/>
  <c r="I155" i="75"/>
  <c r="O119" i="75"/>
  <c r="P119" i="75"/>
  <c r="I147" i="75"/>
  <c r="I120" i="75"/>
  <c r="O111" i="75"/>
  <c r="P111" i="75"/>
  <c r="I149" i="75"/>
  <c r="P113" i="75"/>
  <c r="O113" i="75"/>
  <c r="P111" i="86"/>
  <c r="O115" i="77"/>
  <c r="M14" i="93"/>
  <c r="M76" i="93" s="1"/>
  <c r="O144" i="124"/>
  <c r="I147" i="105"/>
  <c r="I120" i="105"/>
  <c r="O111" i="105"/>
  <c r="P111" i="105"/>
  <c r="I154" i="105"/>
  <c r="P154" i="105" s="1"/>
  <c r="P118" i="105"/>
  <c r="O132" i="92"/>
  <c r="K147" i="129"/>
  <c r="K156" i="129" s="1"/>
  <c r="K120" i="129"/>
  <c r="M156" i="106"/>
  <c r="O144" i="100"/>
  <c r="O26" i="119"/>
  <c r="J26" i="119"/>
  <c r="E29" i="119"/>
  <c r="E31" i="119" s="1"/>
  <c r="P54" i="88"/>
  <c r="P144" i="105"/>
  <c r="I50" i="89"/>
  <c r="I61" i="89"/>
  <c r="P54" i="83"/>
  <c r="P54" i="79"/>
  <c r="I155" i="79"/>
  <c r="O119" i="79"/>
  <c r="P119" i="79"/>
  <c r="I150" i="79"/>
  <c r="P114" i="79"/>
  <c r="O114" i="79"/>
  <c r="L148" i="98"/>
  <c r="K13" i="133"/>
  <c r="BB13" i="133" s="1"/>
  <c r="L154" i="98"/>
  <c r="K19" i="133"/>
  <c r="BB19" i="133" s="1"/>
  <c r="M59" i="107"/>
  <c r="R26" i="133"/>
  <c r="R27" i="133" s="1"/>
  <c r="I132" i="103"/>
  <c r="O123" i="103"/>
  <c r="P123" i="103"/>
  <c r="O126" i="103"/>
  <c r="P126" i="103"/>
  <c r="H78" i="99"/>
  <c r="H79" i="99" s="1"/>
  <c r="F79" i="99"/>
  <c r="M156" i="78"/>
  <c r="I155" i="84"/>
  <c r="O119" i="84"/>
  <c r="P119" i="84"/>
  <c r="I149" i="84"/>
  <c r="P113" i="84"/>
  <c r="O113" i="84"/>
  <c r="I147" i="101"/>
  <c r="I120" i="101"/>
  <c r="P111" i="101"/>
  <c r="O111" i="101"/>
  <c r="I153" i="101"/>
  <c r="P117" i="101"/>
  <c r="O117" i="101"/>
  <c r="P111" i="91"/>
  <c r="I77" i="80"/>
  <c r="J61" i="80"/>
  <c r="O144" i="84"/>
  <c r="P26" i="119"/>
  <c r="F29" i="119"/>
  <c r="F31" i="119" s="1"/>
  <c r="J80" i="2" s="1"/>
  <c r="J134" i="2" s="1"/>
  <c r="J135" i="2" s="1"/>
  <c r="J137" i="2" s="1"/>
  <c r="J138" i="2" s="1"/>
  <c r="P117" i="87"/>
  <c r="I152" i="76"/>
  <c r="O116" i="76"/>
  <c r="P116" i="76"/>
  <c r="I150" i="76"/>
  <c r="O114" i="76"/>
  <c r="P114" i="76"/>
  <c r="I155" i="76"/>
  <c r="O119" i="76"/>
  <c r="P119" i="76"/>
  <c r="P130" i="85"/>
  <c r="P54" i="121"/>
  <c r="I151" i="126"/>
  <c r="O115" i="126"/>
  <c r="P115" i="126"/>
  <c r="I155" i="126"/>
  <c r="O119" i="126"/>
  <c r="P119" i="126"/>
  <c r="O132" i="127"/>
  <c r="I77" i="92"/>
  <c r="J61" i="92"/>
  <c r="I154" i="106"/>
  <c r="O118" i="106"/>
  <c r="P118" i="106"/>
  <c r="I148" i="106"/>
  <c r="O112" i="106"/>
  <c r="P112" i="106"/>
  <c r="I147" i="128"/>
  <c r="I120" i="128"/>
  <c r="O111" i="128"/>
  <c r="P111" i="128"/>
  <c r="I149" i="128"/>
  <c r="O113" i="128"/>
  <c r="P113" i="128"/>
  <c r="P113" i="94"/>
  <c r="P115" i="86"/>
  <c r="P144" i="88"/>
  <c r="M14" i="95"/>
  <c r="P76" i="107"/>
  <c r="R30" i="133"/>
  <c r="E21" i="119"/>
  <c r="O27" i="119"/>
  <c r="T27" i="119" s="1"/>
  <c r="J27" i="119"/>
  <c r="I147" i="82"/>
  <c r="O147" i="82" s="1"/>
  <c r="I120" i="82"/>
  <c r="P111" i="82"/>
  <c r="I150" i="82"/>
  <c r="P114" i="82"/>
  <c r="O114" i="82"/>
  <c r="K76" i="110"/>
  <c r="I152" i="82"/>
  <c r="O116" i="82"/>
  <c r="P116" i="82"/>
  <c r="I151" i="82"/>
  <c r="O115" i="82"/>
  <c r="P115" i="82"/>
  <c r="P144" i="97"/>
  <c r="O132" i="124"/>
  <c r="F78" i="89"/>
  <c r="O76" i="89"/>
  <c r="G77" i="89"/>
  <c r="H77" i="89"/>
  <c r="N77" i="89"/>
  <c r="N78" i="89" s="1"/>
  <c r="N79" i="89" s="1"/>
  <c r="L147" i="106"/>
  <c r="L156" i="106" s="1"/>
  <c r="L120" i="106"/>
  <c r="Q26" i="119"/>
  <c r="G29" i="119"/>
  <c r="G31" i="119" s="1"/>
  <c r="K80" i="2" s="1"/>
  <c r="K134" i="2" s="1"/>
  <c r="K135" i="2" s="1"/>
  <c r="K137" i="2" s="1"/>
  <c r="K138" i="2" s="1"/>
  <c r="O144" i="80"/>
  <c r="I77" i="90"/>
  <c r="J61" i="90"/>
  <c r="L73" i="108"/>
  <c r="L64" i="108"/>
  <c r="L68" i="108"/>
  <c r="L66" i="108"/>
  <c r="L70" i="108"/>
  <c r="L65" i="108"/>
  <c r="L72" i="108"/>
  <c r="L67" i="108"/>
  <c r="L71" i="108"/>
  <c r="H19" i="14" s="1"/>
  <c r="S19" i="14" s="1"/>
  <c r="L69" i="108"/>
  <c r="I114" i="103"/>
  <c r="I119" i="103"/>
  <c r="I118" i="103"/>
  <c r="I117" i="103"/>
  <c r="I112" i="103"/>
  <c r="I115" i="103"/>
  <c r="I113" i="103"/>
  <c r="I111" i="103"/>
  <c r="I116" i="103"/>
  <c r="O53" i="103"/>
  <c r="O54" i="103" s="1"/>
  <c r="R54" i="103" s="1"/>
  <c r="F10" i="122" s="1"/>
  <c r="P53" i="103"/>
  <c r="O132" i="126"/>
  <c r="I149" i="100"/>
  <c r="O113" i="100"/>
  <c r="P113" i="100"/>
  <c r="I148" i="100"/>
  <c r="O112" i="100"/>
  <c r="P112" i="100"/>
  <c r="I151" i="98"/>
  <c r="O115" i="98"/>
  <c r="P115" i="98"/>
  <c r="I154" i="98"/>
  <c r="O118" i="98"/>
  <c r="P118" i="98"/>
  <c r="I148" i="98"/>
  <c r="P112" i="98"/>
  <c r="O112" i="98"/>
  <c r="J61" i="107"/>
  <c r="K61" i="107" s="1"/>
  <c r="I77" i="107"/>
  <c r="I152" i="93"/>
  <c r="P116" i="93"/>
  <c r="O116" i="93"/>
  <c r="I147" i="93"/>
  <c r="I120" i="93"/>
  <c r="P111" i="93"/>
  <c r="O111" i="93"/>
  <c r="I151" i="93"/>
  <c r="P115" i="93"/>
  <c r="O115" i="93"/>
  <c r="K152" i="98"/>
  <c r="J17" i="133"/>
  <c r="BA17" i="133" s="1"/>
  <c r="K154" i="98"/>
  <c r="J19" i="133"/>
  <c r="BA19" i="133" s="1"/>
  <c r="P76" i="74"/>
  <c r="P54" i="80"/>
  <c r="I153" i="80"/>
  <c r="O117" i="80"/>
  <c r="P117" i="80"/>
  <c r="I154" i="80"/>
  <c r="P118" i="80"/>
  <c r="O118" i="80"/>
  <c r="G83" i="100"/>
  <c r="H77" i="100" s="1"/>
  <c r="G78" i="100"/>
  <c r="G79" i="100" s="1"/>
  <c r="R54" i="78"/>
  <c r="F35" i="122" s="1"/>
  <c r="P143" i="89"/>
  <c r="O143" i="89"/>
  <c r="P136" i="89"/>
  <c r="O136" i="89"/>
  <c r="O144" i="76"/>
  <c r="I154" i="96"/>
  <c r="O118" i="96"/>
  <c r="P118" i="96"/>
  <c r="I153" i="96"/>
  <c r="O117" i="96"/>
  <c r="P117" i="96"/>
  <c r="P144" i="90"/>
  <c r="I154" i="78"/>
  <c r="P154" i="78" s="1"/>
  <c r="P118" i="78"/>
  <c r="I149" i="78"/>
  <c r="P113" i="78"/>
  <c r="O113" i="78"/>
  <c r="P132" i="99"/>
  <c r="I152" i="92"/>
  <c r="P116" i="92"/>
  <c r="I151" i="92"/>
  <c r="P115" i="92"/>
  <c r="O115" i="92"/>
  <c r="M80" i="127"/>
  <c r="M81" i="127" s="1"/>
  <c r="I150" i="129"/>
  <c r="O114" i="129"/>
  <c r="P114" i="129"/>
  <c r="I151" i="129"/>
  <c r="O115" i="129"/>
  <c r="P115" i="129"/>
  <c r="I120" i="129"/>
  <c r="I147" i="129"/>
  <c r="P111" i="129"/>
  <c r="O111" i="129"/>
  <c r="N14" i="78"/>
  <c r="P144" i="74"/>
  <c r="I153" i="9"/>
  <c r="O117" i="9"/>
  <c r="P117" i="9"/>
  <c r="I155" i="9"/>
  <c r="O119" i="9"/>
  <c r="P119" i="9"/>
  <c r="P54" i="82"/>
  <c r="P132" i="82"/>
  <c r="I153" i="97"/>
  <c r="P117" i="97"/>
  <c r="O117" i="97"/>
  <c r="I155" i="97"/>
  <c r="P119" i="97"/>
  <c r="O119" i="97"/>
  <c r="I154" i="102"/>
  <c r="O118" i="102"/>
  <c r="I152" i="102"/>
  <c r="P116" i="102"/>
  <c r="O116" i="102"/>
  <c r="O77" i="125"/>
  <c r="G83" i="125"/>
  <c r="H83" i="125" s="1"/>
  <c r="I83" i="125" s="1"/>
  <c r="J83" i="125" s="1"/>
  <c r="K83" i="125" s="1"/>
  <c r="L83" i="125" s="1"/>
  <c r="M83" i="125" s="1"/>
  <c r="N83" i="125" s="1"/>
  <c r="G78" i="125"/>
  <c r="G79" i="125" s="1"/>
  <c r="O144" i="9"/>
  <c r="P144" i="87"/>
  <c r="O132" i="83"/>
  <c r="O119" i="98"/>
  <c r="L20" i="133"/>
  <c r="BC20" i="133" s="1"/>
  <c r="M155" i="98"/>
  <c r="I28" i="119"/>
  <c r="I13" i="119"/>
  <c r="M148" i="98"/>
  <c r="L13" i="133"/>
  <c r="BC13" i="133" s="1"/>
  <c r="O132" i="123"/>
  <c r="O132" i="76"/>
  <c r="I153" i="90"/>
  <c r="O117" i="90"/>
  <c r="P117" i="90"/>
  <c r="I152" i="90"/>
  <c r="P116" i="90"/>
  <c r="O116" i="90"/>
  <c r="P144" i="77"/>
  <c r="K59" i="109"/>
  <c r="O144" i="79"/>
  <c r="O118" i="78"/>
  <c r="J153" i="102"/>
  <c r="I18" i="133"/>
  <c r="AZ18" i="133" s="1"/>
  <c r="G83" i="98"/>
  <c r="H83" i="98" s="1"/>
  <c r="I77" i="98" s="1"/>
  <c r="G78" i="98"/>
  <c r="G79" i="98" s="1"/>
  <c r="H78" i="98"/>
  <c r="H79" i="98" s="1"/>
  <c r="P54" i="94"/>
  <c r="I120" i="94"/>
  <c r="I147" i="94"/>
  <c r="O111" i="94"/>
  <c r="I153" i="94"/>
  <c r="O117" i="94"/>
  <c r="P117" i="94"/>
  <c r="I152" i="104"/>
  <c r="P116" i="104"/>
  <c r="O116" i="104"/>
  <c r="I150" i="104"/>
  <c r="O114" i="104"/>
  <c r="P114" i="104"/>
  <c r="O111" i="96"/>
  <c r="P111" i="97"/>
  <c r="I14" i="133"/>
  <c r="AZ14" i="133" s="1"/>
  <c r="BH14" i="133" s="1"/>
  <c r="P127" i="89"/>
  <c r="O127" i="89"/>
  <c r="P131" i="89"/>
  <c r="O131" i="89"/>
  <c r="I151" i="87"/>
  <c r="O115" i="87"/>
  <c r="P115" i="87"/>
  <c r="I149" i="87"/>
  <c r="O113" i="87"/>
  <c r="P113" i="87"/>
  <c r="K59" i="107"/>
  <c r="I77" i="75"/>
  <c r="J61" i="75"/>
  <c r="I150" i="123"/>
  <c r="P114" i="123"/>
  <c r="O114" i="123"/>
  <c r="I153" i="123"/>
  <c r="O117" i="123"/>
  <c r="P117" i="123"/>
  <c r="P144" i="82"/>
  <c r="P54" i="86"/>
  <c r="I148" i="86"/>
  <c r="P112" i="86"/>
  <c r="O112" i="86"/>
  <c r="I149" i="86"/>
  <c r="P113" i="86"/>
  <c r="O113" i="86"/>
  <c r="I154" i="74"/>
  <c r="O118" i="74"/>
  <c r="P118" i="74"/>
  <c r="I151" i="74"/>
  <c r="O115" i="74"/>
  <c r="P115" i="74"/>
  <c r="I153" i="74"/>
  <c r="O117" i="74"/>
  <c r="P117" i="74"/>
  <c r="J61" i="109"/>
  <c r="I77" i="109"/>
  <c r="P144" i="103"/>
  <c r="I50" i="85"/>
  <c r="I61" i="85"/>
  <c r="P126" i="85"/>
  <c r="O126" i="85"/>
  <c r="O129" i="85"/>
  <c r="P129" i="85"/>
  <c r="P128" i="85"/>
  <c r="O128" i="85"/>
  <c r="M156" i="95"/>
  <c r="V20" i="133"/>
  <c r="O144" i="126"/>
  <c r="J147" i="103"/>
  <c r="J156" i="103" s="1"/>
  <c r="J120" i="103"/>
  <c r="O132" i="101"/>
  <c r="O78" i="127"/>
  <c r="I153" i="91"/>
  <c r="O117" i="91"/>
  <c r="P117" i="91"/>
  <c r="I150" i="91"/>
  <c r="O150" i="91" s="1"/>
  <c r="O114" i="91"/>
  <c r="I148" i="91"/>
  <c r="P112" i="91"/>
  <c r="O112" i="91"/>
  <c r="I120" i="125"/>
  <c r="I147" i="125"/>
  <c r="O111" i="125"/>
  <c r="I150" i="125"/>
  <c r="O114" i="125"/>
  <c r="P114" i="125"/>
  <c r="I153" i="125"/>
  <c r="P117" i="125"/>
  <c r="O117" i="125"/>
  <c r="M156" i="92"/>
  <c r="P132" i="90"/>
  <c r="L89" i="2"/>
  <c r="L97" i="2" s="1"/>
  <c r="L56" i="109" s="1"/>
  <c r="L57" i="109" s="1"/>
  <c r="L86" i="2"/>
  <c r="H22" i="133"/>
  <c r="AY22" i="133" s="1"/>
  <c r="P53" i="110"/>
  <c r="O53" i="110"/>
  <c r="O54" i="110" s="1"/>
  <c r="R54" i="110" s="1"/>
  <c r="F50" i="122" s="1"/>
  <c r="I153" i="127"/>
  <c r="P117" i="127"/>
  <c r="O117" i="127"/>
  <c r="I120" i="127"/>
  <c r="I147" i="127"/>
  <c r="P111" i="127"/>
  <c r="O111" i="127"/>
  <c r="I151" i="127"/>
  <c r="O115" i="127"/>
  <c r="P115" i="127"/>
  <c r="P14" i="88"/>
  <c r="P14" i="85"/>
  <c r="O153" i="78"/>
  <c r="I77" i="108"/>
  <c r="J61" i="108"/>
  <c r="J61" i="101"/>
  <c r="K61" i="101" s="1"/>
  <c r="L61" i="101" s="1"/>
  <c r="M61" i="101" s="1"/>
  <c r="N61" i="101" s="1"/>
  <c r="I155" i="83"/>
  <c r="P119" i="83"/>
  <c r="O119" i="83"/>
  <c r="I151" i="83"/>
  <c r="P115" i="83"/>
  <c r="O115" i="83"/>
  <c r="I155" i="124"/>
  <c r="O155" i="124" s="1"/>
  <c r="P119" i="124"/>
  <c r="I154" i="124"/>
  <c r="O118" i="124"/>
  <c r="P118" i="124"/>
  <c r="P14" i="81"/>
  <c r="O132" i="75"/>
  <c r="P144" i="129"/>
  <c r="I148" i="99"/>
  <c r="O112" i="99"/>
  <c r="P112" i="99"/>
  <c r="I154" i="99"/>
  <c r="P118" i="99"/>
  <c r="O118" i="99"/>
  <c r="I77" i="76"/>
  <c r="J61" i="76"/>
  <c r="K61" i="76" s="1"/>
  <c r="L61" i="76" s="1"/>
  <c r="M61" i="76" s="1"/>
  <c r="N61" i="76" s="1"/>
  <c r="P132" i="94"/>
  <c r="I147" i="77"/>
  <c r="I120" i="77"/>
  <c r="O111" i="77"/>
  <c r="I148" i="77"/>
  <c r="P112" i="77"/>
  <c r="O112" i="77"/>
  <c r="I149" i="95"/>
  <c r="O113" i="95"/>
  <c r="P113" i="95"/>
  <c r="I148" i="95"/>
  <c r="P112" i="95"/>
  <c r="O112" i="95"/>
  <c r="K78" i="81"/>
  <c r="K79" i="81" s="1"/>
  <c r="I147" i="88"/>
  <c r="I120" i="88"/>
  <c r="P111" i="88"/>
  <c r="O111" i="88"/>
  <c r="I151" i="88"/>
  <c r="O115" i="88"/>
  <c r="P115" i="88"/>
  <c r="P118" i="94"/>
  <c r="I153" i="75"/>
  <c r="O117" i="75"/>
  <c r="P117" i="75"/>
  <c r="I152" i="75"/>
  <c r="O116" i="75"/>
  <c r="P116" i="75"/>
  <c r="M14" i="97"/>
  <c r="N14" i="97" s="1"/>
  <c r="P144" i="124"/>
  <c r="M156" i="9"/>
  <c r="I149" i="105"/>
  <c r="P113" i="105"/>
  <c r="O113" i="105"/>
  <c r="I155" i="105"/>
  <c r="P119" i="105"/>
  <c r="O119" i="105"/>
  <c r="I151" i="105"/>
  <c r="O115" i="105"/>
  <c r="P115" i="105"/>
  <c r="P132" i="92"/>
  <c r="I54" i="110"/>
  <c r="P14" i="107"/>
  <c r="P54" i="105"/>
  <c r="P144" i="100"/>
  <c r="P54" i="98"/>
  <c r="O14" i="93"/>
  <c r="R14" i="93" s="1"/>
  <c r="E25" i="122" s="1"/>
  <c r="P144" i="81"/>
  <c r="Q20" i="119"/>
  <c r="G21" i="119"/>
  <c r="M156" i="83"/>
  <c r="O76" i="77"/>
  <c r="I152" i="79"/>
  <c r="P116" i="79"/>
  <c r="O116" i="79"/>
  <c r="I153" i="79"/>
  <c r="O117" i="79"/>
  <c r="P117" i="79"/>
  <c r="L152" i="98"/>
  <c r="K17" i="133"/>
  <c r="BB17" i="133" s="1"/>
  <c r="K12" i="133"/>
  <c r="L120" i="98"/>
  <c r="L147" i="98"/>
  <c r="L77" i="88"/>
  <c r="O49" i="85"/>
  <c r="O50" i="85" s="1"/>
  <c r="R54" i="85" s="1"/>
  <c r="F42" i="122" s="1"/>
  <c r="O132" i="87"/>
  <c r="P54" i="104"/>
  <c r="I54" i="103"/>
  <c r="O125" i="103"/>
  <c r="P125" i="103"/>
  <c r="O14" i="133"/>
  <c r="O131" i="103"/>
  <c r="P131" i="103"/>
  <c r="P132" i="102"/>
  <c r="P111" i="78"/>
  <c r="O144" i="104"/>
  <c r="P54" i="84"/>
  <c r="I154" i="84"/>
  <c r="P118" i="84"/>
  <c r="O118" i="84"/>
  <c r="I151" i="84"/>
  <c r="O115" i="84"/>
  <c r="P115" i="84"/>
  <c r="I150" i="101"/>
  <c r="P114" i="101"/>
  <c r="O114" i="101"/>
  <c r="I152" i="101"/>
  <c r="P116" i="101"/>
  <c r="O116" i="101"/>
  <c r="I151" i="101"/>
  <c r="P115" i="101"/>
  <c r="O115" i="101"/>
  <c r="K80" i="9"/>
  <c r="K81" i="9" s="1"/>
  <c r="L76" i="108"/>
  <c r="O14" i="108"/>
  <c r="R14" i="108" s="1"/>
  <c r="E48" i="122" s="1"/>
  <c r="P77" i="9"/>
  <c r="L76" i="76"/>
  <c r="M14" i="76"/>
  <c r="H80" i="127"/>
  <c r="H81" i="127" s="1"/>
  <c r="I154" i="76"/>
  <c r="P118" i="76"/>
  <c r="O118" i="76"/>
  <c r="I120" i="76"/>
  <c r="I147" i="76"/>
  <c r="P111" i="76"/>
  <c r="O111" i="76"/>
  <c r="I153" i="126"/>
  <c r="O117" i="126"/>
  <c r="P117" i="126"/>
  <c r="I154" i="126"/>
  <c r="O118" i="126"/>
  <c r="P118" i="126"/>
  <c r="I152" i="126"/>
  <c r="P116" i="126"/>
  <c r="O116" i="126"/>
  <c r="I152" i="106"/>
  <c r="O116" i="106"/>
  <c r="P116" i="106"/>
  <c r="I153" i="106"/>
  <c r="P117" i="106"/>
  <c r="O117" i="106"/>
  <c r="I150" i="106"/>
  <c r="P114" i="106"/>
  <c r="O114" i="106"/>
  <c r="I148" i="128"/>
  <c r="P112" i="128"/>
  <c r="I154" i="128"/>
  <c r="P118" i="128"/>
  <c r="O118" i="128"/>
  <c r="I153" i="128"/>
  <c r="O117" i="128"/>
  <c r="P117" i="128"/>
  <c r="L156" i="82"/>
  <c r="I59" i="107"/>
  <c r="I60" i="107"/>
  <c r="J60" i="107" s="1"/>
  <c r="K60" i="107" s="1"/>
  <c r="L60" i="107" s="1"/>
  <c r="M60" i="107" s="1"/>
  <c r="N60" i="107" s="1"/>
  <c r="P57" i="107"/>
  <c r="O57" i="107"/>
  <c r="O59" i="107" s="1"/>
  <c r="I77" i="97"/>
  <c r="J61" i="97"/>
  <c r="N77" i="74"/>
  <c r="N78" i="74" s="1"/>
  <c r="N79" i="74" s="1"/>
  <c r="N77" i="79"/>
  <c r="N78" i="79" s="1"/>
  <c r="N79" i="79" s="1"/>
  <c r="I12" i="133"/>
  <c r="M14" i="110" l="1"/>
  <c r="H16" i="133"/>
  <c r="AY16" i="133" s="1"/>
  <c r="M80" i="126"/>
  <c r="M81" i="126" s="1"/>
  <c r="P120" i="76"/>
  <c r="P150" i="126"/>
  <c r="P153" i="124"/>
  <c r="BK16" i="133"/>
  <c r="N77" i="84"/>
  <c r="N78" i="84" s="1"/>
  <c r="N79" i="84" s="1"/>
  <c r="J80" i="125"/>
  <c r="J81" i="125" s="1"/>
  <c r="H17" i="133"/>
  <c r="AY17" i="133" s="1"/>
  <c r="H13" i="133"/>
  <c r="AY13" i="133" s="1"/>
  <c r="O152" i="99"/>
  <c r="M156" i="85"/>
  <c r="R29" i="119"/>
  <c r="I8" i="131" s="1"/>
  <c r="J13" i="119"/>
  <c r="O14" i="107"/>
  <c r="R14" i="107" s="1"/>
  <c r="E47" i="122" s="1"/>
  <c r="O120" i="95"/>
  <c r="O78" i="126"/>
  <c r="M76" i="87"/>
  <c r="P14" i="87"/>
  <c r="N14" i="87"/>
  <c r="L80" i="126"/>
  <c r="L81" i="126" s="1"/>
  <c r="H19" i="133"/>
  <c r="AY19" i="133" s="1"/>
  <c r="P120" i="77"/>
  <c r="N80" i="126"/>
  <c r="N81" i="126" s="1"/>
  <c r="O120" i="76"/>
  <c r="BK14" i="133"/>
  <c r="BI15" i="133"/>
  <c r="BI20" i="133"/>
  <c r="O120" i="88"/>
  <c r="P120" i="97"/>
  <c r="O120" i="129"/>
  <c r="P54" i="85"/>
  <c r="M83" i="9"/>
  <c r="N83" i="9" s="1"/>
  <c r="M76" i="96"/>
  <c r="N14" i="96"/>
  <c r="N76" i="96" s="1"/>
  <c r="O120" i="93"/>
  <c r="P14" i="96"/>
  <c r="P76" i="96"/>
  <c r="P120" i="78"/>
  <c r="P14" i="93"/>
  <c r="P120" i="83"/>
  <c r="P120" i="125"/>
  <c r="O120" i="99"/>
  <c r="BK13" i="133"/>
  <c r="P120" i="84"/>
  <c r="BK19" i="133"/>
  <c r="O26" i="133"/>
  <c r="O27" i="133" s="1"/>
  <c r="BJ20" i="133"/>
  <c r="P54" i="89"/>
  <c r="K80" i="125"/>
  <c r="K81" i="125" s="1"/>
  <c r="BJ18" i="133"/>
  <c r="BJ16" i="133"/>
  <c r="O120" i="127"/>
  <c r="O120" i="125"/>
  <c r="BJ19" i="133"/>
  <c r="O120" i="87"/>
  <c r="O120" i="9"/>
  <c r="P120" i="93"/>
  <c r="P120" i="94"/>
  <c r="O120" i="124"/>
  <c r="O14" i="82"/>
  <c r="R14" i="82" s="1"/>
  <c r="E39" i="122" s="1"/>
  <c r="O14" i="84"/>
  <c r="R14" i="84" s="1"/>
  <c r="E41" i="122" s="1"/>
  <c r="I83" i="99"/>
  <c r="J77" i="99" s="1"/>
  <c r="P77" i="99" s="1"/>
  <c r="I78" i="99"/>
  <c r="N76" i="97"/>
  <c r="O14" i="97"/>
  <c r="R14" i="97" s="1"/>
  <c r="E29" i="122" s="1"/>
  <c r="I83" i="98"/>
  <c r="J77" i="98" s="1"/>
  <c r="P77" i="98" s="1"/>
  <c r="I78" i="98"/>
  <c r="K65" i="110"/>
  <c r="K66" i="110"/>
  <c r="K67" i="110"/>
  <c r="K72" i="110"/>
  <c r="K68" i="110"/>
  <c r="K69" i="110"/>
  <c r="K70" i="110"/>
  <c r="K71" i="110"/>
  <c r="K64" i="110"/>
  <c r="K73" i="110"/>
  <c r="O152" i="126"/>
  <c r="P152" i="126"/>
  <c r="P151" i="101"/>
  <c r="O151" i="101"/>
  <c r="P154" i="84"/>
  <c r="O154" i="84"/>
  <c r="I26" i="133"/>
  <c r="I27" i="133" s="1"/>
  <c r="AZ12" i="133"/>
  <c r="AZ26" i="133" s="1"/>
  <c r="O152" i="106"/>
  <c r="P152" i="106"/>
  <c r="I156" i="76"/>
  <c r="O147" i="76"/>
  <c r="P147" i="76"/>
  <c r="O154" i="76"/>
  <c r="P154" i="76"/>
  <c r="M76" i="76"/>
  <c r="N14" i="76"/>
  <c r="N76" i="76" s="1"/>
  <c r="P14" i="76"/>
  <c r="L78" i="88"/>
  <c r="P77" i="88"/>
  <c r="O154" i="128"/>
  <c r="P154" i="128"/>
  <c r="O153" i="106"/>
  <c r="P153" i="106"/>
  <c r="P153" i="126"/>
  <c r="O153" i="126"/>
  <c r="P150" i="101"/>
  <c r="O150" i="101"/>
  <c r="L156" i="98"/>
  <c r="BJ17" i="133"/>
  <c r="O155" i="105"/>
  <c r="P155" i="105"/>
  <c r="P149" i="95"/>
  <c r="O149" i="95"/>
  <c r="P148" i="77"/>
  <c r="O148" i="77"/>
  <c r="P154" i="99"/>
  <c r="O154" i="99"/>
  <c r="I156" i="127"/>
  <c r="P147" i="127"/>
  <c r="O147" i="127"/>
  <c r="O153" i="127"/>
  <c r="P153" i="127"/>
  <c r="K61" i="109"/>
  <c r="L61" i="109" s="1"/>
  <c r="M61" i="109" s="1"/>
  <c r="N61" i="109" s="1"/>
  <c r="I83" i="75"/>
  <c r="I78" i="75"/>
  <c r="O149" i="87"/>
  <c r="P149" i="87"/>
  <c r="O120" i="96"/>
  <c r="P150" i="104"/>
  <c r="O150" i="104"/>
  <c r="O120" i="94"/>
  <c r="G80" i="98"/>
  <c r="G81" i="98" s="1"/>
  <c r="BH18" i="133"/>
  <c r="S28" i="119"/>
  <c r="I29" i="119"/>
  <c r="I31" i="119" s="1"/>
  <c r="M80" i="2" s="1"/>
  <c r="M134" i="2" s="1"/>
  <c r="M135" i="2" s="1"/>
  <c r="M137" i="2" s="1"/>
  <c r="M138" i="2" s="1"/>
  <c r="G80" i="125"/>
  <c r="G81" i="125" s="1"/>
  <c r="O152" i="102"/>
  <c r="P152" i="102"/>
  <c r="P153" i="97"/>
  <c r="O153" i="97"/>
  <c r="P153" i="9"/>
  <c r="O153" i="9"/>
  <c r="P120" i="129"/>
  <c r="O150" i="129"/>
  <c r="P150" i="129"/>
  <c r="O154" i="96"/>
  <c r="P154" i="96"/>
  <c r="BI19" i="133"/>
  <c r="P152" i="93"/>
  <c r="O152" i="93"/>
  <c r="I120" i="103"/>
  <c r="I147" i="103"/>
  <c r="O111" i="103"/>
  <c r="P111" i="103"/>
  <c r="I153" i="103"/>
  <c r="P117" i="103"/>
  <c r="O117" i="103"/>
  <c r="L74" i="108"/>
  <c r="L75" i="108" s="1"/>
  <c r="I83" i="90"/>
  <c r="I78" i="90"/>
  <c r="P120" i="82"/>
  <c r="O120" i="128"/>
  <c r="O154" i="106"/>
  <c r="P154" i="106"/>
  <c r="P152" i="76"/>
  <c r="O152" i="76"/>
  <c r="P10" i="119"/>
  <c r="P13" i="119" s="1"/>
  <c r="P29" i="119"/>
  <c r="G8" i="131" s="1"/>
  <c r="P120" i="91"/>
  <c r="O120" i="101"/>
  <c r="O120" i="79"/>
  <c r="I80" i="2"/>
  <c r="I134" i="2" s="1"/>
  <c r="P120" i="105"/>
  <c r="O120" i="75"/>
  <c r="F80" i="124"/>
  <c r="F81" i="124" s="1"/>
  <c r="P155" i="95"/>
  <c r="O155" i="95"/>
  <c r="O150" i="77"/>
  <c r="P150" i="77"/>
  <c r="P149" i="124"/>
  <c r="O149" i="124"/>
  <c r="O148" i="83"/>
  <c r="P148" i="83"/>
  <c r="P149" i="125"/>
  <c r="O149" i="125"/>
  <c r="O152" i="91"/>
  <c r="P152" i="91"/>
  <c r="G80" i="126"/>
  <c r="G81" i="126" s="1"/>
  <c r="I152" i="85"/>
  <c r="P116" i="85"/>
  <c r="O116" i="85"/>
  <c r="I151" i="85"/>
  <c r="P115" i="85"/>
  <c r="O115" i="85"/>
  <c r="P155" i="74"/>
  <c r="O155" i="74"/>
  <c r="P59" i="107"/>
  <c r="O155" i="123"/>
  <c r="P155" i="123"/>
  <c r="O153" i="87"/>
  <c r="P153" i="87"/>
  <c r="O132" i="89"/>
  <c r="O152" i="94"/>
  <c r="P152" i="94"/>
  <c r="P77" i="83"/>
  <c r="J83" i="83"/>
  <c r="K83" i="83" s="1"/>
  <c r="L83" i="83" s="1"/>
  <c r="M83" i="83" s="1"/>
  <c r="N83" i="83" s="1"/>
  <c r="O77" i="83"/>
  <c r="J78" i="83"/>
  <c r="L80" i="125"/>
  <c r="L81" i="125" s="1"/>
  <c r="J74" i="107"/>
  <c r="P154" i="97"/>
  <c r="O154" i="97"/>
  <c r="P151" i="9"/>
  <c r="O151" i="9"/>
  <c r="P155" i="92"/>
  <c r="O155" i="92"/>
  <c r="O120" i="78"/>
  <c r="O149" i="96"/>
  <c r="P149" i="96"/>
  <c r="P152" i="80"/>
  <c r="O152" i="80"/>
  <c r="BI16" i="133"/>
  <c r="P154" i="82"/>
  <c r="O154" i="82"/>
  <c r="O149" i="82"/>
  <c r="P149" i="82"/>
  <c r="P80" i="127"/>
  <c r="I83" i="102"/>
  <c r="J77" i="102" s="1"/>
  <c r="P77" i="102" s="1"/>
  <c r="I78" i="102"/>
  <c r="P77" i="128"/>
  <c r="I78" i="128"/>
  <c r="P149" i="106"/>
  <c r="O149" i="106"/>
  <c r="P120" i="126"/>
  <c r="P151" i="76"/>
  <c r="O151" i="76"/>
  <c r="K61" i="78"/>
  <c r="I83" i="93"/>
  <c r="I78" i="93"/>
  <c r="P153" i="84"/>
  <c r="O153" i="84"/>
  <c r="BJ14" i="133"/>
  <c r="I147" i="89"/>
  <c r="I120" i="89"/>
  <c r="P111" i="89"/>
  <c r="O111" i="89"/>
  <c r="I154" i="89"/>
  <c r="O118" i="89"/>
  <c r="P118" i="89"/>
  <c r="N77" i="107"/>
  <c r="N78" i="107" s="1"/>
  <c r="N79" i="107" s="1"/>
  <c r="P153" i="105"/>
  <c r="O153" i="105"/>
  <c r="P155" i="77"/>
  <c r="O155" i="77"/>
  <c r="P120" i="99"/>
  <c r="P150" i="124"/>
  <c r="O150" i="124"/>
  <c r="I83" i="84"/>
  <c r="J77" i="84" s="1"/>
  <c r="I78" i="84"/>
  <c r="O155" i="127"/>
  <c r="P155" i="127"/>
  <c r="P154" i="91"/>
  <c r="O154" i="91"/>
  <c r="H80" i="126"/>
  <c r="H81" i="126" s="1"/>
  <c r="O132" i="85"/>
  <c r="O150" i="74"/>
  <c r="P150" i="74"/>
  <c r="P120" i="123"/>
  <c r="P120" i="104"/>
  <c r="P148" i="104"/>
  <c r="O148" i="104"/>
  <c r="O155" i="94"/>
  <c r="P155" i="94"/>
  <c r="G80" i="101"/>
  <c r="G81" i="101" s="1"/>
  <c r="T20" i="119"/>
  <c r="T21" i="119" s="1"/>
  <c r="J156" i="102"/>
  <c r="O148" i="90"/>
  <c r="P148" i="90"/>
  <c r="M156" i="98"/>
  <c r="H80" i="125"/>
  <c r="H81" i="125" s="1"/>
  <c r="O149" i="102"/>
  <c r="P149" i="102"/>
  <c r="P76" i="78"/>
  <c r="P150" i="92"/>
  <c r="O150" i="92"/>
  <c r="J59" i="109"/>
  <c r="I156" i="96"/>
  <c r="P147" i="96"/>
  <c r="O147" i="96"/>
  <c r="BI18" i="133"/>
  <c r="O153" i="98"/>
  <c r="P153" i="98"/>
  <c r="O150" i="100"/>
  <c r="P150" i="100"/>
  <c r="M74" i="108"/>
  <c r="M75" i="108" s="1"/>
  <c r="I28" i="132"/>
  <c r="I26" i="132" s="1"/>
  <c r="Q41" i="14"/>
  <c r="O21" i="119"/>
  <c r="F11" i="131" s="1"/>
  <c r="P120" i="106"/>
  <c r="P152" i="84"/>
  <c r="O152" i="84"/>
  <c r="O120" i="84"/>
  <c r="BJ15" i="133"/>
  <c r="O148" i="79"/>
  <c r="P148" i="79"/>
  <c r="P54" i="110"/>
  <c r="O154" i="88"/>
  <c r="P154" i="88"/>
  <c r="P150" i="95"/>
  <c r="O150" i="95"/>
  <c r="P151" i="77"/>
  <c r="O151" i="77"/>
  <c r="I156" i="124"/>
  <c r="O147" i="124"/>
  <c r="O151" i="124"/>
  <c r="P151" i="124"/>
  <c r="P151" i="125"/>
  <c r="O151" i="125"/>
  <c r="P155" i="91"/>
  <c r="O155" i="91"/>
  <c r="I152" i="81"/>
  <c r="O116" i="81"/>
  <c r="P116" i="81"/>
  <c r="I154" i="81"/>
  <c r="O118" i="81"/>
  <c r="P118" i="81"/>
  <c r="P149" i="74"/>
  <c r="O149" i="74"/>
  <c r="N61" i="105"/>
  <c r="P153" i="86"/>
  <c r="O153" i="86"/>
  <c r="O11" i="119"/>
  <c r="T11" i="119" s="1"/>
  <c r="O154" i="94"/>
  <c r="P154" i="94"/>
  <c r="I156" i="90"/>
  <c r="O147" i="90"/>
  <c r="P147" i="90"/>
  <c r="P154" i="90"/>
  <c r="O154" i="90"/>
  <c r="BK18" i="133"/>
  <c r="O155" i="102"/>
  <c r="P155" i="102"/>
  <c r="K61" i="74"/>
  <c r="L61" i="74" s="1"/>
  <c r="O154" i="9"/>
  <c r="P154" i="9"/>
  <c r="I83" i="86"/>
  <c r="J77" i="86" s="1"/>
  <c r="I78" i="86"/>
  <c r="P148" i="92"/>
  <c r="O148" i="92"/>
  <c r="P148" i="78"/>
  <c r="O148" i="78"/>
  <c r="I83" i="94"/>
  <c r="I78" i="94"/>
  <c r="P149" i="80"/>
  <c r="O149" i="80"/>
  <c r="P149" i="93"/>
  <c r="O149" i="93"/>
  <c r="O150" i="98"/>
  <c r="I83" i="97"/>
  <c r="J77" i="97" s="1"/>
  <c r="I78" i="97"/>
  <c r="I73" i="107"/>
  <c r="I72" i="107"/>
  <c r="I70" i="107"/>
  <c r="I67" i="107"/>
  <c r="I65" i="107"/>
  <c r="I64" i="107"/>
  <c r="I69" i="107"/>
  <c r="I68" i="107"/>
  <c r="I66" i="107"/>
  <c r="I71" i="107"/>
  <c r="K61" i="97"/>
  <c r="P153" i="128"/>
  <c r="O153" i="128"/>
  <c r="P150" i="106"/>
  <c r="O150" i="106"/>
  <c r="O154" i="126"/>
  <c r="P154" i="126"/>
  <c r="O76" i="108"/>
  <c r="P76" i="108"/>
  <c r="P152" i="101"/>
  <c r="O152" i="101"/>
  <c r="P132" i="103"/>
  <c r="I57" i="110"/>
  <c r="H16" i="132"/>
  <c r="H14" i="132"/>
  <c r="BG22" i="133"/>
  <c r="BG29" i="133" s="1"/>
  <c r="P151" i="105"/>
  <c r="O151" i="105"/>
  <c r="O153" i="75"/>
  <c r="P153" i="75"/>
  <c r="O151" i="88"/>
  <c r="P151" i="88"/>
  <c r="I156" i="88"/>
  <c r="O147" i="88"/>
  <c r="P147" i="88"/>
  <c r="P148" i="95"/>
  <c r="O148" i="95"/>
  <c r="O120" i="77"/>
  <c r="O154" i="124"/>
  <c r="P154" i="124"/>
  <c r="P155" i="83"/>
  <c r="O155" i="83"/>
  <c r="K61" i="108"/>
  <c r="L61" i="108" s="1"/>
  <c r="M61" i="108" s="1"/>
  <c r="N61" i="108" s="1"/>
  <c r="O151" i="127"/>
  <c r="P151" i="127"/>
  <c r="L59" i="109"/>
  <c r="P150" i="125"/>
  <c r="O150" i="125"/>
  <c r="O148" i="91"/>
  <c r="P148" i="91"/>
  <c r="P154" i="74"/>
  <c r="O154" i="74"/>
  <c r="O148" i="86"/>
  <c r="P148" i="86"/>
  <c r="K64" i="107"/>
  <c r="K65" i="107"/>
  <c r="K73" i="107"/>
  <c r="K71" i="107"/>
  <c r="K72" i="107"/>
  <c r="K69" i="107"/>
  <c r="K70" i="107"/>
  <c r="K68" i="107"/>
  <c r="K67" i="107"/>
  <c r="K66" i="107"/>
  <c r="I156" i="94"/>
  <c r="O147" i="94"/>
  <c r="P153" i="90"/>
  <c r="O153" i="90"/>
  <c r="O155" i="98"/>
  <c r="BK20" i="133"/>
  <c r="O155" i="97"/>
  <c r="P155" i="97"/>
  <c r="P155" i="9"/>
  <c r="O155" i="9"/>
  <c r="I156" i="129"/>
  <c r="P147" i="129"/>
  <c r="O147" i="129"/>
  <c r="O151" i="129"/>
  <c r="P151" i="129"/>
  <c r="O151" i="92"/>
  <c r="P151" i="92"/>
  <c r="P153" i="96"/>
  <c r="O153" i="96"/>
  <c r="O153" i="80"/>
  <c r="P153" i="80"/>
  <c r="O151" i="93"/>
  <c r="P151" i="93"/>
  <c r="I156" i="93"/>
  <c r="O147" i="93"/>
  <c r="P147" i="93"/>
  <c r="I83" i="107"/>
  <c r="J77" i="107" s="1"/>
  <c r="I78" i="107"/>
  <c r="O151" i="98"/>
  <c r="P151" i="98"/>
  <c r="P149" i="100"/>
  <c r="O149" i="100"/>
  <c r="I149" i="103"/>
  <c r="O113" i="103"/>
  <c r="P113" i="103"/>
  <c r="I154" i="103"/>
  <c r="O118" i="103"/>
  <c r="P118" i="103"/>
  <c r="K28" i="132"/>
  <c r="K26" i="132" s="1"/>
  <c r="S41" i="14"/>
  <c r="F79" i="89"/>
  <c r="O148" i="106"/>
  <c r="P148" i="106"/>
  <c r="K61" i="92"/>
  <c r="L61" i="92" s="1"/>
  <c r="P151" i="126"/>
  <c r="O151" i="126"/>
  <c r="P150" i="76"/>
  <c r="O150" i="76"/>
  <c r="P120" i="101"/>
  <c r="F80" i="99"/>
  <c r="F81" i="99" s="1"/>
  <c r="P155" i="79"/>
  <c r="O155" i="79"/>
  <c r="P147" i="106"/>
  <c r="O120" i="105"/>
  <c r="N77" i="93"/>
  <c r="N78" i="93" s="1"/>
  <c r="N79" i="93" s="1"/>
  <c r="O76" i="93"/>
  <c r="P155" i="75"/>
  <c r="O155" i="75"/>
  <c r="G80" i="124"/>
  <c r="G81" i="124" s="1"/>
  <c r="P149" i="88"/>
  <c r="O149" i="88"/>
  <c r="P120" i="95"/>
  <c r="O152" i="77"/>
  <c r="P152" i="77"/>
  <c r="P150" i="83"/>
  <c r="O150" i="83"/>
  <c r="O148" i="125"/>
  <c r="P148" i="125"/>
  <c r="O149" i="91"/>
  <c r="P149" i="91"/>
  <c r="I154" i="85"/>
  <c r="P118" i="85"/>
  <c r="O118" i="85"/>
  <c r="I150" i="85"/>
  <c r="O114" i="85"/>
  <c r="P114" i="85"/>
  <c r="O154" i="86"/>
  <c r="P154" i="86"/>
  <c r="P120" i="87"/>
  <c r="O154" i="78"/>
  <c r="V26" i="133"/>
  <c r="V27" i="133" s="1"/>
  <c r="O151" i="90"/>
  <c r="P151" i="90"/>
  <c r="M80" i="125"/>
  <c r="M81" i="125" s="1"/>
  <c r="O150" i="102"/>
  <c r="P150" i="102"/>
  <c r="I156" i="102"/>
  <c r="O147" i="102"/>
  <c r="P147" i="102"/>
  <c r="O150" i="97"/>
  <c r="P150" i="97"/>
  <c r="P120" i="9"/>
  <c r="P59" i="108"/>
  <c r="O152" i="129"/>
  <c r="P152" i="129"/>
  <c r="O149" i="92"/>
  <c r="P149" i="92"/>
  <c r="I83" i="87"/>
  <c r="J77" i="87" s="1"/>
  <c r="I78" i="87"/>
  <c r="O155" i="80"/>
  <c r="P155" i="80"/>
  <c r="H14" i="133"/>
  <c r="AY14" i="133" s="1"/>
  <c r="O154" i="100"/>
  <c r="P154" i="100"/>
  <c r="I156" i="100"/>
  <c r="O147" i="100"/>
  <c r="P147" i="100"/>
  <c r="L83" i="88"/>
  <c r="M83" i="88" s="1"/>
  <c r="O120" i="82"/>
  <c r="P79" i="126"/>
  <c r="I80" i="126"/>
  <c r="I81" i="126" s="1"/>
  <c r="P151" i="128"/>
  <c r="O151" i="128"/>
  <c r="I156" i="126"/>
  <c r="P147" i="126"/>
  <c r="O147" i="126"/>
  <c r="O149" i="126"/>
  <c r="P149" i="126"/>
  <c r="O148" i="76"/>
  <c r="P148" i="76"/>
  <c r="I83" i="96"/>
  <c r="J77" i="96" s="1"/>
  <c r="I78" i="96"/>
  <c r="O150" i="84"/>
  <c r="P150" i="84"/>
  <c r="G80" i="99"/>
  <c r="G81" i="99" s="1"/>
  <c r="P149" i="79"/>
  <c r="O149" i="79"/>
  <c r="I148" i="89"/>
  <c r="P112" i="89"/>
  <c r="O112" i="89"/>
  <c r="I149" i="89"/>
  <c r="P113" i="89"/>
  <c r="O113" i="89"/>
  <c r="I151" i="89"/>
  <c r="P115" i="89"/>
  <c r="O115" i="89"/>
  <c r="O76" i="107"/>
  <c r="O150" i="75"/>
  <c r="P150" i="75"/>
  <c r="O154" i="77"/>
  <c r="P154" i="77"/>
  <c r="P155" i="124"/>
  <c r="I156" i="99"/>
  <c r="P147" i="99"/>
  <c r="O147" i="99"/>
  <c r="O150" i="99"/>
  <c r="P150" i="99"/>
  <c r="O120" i="83"/>
  <c r="O152" i="127"/>
  <c r="P152" i="127"/>
  <c r="P152" i="125"/>
  <c r="O152" i="125"/>
  <c r="O120" i="91"/>
  <c r="P132" i="85"/>
  <c r="O120" i="74"/>
  <c r="O120" i="86"/>
  <c r="O120" i="123"/>
  <c r="O120" i="104"/>
  <c r="P150" i="91"/>
  <c r="L26" i="133"/>
  <c r="L27" i="133" s="1"/>
  <c r="BC12" i="133"/>
  <c r="BC26" i="133" s="1"/>
  <c r="P153" i="102"/>
  <c r="O153" i="102"/>
  <c r="I156" i="97"/>
  <c r="O147" i="97"/>
  <c r="P147" i="97"/>
  <c r="P148" i="9"/>
  <c r="O148" i="9"/>
  <c r="P153" i="92"/>
  <c r="O153" i="92"/>
  <c r="P120" i="92"/>
  <c r="P76" i="84"/>
  <c r="P152" i="78"/>
  <c r="O152" i="78"/>
  <c r="O152" i="96"/>
  <c r="P152" i="96"/>
  <c r="O150" i="80"/>
  <c r="P150" i="80"/>
  <c r="I156" i="80"/>
  <c r="O147" i="80"/>
  <c r="P147" i="80"/>
  <c r="P150" i="93"/>
  <c r="O150" i="93"/>
  <c r="H12" i="133"/>
  <c r="H18" i="133"/>
  <c r="AY18" i="133" s="1"/>
  <c r="J74" i="108"/>
  <c r="J75" i="108" s="1"/>
  <c r="O120" i="106"/>
  <c r="O77" i="9"/>
  <c r="P148" i="101"/>
  <c r="O148" i="101"/>
  <c r="P54" i="103"/>
  <c r="P154" i="79"/>
  <c r="O154" i="79"/>
  <c r="P120" i="79"/>
  <c r="H29" i="133"/>
  <c r="H30" i="133" s="1"/>
  <c r="P153" i="95"/>
  <c r="O153" i="95"/>
  <c r="O154" i="83"/>
  <c r="P154" i="83"/>
  <c r="I142" i="2"/>
  <c r="N141" i="2"/>
  <c r="N76" i="88"/>
  <c r="O14" i="88"/>
  <c r="R14" i="88" s="1"/>
  <c r="E45" i="122" s="1"/>
  <c r="L61" i="79"/>
  <c r="M61" i="79" s="1"/>
  <c r="N61" i="79" s="1"/>
  <c r="I79" i="124"/>
  <c r="P78" i="124"/>
  <c r="J80" i="126"/>
  <c r="J81" i="126" s="1"/>
  <c r="P54" i="81"/>
  <c r="I149" i="81"/>
  <c r="P113" i="81"/>
  <c r="O113" i="81"/>
  <c r="I151" i="81"/>
  <c r="O115" i="81"/>
  <c r="P115" i="81"/>
  <c r="L83" i="105"/>
  <c r="M77" i="105" s="1"/>
  <c r="L78" i="105"/>
  <c r="P149" i="123"/>
  <c r="O149" i="123"/>
  <c r="N80" i="125"/>
  <c r="N81" i="125" s="1"/>
  <c r="L77" i="81"/>
  <c r="P148" i="102"/>
  <c r="O148" i="102"/>
  <c r="P150" i="9"/>
  <c r="O150" i="9"/>
  <c r="O144" i="89"/>
  <c r="O151" i="80"/>
  <c r="P151" i="80"/>
  <c r="BI14" i="133"/>
  <c r="O148" i="93"/>
  <c r="P148" i="93"/>
  <c r="O28" i="119"/>
  <c r="O29" i="119" s="1"/>
  <c r="F8" i="131" s="1"/>
  <c r="J28" i="119"/>
  <c r="J29" i="119" s="1"/>
  <c r="P153" i="100"/>
  <c r="O153" i="100"/>
  <c r="I80" i="88"/>
  <c r="I81" i="88" s="1"/>
  <c r="J80" i="88"/>
  <c r="J81" i="88" s="1"/>
  <c r="P76" i="93"/>
  <c r="K26" i="133"/>
  <c r="K27" i="133" s="1"/>
  <c r="BB12" i="133"/>
  <c r="BB26" i="133" s="1"/>
  <c r="BB27" i="133" s="1"/>
  <c r="P152" i="79"/>
  <c r="O152" i="79"/>
  <c r="I83" i="76"/>
  <c r="J77" i="76" s="1"/>
  <c r="I78" i="76"/>
  <c r="P151" i="83"/>
  <c r="O151" i="83"/>
  <c r="I83" i="108"/>
  <c r="J77" i="108" s="1"/>
  <c r="I78" i="108"/>
  <c r="P153" i="125"/>
  <c r="O153" i="125"/>
  <c r="O153" i="91"/>
  <c r="P153" i="91"/>
  <c r="O151" i="74"/>
  <c r="P151" i="74"/>
  <c r="O149" i="86"/>
  <c r="P149" i="86"/>
  <c r="O150" i="123"/>
  <c r="P150" i="123"/>
  <c r="H80" i="98"/>
  <c r="H81" i="98" s="1"/>
  <c r="P152" i="90"/>
  <c r="O152" i="90"/>
  <c r="P154" i="102"/>
  <c r="O154" i="102"/>
  <c r="N76" i="78"/>
  <c r="O14" i="78"/>
  <c r="R14" i="78" s="1"/>
  <c r="E35" i="122" s="1"/>
  <c r="O154" i="80"/>
  <c r="P154" i="80"/>
  <c r="BH12" i="133"/>
  <c r="BI17" i="133"/>
  <c r="L61" i="107"/>
  <c r="M61" i="107" s="1"/>
  <c r="N61" i="107" s="1"/>
  <c r="P148" i="98"/>
  <c r="O148" i="98"/>
  <c r="BG19" i="133"/>
  <c r="O154" i="98"/>
  <c r="P154" i="98"/>
  <c r="P148" i="100"/>
  <c r="O148" i="100"/>
  <c r="I151" i="103"/>
  <c r="O115" i="103"/>
  <c r="P115" i="103"/>
  <c r="I155" i="103"/>
  <c r="P119" i="103"/>
  <c r="O119" i="103"/>
  <c r="K147" i="2"/>
  <c r="K79" i="2"/>
  <c r="H78" i="89"/>
  <c r="H79" i="89" s="1"/>
  <c r="O152" i="82"/>
  <c r="P152" i="82"/>
  <c r="P150" i="82"/>
  <c r="O150" i="82"/>
  <c r="I156" i="82"/>
  <c r="P147" i="82"/>
  <c r="O149" i="128"/>
  <c r="P149" i="128"/>
  <c r="I156" i="128"/>
  <c r="O147" i="128"/>
  <c r="P147" i="128"/>
  <c r="I83" i="92"/>
  <c r="J77" i="92" s="1"/>
  <c r="I78" i="92"/>
  <c r="P155" i="126"/>
  <c r="O155" i="126"/>
  <c r="P155" i="76"/>
  <c r="O155" i="76"/>
  <c r="K61" i="80"/>
  <c r="P155" i="84"/>
  <c r="O155" i="84"/>
  <c r="H80" i="99"/>
  <c r="H81" i="99" s="1"/>
  <c r="O150" i="79"/>
  <c r="P150" i="79"/>
  <c r="I77" i="89"/>
  <c r="J61" i="89"/>
  <c r="O10" i="119"/>
  <c r="T26" i="119"/>
  <c r="P149" i="75"/>
  <c r="O149" i="75"/>
  <c r="I156" i="75"/>
  <c r="O147" i="75"/>
  <c r="P147" i="75"/>
  <c r="O150" i="88"/>
  <c r="P150" i="88"/>
  <c r="O151" i="95"/>
  <c r="P151" i="95"/>
  <c r="O155" i="99"/>
  <c r="P155" i="99"/>
  <c r="P149" i="83"/>
  <c r="O149" i="83"/>
  <c r="O149" i="127"/>
  <c r="P149" i="127"/>
  <c r="I155" i="85"/>
  <c r="O119" i="85"/>
  <c r="P119" i="85"/>
  <c r="I148" i="85"/>
  <c r="O112" i="85"/>
  <c r="P112" i="85"/>
  <c r="I147" i="85"/>
  <c r="I120" i="85"/>
  <c r="P111" i="85"/>
  <c r="O111" i="85"/>
  <c r="I73" i="108"/>
  <c r="P73" i="108" s="1"/>
  <c r="I68" i="108"/>
  <c r="I70" i="108"/>
  <c r="O70" i="108" s="1"/>
  <c r="I69" i="108"/>
  <c r="P69" i="108" s="1"/>
  <c r="I67" i="108"/>
  <c r="I72" i="108"/>
  <c r="P72" i="108" s="1"/>
  <c r="I64" i="108"/>
  <c r="P64" i="108" s="1"/>
  <c r="I66" i="108"/>
  <c r="I71" i="108"/>
  <c r="P71" i="108" s="1"/>
  <c r="I65" i="108"/>
  <c r="P154" i="87"/>
  <c r="O154" i="87"/>
  <c r="P132" i="89"/>
  <c r="O155" i="104"/>
  <c r="P155" i="104"/>
  <c r="O149" i="94"/>
  <c r="P149" i="94"/>
  <c r="I79" i="81"/>
  <c r="K80" i="81" s="1"/>
  <c r="K81" i="81" s="1"/>
  <c r="F80" i="98"/>
  <c r="F81" i="98" s="1"/>
  <c r="O149" i="90"/>
  <c r="P149" i="90"/>
  <c r="O154" i="105"/>
  <c r="N77" i="92"/>
  <c r="N78" i="92" s="1"/>
  <c r="N79" i="92" s="1"/>
  <c r="P76" i="92"/>
  <c r="O76" i="92"/>
  <c r="O120" i="102"/>
  <c r="P153" i="129"/>
  <c r="O153" i="129"/>
  <c r="I156" i="78"/>
  <c r="O147" i="78"/>
  <c r="P147" i="78"/>
  <c r="P148" i="96"/>
  <c r="O148" i="96"/>
  <c r="K156" i="98"/>
  <c r="P154" i="93"/>
  <c r="O154" i="93"/>
  <c r="O149" i="98"/>
  <c r="P149" i="98"/>
  <c r="O152" i="100"/>
  <c r="P152" i="100"/>
  <c r="P120" i="100"/>
  <c r="P153" i="82"/>
  <c r="O153" i="82"/>
  <c r="P81" i="127"/>
  <c r="F78" i="129"/>
  <c r="O76" i="129"/>
  <c r="G77" i="129"/>
  <c r="H77" i="129"/>
  <c r="H78" i="129" s="1"/>
  <c r="H79" i="129" s="1"/>
  <c r="K77" i="129"/>
  <c r="K78" i="129" s="1"/>
  <c r="K79" i="129" s="1"/>
  <c r="N77" i="129"/>
  <c r="N78" i="129" s="1"/>
  <c r="N79" i="129" s="1"/>
  <c r="J77" i="129"/>
  <c r="J78" i="129" s="1"/>
  <c r="J79" i="129" s="1"/>
  <c r="L77" i="129"/>
  <c r="L78" i="129" s="1"/>
  <c r="L79" i="129" s="1"/>
  <c r="M77" i="129"/>
  <c r="M78" i="129" s="1"/>
  <c r="M79" i="129" s="1"/>
  <c r="I77" i="129"/>
  <c r="O155" i="128"/>
  <c r="P155" i="128"/>
  <c r="N61" i="96"/>
  <c r="O154" i="101"/>
  <c r="P154" i="101"/>
  <c r="O151" i="79"/>
  <c r="P151" i="79"/>
  <c r="K61" i="82"/>
  <c r="L61" i="82" s="1"/>
  <c r="I150" i="89"/>
  <c r="O114" i="89"/>
  <c r="P114" i="89"/>
  <c r="I153" i="89"/>
  <c r="P117" i="89"/>
  <c r="O117" i="89"/>
  <c r="O151" i="75"/>
  <c r="P151" i="75"/>
  <c r="P152" i="88"/>
  <c r="O152" i="88"/>
  <c r="P154" i="95"/>
  <c r="O154" i="95"/>
  <c r="O153" i="83"/>
  <c r="P153" i="83"/>
  <c r="M79" i="9"/>
  <c r="P78" i="9"/>
  <c r="O78" i="9"/>
  <c r="O155" i="125"/>
  <c r="P155" i="125"/>
  <c r="P120" i="74"/>
  <c r="P155" i="86"/>
  <c r="O155" i="86"/>
  <c r="I156" i="123"/>
  <c r="O147" i="123"/>
  <c r="P147" i="123"/>
  <c r="P148" i="87"/>
  <c r="O148" i="87"/>
  <c r="K61" i="95"/>
  <c r="I156" i="104"/>
  <c r="O147" i="104"/>
  <c r="P147" i="104"/>
  <c r="P149" i="104"/>
  <c r="O149" i="104"/>
  <c r="H83" i="101"/>
  <c r="I77" i="101" s="1"/>
  <c r="H78" i="101"/>
  <c r="R12" i="119"/>
  <c r="R13" i="119" s="1"/>
  <c r="O78" i="125"/>
  <c r="L83" i="91"/>
  <c r="M83" i="91" s="1"/>
  <c r="N83" i="91" s="1"/>
  <c r="O77" i="91"/>
  <c r="P77" i="91"/>
  <c r="L78" i="91"/>
  <c r="P151" i="102"/>
  <c r="O151" i="102"/>
  <c r="P148" i="97"/>
  <c r="O148" i="97"/>
  <c r="O149" i="9"/>
  <c r="P149" i="9"/>
  <c r="P148" i="129"/>
  <c r="O148" i="129"/>
  <c r="O120" i="92"/>
  <c r="P155" i="78"/>
  <c r="O155" i="78"/>
  <c r="P77" i="104"/>
  <c r="J83" i="104"/>
  <c r="K83" i="104" s="1"/>
  <c r="L83" i="104" s="1"/>
  <c r="M83" i="104" s="1"/>
  <c r="N83" i="104" s="1"/>
  <c r="O77" i="104"/>
  <c r="J78" i="104"/>
  <c r="P120" i="96"/>
  <c r="I82" i="9"/>
  <c r="J82" i="9" s="1"/>
  <c r="K82" i="9" s="1"/>
  <c r="L82" i="9" s="1"/>
  <c r="O153" i="93"/>
  <c r="P153" i="93"/>
  <c r="O120" i="98"/>
  <c r="I156" i="98"/>
  <c r="O147" i="98"/>
  <c r="P147" i="98"/>
  <c r="P79" i="125"/>
  <c r="I80" i="125"/>
  <c r="P80" i="125" s="1"/>
  <c r="O73" i="108"/>
  <c r="P150" i="128"/>
  <c r="O150" i="128"/>
  <c r="I156" i="106"/>
  <c r="O147" i="106"/>
  <c r="O155" i="106"/>
  <c r="P155" i="106"/>
  <c r="O76" i="84"/>
  <c r="P149" i="76"/>
  <c r="O149" i="76"/>
  <c r="P155" i="101"/>
  <c r="O155" i="101"/>
  <c r="I156" i="84"/>
  <c r="P147" i="84"/>
  <c r="O147" i="84"/>
  <c r="AY29" i="133"/>
  <c r="P148" i="105"/>
  <c r="O148" i="105"/>
  <c r="O148" i="75"/>
  <c r="P148" i="75"/>
  <c r="O153" i="88"/>
  <c r="P153" i="88"/>
  <c r="O149" i="77"/>
  <c r="P149" i="77"/>
  <c r="P151" i="99"/>
  <c r="O151" i="99"/>
  <c r="P154" i="127"/>
  <c r="O154" i="127"/>
  <c r="J83" i="79"/>
  <c r="K77" i="79" s="1"/>
  <c r="J78" i="79"/>
  <c r="I148" i="81"/>
  <c r="O112" i="81"/>
  <c r="P112" i="81"/>
  <c r="I155" i="81"/>
  <c r="P119" i="81"/>
  <c r="O119" i="81"/>
  <c r="I150" i="81"/>
  <c r="O114" i="81"/>
  <c r="P114" i="81"/>
  <c r="O150" i="86"/>
  <c r="P150" i="86"/>
  <c r="O151" i="123"/>
  <c r="P151" i="123"/>
  <c r="P150" i="87"/>
  <c r="O150" i="87"/>
  <c r="K61" i="77"/>
  <c r="P151" i="104"/>
  <c r="O151" i="104"/>
  <c r="O151" i="94"/>
  <c r="P151" i="94"/>
  <c r="L69" i="107"/>
  <c r="L64" i="107"/>
  <c r="L73" i="107"/>
  <c r="L72" i="107"/>
  <c r="L70" i="107"/>
  <c r="L68" i="107"/>
  <c r="L65" i="107"/>
  <c r="L71" i="107"/>
  <c r="L67" i="107"/>
  <c r="L66" i="107"/>
  <c r="H29" i="119"/>
  <c r="H31" i="119" s="1"/>
  <c r="L80" i="2" s="1"/>
  <c r="L134" i="2" s="1"/>
  <c r="L135" i="2" s="1"/>
  <c r="L137" i="2" s="1"/>
  <c r="L138" i="2" s="1"/>
  <c r="P120" i="90"/>
  <c r="O152" i="98"/>
  <c r="BK17" i="133"/>
  <c r="M76" i="81"/>
  <c r="M77" i="81" s="1"/>
  <c r="M78" i="81" s="1"/>
  <c r="M79" i="81" s="1"/>
  <c r="N14" i="81"/>
  <c r="P152" i="97"/>
  <c r="O152" i="97"/>
  <c r="O154" i="129"/>
  <c r="P154" i="129"/>
  <c r="P155" i="96"/>
  <c r="O155" i="96"/>
  <c r="P144" i="89"/>
  <c r="P148" i="80"/>
  <c r="O148" i="80"/>
  <c r="H20" i="133"/>
  <c r="AY20" i="133" s="1"/>
  <c r="O151" i="100"/>
  <c r="P151" i="100"/>
  <c r="I77" i="103"/>
  <c r="J61" i="103"/>
  <c r="K61" i="103" s="1"/>
  <c r="L61" i="103" s="1"/>
  <c r="M61" i="103" s="1"/>
  <c r="N61" i="103" s="1"/>
  <c r="G80" i="102"/>
  <c r="G81" i="102" s="1"/>
  <c r="M61" i="106"/>
  <c r="N14" i="110"/>
  <c r="P27" i="133"/>
  <c r="P148" i="128"/>
  <c r="O148" i="128"/>
  <c r="Q12" i="119"/>
  <c r="Q21" i="119"/>
  <c r="H11" i="131" s="1"/>
  <c r="BA30" i="133" s="1"/>
  <c r="P152" i="75"/>
  <c r="O152" i="75"/>
  <c r="O151" i="84"/>
  <c r="P151" i="84"/>
  <c r="P153" i="79"/>
  <c r="O153" i="79"/>
  <c r="P149" i="105"/>
  <c r="O149" i="105"/>
  <c r="M76" i="97"/>
  <c r="P14" i="97"/>
  <c r="P120" i="88"/>
  <c r="I156" i="77"/>
  <c r="P147" i="77"/>
  <c r="O147" i="77"/>
  <c r="P148" i="99"/>
  <c r="O148" i="99"/>
  <c r="P120" i="127"/>
  <c r="I156" i="125"/>
  <c r="O147" i="125"/>
  <c r="P147" i="125"/>
  <c r="I77" i="85"/>
  <c r="J61" i="85"/>
  <c r="I83" i="109"/>
  <c r="J77" i="109" s="1"/>
  <c r="I78" i="109"/>
  <c r="O153" i="74"/>
  <c r="P153" i="74"/>
  <c r="O153" i="123"/>
  <c r="P153" i="123"/>
  <c r="J77" i="75"/>
  <c r="K61" i="75"/>
  <c r="O151" i="87"/>
  <c r="P151" i="87"/>
  <c r="O152" i="104"/>
  <c r="P152" i="104"/>
  <c r="O153" i="94"/>
  <c r="P153" i="94"/>
  <c r="K66" i="109"/>
  <c r="K71" i="109"/>
  <c r="K67" i="109"/>
  <c r="K65" i="109"/>
  <c r="K73" i="109"/>
  <c r="K72" i="109"/>
  <c r="K64" i="109"/>
  <c r="K69" i="109"/>
  <c r="K68" i="109"/>
  <c r="K70" i="109"/>
  <c r="P152" i="92"/>
  <c r="O152" i="92"/>
  <c r="P149" i="78"/>
  <c r="O149" i="78"/>
  <c r="H83" i="100"/>
  <c r="I77" i="100" s="1"/>
  <c r="H78" i="100"/>
  <c r="H79" i="100" s="1"/>
  <c r="J30" i="133"/>
  <c r="I152" i="103"/>
  <c r="P116" i="103"/>
  <c r="O116" i="103"/>
  <c r="I148" i="103"/>
  <c r="P112" i="103"/>
  <c r="O112" i="103"/>
  <c r="I150" i="103"/>
  <c r="O114" i="103"/>
  <c r="P114" i="103"/>
  <c r="K61" i="90"/>
  <c r="L61" i="90" s="1"/>
  <c r="M61" i="90" s="1"/>
  <c r="N61" i="90" s="1"/>
  <c r="J77" i="90"/>
  <c r="Q29" i="119"/>
  <c r="H8" i="131" s="1"/>
  <c r="Q10" i="119"/>
  <c r="G78" i="89"/>
  <c r="G79" i="89" s="1"/>
  <c r="G83" i="89"/>
  <c r="H83" i="89" s="1"/>
  <c r="P151" i="82"/>
  <c r="O151" i="82"/>
  <c r="M76" i="95"/>
  <c r="N14" i="95"/>
  <c r="N76" i="95" s="1"/>
  <c r="P14" i="95"/>
  <c r="P120" i="128"/>
  <c r="J147" i="2"/>
  <c r="J79" i="2"/>
  <c r="I83" i="80"/>
  <c r="J77" i="80" s="1"/>
  <c r="I78" i="80"/>
  <c r="O153" i="101"/>
  <c r="P153" i="101"/>
  <c r="I156" i="101"/>
  <c r="O147" i="101"/>
  <c r="P147" i="101"/>
  <c r="O149" i="84"/>
  <c r="P149" i="84"/>
  <c r="O132" i="103"/>
  <c r="M65" i="107"/>
  <c r="M71" i="107"/>
  <c r="M64" i="107"/>
  <c r="M72" i="107"/>
  <c r="M70" i="107"/>
  <c r="M67" i="107"/>
  <c r="M66" i="107"/>
  <c r="M73" i="107"/>
  <c r="M68" i="107"/>
  <c r="M69" i="107"/>
  <c r="BJ13" i="133"/>
  <c r="I156" i="105"/>
  <c r="O147" i="105"/>
  <c r="P147" i="105"/>
  <c r="P120" i="86"/>
  <c r="P120" i="75"/>
  <c r="H83" i="124"/>
  <c r="I83" i="124" s="1"/>
  <c r="J83" i="124" s="1"/>
  <c r="K83" i="124" s="1"/>
  <c r="L83" i="124" s="1"/>
  <c r="M83" i="124" s="1"/>
  <c r="N83" i="124" s="1"/>
  <c r="H78" i="124"/>
  <c r="H79" i="124" s="1"/>
  <c r="O79" i="124" s="1"/>
  <c r="I156" i="95"/>
  <c r="O147" i="95"/>
  <c r="P147" i="95"/>
  <c r="P153" i="99"/>
  <c r="O153" i="99"/>
  <c r="P148" i="124"/>
  <c r="O148" i="124"/>
  <c r="O148" i="127"/>
  <c r="P148" i="127"/>
  <c r="F80" i="126"/>
  <c r="F81" i="126" s="1"/>
  <c r="O79" i="126"/>
  <c r="K80" i="126"/>
  <c r="K81" i="126" s="1"/>
  <c r="I149" i="85"/>
  <c r="P113" i="85"/>
  <c r="I153" i="85"/>
  <c r="P117" i="85"/>
  <c r="O117" i="85"/>
  <c r="P152" i="74"/>
  <c r="O152" i="74"/>
  <c r="N77" i="82"/>
  <c r="N78" i="82" s="1"/>
  <c r="N79" i="82" s="1"/>
  <c r="P76" i="82"/>
  <c r="O76" i="82"/>
  <c r="P154" i="123"/>
  <c r="O154" i="123"/>
  <c r="I156" i="87"/>
  <c r="P147" i="87"/>
  <c r="O147" i="87"/>
  <c r="P154" i="104"/>
  <c r="O154" i="104"/>
  <c r="P150" i="98"/>
  <c r="BK15" i="133"/>
  <c r="P120" i="102"/>
  <c r="I156" i="9"/>
  <c r="O147" i="9"/>
  <c r="P147" i="9"/>
  <c r="BA12" i="133"/>
  <c r="BA26" i="133" s="1"/>
  <c r="J26" i="133"/>
  <c r="J27" i="133" s="1"/>
  <c r="O155" i="93"/>
  <c r="P155" i="93"/>
  <c r="J64" i="110"/>
  <c r="J67" i="110"/>
  <c r="J72" i="110"/>
  <c r="J68" i="110"/>
  <c r="J73" i="110"/>
  <c r="J71" i="110"/>
  <c r="J65" i="110"/>
  <c r="J70" i="110"/>
  <c r="J66" i="110"/>
  <c r="J69" i="110"/>
  <c r="P152" i="98"/>
  <c r="O120" i="100"/>
  <c r="O148" i="82"/>
  <c r="P148" i="82"/>
  <c r="O155" i="82"/>
  <c r="P155" i="82"/>
  <c r="G83" i="128"/>
  <c r="H83" i="128" s="1"/>
  <c r="I83" i="128" s="1"/>
  <c r="J83" i="128" s="1"/>
  <c r="K83" i="128" s="1"/>
  <c r="L83" i="128" s="1"/>
  <c r="M83" i="128" s="1"/>
  <c r="N83" i="128" s="1"/>
  <c r="O77" i="128"/>
  <c r="G78" i="128"/>
  <c r="G79" i="128" s="1"/>
  <c r="F79" i="128"/>
  <c r="P151" i="86"/>
  <c r="P151" i="106"/>
  <c r="O151" i="106"/>
  <c r="O120" i="126"/>
  <c r="I83" i="78"/>
  <c r="J77" i="78" s="1"/>
  <c r="I78" i="78"/>
  <c r="K61" i="93"/>
  <c r="J77" i="93"/>
  <c r="P149" i="101"/>
  <c r="O149" i="101"/>
  <c r="I83" i="82"/>
  <c r="J77" i="82" s="1"/>
  <c r="I78" i="82"/>
  <c r="I152" i="89"/>
  <c r="O116" i="89"/>
  <c r="P116" i="89"/>
  <c r="I155" i="89"/>
  <c r="O119" i="89"/>
  <c r="P119" i="89"/>
  <c r="P150" i="105"/>
  <c r="O150" i="105"/>
  <c r="O155" i="88"/>
  <c r="P155" i="88"/>
  <c r="P152" i="95"/>
  <c r="O152" i="95"/>
  <c r="L59" i="110"/>
  <c r="O152" i="124"/>
  <c r="P152" i="124"/>
  <c r="I156" i="83"/>
  <c r="P147" i="83"/>
  <c r="O147" i="83"/>
  <c r="I156" i="91"/>
  <c r="O147" i="91"/>
  <c r="I156" i="74"/>
  <c r="O147" i="74"/>
  <c r="I156" i="86"/>
  <c r="P147" i="86"/>
  <c r="P148" i="123"/>
  <c r="O148" i="123"/>
  <c r="P155" i="87"/>
  <c r="O155" i="87"/>
  <c r="I83" i="95"/>
  <c r="J77" i="95" s="1"/>
  <c r="I78" i="95"/>
  <c r="P148" i="94"/>
  <c r="O148" i="94"/>
  <c r="F80" i="101"/>
  <c r="F81" i="101" s="1"/>
  <c r="P155" i="90"/>
  <c r="O155" i="90"/>
  <c r="F80" i="125"/>
  <c r="F81" i="125" s="1"/>
  <c r="O79" i="125"/>
  <c r="P151" i="97"/>
  <c r="O151" i="97"/>
  <c r="O120" i="97"/>
  <c r="P14" i="78"/>
  <c r="O155" i="129"/>
  <c r="P155" i="129"/>
  <c r="I156" i="92"/>
  <c r="P147" i="92"/>
  <c r="O147" i="92"/>
  <c r="P150" i="78"/>
  <c r="O150" i="78"/>
  <c r="P151" i="96"/>
  <c r="O151" i="96"/>
  <c r="O120" i="80"/>
  <c r="P120" i="80"/>
  <c r="P120" i="98"/>
  <c r="O155" i="100"/>
  <c r="P155" i="100"/>
  <c r="I19" i="14"/>
  <c r="F80" i="102"/>
  <c r="F81" i="102" s="1"/>
  <c r="P152" i="128"/>
  <c r="O152" i="128"/>
  <c r="M73" i="109"/>
  <c r="M72" i="109"/>
  <c r="M70" i="109"/>
  <c r="M66" i="109"/>
  <c r="M67" i="109"/>
  <c r="M64" i="109"/>
  <c r="M68" i="109"/>
  <c r="M65" i="109"/>
  <c r="M69" i="109"/>
  <c r="M71" i="109"/>
  <c r="P148" i="126"/>
  <c r="O148" i="126"/>
  <c r="O153" i="76"/>
  <c r="P153" i="76"/>
  <c r="O148" i="84"/>
  <c r="P148" i="84"/>
  <c r="I156" i="79"/>
  <c r="P147" i="79"/>
  <c r="O147" i="79"/>
  <c r="P152" i="105"/>
  <c r="O152" i="105"/>
  <c r="O154" i="75"/>
  <c r="P154" i="75"/>
  <c r="O148" i="88"/>
  <c r="P148" i="88"/>
  <c r="O153" i="77"/>
  <c r="P153" i="77"/>
  <c r="N77" i="108"/>
  <c r="N78" i="108" s="1"/>
  <c r="N79" i="108" s="1"/>
  <c r="P149" i="99"/>
  <c r="O149" i="99"/>
  <c r="P120" i="124"/>
  <c r="O152" i="83"/>
  <c r="P152" i="83"/>
  <c r="P150" i="127"/>
  <c r="O150" i="127"/>
  <c r="J61" i="110"/>
  <c r="K61" i="110" s="1"/>
  <c r="L61" i="110" s="1"/>
  <c r="M61" i="110" s="1"/>
  <c r="N61" i="110" s="1"/>
  <c r="I77" i="110"/>
  <c r="O154" i="125"/>
  <c r="P154" i="125"/>
  <c r="P151" i="91"/>
  <c r="O151" i="91"/>
  <c r="F82" i="127"/>
  <c r="G80" i="127" s="1"/>
  <c r="O80" i="127" s="1"/>
  <c r="O81" i="127" s="1"/>
  <c r="I147" i="81"/>
  <c r="I120" i="81"/>
  <c r="O111" i="81"/>
  <c r="P111" i="81"/>
  <c r="I153" i="81"/>
  <c r="O117" i="81"/>
  <c r="P117" i="81"/>
  <c r="P148" i="74"/>
  <c r="O148" i="74"/>
  <c r="P152" i="86"/>
  <c r="O152" i="86"/>
  <c r="O152" i="9"/>
  <c r="O152" i="123"/>
  <c r="P152" i="123"/>
  <c r="P147" i="94"/>
  <c r="O152" i="87"/>
  <c r="P152" i="87"/>
  <c r="I83" i="77"/>
  <c r="J77" i="77" s="1"/>
  <c r="I78" i="77"/>
  <c r="O153" i="104"/>
  <c r="P153" i="104"/>
  <c r="P150" i="94"/>
  <c r="O150" i="94"/>
  <c r="O120" i="90"/>
  <c r="O150" i="90"/>
  <c r="P150" i="90"/>
  <c r="Q27" i="133"/>
  <c r="I83" i="74"/>
  <c r="J77" i="74" s="1"/>
  <c r="I78" i="74"/>
  <c r="O149" i="97"/>
  <c r="P149" i="97"/>
  <c r="P149" i="129"/>
  <c r="O149" i="129"/>
  <c r="P154" i="92"/>
  <c r="O154" i="92"/>
  <c r="P151" i="78"/>
  <c r="O151" i="78"/>
  <c r="P150" i="96"/>
  <c r="O150" i="96"/>
  <c r="K61" i="94"/>
  <c r="L61" i="94" s="1"/>
  <c r="J77" i="94"/>
  <c r="F80" i="100"/>
  <c r="F82" i="100" s="1"/>
  <c r="G80" i="100" s="1"/>
  <c r="H15" i="133"/>
  <c r="AY15" i="133" s="1"/>
  <c r="P155" i="98"/>
  <c r="O77" i="102"/>
  <c r="K83" i="106"/>
  <c r="L77" i="106" s="1"/>
  <c r="K78" i="106"/>
  <c r="P69" i="107" l="1"/>
  <c r="M76" i="110"/>
  <c r="P76" i="110" s="1"/>
  <c r="P14" i="110"/>
  <c r="P156" i="91"/>
  <c r="BG17" i="133"/>
  <c r="N76" i="87"/>
  <c r="N77" i="87" s="1"/>
  <c r="N78" i="87" s="1"/>
  <c r="N79" i="87" s="1"/>
  <c r="O14" i="87"/>
  <c r="R14" i="87" s="1"/>
  <c r="E44" i="122" s="1"/>
  <c r="O71" i="107"/>
  <c r="O72" i="108"/>
  <c r="P76" i="87"/>
  <c r="N77" i="96"/>
  <c r="N78" i="96" s="1"/>
  <c r="N79" i="96" s="1"/>
  <c r="H80" i="128"/>
  <c r="H81" i="128" s="1"/>
  <c r="BG20" i="133"/>
  <c r="P156" i="74"/>
  <c r="P156" i="79"/>
  <c r="O156" i="82"/>
  <c r="P156" i="9"/>
  <c r="BH26" i="133"/>
  <c r="O14" i="96"/>
  <c r="R14" i="96" s="1"/>
  <c r="E28" i="122" s="1"/>
  <c r="P156" i="92"/>
  <c r="O156" i="83"/>
  <c r="BG14" i="133"/>
  <c r="O70" i="107"/>
  <c r="N77" i="76"/>
  <c r="N78" i="76" s="1"/>
  <c r="N79" i="76" s="1"/>
  <c r="O76" i="96"/>
  <c r="J80" i="124"/>
  <c r="J81" i="124" s="1"/>
  <c r="O73" i="107"/>
  <c r="O72" i="107"/>
  <c r="P156" i="83"/>
  <c r="O78" i="128"/>
  <c r="BA27" i="133"/>
  <c r="O156" i="79"/>
  <c r="T10" i="119"/>
  <c r="P81" i="125"/>
  <c r="I81" i="125"/>
  <c r="G82" i="100"/>
  <c r="H80" i="100" s="1"/>
  <c r="H82" i="100" s="1"/>
  <c r="G81" i="100"/>
  <c r="J83" i="82"/>
  <c r="K77" i="82" s="1"/>
  <c r="J78" i="82"/>
  <c r="J79" i="82" s="1"/>
  <c r="J83" i="92"/>
  <c r="K77" i="92" s="1"/>
  <c r="J78" i="92"/>
  <c r="J79" i="92" s="1"/>
  <c r="M83" i="105"/>
  <c r="N83" i="105" s="1"/>
  <c r="M78" i="105"/>
  <c r="M79" i="105" s="1"/>
  <c r="O77" i="105"/>
  <c r="P77" i="105"/>
  <c r="J83" i="95"/>
  <c r="J78" i="95"/>
  <c r="J79" i="95" s="1"/>
  <c r="J83" i="74"/>
  <c r="K77" i="74" s="1"/>
  <c r="J78" i="74"/>
  <c r="J79" i="74" s="1"/>
  <c r="L83" i="106"/>
  <c r="L78" i="106"/>
  <c r="L79" i="106" s="1"/>
  <c r="J83" i="108"/>
  <c r="K77" i="108" s="1"/>
  <c r="J78" i="108"/>
  <c r="J79" i="108" s="1"/>
  <c r="J83" i="80"/>
  <c r="K77" i="80" s="1"/>
  <c r="J78" i="80"/>
  <c r="J79" i="80" s="1"/>
  <c r="J83" i="97"/>
  <c r="K77" i="97" s="1"/>
  <c r="J78" i="97"/>
  <c r="J79" i="97" s="1"/>
  <c r="J83" i="78"/>
  <c r="K77" i="78" s="1"/>
  <c r="J78" i="78"/>
  <c r="J79" i="78" s="1"/>
  <c r="J83" i="77"/>
  <c r="K77" i="77" s="1"/>
  <c r="J78" i="77"/>
  <c r="J79" i="77" s="1"/>
  <c r="J83" i="109"/>
  <c r="K77" i="109" s="1"/>
  <c r="J78" i="109"/>
  <c r="J79" i="109" s="1"/>
  <c r="K83" i="79"/>
  <c r="L83" i="79" s="1"/>
  <c r="M83" i="79" s="1"/>
  <c r="N83" i="79" s="1"/>
  <c r="K78" i="79"/>
  <c r="K79" i="79" s="1"/>
  <c r="O77" i="79"/>
  <c r="P77" i="79"/>
  <c r="J83" i="94"/>
  <c r="K77" i="94" s="1"/>
  <c r="J78" i="94"/>
  <c r="J79" i="94" s="1"/>
  <c r="I79" i="74"/>
  <c r="M61" i="94"/>
  <c r="I79" i="77"/>
  <c r="P153" i="81"/>
  <c r="O153" i="81"/>
  <c r="I156" i="81"/>
  <c r="O147" i="81"/>
  <c r="P147" i="81"/>
  <c r="F81" i="100"/>
  <c r="P120" i="81"/>
  <c r="O156" i="74"/>
  <c r="L68" i="110"/>
  <c r="L65" i="110"/>
  <c r="L70" i="110"/>
  <c r="L66" i="110"/>
  <c r="L72" i="110"/>
  <c r="L71" i="110"/>
  <c r="L73" i="110"/>
  <c r="L64" i="110"/>
  <c r="L69" i="110"/>
  <c r="L67" i="110"/>
  <c r="P152" i="89"/>
  <c r="O152" i="89"/>
  <c r="L61" i="93"/>
  <c r="M61" i="93" s="1"/>
  <c r="P156" i="87"/>
  <c r="O153" i="85"/>
  <c r="P153" i="85"/>
  <c r="F82" i="126"/>
  <c r="O80" i="126"/>
  <c r="O81" i="126" s="1"/>
  <c r="O156" i="95"/>
  <c r="O78" i="124"/>
  <c r="O14" i="95"/>
  <c r="R14" i="95" s="1"/>
  <c r="E27" i="122" s="1"/>
  <c r="O148" i="103"/>
  <c r="P148" i="103"/>
  <c r="L61" i="75"/>
  <c r="M61" i="75" s="1"/>
  <c r="N61" i="75" s="1"/>
  <c r="I79" i="109"/>
  <c r="I83" i="85"/>
  <c r="J77" i="85" s="1"/>
  <c r="I78" i="85"/>
  <c r="P156" i="77"/>
  <c r="P76" i="97"/>
  <c r="O76" i="97"/>
  <c r="L74" i="107"/>
  <c r="L61" i="77"/>
  <c r="M61" i="77" s="1"/>
  <c r="N61" i="77" s="1"/>
  <c r="O155" i="81"/>
  <c r="P155" i="81"/>
  <c r="J79" i="79"/>
  <c r="P78" i="79"/>
  <c r="O156" i="106"/>
  <c r="P156" i="98"/>
  <c r="H79" i="101"/>
  <c r="P156" i="104"/>
  <c r="O156" i="123"/>
  <c r="P153" i="89"/>
  <c r="O153" i="89"/>
  <c r="P77" i="129"/>
  <c r="I78" i="129"/>
  <c r="P156" i="78"/>
  <c r="F82" i="98"/>
  <c r="G82" i="98" s="1"/>
  <c r="H82" i="98" s="1"/>
  <c r="P65" i="108"/>
  <c r="O65" i="108"/>
  <c r="O68" i="108"/>
  <c r="P68" i="108"/>
  <c r="P120" i="85"/>
  <c r="P155" i="85"/>
  <c r="O155" i="85"/>
  <c r="P156" i="75"/>
  <c r="K61" i="89"/>
  <c r="I79" i="92"/>
  <c r="P156" i="128"/>
  <c r="O151" i="103"/>
  <c r="P151" i="103"/>
  <c r="BG13" i="133"/>
  <c r="L78" i="81"/>
  <c r="L83" i="81"/>
  <c r="M83" i="81" s="1"/>
  <c r="P77" i="81"/>
  <c r="P151" i="81"/>
  <c r="O151" i="81"/>
  <c r="I80" i="124"/>
  <c r="I81" i="124" s="1"/>
  <c r="P79" i="124"/>
  <c r="N77" i="88"/>
  <c r="N78" i="88" s="1"/>
  <c r="O76" i="88"/>
  <c r="K80" i="124"/>
  <c r="K81" i="124" s="1"/>
  <c r="P70" i="108"/>
  <c r="P156" i="125"/>
  <c r="P149" i="89"/>
  <c r="O149" i="89"/>
  <c r="P80" i="126"/>
  <c r="P156" i="100"/>
  <c r="I79" i="87"/>
  <c r="P156" i="102"/>
  <c r="P154" i="85"/>
  <c r="O154" i="85"/>
  <c r="P156" i="106"/>
  <c r="O156" i="76"/>
  <c r="M61" i="92"/>
  <c r="N61" i="92" s="1"/>
  <c r="I79" i="107"/>
  <c r="O156" i="93"/>
  <c r="K74" i="107"/>
  <c r="O156" i="88"/>
  <c r="O69" i="107"/>
  <c r="P70" i="107"/>
  <c r="I79" i="97"/>
  <c r="O156" i="90"/>
  <c r="O152" i="81"/>
  <c r="P152" i="81"/>
  <c r="O156" i="124"/>
  <c r="O69" i="108"/>
  <c r="BG18" i="133"/>
  <c r="J83" i="84"/>
  <c r="K77" i="84" s="1"/>
  <c r="J78" i="84"/>
  <c r="J79" i="84" s="1"/>
  <c r="P154" i="89"/>
  <c r="O154" i="89"/>
  <c r="I156" i="89"/>
  <c r="O147" i="89"/>
  <c r="P147" i="89"/>
  <c r="L61" i="78"/>
  <c r="O153" i="103"/>
  <c r="P153" i="103"/>
  <c r="O14" i="76"/>
  <c r="R14" i="76" s="1"/>
  <c r="E33" i="122" s="1"/>
  <c r="K74" i="110"/>
  <c r="J83" i="98"/>
  <c r="K83" i="98" s="1"/>
  <c r="L83" i="98" s="1"/>
  <c r="M83" i="98" s="1"/>
  <c r="N83" i="98" s="1"/>
  <c r="J78" i="98"/>
  <c r="P78" i="98" s="1"/>
  <c r="O77" i="99"/>
  <c r="K79" i="106"/>
  <c r="O120" i="81"/>
  <c r="T19" i="14"/>
  <c r="O156" i="92"/>
  <c r="F82" i="125"/>
  <c r="G82" i="125" s="1"/>
  <c r="H82" i="125" s="1"/>
  <c r="I82" i="125" s="1"/>
  <c r="J82" i="125" s="1"/>
  <c r="K82" i="125" s="1"/>
  <c r="L82" i="125" s="1"/>
  <c r="M82" i="125" s="1"/>
  <c r="N82" i="125" s="1"/>
  <c r="O80" i="125"/>
  <c r="O81" i="125" s="1"/>
  <c r="I79" i="95"/>
  <c r="O155" i="89"/>
  <c r="P155" i="89"/>
  <c r="I79" i="82"/>
  <c r="I79" i="78"/>
  <c r="J74" i="110"/>
  <c r="P156" i="101"/>
  <c r="O156" i="101"/>
  <c r="J91" i="2"/>
  <c r="J81" i="2"/>
  <c r="J95" i="2" s="1"/>
  <c r="J78" i="2"/>
  <c r="J83" i="90"/>
  <c r="K83" i="90" s="1"/>
  <c r="L83" i="90" s="1"/>
  <c r="M83" i="90" s="1"/>
  <c r="N83" i="90" s="1"/>
  <c r="J78" i="90"/>
  <c r="J79" i="90" s="1"/>
  <c r="P150" i="103"/>
  <c r="O150" i="103"/>
  <c r="J83" i="75"/>
  <c r="K77" i="75" s="1"/>
  <c r="J78" i="75"/>
  <c r="J79" i="75" s="1"/>
  <c r="O156" i="105"/>
  <c r="Q13" i="119"/>
  <c r="N76" i="110"/>
  <c r="O14" i="110"/>
  <c r="R14" i="110" s="1"/>
  <c r="E50" i="122" s="1"/>
  <c r="N76" i="81"/>
  <c r="O14" i="81"/>
  <c r="R14" i="81" s="1"/>
  <c r="E38" i="122" s="1"/>
  <c r="P150" i="81"/>
  <c r="O150" i="81"/>
  <c r="O156" i="84"/>
  <c r="O156" i="98"/>
  <c r="P78" i="91"/>
  <c r="O78" i="91"/>
  <c r="L79" i="91"/>
  <c r="P77" i="101"/>
  <c r="I83" i="101"/>
  <c r="J83" i="101" s="1"/>
  <c r="K83" i="101" s="1"/>
  <c r="L83" i="101" s="1"/>
  <c r="M83" i="101" s="1"/>
  <c r="N83" i="101" s="1"/>
  <c r="I78" i="101"/>
  <c r="O156" i="104"/>
  <c r="M80" i="9"/>
  <c r="M81" i="9" s="1"/>
  <c r="O79" i="9"/>
  <c r="P79" i="9"/>
  <c r="M61" i="82"/>
  <c r="N61" i="82" s="1"/>
  <c r="F79" i="129"/>
  <c r="O156" i="78"/>
  <c r="E19" i="14"/>
  <c r="P19" i="14" s="1"/>
  <c r="O71" i="108"/>
  <c r="P67" i="108"/>
  <c r="O67" i="108"/>
  <c r="P148" i="85"/>
  <c r="O148" i="85"/>
  <c r="O156" i="75"/>
  <c r="I83" i="89"/>
  <c r="J77" i="89" s="1"/>
  <c r="I78" i="89"/>
  <c r="L61" i="80"/>
  <c r="O156" i="128"/>
  <c r="P156" i="82"/>
  <c r="K91" i="2"/>
  <c r="K81" i="2"/>
  <c r="K95" i="2" s="1"/>
  <c r="K78" i="2"/>
  <c r="O155" i="103"/>
  <c r="P155" i="103"/>
  <c r="N77" i="78"/>
  <c r="N78" i="78" s="1"/>
  <c r="N79" i="78" s="1"/>
  <c r="O76" i="78"/>
  <c r="I79" i="108"/>
  <c r="I82" i="88"/>
  <c r="J82" i="88" s="1"/>
  <c r="K82" i="88" s="1"/>
  <c r="O12" i="119"/>
  <c r="O13" i="119" s="1"/>
  <c r="T28" i="119"/>
  <c r="T29" i="119" s="1"/>
  <c r="P156" i="97"/>
  <c r="P151" i="89"/>
  <c r="O151" i="89"/>
  <c r="J83" i="96"/>
  <c r="K77" i="96" s="1"/>
  <c r="J78" i="96"/>
  <c r="J79" i="96" s="1"/>
  <c r="O156" i="100"/>
  <c r="P150" i="85"/>
  <c r="O150" i="85"/>
  <c r="P156" i="76"/>
  <c r="F80" i="89"/>
  <c r="F81" i="89" s="1"/>
  <c r="O156" i="94"/>
  <c r="P71" i="107"/>
  <c r="I74" i="107"/>
  <c r="P64" i="107"/>
  <c r="O64" i="107"/>
  <c r="P72" i="107"/>
  <c r="BG15" i="133"/>
  <c r="P156" i="80"/>
  <c r="J83" i="86"/>
  <c r="K77" i="86" s="1"/>
  <c r="J78" i="86"/>
  <c r="J79" i="86" s="1"/>
  <c r="M61" i="74"/>
  <c r="N61" i="74" s="1"/>
  <c r="O154" i="81"/>
  <c r="P154" i="81"/>
  <c r="AY30" i="133"/>
  <c r="J70" i="109"/>
  <c r="J73" i="109"/>
  <c r="J72" i="109"/>
  <c r="J65" i="109"/>
  <c r="J66" i="109"/>
  <c r="J69" i="109"/>
  <c r="J71" i="109"/>
  <c r="J64" i="109"/>
  <c r="J67" i="109"/>
  <c r="J68" i="109"/>
  <c r="I79" i="84"/>
  <c r="O120" i="89"/>
  <c r="I79" i="93"/>
  <c r="J83" i="102"/>
  <c r="K83" i="102" s="1"/>
  <c r="L83" i="102" s="1"/>
  <c r="M83" i="102" s="1"/>
  <c r="N83" i="102" s="1"/>
  <c r="J78" i="102"/>
  <c r="J79" i="102" s="1"/>
  <c r="G82" i="126"/>
  <c r="H82" i="126" s="1"/>
  <c r="I82" i="126" s="1"/>
  <c r="J82" i="126" s="1"/>
  <c r="K82" i="126" s="1"/>
  <c r="L82" i="126" s="1"/>
  <c r="M82" i="126" s="1"/>
  <c r="N82" i="126" s="1"/>
  <c r="I79" i="90"/>
  <c r="P120" i="103"/>
  <c r="O156" i="127"/>
  <c r="BJ12" i="133"/>
  <c r="BJ26" i="133" s="1"/>
  <c r="P76" i="76"/>
  <c r="AZ27" i="133"/>
  <c r="O77" i="98"/>
  <c r="I79" i="99"/>
  <c r="G82" i="127"/>
  <c r="H82" i="127" s="1"/>
  <c r="I82" i="127" s="1"/>
  <c r="J82" i="127" s="1"/>
  <c r="K82" i="127" s="1"/>
  <c r="L82" i="127" s="1"/>
  <c r="M82" i="127" s="1"/>
  <c r="N82" i="127" s="1"/>
  <c r="G81" i="127"/>
  <c r="F82" i="101"/>
  <c r="G82" i="101" s="1"/>
  <c r="P156" i="86"/>
  <c r="O156" i="91"/>
  <c r="F80" i="128"/>
  <c r="F81" i="128" s="1"/>
  <c r="O149" i="85"/>
  <c r="P149" i="85"/>
  <c r="N80" i="124"/>
  <c r="N81" i="124" s="1"/>
  <c r="M80" i="124"/>
  <c r="M81" i="124" s="1"/>
  <c r="M74" i="107"/>
  <c r="I79" i="80"/>
  <c r="N77" i="95"/>
  <c r="N78" i="95" s="1"/>
  <c r="N79" i="95" s="1"/>
  <c r="O76" i="95"/>
  <c r="G80" i="89"/>
  <c r="G81" i="89" s="1"/>
  <c r="I83" i="100"/>
  <c r="J77" i="100" s="1"/>
  <c r="P77" i="100" s="1"/>
  <c r="I78" i="100"/>
  <c r="K74" i="109"/>
  <c r="O156" i="125"/>
  <c r="L79" i="2"/>
  <c r="L147" i="2"/>
  <c r="O156" i="86"/>
  <c r="P156" i="84"/>
  <c r="O78" i="104"/>
  <c r="P78" i="104"/>
  <c r="J79" i="104"/>
  <c r="O66" i="108"/>
  <c r="P66" i="108"/>
  <c r="I156" i="85"/>
  <c r="P147" i="85"/>
  <c r="O147" i="85"/>
  <c r="J83" i="76"/>
  <c r="K77" i="76" s="1"/>
  <c r="J78" i="76"/>
  <c r="J79" i="76" s="1"/>
  <c r="L79" i="105"/>
  <c r="P78" i="105"/>
  <c r="I144" i="2"/>
  <c r="N142" i="2"/>
  <c r="H26" i="133"/>
  <c r="H27" i="133" s="1"/>
  <c r="AY12" i="133"/>
  <c r="AY26" i="133" s="1"/>
  <c r="AY27" i="133" s="1"/>
  <c r="O156" i="80"/>
  <c r="O156" i="97"/>
  <c r="P156" i="99"/>
  <c r="I79" i="96"/>
  <c r="O156" i="126"/>
  <c r="F82" i="99"/>
  <c r="G82" i="99" s="1"/>
  <c r="H82" i="99" s="1"/>
  <c r="P149" i="103"/>
  <c r="O149" i="103"/>
  <c r="J83" i="107"/>
  <c r="K77" i="107" s="1"/>
  <c r="J78" i="107"/>
  <c r="J79" i="107" s="1"/>
  <c r="O156" i="129"/>
  <c r="L70" i="109"/>
  <c r="L73" i="109"/>
  <c r="L71" i="109"/>
  <c r="L67" i="109"/>
  <c r="L66" i="109"/>
  <c r="L64" i="109"/>
  <c r="L65" i="109"/>
  <c r="L68" i="109"/>
  <c r="L69" i="109"/>
  <c r="L72" i="109"/>
  <c r="L61" i="97"/>
  <c r="M61" i="97" s="1"/>
  <c r="N61" i="97" s="1"/>
  <c r="P66" i="107"/>
  <c r="O66" i="107"/>
  <c r="P65" i="107"/>
  <c r="O65" i="107"/>
  <c r="P73" i="107"/>
  <c r="I79" i="94"/>
  <c r="I79" i="86"/>
  <c r="P156" i="94"/>
  <c r="O156" i="96"/>
  <c r="L80" i="124"/>
  <c r="L81" i="124" s="1"/>
  <c r="P120" i="89"/>
  <c r="P78" i="83"/>
  <c r="O78" i="83"/>
  <c r="J79" i="83"/>
  <c r="O152" i="85"/>
  <c r="P152" i="85"/>
  <c r="J31" i="119"/>
  <c r="P77" i="90"/>
  <c r="O120" i="103"/>
  <c r="M147" i="2"/>
  <c r="M79" i="2"/>
  <c r="I79" i="75"/>
  <c r="P156" i="127"/>
  <c r="O76" i="76"/>
  <c r="O77" i="101"/>
  <c r="I79" i="98"/>
  <c r="I83" i="110"/>
  <c r="J77" i="110" s="1"/>
  <c r="I78" i="110"/>
  <c r="M74" i="109"/>
  <c r="F82" i="102"/>
  <c r="G82" i="102" s="1"/>
  <c r="H82" i="102" s="1"/>
  <c r="J83" i="93"/>
  <c r="K77" i="93" s="1"/>
  <c r="J78" i="93"/>
  <c r="J79" i="93" s="1"/>
  <c r="O156" i="87"/>
  <c r="P156" i="105"/>
  <c r="P76" i="95"/>
  <c r="P152" i="103"/>
  <c r="O152" i="103"/>
  <c r="K61" i="85"/>
  <c r="O156" i="77"/>
  <c r="N61" i="106"/>
  <c r="M77" i="106"/>
  <c r="I83" i="103"/>
  <c r="J83" i="103" s="1"/>
  <c r="K83" i="103" s="1"/>
  <c r="L83" i="103" s="1"/>
  <c r="M83" i="103" s="1"/>
  <c r="N83" i="103" s="1"/>
  <c r="O77" i="103"/>
  <c r="P77" i="103"/>
  <c r="I78" i="103"/>
  <c r="P148" i="81"/>
  <c r="O148" i="81"/>
  <c r="L61" i="95"/>
  <c r="M61" i="95" s="1"/>
  <c r="N61" i="95" s="1"/>
  <c r="K77" i="95"/>
  <c r="P156" i="123"/>
  <c r="O150" i="89"/>
  <c r="P150" i="89"/>
  <c r="O77" i="129"/>
  <c r="G83" i="129"/>
  <c r="H83" i="129" s="1"/>
  <c r="I83" i="129" s="1"/>
  <c r="J83" i="129" s="1"/>
  <c r="K83" i="129" s="1"/>
  <c r="L83" i="129" s="1"/>
  <c r="M83" i="129" s="1"/>
  <c r="N83" i="129" s="1"/>
  <c r="G78" i="129"/>
  <c r="G79" i="129" s="1"/>
  <c r="BI12" i="133"/>
  <c r="BI26" i="133" s="1"/>
  <c r="I80" i="81"/>
  <c r="I81" i="81" s="1"/>
  <c r="J80" i="81"/>
  <c r="J81" i="81" s="1"/>
  <c r="I74" i="108"/>
  <c r="I75" i="108" s="1"/>
  <c r="O64" i="108"/>
  <c r="O120" i="85"/>
  <c r="H80" i="89"/>
  <c r="H81" i="89" s="1"/>
  <c r="I79" i="76"/>
  <c r="P76" i="81"/>
  <c r="N80" i="9"/>
  <c r="N81" i="9" s="1"/>
  <c r="P149" i="81"/>
  <c r="O149" i="81"/>
  <c r="P156" i="95"/>
  <c r="O156" i="9"/>
  <c r="O156" i="99"/>
  <c r="P148" i="89"/>
  <c r="O148" i="89"/>
  <c r="P156" i="126"/>
  <c r="J83" i="87"/>
  <c r="K77" i="87" s="1"/>
  <c r="J78" i="87"/>
  <c r="J79" i="87" s="1"/>
  <c r="P154" i="103"/>
  <c r="O154" i="103"/>
  <c r="BG16" i="133"/>
  <c r="P156" i="93"/>
  <c r="P156" i="129"/>
  <c r="P156" i="88"/>
  <c r="I59" i="110"/>
  <c r="I60" i="110"/>
  <c r="J60" i="110" s="1"/>
  <c r="K60" i="110" s="1"/>
  <c r="L60" i="110" s="1"/>
  <c r="M60" i="110" s="1"/>
  <c r="N60" i="110" s="1"/>
  <c r="O57" i="110"/>
  <c r="O59" i="110" s="1"/>
  <c r="P57" i="110"/>
  <c r="O68" i="107"/>
  <c r="P68" i="107"/>
  <c r="P67" i="107"/>
  <c r="O67" i="107"/>
  <c r="O156" i="102"/>
  <c r="P156" i="90"/>
  <c r="P156" i="124"/>
  <c r="P156" i="96"/>
  <c r="BK12" i="133"/>
  <c r="BK26" i="133" s="1"/>
  <c r="P78" i="128"/>
  <c r="I79" i="128"/>
  <c r="J80" i="128" s="1"/>
  <c r="J81" i="128" s="1"/>
  <c r="I79" i="102"/>
  <c r="O78" i="102"/>
  <c r="J75" i="107"/>
  <c r="F20" i="14"/>
  <c r="Q20" i="14" s="1"/>
  <c r="O151" i="85"/>
  <c r="P151" i="85"/>
  <c r="F82" i="124"/>
  <c r="G82" i="124" s="1"/>
  <c r="H80" i="124" s="1"/>
  <c r="I135" i="2"/>
  <c r="N134" i="2"/>
  <c r="O77" i="90"/>
  <c r="I156" i="103"/>
  <c r="O147" i="103"/>
  <c r="P147" i="103"/>
  <c r="S29" i="119"/>
  <c r="J8" i="131" s="1"/>
  <c r="BC27" i="133" s="1"/>
  <c r="S12" i="119"/>
  <c r="S13" i="119" s="1"/>
  <c r="L79" i="88"/>
  <c r="P78" i="88"/>
  <c r="N77" i="97"/>
  <c r="N78" i="97" s="1"/>
  <c r="N79" i="97" s="1"/>
  <c r="J83" i="99"/>
  <c r="K83" i="99" s="1"/>
  <c r="L83" i="99" s="1"/>
  <c r="M83" i="99" s="1"/>
  <c r="N83" i="99" s="1"/>
  <c r="J78" i="99"/>
  <c r="O78" i="79" l="1"/>
  <c r="O74" i="108"/>
  <c r="O78" i="105"/>
  <c r="O76" i="87"/>
  <c r="P81" i="126"/>
  <c r="M82" i="9"/>
  <c r="P78" i="102"/>
  <c r="O78" i="90"/>
  <c r="P78" i="90"/>
  <c r="O156" i="103"/>
  <c r="N79" i="88"/>
  <c r="O79" i="88" s="1"/>
  <c r="O78" i="88"/>
  <c r="O77" i="100"/>
  <c r="L74" i="110"/>
  <c r="H81" i="100"/>
  <c r="K19" i="14"/>
  <c r="P74" i="108"/>
  <c r="P75" i="108" s="1"/>
  <c r="H82" i="124"/>
  <c r="I82" i="124" s="1"/>
  <c r="J82" i="124" s="1"/>
  <c r="K82" i="124" s="1"/>
  <c r="L82" i="124" s="1"/>
  <c r="M82" i="124" s="1"/>
  <c r="N82" i="124" s="1"/>
  <c r="O80" i="124"/>
  <c r="O81" i="124" s="1"/>
  <c r="H81" i="124"/>
  <c r="K83" i="93"/>
  <c r="L77" i="93" s="1"/>
  <c r="K78" i="93"/>
  <c r="K79" i="93" s="1"/>
  <c r="K83" i="75"/>
  <c r="L77" i="75" s="1"/>
  <c r="K78" i="75"/>
  <c r="J83" i="89"/>
  <c r="J78" i="89"/>
  <c r="J79" i="89" s="1"/>
  <c r="J79" i="99"/>
  <c r="N80" i="99" s="1"/>
  <c r="N81" i="99" s="1"/>
  <c r="O78" i="99"/>
  <c r="O75" i="108"/>
  <c r="I79" i="110"/>
  <c r="L80" i="88"/>
  <c r="P79" i="88"/>
  <c r="M80" i="88"/>
  <c r="M81" i="88" s="1"/>
  <c r="P156" i="103"/>
  <c r="M80" i="128"/>
  <c r="M81" i="128" s="1"/>
  <c r="I82" i="81"/>
  <c r="J82" i="81" s="1"/>
  <c r="K82" i="81" s="1"/>
  <c r="J83" i="85"/>
  <c r="J78" i="85"/>
  <c r="J79" i="85" s="1"/>
  <c r="M75" i="109"/>
  <c r="I17" i="14"/>
  <c r="T17" i="14" s="1"/>
  <c r="T39" i="14" s="1"/>
  <c r="M81" i="2"/>
  <c r="M95" i="2" s="1"/>
  <c r="M91" i="2"/>
  <c r="M78" i="2"/>
  <c r="N80" i="128"/>
  <c r="N81" i="128" s="1"/>
  <c r="I79" i="100"/>
  <c r="J74" i="109"/>
  <c r="K83" i="86"/>
  <c r="L77" i="86" s="1"/>
  <c r="K78" i="86"/>
  <c r="O74" i="107"/>
  <c r="L19" i="134"/>
  <c r="L20" i="134"/>
  <c r="L31" i="134" s="1"/>
  <c r="K92" i="2"/>
  <c r="K83" i="80"/>
  <c r="K78" i="80"/>
  <c r="I79" i="101"/>
  <c r="J80" i="101" s="1"/>
  <c r="J81" i="101" s="1"/>
  <c r="P78" i="101"/>
  <c r="O76" i="81"/>
  <c r="N77" i="81"/>
  <c r="J56" i="105"/>
  <c r="J57" i="105" s="1"/>
  <c r="J59" i="105" s="1"/>
  <c r="J56" i="80"/>
  <c r="J57" i="80" s="1"/>
  <c r="J56" i="102"/>
  <c r="J57" i="102" s="1"/>
  <c r="J56" i="74"/>
  <c r="J57" i="74" s="1"/>
  <c r="J56" i="86"/>
  <c r="J57" i="86" s="1"/>
  <c r="J56" i="9"/>
  <c r="J57" i="9" s="1"/>
  <c r="J59" i="9" s="1"/>
  <c r="J56" i="101"/>
  <c r="J57" i="101" s="1"/>
  <c r="J56" i="96"/>
  <c r="J57" i="96" s="1"/>
  <c r="J56" i="84"/>
  <c r="J57" i="84" s="1"/>
  <c r="J56" i="126"/>
  <c r="J57" i="126" s="1"/>
  <c r="J59" i="126" s="1"/>
  <c r="J56" i="88"/>
  <c r="J57" i="88" s="1"/>
  <c r="J59" i="88" s="1"/>
  <c r="J56" i="85"/>
  <c r="J57" i="85" s="1"/>
  <c r="J56" i="103"/>
  <c r="J57" i="103" s="1"/>
  <c r="J56" i="97"/>
  <c r="J57" i="97" s="1"/>
  <c r="J56" i="127"/>
  <c r="J57" i="127" s="1"/>
  <c r="J59" i="127" s="1"/>
  <c r="J56" i="81"/>
  <c r="J57" i="81" s="1"/>
  <c r="J59" i="81" s="1"/>
  <c r="J56" i="95"/>
  <c r="J57" i="95" s="1"/>
  <c r="J56" i="100"/>
  <c r="J57" i="100" s="1"/>
  <c r="J56" i="89"/>
  <c r="J57" i="89" s="1"/>
  <c r="J56" i="93"/>
  <c r="J57" i="93" s="1"/>
  <c r="J56" i="98"/>
  <c r="J57" i="98" s="1"/>
  <c r="J56" i="79"/>
  <c r="J57" i="79" s="1"/>
  <c r="J59" i="79" s="1"/>
  <c r="J56" i="106"/>
  <c r="J57" i="106" s="1"/>
  <c r="J59" i="106" s="1"/>
  <c r="J56" i="125"/>
  <c r="J57" i="125" s="1"/>
  <c r="J59" i="125" s="1"/>
  <c r="J56" i="99"/>
  <c r="J57" i="99" s="1"/>
  <c r="J56" i="91"/>
  <c r="J57" i="91" s="1"/>
  <c r="J59" i="91" s="1"/>
  <c r="J56" i="94"/>
  <c r="J57" i="94" s="1"/>
  <c r="J56" i="76"/>
  <c r="J57" i="76" s="1"/>
  <c r="J56" i="82"/>
  <c r="J57" i="82" s="1"/>
  <c r="J56" i="77"/>
  <c r="J57" i="77" s="1"/>
  <c r="J56" i="90"/>
  <c r="J57" i="90" s="1"/>
  <c r="J56" i="104"/>
  <c r="J57" i="104" s="1"/>
  <c r="J59" i="104" s="1"/>
  <c r="J56" i="75"/>
  <c r="J57" i="75" s="1"/>
  <c r="J56" i="78"/>
  <c r="J57" i="78" s="1"/>
  <c r="J56" i="121"/>
  <c r="J57" i="121" s="1"/>
  <c r="J59" i="121" s="1"/>
  <c r="J56" i="124"/>
  <c r="J57" i="124" s="1"/>
  <c r="J59" i="124" s="1"/>
  <c r="J56" i="128"/>
  <c r="J57" i="128" s="1"/>
  <c r="J59" i="128" s="1"/>
  <c r="J56" i="92"/>
  <c r="J57" i="92" s="1"/>
  <c r="J56" i="129"/>
  <c r="J57" i="129" s="1"/>
  <c r="J59" i="129" s="1"/>
  <c r="J56" i="83"/>
  <c r="J57" i="83" s="1"/>
  <c r="J59" i="83" s="1"/>
  <c r="J56" i="87"/>
  <c r="J57" i="87" s="1"/>
  <c r="J56" i="123"/>
  <c r="J57" i="123" s="1"/>
  <c r="J59" i="123" s="1"/>
  <c r="J75" i="110"/>
  <c r="F18" i="14"/>
  <c r="Q18" i="14" s="1"/>
  <c r="Q40" i="14" s="1"/>
  <c r="K75" i="110"/>
  <c r="G18" i="14"/>
  <c r="R18" i="14" s="1"/>
  <c r="R40" i="14" s="1"/>
  <c r="K83" i="78"/>
  <c r="K78" i="78"/>
  <c r="K83" i="84"/>
  <c r="L77" i="84" s="1"/>
  <c r="K78" i="84"/>
  <c r="L80" i="128"/>
  <c r="L81" i="128" s="1"/>
  <c r="N83" i="88"/>
  <c r="O77" i="88"/>
  <c r="O78" i="101"/>
  <c r="K83" i="92"/>
  <c r="L77" i="92" s="1"/>
  <c r="K78" i="92"/>
  <c r="I70" i="110"/>
  <c r="I65" i="110"/>
  <c r="I67" i="110"/>
  <c r="I66" i="110"/>
  <c r="I72" i="110"/>
  <c r="I68" i="110"/>
  <c r="I69" i="110"/>
  <c r="I73" i="110"/>
  <c r="I71" i="110"/>
  <c r="I64" i="110"/>
  <c r="K83" i="95"/>
  <c r="L77" i="95" s="1"/>
  <c r="K78" i="95"/>
  <c r="P78" i="103"/>
  <c r="I79" i="103"/>
  <c r="O78" i="103"/>
  <c r="M83" i="106"/>
  <c r="N83" i="106" s="1"/>
  <c r="M78" i="106"/>
  <c r="L61" i="85"/>
  <c r="M61" i="85" s="1"/>
  <c r="K77" i="85"/>
  <c r="L74" i="109"/>
  <c r="P79" i="105"/>
  <c r="O79" i="105"/>
  <c r="N80" i="105"/>
  <c r="N81" i="105" s="1"/>
  <c r="O156" i="85"/>
  <c r="N82" i="9"/>
  <c r="O79" i="128"/>
  <c r="P78" i="99"/>
  <c r="O79" i="90"/>
  <c r="P79" i="90"/>
  <c r="K80" i="90"/>
  <c r="K81" i="90" s="1"/>
  <c r="M80" i="90"/>
  <c r="M81" i="90" s="1"/>
  <c r="N80" i="90"/>
  <c r="N81" i="90" s="1"/>
  <c r="L80" i="90"/>
  <c r="L81" i="90" s="1"/>
  <c r="P74" i="107"/>
  <c r="P75" i="107" s="1"/>
  <c r="L82" i="88"/>
  <c r="M82" i="88" s="1"/>
  <c r="I80" i="108"/>
  <c r="I81" i="108" s="1"/>
  <c r="I79" i="89"/>
  <c r="O78" i="129"/>
  <c r="O156" i="81"/>
  <c r="K20" i="134"/>
  <c r="K31" i="134" s="1"/>
  <c r="K19" i="134"/>
  <c r="J92" i="2"/>
  <c r="M61" i="78"/>
  <c r="L77" i="78"/>
  <c r="I79" i="129"/>
  <c r="O79" i="129" s="1"/>
  <c r="P78" i="129"/>
  <c r="H80" i="101"/>
  <c r="H81" i="101" s="1"/>
  <c r="N80" i="101"/>
  <c r="N81" i="101" s="1"/>
  <c r="L80" i="101"/>
  <c r="L81" i="101" s="1"/>
  <c r="I79" i="85"/>
  <c r="K83" i="94"/>
  <c r="L77" i="94" s="1"/>
  <c r="K78" i="94"/>
  <c r="K83" i="108"/>
  <c r="L77" i="108" s="1"/>
  <c r="K78" i="108"/>
  <c r="K83" i="74"/>
  <c r="L77" i="74" s="1"/>
  <c r="K78" i="74"/>
  <c r="K80" i="128"/>
  <c r="K81" i="128" s="1"/>
  <c r="K83" i="82"/>
  <c r="L77" i="82" s="1"/>
  <c r="K78" i="82"/>
  <c r="I137" i="2"/>
  <c r="N135" i="2"/>
  <c r="I24" i="132"/>
  <c r="I51" i="132" s="1"/>
  <c r="I53" i="132" s="1"/>
  <c r="Q42" i="14"/>
  <c r="P79" i="102"/>
  <c r="K80" i="102"/>
  <c r="K81" i="102" s="1"/>
  <c r="N80" i="102"/>
  <c r="N81" i="102" s="1"/>
  <c r="L80" i="102"/>
  <c r="L81" i="102" s="1"/>
  <c r="O79" i="102"/>
  <c r="M80" i="102"/>
  <c r="M81" i="102" s="1"/>
  <c r="K83" i="87"/>
  <c r="L83" i="87" s="1"/>
  <c r="M77" i="87" s="1"/>
  <c r="O77" i="87" s="1"/>
  <c r="K78" i="87"/>
  <c r="K79" i="87" s="1"/>
  <c r="H80" i="129"/>
  <c r="H81" i="129" s="1"/>
  <c r="J83" i="110"/>
  <c r="K77" i="110" s="1"/>
  <c r="J78" i="110"/>
  <c r="J79" i="110" s="1"/>
  <c r="K83" i="107"/>
  <c r="L77" i="107" s="1"/>
  <c r="K78" i="107"/>
  <c r="K79" i="107" s="1"/>
  <c r="I145" i="2"/>
  <c r="I87" i="2" s="1"/>
  <c r="N144" i="2"/>
  <c r="N145" i="2" s="1"/>
  <c r="P156" i="85"/>
  <c r="P79" i="104"/>
  <c r="O79" i="104"/>
  <c r="N80" i="104"/>
  <c r="N81" i="104" s="1"/>
  <c r="M80" i="104"/>
  <c r="M81" i="104" s="1"/>
  <c r="L80" i="104"/>
  <c r="L81" i="104" s="1"/>
  <c r="K80" i="104"/>
  <c r="K81" i="104" s="1"/>
  <c r="BG12" i="133"/>
  <c r="BG26" i="133" s="1"/>
  <c r="G17" i="14"/>
  <c r="R17" i="14" s="1"/>
  <c r="R39" i="14" s="1"/>
  <c r="K75" i="109"/>
  <c r="J83" i="100"/>
  <c r="K83" i="100" s="1"/>
  <c r="L83" i="100" s="1"/>
  <c r="M83" i="100" s="1"/>
  <c r="N83" i="100" s="1"/>
  <c r="J78" i="100"/>
  <c r="J79" i="100" s="1"/>
  <c r="M75" i="107"/>
  <c r="I20" i="14"/>
  <c r="T20" i="14" s="1"/>
  <c r="P59" i="110"/>
  <c r="I75" i="107"/>
  <c r="E20" i="14"/>
  <c r="H28" i="132"/>
  <c r="H26" i="132" s="1"/>
  <c r="V19" i="14"/>
  <c r="P41" i="14"/>
  <c r="F80" i="129"/>
  <c r="F81" i="129" s="1"/>
  <c r="O80" i="9"/>
  <c r="O81" i="9" s="1"/>
  <c r="P80" i="9"/>
  <c r="J79" i="98"/>
  <c r="O79" i="98" s="1"/>
  <c r="O78" i="98"/>
  <c r="P156" i="89"/>
  <c r="K75" i="107"/>
  <c r="G20" i="14"/>
  <c r="R20" i="14" s="1"/>
  <c r="I80" i="107"/>
  <c r="L79" i="81"/>
  <c r="P78" i="81"/>
  <c r="P79" i="79"/>
  <c r="O79" i="79"/>
  <c r="L80" i="79"/>
  <c r="L81" i="79" s="1"/>
  <c r="M80" i="79"/>
  <c r="M81" i="79" s="1"/>
  <c r="N80" i="79"/>
  <c r="N81" i="79" s="1"/>
  <c r="K83" i="77"/>
  <c r="L77" i="77" s="1"/>
  <c r="K78" i="77"/>
  <c r="N61" i="93"/>
  <c r="K83" i="109"/>
  <c r="L77" i="109" s="1"/>
  <c r="K78" i="109"/>
  <c r="O77" i="106"/>
  <c r="P79" i="128"/>
  <c r="I80" i="128"/>
  <c r="O79" i="83"/>
  <c r="P79" i="83"/>
  <c r="L80" i="83"/>
  <c r="L81" i="83" s="1"/>
  <c r="K80" i="83"/>
  <c r="K81" i="83" s="1"/>
  <c r="N80" i="83"/>
  <c r="N81" i="83" s="1"/>
  <c r="M80" i="83"/>
  <c r="M81" i="83" s="1"/>
  <c r="K83" i="97"/>
  <c r="L77" i="97" s="1"/>
  <c r="K78" i="97"/>
  <c r="K83" i="76"/>
  <c r="L77" i="76" s="1"/>
  <c r="K78" i="76"/>
  <c r="L81" i="2"/>
  <c r="L95" i="2" s="1"/>
  <c r="L91" i="2"/>
  <c r="L78" i="2"/>
  <c r="F82" i="128"/>
  <c r="G80" i="128" s="1"/>
  <c r="F82" i="89"/>
  <c r="G82" i="89" s="1"/>
  <c r="H82" i="89" s="1"/>
  <c r="K83" i="96"/>
  <c r="L77" i="96" s="1"/>
  <c r="K78" i="96"/>
  <c r="T12" i="119"/>
  <c r="T13" i="119" s="1"/>
  <c r="K56" i="121"/>
  <c r="K57" i="121" s="1"/>
  <c r="K59" i="121" s="1"/>
  <c r="K56" i="106"/>
  <c r="K57" i="106" s="1"/>
  <c r="K59" i="106" s="1"/>
  <c r="K56" i="126"/>
  <c r="K57" i="126" s="1"/>
  <c r="K59" i="126" s="1"/>
  <c r="K56" i="82"/>
  <c r="K57" i="82" s="1"/>
  <c r="K59" i="82" s="1"/>
  <c r="K56" i="129"/>
  <c r="K57" i="129" s="1"/>
  <c r="K59" i="129" s="1"/>
  <c r="K56" i="9"/>
  <c r="K57" i="9" s="1"/>
  <c r="K59" i="9" s="1"/>
  <c r="K56" i="86"/>
  <c r="K57" i="86" s="1"/>
  <c r="K59" i="86" s="1"/>
  <c r="K56" i="77"/>
  <c r="K57" i="77" s="1"/>
  <c r="K59" i="77" s="1"/>
  <c r="K56" i="75"/>
  <c r="K57" i="75" s="1"/>
  <c r="K59" i="75" s="1"/>
  <c r="K56" i="91"/>
  <c r="K57" i="91" s="1"/>
  <c r="K59" i="91" s="1"/>
  <c r="K56" i="74"/>
  <c r="K57" i="74" s="1"/>
  <c r="K59" i="74" s="1"/>
  <c r="K56" i="88"/>
  <c r="K57" i="88" s="1"/>
  <c r="K59" i="88" s="1"/>
  <c r="K56" i="123"/>
  <c r="K57" i="123" s="1"/>
  <c r="K56" i="101"/>
  <c r="K57" i="101" s="1"/>
  <c r="K59" i="101" s="1"/>
  <c r="K56" i="90"/>
  <c r="K57" i="90" s="1"/>
  <c r="K59" i="90" s="1"/>
  <c r="K56" i="95"/>
  <c r="K57" i="95" s="1"/>
  <c r="K59" i="95" s="1"/>
  <c r="K56" i="128"/>
  <c r="K57" i="128" s="1"/>
  <c r="K59" i="128" s="1"/>
  <c r="K56" i="99"/>
  <c r="K57" i="99" s="1"/>
  <c r="K59" i="99" s="1"/>
  <c r="K56" i="87"/>
  <c r="K57" i="87" s="1"/>
  <c r="K56" i="85"/>
  <c r="K57" i="85" s="1"/>
  <c r="K59" i="85" s="1"/>
  <c r="K56" i="96"/>
  <c r="K57" i="96" s="1"/>
  <c r="K56" i="97"/>
  <c r="K57" i="97" s="1"/>
  <c r="K59" i="97" s="1"/>
  <c r="K56" i="76"/>
  <c r="K57" i="76" s="1"/>
  <c r="K56" i="102"/>
  <c r="K57" i="102" s="1"/>
  <c r="K59" i="102" s="1"/>
  <c r="K56" i="125"/>
  <c r="K57" i="125" s="1"/>
  <c r="K56" i="100"/>
  <c r="K57" i="100" s="1"/>
  <c r="K59" i="100" s="1"/>
  <c r="K56" i="127"/>
  <c r="K57" i="127" s="1"/>
  <c r="K59" i="127" s="1"/>
  <c r="K56" i="89"/>
  <c r="K57" i="89" s="1"/>
  <c r="K59" i="89" s="1"/>
  <c r="K56" i="104"/>
  <c r="K57" i="104" s="1"/>
  <c r="K56" i="78"/>
  <c r="K57" i="78" s="1"/>
  <c r="K56" i="81"/>
  <c r="K57" i="81" s="1"/>
  <c r="K59" i="81" s="1"/>
  <c r="K56" i="98"/>
  <c r="K57" i="98" s="1"/>
  <c r="K59" i="98" s="1"/>
  <c r="K56" i="92"/>
  <c r="K57" i="92" s="1"/>
  <c r="K59" i="92" s="1"/>
  <c r="K56" i="124"/>
  <c r="K57" i="124" s="1"/>
  <c r="K56" i="83"/>
  <c r="K57" i="83" s="1"/>
  <c r="K56" i="93"/>
  <c r="K57" i="93" s="1"/>
  <c r="K59" i="93" s="1"/>
  <c r="K56" i="105"/>
  <c r="K57" i="105" s="1"/>
  <c r="K59" i="105" s="1"/>
  <c r="K56" i="79"/>
  <c r="K57" i="79" s="1"/>
  <c r="K56" i="94"/>
  <c r="K57" i="94" s="1"/>
  <c r="K59" i="94" s="1"/>
  <c r="K56" i="103"/>
  <c r="K57" i="103" s="1"/>
  <c r="K59" i="103" s="1"/>
  <c r="K56" i="80"/>
  <c r="K57" i="80" s="1"/>
  <c r="K59" i="80" s="1"/>
  <c r="K56" i="84"/>
  <c r="K57" i="84" s="1"/>
  <c r="K59" i="84" s="1"/>
  <c r="M61" i="80"/>
  <c r="N61" i="80" s="1"/>
  <c r="L77" i="80"/>
  <c r="K80" i="129"/>
  <c r="K81" i="129" s="1"/>
  <c r="O79" i="91"/>
  <c r="P79" i="91"/>
  <c r="N80" i="91"/>
  <c r="N81" i="91" s="1"/>
  <c r="M80" i="91"/>
  <c r="M81" i="91" s="1"/>
  <c r="N77" i="110"/>
  <c r="N78" i="110" s="1"/>
  <c r="N79" i="110" s="1"/>
  <c r="O76" i="110"/>
  <c r="L28" i="132"/>
  <c r="L26" i="132" s="1"/>
  <c r="T41" i="14"/>
  <c r="O156" i="89"/>
  <c r="N80" i="88"/>
  <c r="N81" i="88" s="1"/>
  <c r="P80" i="124"/>
  <c r="L61" i="89"/>
  <c r="M61" i="89" s="1"/>
  <c r="N61" i="89" s="1"/>
  <c r="K77" i="89"/>
  <c r="L75" i="107"/>
  <c r="H20" i="14"/>
  <c r="S20" i="14" s="1"/>
  <c r="H18" i="14"/>
  <c r="S18" i="14" s="1"/>
  <c r="S40" i="14" s="1"/>
  <c r="L75" i="110"/>
  <c r="P156" i="81"/>
  <c r="N61" i="94"/>
  <c r="P77" i="106"/>
  <c r="V41" i="14" l="1"/>
  <c r="P81" i="9"/>
  <c r="M80" i="99"/>
  <c r="M81" i="99" s="1"/>
  <c r="M80" i="101"/>
  <c r="M81" i="101" s="1"/>
  <c r="K80" i="101"/>
  <c r="K81" i="101" s="1"/>
  <c r="O79" i="101"/>
  <c r="L80" i="99"/>
  <c r="L81" i="99" s="1"/>
  <c r="P79" i="99"/>
  <c r="O79" i="99"/>
  <c r="K80" i="99"/>
  <c r="K81" i="99" s="1"/>
  <c r="P77" i="87"/>
  <c r="P80" i="128"/>
  <c r="K71" i="103"/>
  <c r="K70" i="103"/>
  <c r="K68" i="103"/>
  <c r="K69" i="103"/>
  <c r="K66" i="103"/>
  <c r="K64" i="103"/>
  <c r="K67" i="103"/>
  <c r="K65" i="103"/>
  <c r="K72" i="103"/>
  <c r="K73" i="103"/>
  <c r="K71" i="98"/>
  <c r="K66" i="98"/>
  <c r="K67" i="98"/>
  <c r="K73" i="98"/>
  <c r="K70" i="98"/>
  <c r="K64" i="98"/>
  <c r="K72" i="98"/>
  <c r="K69" i="98"/>
  <c r="K68" i="98"/>
  <c r="K65" i="98"/>
  <c r="K66" i="102"/>
  <c r="K64" i="102"/>
  <c r="K65" i="102"/>
  <c r="K72" i="102"/>
  <c r="K67" i="102"/>
  <c r="K68" i="102"/>
  <c r="K70" i="102"/>
  <c r="K73" i="102"/>
  <c r="K69" i="102"/>
  <c r="K71" i="102"/>
  <c r="K67" i="95"/>
  <c r="K66" i="95"/>
  <c r="K72" i="95"/>
  <c r="K70" i="95"/>
  <c r="K71" i="95"/>
  <c r="K65" i="95"/>
  <c r="K68" i="95"/>
  <c r="K73" i="95"/>
  <c r="K64" i="95"/>
  <c r="K69" i="95"/>
  <c r="K67" i="88"/>
  <c r="K64" i="88"/>
  <c r="K69" i="88"/>
  <c r="K66" i="88"/>
  <c r="K70" i="88"/>
  <c r="K73" i="88"/>
  <c r="K65" i="88"/>
  <c r="K68" i="88"/>
  <c r="K71" i="88"/>
  <c r="K72" i="88"/>
  <c r="K70" i="77"/>
  <c r="K69" i="77"/>
  <c r="K65" i="77"/>
  <c r="K64" i="77"/>
  <c r="K68" i="77"/>
  <c r="K71" i="77"/>
  <c r="K66" i="77"/>
  <c r="K73" i="77"/>
  <c r="K67" i="77"/>
  <c r="K72" i="77"/>
  <c r="K72" i="82"/>
  <c r="K64" i="82"/>
  <c r="K71" i="82"/>
  <c r="K70" i="82"/>
  <c r="K66" i="82"/>
  <c r="K73" i="82"/>
  <c r="K65" i="82"/>
  <c r="K67" i="82"/>
  <c r="K68" i="82"/>
  <c r="K69" i="82"/>
  <c r="K79" i="96"/>
  <c r="G82" i="128"/>
  <c r="H82" i="128" s="1"/>
  <c r="I82" i="128" s="1"/>
  <c r="J82" i="128" s="1"/>
  <c r="K82" i="128" s="1"/>
  <c r="L82" i="128" s="1"/>
  <c r="M82" i="128" s="1"/>
  <c r="N82" i="128" s="1"/>
  <c r="G81" i="128"/>
  <c r="L83" i="97"/>
  <c r="M77" i="97" s="1"/>
  <c r="L78" i="97"/>
  <c r="L79" i="97" s="1"/>
  <c r="L24" i="132"/>
  <c r="L51" i="132" s="1"/>
  <c r="L53" i="132" s="1"/>
  <c r="T42" i="14"/>
  <c r="K79" i="82"/>
  <c r="L83" i="74"/>
  <c r="M77" i="74" s="1"/>
  <c r="L78" i="74"/>
  <c r="L79" i="74" s="1"/>
  <c r="P79" i="129"/>
  <c r="I80" i="129"/>
  <c r="J80" i="129"/>
  <c r="J81" i="129" s="1"/>
  <c r="K21" i="134"/>
  <c r="K22" i="134" s="1"/>
  <c r="K30" i="134"/>
  <c r="H17" i="14"/>
  <c r="S17" i="14" s="1"/>
  <c r="S39" i="14" s="1"/>
  <c r="L75" i="109"/>
  <c r="M79" i="106"/>
  <c r="O78" i="106"/>
  <c r="P78" i="106"/>
  <c r="O71" i="110"/>
  <c r="P71" i="110"/>
  <c r="O72" i="110"/>
  <c r="P72" i="110"/>
  <c r="P70" i="110"/>
  <c r="O70" i="110"/>
  <c r="L83" i="92"/>
  <c r="M77" i="92" s="1"/>
  <c r="P77" i="92" s="1"/>
  <c r="L78" i="92"/>
  <c r="L79" i="92" s="1"/>
  <c r="J68" i="129"/>
  <c r="J72" i="129"/>
  <c r="J64" i="129"/>
  <c r="J73" i="129"/>
  <c r="J67" i="129"/>
  <c r="J71" i="129"/>
  <c r="J70" i="129"/>
  <c r="J69" i="129"/>
  <c r="J66" i="129"/>
  <c r="J65" i="129"/>
  <c r="J70" i="121"/>
  <c r="J65" i="121"/>
  <c r="J71" i="121"/>
  <c r="J72" i="121"/>
  <c r="J69" i="121"/>
  <c r="J66" i="121"/>
  <c r="J73" i="121"/>
  <c r="J67" i="121"/>
  <c r="J64" i="121"/>
  <c r="J68" i="121"/>
  <c r="J59" i="90"/>
  <c r="J59" i="94"/>
  <c r="J69" i="106"/>
  <c r="J73" i="106"/>
  <c r="J67" i="106"/>
  <c r="J72" i="106"/>
  <c r="J64" i="106"/>
  <c r="J65" i="106"/>
  <c r="J66" i="106"/>
  <c r="J70" i="106"/>
  <c r="J68" i="106"/>
  <c r="J71" i="106"/>
  <c r="J59" i="89"/>
  <c r="J71" i="127"/>
  <c r="J65" i="127"/>
  <c r="J67" i="127"/>
  <c r="J70" i="127"/>
  <c r="J72" i="127"/>
  <c r="J68" i="127"/>
  <c r="J66" i="127"/>
  <c r="J73" i="127"/>
  <c r="J69" i="127"/>
  <c r="J64" i="127"/>
  <c r="J72" i="88"/>
  <c r="J66" i="88"/>
  <c r="J69" i="88"/>
  <c r="J65" i="88"/>
  <c r="J67" i="88"/>
  <c r="J73" i="88"/>
  <c r="J64" i="88"/>
  <c r="J71" i="88"/>
  <c r="J68" i="88"/>
  <c r="J70" i="88"/>
  <c r="J59" i="101"/>
  <c r="J59" i="102"/>
  <c r="N78" i="81"/>
  <c r="N83" i="81"/>
  <c r="O77" i="81"/>
  <c r="M80" i="129"/>
  <c r="M81" i="129" s="1"/>
  <c r="L54" i="134"/>
  <c r="L51" i="134"/>
  <c r="L52" i="134"/>
  <c r="L55" i="134"/>
  <c r="L53" i="134"/>
  <c r="P79" i="100"/>
  <c r="O79" i="100"/>
  <c r="M80" i="100"/>
  <c r="M81" i="100" s="1"/>
  <c r="K80" i="100"/>
  <c r="K81" i="100" s="1"/>
  <c r="L80" i="100"/>
  <c r="L81" i="100" s="1"/>
  <c r="N80" i="100"/>
  <c r="N81" i="100" s="1"/>
  <c r="M56" i="93"/>
  <c r="M57" i="93" s="1"/>
  <c r="M59" i="93" s="1"/>
  <c r="M56" i="88"/>
  <c r="M57" i="88" s="1"/>
  <c r="M59" i="88" s="1"/>
  <c r="M56" i="103"/>
  <c r="M57" i="103" s="1"/>
  <c r="M59" i="103" s="1"/>
  <c r="M56" i="81"/>
  <c r="M57" i="81" s="1"/>
  <c r="M59" i="81" s="1"/>
  <c r="M56" i="124"/>
  <c r="M57" i="124" s="1"/>
  <c r="M59" i="124" s="1"/>
  <c r="M56" i="98"/>
  <c r="M57" i="98" s="1"/>
  <c r="M59" i="98" s="1"/>
  <c r="M56" i="75"/>
  <c r="M57" i="75" s="1"/>
  <c r="M59" i="75" s="1"/>
  <c r="M56" i="94"/>
  <c r="M57" i="94" s="1"/>
  <c r="M59" i="94" s="1"/>
  <c r="M56" i="123"/>
  <c r="M57" i="123" s="1"/>
  <c r="M59" i="123" s="1"/>
  <c r="M56" i="87"/>
  <c r="M57" i="87" s="1"/>
  <c r="M59" i="87" s="1"/>
  <c r="M56" i="125"/>
  <c r="M57" i="125" s="1"/>
  <c r="M59" i="125" s="1"/>
  <c r="M56" i="100"/>
  <c r="M57" i="100" s="1"/>
  <c r="M59" i="100" s="1"/>
  <c r="M56" i="79"/>
  <c r="M57" i="79" s="1"/>
  <c r="M59" i="79" s="1"/>
  <c r="M56" i="126"/>
  <c r="M57" i="126" s="1"/>
  <c r="M59" i="126" s="1"/>
  <c r="M56" i="97"/>
  <c r="M57" i="97" s="1"/>
  <c r="M59" i="97" s="1"/>
  <c r="M56" i="96"/>
  <c r="M57" i="96" s="1"/>
  <c r="M59" i="96" s="1"/>
  <c r="M56" i="80"/>
  <c r="M57" i="80" s="1"/>
  <c r="M59" i="80" s="1"/>
  <c r="M56" i="105"/>
  <c r="M57" i="105" s="1"/>
  <c r="M56" i="92"/>
  <c r="M57" i="92" s="1"/>
  <c r="M59" i="92" s="1"/>
  <c r="M56" i="129"/>
  <c r="M57" i="129" s="1"/>
  <c r="M59" i="129" s="1"/>
  <c r="M56" i="86"/>
  <c r="M57" i="86" s="1"/>
  <c r="M59" i="86" s="1"/>
  <c r="M56" i="89"/>
  <c r="M57" i="89" s="1"/>
  <c r="M59" i="89" s="1"/>
  <c r="M56" i="74"/>
  <c r="M57" i="74" s="1"/>
  <c r="M59" i="74" s="1"/>
  <c r="M56" i="82"/>
  <c r="M57" i="82" s="1"/>
  <c r="M59" i="82" s="1"/>
  <c r="M56" i="101"/>
  <c r="M57" i="101" s="1"/>
  <c r="M59" i="101" s="1"/>
  <c r="M56" i="85"/>
  <c r="M57" i="85" s="1"/>
  <c r="M59" i="85" s="1"/>
  <c r="M56" i="104"/>
  <c r="M57" i="104" s="1"/>
  <c r="M59" i="104" s="1"/>
  <c r="M56" i="95"/>
  <c r="M57" i="95" s="1"/>
  <c r="M59" i="95" s="1"/>
  <c r="M56" i="127"/>
  <c r="M57" i="127" s="1"/>
  <c r="M59" i="127" s="1"/>
  <c r="M56" i="99"/>
  <c r="M57" i="99" s="1"/>
  <c r="M59" i="99" s="1"/>
  <c r="M56" i="84"/>
  <c r="M57" i="84" s="1"/>
  <c r="M59" i="84" s="1"/>
  <c r="M56" i="9"/>
  <c r="M57" i="9" s="1"/>
  <c r="M59" i="9" s="1"/>
  <c r="M56" i="78"/>
  <c r="M57" i="78" s="1"/>
  <c r="M59" i="78" s="1"/>
  <c r="M56" i="76"/>
  <c r="M57" i="76" s="1"/>
  <c r="M59" i="76" s="1"/>
  <c r="M56" i="90"/>
  <c r="M57" i="90" s="1"/>
  <c r="M59" i="90" s="1"/>
  <c r="M56" i="128"/>
  <c r="M57" i="128" s="1"/>
  <c r="M59" i="128" s="1"/>
  <c r="M56" i="102"/>
  <c r="M57" i="102" s="1"/>
  <c r="M59" i="102" s="1"/>
  <c r="M56" i="77"/>
  <c r="M57" i="77" s="1"/>
  <c r="M59" i="77" s="1"/>
  <c r="M56" i="106"/>
  <c r="M57" i="106" s="1"/>
  <c r="M56" i="91"/>
  <c r="M57" i="91" s="1"/>
  <c r="M56" i="121"/>
  <c r="M57" i="121" s="1"/>
  <c r="M59" i="121" s="1"/>
  <c r="M56" i="83"/>
  <c r="M57" i="83" s="1"/>
  <c r="M59" i="83" s="1"/>
  <c r="L80" i="98"/>
  <c r="L81" i="98" s="1"/>
  <c r="P79" i="98"/>
  <c r="P80" i="88"/>
  <c r="O80" i="88"/>
  <c r="O81" i="88" s="1"/>
  <c r="K79" i="75"/>
  <c r="O77" i="97"/>
  <c r="L83" i="93"/>
  <c r="M77" i="93" s="1"/>
  <c r="L78" i="93"/>
  <c r="L83" i="80"/>
  <c r="M77" i="80" s="1"/>
  <c r="L78" i="80"/>
  <c r="L79" i="80" s="1"/>
  <c r="K71" i="93"/>
  <c r="K65" i="93"/>
  <c r="K64" i="93"/>
  <c r="K66" i="93"/>
  <c r="K73" i="93"/>
  <c r="K72" i="93"/>
  <c r="K67" i="93"/>
  <c r="K68" i="93"/>
  <c r="K70" i="93"/>
  <c r="K69" i="93"/>
  <c r="K67" i="89"/>
  <c r="K73" i="89"/>
  <c r="K66" i="89"/>
  <c r="K68" i="89"/>
  <c r="K65" i="89"/>
  <c r="K69" i="89"/>
  <c r="K64" i="89"/>
  <c r="K71" i="89"/>
  <c r="K72" i="89"/>
  <c r="K70" i="89"/>
  <c r="K68" i="85"/>
  <c r="K70" i="85"/>
  <c r="K65" i="85"/>
  <c r="K73" i="85"/>
  <c r="K69" i="85"/>
  <c r="K72" i="85"/>
  <c r="K64" i="85"/>
  <c r="K71" i="85"/>
  <c r="K66" i="85"/>
  <c r="K67" i="85"/>
  <c r="K69" i="94"/>
  <c r="K65" i="94"/>
  <c r="K70" i="94"/>
  <c r="K66" i="94"/>
  <c r="K64" i="94"/>
  <c r="K71" i="94"/>
  <c r="K67" i="94"/>
  <c r="K73" i="94"/>
  <c r="K68" i="94"/>
  <c r="K72" i="94"/>
  <c r="K59" i="83"/>
  <c r="K73" i="81"/>
  <c r="K70" i="81"/>
  <c r="K64" i="81"/>
  <c r="K71" i="81"/>
  <c r="K67" i="81"/>
  <c r="K68" i="81"/>
  <c r="K72" i="81"/>
  <c r="K66" i="81"/>
  <c r="K65" i="81"/>
  <c r="K69" i="81"/>
  <c r="K67" i="127"/>
  <c r="K72" i="127"/>
  <c r="K68" i="127"/>
  <c r="K73" i="127"/>
  <c r="K71" i="127"/>
  <c r="K66" i="127"/>
  <c r="K64" i="127"/>
  <c r="K70" i="127"/>
  <c r="K65" i="127"/>
  <c r="K69" i="127"/>
  <c r="K59" i="76"/>
  <c r="K59" i="87"/>
  <c r="K73" i="90"/>
  <c r="K71" i="90"/>
  <c r="K65" i="90"/>
  <c r="K66" i="90"/>
  <c r="K67" i="90"/>
  <c r="K68" i="90"/>
  <c r="K69" i="90"/>
  <c r="K64" i="90"/>
  <c r="K70" i="90"/>
  <c r="K72" i="90"/>
  <c r="K72" i="74"/>
  <c r="K73" i="74"/>
  <c r="K64" i="74"/>
  <c r="K68" i="74"/>
  <c r="K69" i="74"/>
  <c r="K71" i="74"/>
  <c r="K66" i="74"/>
  <c r="K65" i="74"/>
  <c r="K70" i="74"/>
  <c r="K67" i="74"/>
  <c r="K66" i="86"/>
  <c r="K73" i="86"/>
  <c r="K72" i="86"/>
  <c r="K71" i="86"/>
  <c r="K69" i="86"/>
  <c r="K67" i="86"/>
  <c r="K70" i="86"/>
  <c r="K68" i="86"/>
  <c r="K65" i="86"/>
  <c r="K64" i="86"/>
  <c r="K67" i="126"/>
  <c r="K71" i="126"/>
  <c r="K68" i="126"/>
  <c r="K73" i="126"/>
  <c r="K66" i="126"/>
  <c r="K64" i="126"/>
  <c r="K65" i="126"/>
  <c r="K69" i="126"/>
  <c r="K70" i="126"/>
  <c r="K72" i="126"/>
  <c r="L83" i="96"/>
  <c r="M77" i="96" s="1"/>
  <c r="O77" i="96" s="1"/>
  <c r="L78" i="96"/>
  <c r="L79" i="96" s="1"/>
  <c r="K79" i="76"/>
  <c r="I81" i="128"/>
  <c r="K79" i="77"/>
  <c r="F82" i="129"/>
  <c r="G80" i="129" s="1"/>
  <c r="K83" i="110"/>
  <c r="L77" i="110" s="1"/>
  <c r="K78" i="110"/>
  <c r="K79" i="110" s="1"/>
  <c r="L83" i="82"/>
  <c r="M77" i="82" s="1"/>
  <c r="L78" i="82"/>
  <c r="L79" i="82" s="1"/>
  <c r="K79" i="108"/>
  <c r="P81" i="124"/>
  <c r="L83" i="78"/>
  <c r="L78" i="78"/>
  <c r="L79" i="78" s="1"/>
  <c r="K54" i="134"/>
  <c r="K52" i="134"/>
  <c r="K55" i="134"/>
  <c r="K53" i="134"/>
  <c r="K51" i="134"/>
  <c r="K79" i="95"/>
  <c r="O73" i="110"/>
  <c r="P73" i="110"/>
  <c r="O66" i="110"/>
  <c r="P66" i="110"/>
  <c r="K79" i="84"/>
  <c r="J73" i="123"/>
  <c r="J67" i="123"/>
  <c r="J64" i="123"/>
  <c r="J70" i="123"/>
  <c r="J65" i="123"/>
  <c r="J68" i="123"/>
  <c r="J69" i="123"/>
  <c r="J71" i="123"/>
  <c r="J66" i="123"/>
  <c r="J72" i="123"/>
  <c r="J59" i="92"/>
  <c r="J59" i="78"/>
  <c r="J59" i="77"/>
  <c r="J67" i="91"/>
  <c r="J71" i="91"/>
  <c r="J64" i="91"/>
  <c r="J68" i="91"/>
  <c r="J66" i="91"/>
  <c r="J73" i="91"/>
  <c r="J65" i="91"/>
  <c r="J69" i="91"/>
  <c r="J70" i="91"/>
  <c r="J72" i="91"/>
  <c r="J68" i="79"/>
  <c r="J69" i="79"/>
  <c r="J64" i="79"/>
  <c r="J73" i="79"/>
  <c r="J71" i="79"/>
  <c r="J67" i="79"/>
  <c r="J70" i="79"/>
  <c r="J72" i="79"/>
  <c r="J66" i="79"/>
  <c r="J65" i="79"/>
  <c r="J59" i="100"/>
  <c r="J59" i="97"/>
  <c r="J68" i="126"/>
  <c r="J67" i="126"/>
  <c r="J65" i="126"/>
  <c r="J70" i="126"/>
  <c r="J73" i="126"/>
  <c r="J71" i="126"/>
  <c r="J72" i="126"/>
  <c r="J69" i="126"/>
  <c r="J64" i="126"/>
  <c r="J66" i="126"/>
  <c r="J73" i="9"/>
  <c r="J68" i="9"/>
  <c r="J69" i="9"/>
  <c r="J72" i="9"/>
  <c r="J70" i="9"/>
  <c r="J71" i="9"/>
  <c r="J67" i="9"/>
  <c r="J65" i="9"/>
  <c r="J64" i="9"/>
  <c r="J66" i="9"/>
  <c r="J59" i="80"/>
  <c r="K79" i="80"/>
  <c r="L21" i="134"/>
  <c r="L22" i="134" s="1"/>
  <c r="L30" i="134"/>
  <c r="K79" i="86"/>
  <c r="N80" i="98"/>
  <c r="N81" i="98" s="1"/>
  <c r="K80" i="98"/>
  <c r="K81" i="98" s="1"/>
  <c r="L83" i="75"/>
  <c r="M77" i="75" s="1"/>
  <c r="L78" i="75"/>
  <c r="L79" i="75" s="1"/>
  <c r="K83" i="89"/>
  <c r="L77" i="89" s="1"/>
  <c r="K78" i="89"/>
  <c r="K59" i="79"/>
  <c r="K59" i="78"/>
  <c r="K70" i="100"/>
  <c r="K71" i="100"/>
  <c r="K73" i="100"/>
  <c r="K64" i="100"/>
  <c r="K69" i="100"/>
  <c r="K66" i="100"/>
  <c r="K65" i="100"/>
  <c r="K67" i="100"/>
  <c r="K72" i="100"/>
  <c r="K68" i="100"/>
  <c r="K64" i="97"/>
  <c r="K69" i="97"/>
  <c r="K68" i="97"/>
  <c r="K70" i="97"/>
  <c r="K65" i="97"/>
  <c r="K71" i="97"/>
  <c r="K67" i="97"/>
  <c r="K66" i="97"/>
  <c r="K72" i="97"/>
  <c r="K73" i="97"/>
  <c r="K71" i="99"/>
  <c r="K72" i="99"/>
  <c r="K66" i="99"/>
  <c r="K64" i="99"/>
  <c r="K67" i="99"/>
  <c r="K69" i="99"/>
  <c r="K73" i="99"/>
  <c r="K65" i="99"/>
  <c r="K68" i="99"/>
  <c r="K70" i="99"/>
  <c r="K70" i="101"/>
  <c r="K64" i="101"/>
  <c r="K72" i="101"/>
  <c r="K67" i="101"/>
  <c r="K73" i="101"/>
  <c r="K71" i="101"/>
  <c r="K66" i="101"/>
  <c r="K65" i="101"/>
  <c r="K68" i="101"/>
  <c r="K69" i="101"/>
  <c r="K71" i="91"/>
  <c r="K64" i="91"/>
  <c r="K70" i="91"/>
  <c r="K65" i="91"/>
  <c r="K72" i="91"/>
  <c r="K66" i="91"/>
  <c r="K67" i="91"/>
  <c r="K69" i="91"/>
  <c r="K68" i="91"/>
  <c r="K73" i="91"/>
  <c r="K70" i="9"/>
  <c r="K64" i="9"/>
  <c r="K65" i="9"/>
  <c r="K68" i="9"/>
  <c r="K73" i="9"/>
  <c r="K67" i="9"/>
  <c r="K72" i="9"/>
  <c r="K69" i="9"/>
  <c r="K66" i="9"/>
  <c r="K71" i="9"/>
  <c r="K66" i="106"/>
  <c r="K68" i="106"/>
  <c r="K73" i="106"/>
  <c r="K69" i="106"/>
  <c r="K64" i="106"/>
  <c r="K65" i="106"/>
  <c r="K67" i="106"/>
  <c r="K71" i="106"/>
  <c r="K72" i="106"/>
  <c r="K70" i="106"/>
  <c r="M20" i="134"/>
  <c r="M31" i="134" s="1"/>
  <c r="M19" i="134"/>
  <c r="L92" i="2"/>
  <c r="L83" i="76"/>
  <c r="M77" i="76" s="1"/>
  <c r="L78" i="76"/>
  <c r="L79" i="76" s="1"/>
  <c r="K79" i="109"/>
  <c r="L83" i="77"/>
  <c r="M77" i="77" s="1"/>
  <c r="P77" i="77" s="1"/>
  <c r="L78" i="77"/>
  <c r="L79" i="77" s="1"/>
  <c r="I81" i="107"/>
  <c r="I82" i="107"/>
  <c r="J80" i="107" s="1"/>
  <c r="L83" i="107"/>
  <c r="M77" i="107" s="1"/>
  <c r="L78" i="107"/>
  <c r="L79" i="107" s="1"/>
  <c r="M83" i="87"/>
  <c r="N83" i="87" s="1"/>
  <c r="M78" i="87"/>
  <c r="P78" i="87" s="1"/>
  <c r="L83" i="108"/>
  <c r="M77" i="108" s="1"/>
  <c r="L78" i="108"/>
  <c r="L79" i="108" s="1"/>
  <c r="K79" i="94"/>
  <c r="H82" i="101"/>
  <c r="N61" i="78"/>
  <c r="M77" i="78"/>
  <c r="O78" i="100"/>
  <c r="I82" i="108"/>
  <c r="J80" i="108" s="1"/>
  <c r="K83" i="85"/>
  <c r="L77" i="85" s="1"/>
  <c r="K78" i="85"/>
  <c r="L83" i="95"/>
  <c r="M77" i="95" s="1"/>
  <c r="L78" i="95"/>
  <c r="L79" i="95" s="1"/>
  <c r="O69" i="110"/>
  <c r="P69" i="110"/>
  <c r="P67" i="110"/>
  <c r="O67" i="110"/>
  <c r="L83" i="84"/>
  <c r="M77" i="84" s="1"/>
  <c r="O77" i="84" s="1"/>
  <c r="L78" i="84"/>
  <c r="L79" i="84" s="1"/>
  <c r="J59" i="87"/>
  <c r="J73" i="128"/>
  <c r="J68" i="128"/>
  <c r="J69" i="128"/>
  <c r="J64" i="128"/>
  <c r="J67" i="128"/>
  <c r="J71" i="128"/>
  <c r="J70" i="128"/>
  <c r="J72" i="128"/>
  <c r="J66" i="128"/>
  <c r="J65" i="128"/>
  <c r="J59" i="75"/>
  <c r="J59" i="82"/>
  <c r="J59" i="99"/>
  <c r="J59" i="98"/>
  <c r="J59" i="95"/>
  <c r="J59" i="103"/>
  <c r="J59" i="84"/>
  <c r="J59" i="86"/>
  <c r="J68" i="105"/>
  <c r="J66" i="105"/>
  <c r="J69" i="105"/>
  <c r="J67" i="105"/>
  <c r="J72" i="105"/>
  <c r="J65" i="105"/>
  <c r="J73" i="105"/>
  <c r="J71" i="105"/>
  <c r="J64" i="105"/>
  <c r="J70" i="105"/>
  <c r="O75" i="107"/>
  <c r="L83" i="86"/>
  <c r="M77" i="86" s="1"/>
  <c r="L78" i="86"/>
  <c r="L79" i="86" s="1"/>
  <c r="P81" i="88"/>
  <c r="L80" i="129"/>
  <c r="L81" i="129" s="1"/>
  <c r="N80" i="129"/>
  <c r="N81" i="129" s="1"/>
  <c r="P77" i="93"/>
  <c r="K24" i="132"/>
  <c r="K51" i="132" s="1"/>
  <c r="K53" i="132" s="1"/>
  <c r="S42" i="14"/>
  <c r="K65" i="84"/>
  <c r="K70" i="84"/>
  <c r="K64" i="84"/>
  <c r="K67" i="84"/>
  <c r="K69" i="84"/>
  <c r="K68" i="84"/>
  <c r="K71" i="84"/>
  <c r="K66" i="84"/>
  <c r="K73" i="84"/>
  <c r="K72" i="84"/>
  <c r="K59" i="124"/>
  <c r="K70" i="80"/>
  <c r="K66" i="80"/>
  <c r="K73" i="80"/>
  <c r="K64" i="80"/>
  <c r="K71" i="80"/>
  <c r="K65" i="80"/>
  <c r="K67" i="80"/>
  <c r="K68" i="80"/>
  <c r="K72" i="80"/>
  <c r="K69" i="80"/>
  <c r="K70" i="105"/>
  <c r="K64" i="105"/>
  <c r="K68" i="105"/>
  <c r="K67" i="105"/>
  <c r="K72" i="105"/>
  <c r="K65" i="105"/>
  <c r="K71" i="105"/>
  <c r="K69" i="105"/>
  <c r="K73" i="105"/>
  <c r="K66" i="105"/>
  <c r="K68" i="92"/>
  <c r="K69" i="92"/>
  <c r="K73" i="92"/>
  <c r="K70" i="92"/>
  <c r="K64" i="92"/>
  <c r="K67" i="92"/>
  <c r="K71" i="92"/>
  <c r="K65" i="92"/>
  <c r="K66" i="92"/>
  <c r="K72" i="92"/>
  <c r="K59" i="104"/>
  <c r="K59" i="125"/>
  <c r="K59" i="96"/>
  <c r="K71" i="128"/>
  <c r="K69" i="128"/>
  <c r="K68" i="128"/>
  <c r="K72" i="128"/>
  <c r="K64" i="128"/>
  <c r="K66" i="128"/>
  <c r="K73" i="128"/>
  <c r="K67" i="128"/>
  <c r="K70" i="128"/>
  <c r="K65" i="128"/>
  <c r="K59" i="123"/>
  <c r="K72" i="75"/>
  <c r="K66" i="75"/>
  <c r="K65" i="75"/>
  <c r="K70" i="75"/>
  <c r="K71" i="75"/>
  <c r="K68" i="75"/>
  <c r="K67" i="75"/>
  <c r="K69" i="75"/>
  <c r="K73" i="75"/>
  <c r="K64" i="75"/>
  <c r="K65" i="129"/>
  <c r="K71" i="129"/>
  <c r="K72" i="129"/>
  <c r="K67" i="129"/>
  <c r="K68" i="129"/>
  <c r="K64" i="129"/>
  <c r="K70" i="129"/>
  <c r="K69" i="129"/>
  <c r="K66" i="129"/>
  <c r="K73" i="129"/>
  <c r="K71" i="121"/>
  <c r="K69" i="121"/>
  <c r="K72" i="121"/>
  <c r="K70" i="121"/>
  <c r="K67" i="121"/>
  <c r="K66" i="121"/>
  <c r="K65" i="121"/>
  <c r="K73" i="121"/>
  <c r="K64" i="121"/>
  <c r="K68" i="121"/>
  <c r="O80" i="128"/>
  <c r="O81" i="128" s="1"/>
  <c r="L56" i="100"/>
  <c r="L57" i="100" s="1"/>
  <c r="L56" i="94"/>
  <c r="L57" i="94" s="1"/>
  <c r="L56" i="128"/>
  <c r="L57" i="128" s="1"/>
  <c r="L56" i="87"/>
  <c r="L57" i="87" s="1"/>
  <c r="L56" i="90"/>
  <c r="L57" i="90" s="1"/>
  <c r="L56" i="98"/>
  <c r="L57" i="98" s="1"/>
  <c r="L56" i="81"/>
  <c r="L57" i="81" s="1"/>
  <c r="L56" i="92"/>
  <c r="L57" i="92" s="1"/>
  <c r="L56" i="86"/>
  <c r="L57" i="86" s="1"/>
  <c r="L56" i="83"/>
  <c r="L57" i="83" s="1"/>
  <c r="L56" i="102"/>
  <c r="L57" i="102" s="1"/>
  <c r="L56" i="127"/>
  <c r="L57" i="127" s="1"/>
  <c r="L56" i="124"/>
  <c r="L57" i="124" s="1"/>
  <c r="L56" i="9"/>
  <c r="L57" i="9" s="1"/>
  <c r="L56" i="91"/>
  <c r="L57" i="91" s="1"/>
  <c r="L56" i="85"/>
  <c r="L57" i="85" s="1"/>
  <c r="L56" i="126"/>
  <c r="L57" i="126" s="1"/>
  <c r="L56" i="82"/>
  <c r="L57" i="82" s="1"/>
  <c r="L56" i="103"/>
  <c r="L57" i="103" s="1"/>
  <c r="L56" i="101"/>
  <c r="L57" i="101" s="1"/>
  <c r="L56" i="76"/>
  <c r="L57" i="76" s="1"/>
  <c r="L56" i="84"/>
  <c r="L57" i="84" s="1"/>
  <c r="L56" i="77"/>
  <c r="L57" i="77" s="1"/>
  <c r="L56" i="99"/>
  <c r="L57" i="99" s="1"/>
  <c r="L56" i="97"/>
  <c r="L57" i="97" s="1"/>
  <c r="L56" i="96"/>
  <c r="L57" i="96" s="1"/>
  <c r="L56" i="74"/>
  <c r="L57" i="74" s="1"/>
  <c r="L56" i="95"/>
  <c r="L57" i="95" s="1"/>
  <c r="L56" i="104"/>
  <c r="L57" i="104" s="1"/>
  <c r="L56" i="121"/>
  <c r="L57" i="121" s="1"/>
  <c r="L56" i="129"/>
  <c r="L57" i="129" s="1"/>
  <c r="L56" i="106"/>
  <c r="L57" i="106" s="1"/>
  <c r="L56" i="123"/>
  <c r="L57" i="123" s="1"/>
  <c r="L56" i="75"/>
  <c r="L57" i="75" s="1"/>
  <c r="L56" i="125"/>
  <c r="L57" i="125" s="1"/>
  <c r="L56" i="88"/>
  <c r="L57" i="88" s="1"/>
  <c r="L56" i="105"/>
  <c r="L57" i="105" s="1"/>
  <c r="L56" i="79"/>
  <c r="L57" i="79" s="1"/>
  <c r="L56" i="78"/>
  <c r="L57" i="78" s="1"/>
  <c r="L56" i="93"/>
  <c r="L57" i="93" s="1"/>
  <c r="L56" i="80"/>
  <c r="L57" i="80" s="1"/>
  <c r="L56" i="89"/>
  <c r="L57" i="89" s="1"/>
  <c r="K79" i="97"/>
  <c r="P77" i="80"/>
  <c r="L83" i="109"/>
  <c r="M77" i="109" s="1"/>
  <c r="L78" i="109"/>
  <c r="L79" i="109" s="1"/>
  <c r="L80" i="81"/>
  <c r="P79" i="81"/>
  <c r="M80" i="81"/>
  <c r="M81" i="81" s="1"/>
  <c r="J24" i="132"/>
  <c r="J51" i="132" s="1"/>
  <c r="J53" i="132" s="1"/>
  <c r="R42" i="14"/>
  <c r="P20" i="14"/>
  <c r="K20" i="14"/>
  <c r="I89" i="2"/>
  <c r="I86" i="2"/>
  <c r="I138" i="2"/>
  <c r="N137" i="2"/>
  <c r="N138" i="2" s="1"/>
  <c r="N147" i="2" s="1"/>
  <c r="K79" i="74"/>
  <c r="P77" i="97"/>
  <c r="L83" i="94"/>
  <c r="M77" i="94" s="1"/>
  <c r="P77" i="94" s="1"/>
  <c r="L78" i="94"/>
  <c r="L79" i="94" s="1"/>
  <c r="L80" i="87"/>
  <c r="L81" i="87" s="1"/>
  <c r="N82" i="88"/>
  <c r="N61" i="85"/>
  <c r="P79" i="103"/>
  <c r="O79" i="103"/>
  <c r="J80" i="103"/>
  <c r="J81" i="103" s="1"/>
  <c r="N80" i="103"/>
  <c r="N81" i="103" s="1"/>
  <c r="L80" i="103"/>
  <c r="L81" i="103" s="1"/>
  <c r="M80" i="103"/>
  <c r="M81" i="103" s="1"/>
  <c r="K80" i="103"/>
  <c r="K81" i="103" s="1"/>
  <c r="I74" i="110"/>
  <c r="O64" i="110"/>
  <c r="P64" i="110"/>
  <c r="O68" i="110"/>
  <c r="P68" i="110"/>
  <c r="O65" i="110"/>
  <c r="P65" i="110"/>
  <c r="K79" i="92"/>
  <c r="P77" i="84"/>
  <c r="K79" i="78"/>
  <c r="J66" i="83"/>
  <c r="J73" i="83"/>
  <c r="J70" i="83"/>
  <c r="J64" i="83"/>
  <c r="J71" i="83"/>
  <c r="J72" i="83"/>
  <c r="J68" i="83"/>
  <c r="J67" i="83"/>
  <c r="J69" i="83"/>
  <c r="J65" i="83"/>
  <c r="J64" i="124"/>
  <c r="J73" i="124"/>
  <c r="J66" i="124"/>
  <c r="J72" i="124"/>
  <c r="J71" i="124"/>
  <c r="J68" i="124"/>
  <c r="J69" i="124"/>
  <c r="J70" i="124"/>
  <c r="J65" i="124"/>
  <c r="J67" i="124"/>
  <c r="J65" i="104"/>
  <c r="J72" i="104"/>
  <c r="J66" i="104"/>
  <c r="J64" i="104"/>
  <c r="J73" i="104"/>
  <c r="J69" i="104"/>
  <c r="J67" i="104"/>
  <c r="J71" i="104"/>
  <c r="J70" i="104"/>
  <c r="J68" i="104"/>
  <c r="J59" i="76"/>
  <c r="J68" i="125"/>
  <c r="J65" i="125"/>
  <c r="J73" i="125"/>
  <c r="J67" i="125"/>
  <c r="J69" i="125"/>
  <c r="J72" i="125"/>
  <c r="J71" i="125"/>
  <c r="J70" i="125"/>
  <c r="J64" i="125"/>
  <c r="J66" i="125"/>
  <c r="J59" i="93"/>
  <c r="J69" i="81"/>
  <c r="J72" i="81"/>
  <c r="J73" i="81"/>
  <c r="J68" i="81"/>
  <c r="J71" i="81"/>
  <c r="J64" i="81"/>
  <c r="J66" i="81"/>
  <c r="J67" i="81"/>
  <c r="J65" i="81"/>
  <c r="J70" i="81"/>
  <c r="J59" i="85"/>
  <c r="J59" i="96"/>
  <c r="J59" i="74"/>
  <c r="P79" i="101"/>
  <c r="O77" i="86"/>
  <c r="F17" i="14"/>
  <c r="Q17" i="14" s="1"/>
  <c r="Q39" i="14" s="1"/>
  <c r="J75" i="109"/>
  <c r="P78" i="100"/>
  <c r="N19" i="134"/>
  <c r="N20" i="134"/>
  <c r="N31" i="134" s="1"/>
  <c r="M92" i="2"/>
  <c r="M80" i="98"/>
  <c r="M81" i="98" s="1"/>
  <c r="L81" i="88"/>
  <c r="I80" i="110"/>
  <c r="O77" i="75"/>
  <c r="P81" i="128" l="1"/>
  <c r="O77" i="94"/>
  <c r="K74" i="86"/>
  <c r="G12" i="115" s="1"/>
  <c r="Q12" i="115" s="1"/>
  <c r="K74" i="90"/>
  <c r="K75" i="90" s="1"/>
  <c r="J74" i="83"/>
  <c r="J75" i="83" s="1"/>
  <c r="J74" i="125"/>
  <c r="J75" i="125" s="1"/>
  <c r="J74" i="105"/>
  <c r="J75" i="105" s="1"/>
  <c r="K74" i="127"/>
  <c r="K75" i="127" s="1"/>
  <c r="J74" i="88"/>
  <c r="J75" i="88" s="1"/>
  <c r="J74" i="127"/>
  <c r="J75" i="127" s="1"/>
  <c r="K74" i="121"/>
  <c r="K75" i="121" s="1"/>
  <c r="J74" i="9"/>
  <c r="J75" i="9" s="1"/>
  <c r="O80" i="129"/>
  <c r="O81" i="129" s="1"/>
  <c r="K74" i="89"/>
  <c r="K75" i="89" s="1"/>
  <c r="K74" i="95"/>
  <c r="K75" i="95" s="1"/>
  <c r="J74" i="124"/>
  <c r="J75" i="124" s="1"/>
  <c r="J71" i="74"/>
  <c r="J70" i="74"/>
  <c r="J69" i="74"/>
  <c r="J64" i="74"/>
  <c r="J68" i="74"/>
  <c r="J67" i="74"/>
  <c r="J65" i="74"/>
  <c r="J66" i="74"/>
  <c r="J72" i="74"/>
  <c r="J73" i="74"/>
  <c r="J64" i="85"/>
  <c r="J65" i="85"/>
  <c r="J69" i="85"/>
  <c r="J66" i="85"/>
  <c r="J72" i="85"/>
  <c r="J68" i="85"/>
  <c r="J70" i="85"/>
  <c r="J71" i="85"/>
  <c r="J73" i="85"/>
  <c r="J67" i="85"/>
  <c r="P74" i="110"/>
  <c r="P75" i="110" s="1"/>
  <c r="M83" i="94"/>
  <c r="N83" i="94" s="1"/>
  <c r="M78" i="94"/>
  <c r="M79" i="94" s="1"/>
  <c r="I97" i="2"/>
  <c r="I56" i="109" s="1"/>
  <c r="I57" i="109" s="1"/>
  <c r="N89" i="2"/>
  <c r="N97" i="2" s="1"/>
  <c r="N56" i="109" s="1"/>
  <c r="N57" i="109" s="1"/>
  <c r="P77" i="109"/>
  <c r="M83" i="109"/>
  <c r="N83" i="109" s="1"/>
  <c r="M78" i="109"/>
  <c r="M79" i="109" s="1"/>
  <c r="L59" i="93"/>
  <c r="L59" i="88"/>
  <c r="L59" i="106"/>
  <c r="L59" i="95"/>
  <c r="L59" i="99"/>
  <c r="L59" i="101"/>
  <c r="L59" i="85"/>
  <c r="L59" i="127"/>
  <c r="L59" i="92"/>
  <c r="L59" i="87"/>
  <c r="K74" i="75"/>
  <c r="K75" i="75" s="1"/>
  <c r="K66" i="96"/>
  <c r="K70" i="96"/>
  <c r="K73" i="96"/>
  <c r="K68" i="96"/>
  <c r="K65" i="96"/>
  <c r="K64" i="96"/>
  <c r="K69" i="96"/>
  <c r="K72" i="96"/>
  <c r="K71" i="96"/>
  <c r="K67" i="96"/>
  <c r="K73" i="104"/>
  <c r="K68" i="104"/>
  <c r="K67" i="104"/>
  <c r="K70" i="104"/>
  <c r="K64" i="104"/>
  <c r="K72" i="104"/>
  <c r="K65" i="104"/>
  <c r="K69" i="104"/>
  <c r="K66" i="104"/>
  <c r="K71" i="104"/>
  <c r="J65" i="86"/>
  <c r="J71" i="86"/>
  <c r="J64" i="86"/>
  <c r="J67" i="86"/>
  <c r="J66" i="86"/>
  <c r="J69" i="86"/>
  <c r="J72" i="86"/>
  <c r="J73" i="86"/>
  <c r="J70" i="86"/>
  <c r="J68" i="86"/>
  <c r="J68" i="103"/>
  <c r="J66" i="103"/>
  <c r="J67" i="103"/>
  <c r="J70" i="103"/>
  <c r="J72" i="103"/>
  <c r="J73" i="103"/>
  <c r="J69" i="103"/>
  <c r="J64" i="103"/>
  <c r="J71" i="103"/>
  <c r="J65" i="103"/>
  <c r="J65" i="98"/>
  <c r="F9" i="63"/>
  <c r="J66" i="98"/>
  <c r="J70" i="98"/>
  <c r="J72" i="98"/>
  <c r="J69" i="98"/>
  <c r="F10" i="63"/>
  <c r="Q10" i="63" s="1"/>
  <c r="Q25" i="63" s="1"/>
  <c r="J73" i="98"/>
  <c r="J64" i="98"/>
  <c r="J67" i="98"/>
  <c r="J71" i="98"/>
  <c r="J68" i="98"/>
  <c r="F13" i="63"/>
  <c r="Q13" i="63" s="1"/>
  <c r="Q28" i="63" s="1"/>
  <c r="F12" i="63"/>
  <c r="Q12" i="63" s="1"/>
  <c r="Q27" i="63" s="1"/>
  <c r="F16" i="63"/>
  <c r="Q16" i="63" s="1"/>
  <c r="Q31" i="63" s="1"/>
  <c r="F11" i="63"/>
  <c r="Q11" i="63" s="1"/>
  <c r="Q26" i="63" s="1"/>
  <c r="F15" i="63"/>
  <c r="Q15" i="63" s="1"/>
  <c r="Q30" i="63" s="1"/>
  <c r="F14" i="63"/>
  <c r="Q14" i="63" s="1"/>
  <c r="Q29" i="63" s="1"/>
  <c r="J69" i="82"/>
  <c r="J66" i="82"/>
  <c r="J71" i="82"/>
  <c r="J70" i="82"/>
  <c r="J67" i="82"/>
  <c r="J73" i="82"/>
  <c r="J72" i="82"/>
  <c r="J64" i="82"/>
  <c r="J68" i="82"/>
  <c r="J65" i="82"/>
  <c r="M83" i="95"/>
  <c r="N83" i="95" s="1"/>
  <c r="M78" i="95"/>
  <c r="M79" i="95" s="1"/>
  <c r="O77" i="95"/>
  <c r="P77" i="95"/>
  <c r="J81" i="108"/>
  <c r="J82" i="108"/>
  <c r="K80" i="108" s="1"/>
  <c r="K81" i="108" s="1"/>
  <c r="M21" i="134"/>
  <c r="M22" i="134" s="1"/>
  <c r="M30" i="134"/>
  <c r="K74" i="91"/>
  <c r="K75" i="91" s="1"/>
  <c r="K74" i="99"/>
  <c r="K75" i="99" s="1"/>
  <c r="L83" i="89"/>
  <c r="M77" i="89" s="1"/>
  <c r="O77" i="89" s="1"/>
  <c r="L78" i="89"/>
  <c r="L79" i="89" s="1"/>
  <c r="K64" i="76"/>
  <c r="K68" i="76"/>
  <c r="K67" i="76"/>
  <c r="K70" i="76"/>
  <c r="K73" i="76"/>
  <c r="K66" i="76"/>
  <c r="K65" i="76"/>
  <c r="K71" i="76"/>
  <c r="K69" i="76"/>
  <c r="K72" i="76"/>
  <c r="K74" i="81"/>
  <c r="K75" i="81" s="1"/>
  <c r="K72" i="83"/>
  <c r="K70" i="83"/>
  <c r="K64" i="83"/>
  <c r="K66" i="83"/>
  <c r="K73" i="83"/>
  <c r="K71" i="83"/>
  <c r="K67" i="83"/>
  <c r="K65" i="83"/>
  <c r="K69" i="83"/>
  <c r="K68" i="83"/>
  <c r="L79" i="93"/>
  <c r="M65" i="83"/>
  <c r="M70" i="83"/>
  <c r="M68" i="83"/>
  <c r="M67" i="83"/>
  <c r="M72" i="83"/>
  <c r="M66" i="83"/>
  <c r="M71" i="83"/>
  <c r="M69" i="83"/>
  <c r="M64" i="83"/>
  <c r="M73" i="83"/>
  <c r="M68" i="77"/>
  <c r="M71" i="77"/>
  <c r="M67" i="77"/>
  <c r="M65" i="77"/>
  <c r="M70" i="77"/>
  <c r="M69" i="77"/>
  <c r="M72" i="77"/>
  <c r="M73" i="77"/>
  <c r="M66" i="77"/>
  <c r="M64" i="77"/>
  <c r="M69" i="76"/>
  <c r="M66" i="76"/>
  <c r="M71" i="76"/>
  <c r="M73" i="76"/>
  <c r="M64" i="76"/>
  <c r="M72" i="76"/>
  <c r="M65" i="76"/>
  <c r="M68" i="76"/>
  <c r="M70" i="76"/>
  <c r="M67" i="76"/>
  <c r="M73" i="99"/>
  <c r="M66" i="99"/>
  <c r="M65" i="99"/>
  <c r="M72" i="99"/>
  <c r="M71" i="99"/>
  <c r="M67" i="99"/>
  <c r="M68" i="99"/>
  <c r="M64" i="99"/>
  <c r="M69" i="99"/>
  <c r="M70" i="99"/>
  <c r="M71" i="85"/>
  <c r="M69" i="85"/>
  <c r="M64" i="85"/>
  <c r="M70" i="85"/>
  <c r="M65" i="85"/>
  <c r="M67" i="85"/>
  <c r="M72" i="85"/>
  <c r="M68" i="85"/>
  <c r="M66" i="85"/>
  <c r="M73" i="85"/>
  <c r="M72" i="89"/>
  <c r="M65" i="89"/>
  <c r="M73" i="89"/>
  <c r="M67" i="89"/>
  <c r="M70" i="89"/>
  <c r="M69" i="89"/>
  <c r="M71" i="89"/>
  <c r="M68" i="89"/>
  <c r="M64" i="89"/>
  <c r="M66" i="89"/>
  <c r="M59" i="105"/>
  <c r="M72" i="126"/>
  <c r="M67" i="126"/>
  <c r="M64" i="126"/>
  <c r="M68" i="126"/>
  <c r="M73" i="126"/>
  <c r="M71" i="126"/>
  <c r="M66" i="126"/>
  <c r="M69" i="126"/>
  <c r="M65" i="126"/>
  <c r="M70" i="126"/>
  <c r="M72" i="87"/>
  <c r="M64" i="87"/>
  <c r="M69" i="87"/>
  <c r="M70" i="87"/>
  <c r="M71" i="87"/>
  <c r="M65" i="87"/>
  <c r="M68" i="87"/>
  <c r="M73" i="87"/>
  <c r="M67" i="87"/>
  <c r="M66" i="87"/>
  <c r="M69" i="98"/>
  <c r="M73" i="98"/>
  <c r="M70" i="98"/>
  <c r="M68" i="98"/>
  <c r="M72" i="98"/>
  <c r="M66" i="98"/>
  <c r="M64" i="98"/>
  <c r="M67" i="98"/>
  <c r="M71" i="98"/>
  <c r="M65" i="98"/>
  <c r="M69" i="88"/>
  <c r="M72" i="88"/>
  <c r="M65" i="88"/>
  <c r="M67" i="88"/>
  <c r="M66" i="88"/>
  <c r="M73" i="88"/>
  <c r="M64" i="88"/>
  <c r="M68" i="88"/>
  <c r="M70" i="88"/>
  <c r="M71" i="88"/>
  <c r="J72" i="94"/>
  <c r="J73" i="94"/>
  <c r="J70" i="94"/>
  <c r="J65" i="94"/>
  <c r="J68" i="94"/>
  <c r="J64" i="94"/>
  <c r="J71" i="94"/>
  <c r="J66" i="94"/>
  <c r="J67" i="94"/>
  <c r="J69" i="94"/>
  <c r="J74" i="121"/>
  <c r="N80" i="106"/>
  <c r="N81" i="106" s="1"/>
  <c r="O79" i="106"/>
  <c r="P79" i="106"/>
  <c r="K41" i="134"/>
  <c r="K40" i="134"/>
  <c r="K42" i="134"/>
  <c r="K32" i="134"/>
  <c r="K43" i="134"/>
  <c r="I81" i="129"/>
  <c r="P80" i="129"/>
  <c r="K74" i="77"/>
  <c r="K75" i="77" s="1"/>
  <c r="G16" i="63"/>
  <c r="R16" i="63" s="1"/>
  <c r="R31" i="63" s="1"/>
  <c r="G10" i="63"/>
  <c r="R10" i="63" s="1"/>
  <c r="R25" i="63" s="1"/>
  <c r="G12" i="63"/>
  <c r="R12" i="63" s="1"/>
  <c r="R27" i="63" s="1"/>
  <c r="J74" i="81"/>
  <c r="J75" i="81" s="1"/>
  <c r="O74" i="110"/>
  <c r="L81" i="81"/>
  <c r="P80" i="81"/>
  <c r="L59" i="78"/>
  <c r="L59" i="125"/>
  <c r="L59" i="129"/>
  <c r="L59" i="74"/>
  <c r="L59" i="77"/>
  <c r="L59" i="103"/>
  <c r="L59" i="91"/>
  <c r="L59" i="102"/>
  <c r="L59" i="81"/>
  <c r="L59" i="128"/>
  <c r="K74" i="129"/>
  <c r="K75" i="129" s="1"/>
  <c r="K74" i="105"/>
  <c r="K75" i="105" s="1"/>
  <c r="K66" i="124"/>
  <c r="K69" i="124"/>
  <c r="K68" i="124"/>
  <c r="K70" i="124"/>
  <c r="K72" i="124"/>
  <c r="K71" i="124"/>
  <c r="K65" i="124"/>
  <c r="K73" i="124"/>
  <c r="K64" i="124"/>
  <c r="K67" i="124"/>
  <c r="M83" i="86"/>
  <c r="N83" i="86" s="1"/>
  <c r="M78" i="86"/>
  <c r="M79" i="86" s="1"/>
  <c r="O79" i="86" s="1"/>
  <c r="P77" i="86"/>
  <c r="J74" i="128"/>
  <c r="J75" i="128" s="1"/>
  <c r="M83" i="84"/>
  <c r="N83" i="84" s="1"/>
  <c r="M78" i="84"/>
  <c r="M79" i="84" s="1"/>
  <c r="P79" i="84" s="1"/>
  <c r="K79" i="85"/>
  <c r="P78" i="94"/>
  <c r="M83" i="108"/>
  <c r="N83" i="108" s="1"/>
  <c r="M78" i="108"/>
  <c r="M79" i="108" s="1"/>
  <c r="P77" i="108"/>
  <c r="O77" i="108"/>
  <c r="J82" i="107"/>
  <c r="K80" i="107" s="1"/>
  <c r="J81" i="107"/>
  <c r="M83" i="77"/>
  <c r="N83" i="77" s="1"/>
  <c r="M78" i="77"/>
  <c r="M53" i="134"/>
  <c r="M51" i="134"/>
  <c r="M52" i="134"/>
  <c r="M55" i="134"/>
  <c r="M54" i="134"/>
  <c r="K74" i="9"/>
  <c r="K75" i="9" s="1"/>
  <c r="K65" i="79"/>
  <c r="K73" i="79"/>
  <c r="K70" i="79"/>
  <c r="K64" i="79"/>
  <c r="K72" i="79"/>
  <c r="K67" i="79"/>
  <c r="K71" i="79"/>
  <c r="K68" i="79"/>
  <c r="K66" i="79"/>
  <c r="K69" i="79"/>
  <c r="O78" i="86"/>
  <c r="J64" i="80"/>
  <c r="J73" i="80"/>
  <c r="J71" i="80"/>
  <c r="J72" i="80"/>
  <c r="J66" i="80"/>
  <c r="J69" i="80"/>
  <c r="J68" i="80"/>
  <c r="J65" i="80"/>
  <c r="J70" i="80"/>
  <c r="J67" i="80"/>
  <c r="J64" i="97"/>
  <c r="J67" i="97"/>
  <c r="J72" i="97"/>
  <c r="J70" i="97"/>
  <c r="J71" i="97"/>
  <c r="J69" i="97"/>
  <c r="J73" i="97"/>
  <c r="J66" i="97"/>
  <c r="J68" i="97"/>
  <c r="J65" i="97"/>
  <c r="J73" i="78"/>
  <c r="J72" i="78"/>
  <c r="J69" i="78"/>
  <c r="J64" i="78"/>
  <c r="J70" i="78"/>
  <c r="J71" i="78"/>
  <c r="J67" i="78"/>
  <c r="J65" i="78"/>
  <c r="J68" i="78"/>
  <c r="J66" i="78"/>
  <c r="G82" i="129"/>
  <c r="H82" i="129" s="1"/>
  <c r="I82" i="129" s="1"/>
  <c r="J82" i="129" s="1"/>
  <c r="K82" i="129" s="1"/>
  <c r="L82" i="129" s="1"/>
  <c r="M82" i="129" s="1"/>
  <c r="N82" i="129" s="1"/>
  <c r="G81" i="129"/>
  <c r="M83" i="96"/>
  <c r="N83" i="96" s="1"/>
  <c r="M78" i="96"/>
  <c r="M79" i="96" s="1"/>
  <c r="P79" i="96" s="1"/>
  <c r="P77" i="96"/>
  <c r="K75" i="86"/>
  <c r="K74" i="85"/>
  <c r="O77" i="93"/>
  <c r="M83" i="93"/>
  <c r="N83" i="93" s="1"/>
  <c r="M78" i="93"/>
  <c r="M79" i="93" s="1"/>
  <c r="M70" i="121"/>
  <c r="M71" i="121"/>
  <c r="M72" i="121"/>
  <c r="M73" i="121"/>
  <c r="M66" i="121"/>
  <c r="M65" i="121"/>
  <c r="M68" i="121"/>
  <c r="M69" i="121"/>
  <c r="M67" i="121"/>
  <c r="M64" i="121"/>
  <c r="M65" i="102"/>
  <c r="M69" i="102"/>
  <c r="M72" i="102"/>
  <c r="M73" i="102"/>
  <c r="M66" i="102"/>
  <c r="M68" i="102"/>
  <c r="M67" i="102"/>
  <c r="M64" i="102"/>
  <c r="M70" i="102"/>
  <c r="M71" i="102"/>
  <c r="M72" i="78"/>
  <c r="M69" i="78"/>
  <c r="M64" i="78"/>
  <c r="M70" i="78"/>
  <c r="M73" i="78"/>
  <c r="M67" i="78"/>
  <c r="M71" i="78"/>
  <c r="M65" i="78"/>
  <c r="M68" i="78"/>
  <c r="M66" i="78"/>
  <c r="M71" i="127"/>
  <c r="M64" i="127"/>
  <c r="M70" i="127"/>
  <c r="M67" i="127"/>
  <c r="M68" i="127"/>
  <c r="M69" i="127"/>
  <c r="M73" i="127"/>
  <c r="M72" i="127"/>
  <c r="M65" i="127"/>
  <c r="M66" i="127"/>
  <c r="M65" i="101"/>
  <c r="M71" i="101"/>
  <c r="M66" i="101"/>
  <c r="M68" i="101"/>
  <c r="M69" i="101"/>
  <c r="M67" i="101"/>
  <c r="M70" i="101"/>
  <c r="M64" i="101"/>
  <c r="M72" i="101"/>
  <c r="M73" i="101"/>
  <c r="M70" i="86"/>
  <c r="M73" i="86"/>
  <c r="M67" i="86"/>
  <c r="M68" i="86"/>
  <c r="M72" i="86"/>
  <c r="M71" i="86"/>
  <c r="M65" i="86"/>
  <c r="M66" i="86"/>
  <c r="M69" i="86"/>
  <c r="M64" i="86"/>
  <c r="M72" i="80"/>
  <c r="M68" i="80"/>
  <c r="M69" i="80"/>
  <c r="M73" i="80"/>
  <c r="M64" i="80"/>
  <c r="M71" i="80"/>
  <c r="M70" i="80"/>
  <c r="M66" i="80"/>
  <c r="M67" i="80"/>
  <c r="M65" i="80"/>
  <c r="M68" i="79"/>
  <c r="M64" i="79"/>
  <c r="M65" i="79"/>
  <c r="M69" i="79"/>
  <c r="M72" i="79"/>
  <c r="M70" i="79"/>
  <c r="M73" i="79"/>
  <c r="M67" i="79"/>
  <c r="M66" i="79"/>
  <c r="M71" i="79"/>
  <c r="M66" i="123"/>
  <c r="M69" i="123"/>
  <c r="M72" i="123"/>
  <c r="M64" i="123"/>
  <c r="M67" i="123"/>
  <c r="M73" i="123"/>
  <c r="M68" i="123"/>
  <c r="M71" i="123"/>
  <c r="M65" i="123"/>
  <c r="M70" i="123"/>
  <c r="M69" i="124"/>
  <c r="M68" i="124"/>
  <c r="M72" i="124"/>
  <c r="M73" i="124"/>
  <c r="M65" i="124"/>
  <c r="M71" i="124"/>
  <c r="M67" i="124"/>
  <c r="M64" i="124"/>
  <c r="M66" i="124"/>
  <c r="M70" i="124"/>
  <c r="M72" i="93"/>
  <c r="M73" i="93"/>
  <c r="M64" i="93"/>
  <c r="M66" i="93"/>
  <c r="M65" i="93"/>
  <c r="M70" i="93"/>
  <c r="M68" i="93"/>
  <c r="M71" i="93"/>
  <c r="M69" i="93"/>
  <c r="M67" i="93"/>
  <c r="J69" i="102"/>
  <c r="J65" i="102"/>
  <c r="J71" i="102"/>
  <c r="J68" i="102"/>
  <c r="J66" i="102"/>
  <c r="J67" i="102"/>
  <c r="J73" i="102"/>
  <c r="J72" i="102"/>
  <c r="J64" i="102"/>
  <c r="J70" i="102"/>
  <c r="J74" i="106"/>
  <c r="J75" i="106" s="1"/>
  <c r="J74" i="129"/>
  <c r="J75" i="129" s="1"/>
  <c r="P81" i="129"/>
  <c r="M83" i="97"/>
  <c r="N83" i="97" s="1"/>
  <c r="M78" i="97"/>
  <c r="K74" i="88"/>
  <c r="K75" i="88" s="1"/>
  <c r="G13" i="63"/>
  <c r="R13" i="63" s="1"/>
  <c r="R28" i="63" s="1"/>
  <c r="G14" i="63"/>
  <c r="R14" i="63" s="1"/>
  <c r="R29" i="63" s="1"/>
  <c r="K74" i="103"/>
  <c r="K75" i="103" s="1"/>
  <c r="O77" i="77"/>
  <c r="N21" i="134"/>
  <c r="N22" i="134" s="1"/>
  <c r="N30" i="134"/>
  <c r="J65" i="93"/>
  <c r="J69" i="93"/>
  <c r="J67" i="93"/>
  <c r="J66" i="93"/>
  <c r="J72" i="93"/>
  <c r="J64" i="93"/>
  <c r="J70" i="93"/>
  <c r="J71" i="93"/>
  <c r="J68" i="93"/>
  <c r="J73" i="93"/>
  <c r="J74" i="104"/>
  <c r="J75" i="104" s="1"/>
  <c r="I81" i="110"/>
  <c r="I82" i="110"/>
  <c r="J80" i="110" s="1"/>
  <c r="N52" i="134"/>
  <c r="N54" i="134"/>
  <c r="N55" i="134"/>
  <c r="N51" i="134"/>
  <c r="N53" i="134"/>
  <c r="J71" i="96"/>
  <c r="J64" i="96"/>
  <c r="J70" i="96"/>
  <c r="J65" i="96"/>
  <c r="J67" i="96"/>
  <c r="J69" i="96"/>
  <c r="J73" i="96"/>
  <c r="J72" i="96"/>
  <c r="J66" i="96"/>
  <c r="J68" i="96"/>
  <c r="J69" i="76"/>
  <c r="J66" i="76"/>
  <c r="J72" i="76"/>
  <c r="J65" i="76"/>
  <c r="J71" i="76"/>
  <c r="J67" i="76"/>
  <c r="J70" i="76"/>
  <c r="J73" i="76"/>
  <c r="J68" i="76"/>
  <c r="J64" i="76"/>
  <c r="E18" i="14"/>
  <c r="I75" i="110"/>
  <c r="I79" i="2"/>
  <c r="I147" i="2"/>
  <c r="O77" i="109"/>
  <c r="L59" i="89"/>
  <c r="L59" i="79"/>
  <c r="L59" i="75"/>
  <c r="L59" i="121"/>
  <c r="L59" i="96"/>
  <c r="L59" i="84"/>
  <c r="L59" i="82"/>
  <c r="L59" i="9"/>
  <c r="L59" i="83"/>
  <c r="L59" i="98"/>
  <c r="L59" i="94"/>
  <c r="K74" i="128"/>
  <c r="K75" i="128" s="1"/>
  <c r="K66" i="125"/>
  <c r="K64" i="125"/>
  <c r="K73" i="125"/>
  <c r="K71" i="125"/>
  <c r="K72" i="125"/>
  <c r="K65" i="125"/>
  <c r="K70" i="125"/>
  <c r="K68" i="125"/>
  <c r="K67" i="125"/>
  <c r="K69" i="125"/>
  <c r="K74" i="80"/>
  <c r="K74" i="84"/>
  <c r="L82" i="81"/>
  <c r="M82" i="81" s="1"/>
  <c r="J73" i="84"/>
  <c r="J70" i="84"/>
  <c r="J64" i="84"/>
  <c r="J65" i="84"/>
  <c r="J69" i="84"/>
  <c r="J71" i="84"/>
  <c r="J67" i="84"/>
  <c r="J72" i="84"/>
  <c r="J66" i="84"/>
  <c r="J68" i="84"/>
  <c r="J66" i="95"/>
  <c r="J69" i="95"/>
  <c r="J64" i="95"/>
  <c r="J65" i="95"/>
  <c r="J73" i="95"/>
  <c r="J70" i="95"/>
  <c r="J72" i="95"/>
  <c r="J68" i="95"/>
  <c r="J71" i="95"/>
  <c r="J67" i="95"/>
  <c r="J65" i="99"/>
  <c r="J73" i="99"/>
  <c r="J66" i="99"/>
  <c r="J64" i="99"/>
  <c r="J72" i="99"/>
  <c r="J71" i="99"/>
  <c r="J69" i="99"/>
  <c r="J67" i="99"/>
  <c r="J68" i="99"/>
  <c r="J70" i="99"/>
  <c r="J66" i="75"/>
  <c r="J71" i="75"/>
  <c r="J64" i="75"/>
  <c r="J69" i="75"/>
  <c r="J67" i="75"/>
  <c r="J65" i="75"/>
  <c r="J70" i="75"/>
  <c r="J73" i="75"/>
  <c r="J72" i="75"/>
  <c r="J68" i="75"/>
  <c r="L83" i="85"/>
  <c r="M77" i="85" s="1"/>
  <c r="L78" i="85"/>
  <c r="L79" i="85" s="1"/>
  <c r="M83" i="78"/>
  <c r="N83" i="78" s="1"/>
  <c r="M78" i="78"/>
  <c r="P77" i="78"/>
  <c r="O77" i="78"/>
  <c r="O78" i="94"/>
  <c r="P77" i="107"/>
  <c r="M83" i="107"/>
  <c r="N83" i="107" s="1"/>
  <c r="M78" i="107"/>
  <c r="M79" i="107" s="1"/>
  <c r="N80" i="107" s="1"/>
  <c r="N81" i="107" s="1"/>
  <c r="O77" i="107"/>
  <c r="O78" i="109"/>
  <c r="M83" i="76"/>
  <c r="N83" i="76" s="1"/>
  <c r="M78" i="76"/>
  <c r="M79" i="76" s="1"/>
  <c r="P79" i="76" s="1"/>
  <c r="O77" i="76"/>
  <c r="P77" i="76"/>
  <c r="K74" i="97"/>
  <c r="K75" i="97" s="1"/>
  <c r="K74" i="100"/>
  <c r="K75" i="100" s="1"/>
  <c r="J74" i="126"/>
  <c r="J75" i="126" s="1"/>
  <c r="J74" i="91"/>
  <c r="J75" i="91" s="1"/>
  <c r="K60" i="134"/>
  <c r="K61" i="134" s="1"/>
  <c r="M83" i="82"/>
  <c r="N83" i="82" s="1"/>
  <c r="M78" i="82"/>
  <c r="M79" i="82" s="1"/>
  <c r="P79" i="82" s="1"/>
  <c r="P77" i="82"/>
  <c r="O77" i="82"/>
  <c r="L83" i="110"/>
  <c r="M77" i="110" s="1"/>
  <c r="L78" i="110"/>
  <c r="O78" i="77"/>
  <c r="K74" i="126"/>
  <c r="K75" i="126" s="1"/>
  <c r="K66" i="87"/>
  <c r="K67" i="87"/>
  <c r="K65" i="87"/>
  <c r="K64" i="87"/>
  <c r="K68" i="87"/>
  <c r="K71" i="87"/>
  <c r="K72" i="87"/>
  <c r="K70" i="87"/>
  <c r="K73" i="87"/>
  <c r="K69" i="87"/>
  <c r="K74" i="93"/>
  <c r="K75" i="93" s="1"/>
  <c r="P77" i="89"/>
  <c r="M59" i="91"/>
  <c r="M71" i="128"/>
  <c r="M70" i="128"/>
  <c r="M66" i="128"/>
  <c r="M64" i="128"/>
  <c r="M72" i="128"/>
  <c r="M68" i="128"/>
  <c r="M69" i="128"/>
  <c r="M67" i="128"/>
  <c r="M73" i="128"/>
  <c r="M65" i="128"/>
  <c r="M71" i="9"/>
  <c r="M72" i="9"/>
  <c r="M70" i="9"/>
  <c r="M67" i="9"/>
  <c r="M64" i="9"/>
  <c r="M66" i="9"/>
  <c r="M69" i="9"/>
  <c r="M65" i="9"/>
  <c r="M68" i="9"/>
  <c r="M73" i="9"/>
  <c r="M73" i="95"/>
  <c r="M66" i="95"/>
  <c r="M64" i="95"/>
  <c r="M65" i="95"/>
  <c r="M69" i="95"/>
  <c r="M72" i="95"/>
  <c r="M68" i="95"/>
  <c r="M70" i="95"/>
  <c r="M71" i="95"/>
  <c r="M67" i="95"/>
  <c r="M70" i="82"/>
  <c r="M64" i="82"/>
  <c r="M73" i="82"/>
  <c r="M72" i="82"/>
  <c r="M65" i="82"/>
  <c r="M67" i="82"/>
  <c r="M68" i="82"/>
  <c r="M71" i="82"/>
  <c r="M69" i="82"/>
  <c r="M66" i="82"/>
  <c r="M72" i="129"/>
  <c r="M69" i="129"/>
  <c r="M64" i="129"/>
  <c r="M66" i="129"/>
  <c r="M65" i="129"/>
  <c r="M73" i="129"/>
  <c r="M67" i="129"/>
  <c r="M70" i="129"/>
  <c r="M68" i="129"/>
  <c r="M71" i="129"/>
  <c r="M72" i="96"/>
  <c r="M67" i="96"/>
  <c r="M65" i="96"/>
  <c r="M71" i="96"/>
  <c r="M70" i="96"/>
  <c r="M69" i="96"/>
  <c r="M73" i="96"/>
  <c r="M64" i="96"/>
  <c r="M66" i="96"/>
  <c r="M68" i="96"/>
  <c r="M71" i="100"/>
  <c r="M66" i="100"/>
  <c r="M65" i="100"/>
  <c r="M73" i="100"/>
  <c r="M67" i="100"/>
  <c r="M72" i="100"/>
  <c r="M70" i="100"/>
  <c r="M69" i="100"/>
  <c r="M68" i="100"/>
  <c r="M64" i="100"/>
  <c r="M72" i="94"/>
  <c r="M65" i="94"/>
  <c r="M67" i="94"/>
  <c r="M68" i="94"/>
  <c r="M73" i="94"/>
  <c r="M64" i="94"/>
  <c r="M66" i="94"/>
  <c r="M71" i="94"/>
  <c r="M70" i="94"/>
  <c r="M69" i="94"/>
  <c r="M73" i="81"/>
  <c r="M64" i="81"/>
  <c r="M72" i="81"/>
  <c r="M70" i="81"/>
  <c r="M71" i="81"/>
  <c r="M69" i="81"/>
  <c r="M65" i="81"/>
  <c r="M66" i="81"/>
  <c r="M67" i="81"/>
  <c r="M68" i="81"/>
  <c r="L60" i="134"/>
  <c r="L61" i="134" s="1"/>
  <c r="J67" i="90"/>
  <c r="J69" i="90"/>
  <c r="J66" i="90"/>
  <c r="J65" i="90"/>
  <c r="J64" i="90"/>
  <c r="J72" i="90"/>
  <c r="J73" i="90"/>
  <c r="J68" i="90"/>
  <c r="J70" i="90"/>
  <c r="J71" i="90"/>
  <c r="N80" i="96"/>
  <c r="N81" i="96" s="1"/>
  <c r="K74" i="98"/>
  <c r="K75" i="98" s="1"/>
  <c r="G15" i="63"/>
  <c r="R15" i="63" s="1"/>
  <c r="R30" i="63" s="1"/>
  <c r="G9" i="63"/>
  <c r="P78" i="109"/>
  <c r="H24" i="132"/>
  <c r="H51" i="132" s="1"/>
  <c r="H53" i="132" s="1"/>
  <c r="V20" i="14"/>
  <c r="P42" i="14"/>
  <c r="V42" i="14" s="1"/>
  <c r="L59" i="80"/>
  <c r="L59" i="105"/>
  <c r="L59" i="123"/>
  <c r="L59" i="104"/>
  <c r="L59" i="97"/>
  <c r="L59" i="76"/>
  <c r="L59" i="126"/>
  <c r="L59" i="124"/>
  <c r="L59" i="86"/>
  <c r="L59" i="90"/>
  <c r="L59" i="100"/>
  <c r="G35" i="115"/>
  <c r="Q35" i="115" s="1"/>
  <c r="K66" i="123"/>
  <c r="K68" i="123"/>
  <c r="K65" i="123"/>
  <c r="K67" i="123"/>
  <c r="K64" i="123"/>
  <c r="K71" i="123"/>
  <c r="K73" i="123"/>
  <c r="K72" i="123"/>
  <c r="K69" i="123"/>
  <c r="K70" i="123"/>
  <c r="K74" i="92"/>
  <c r="J67" i="87"/>
  <c r="J70" i="87"/>
  <c r="J72" i="87"/>
  <c r="J65" i="87"/>
  <c r="J66" i="87"/>
  <c r="J64" i="87"/>
  <c r="J73" i="87"/>
  <c r="J69" i="87"/>
  <c r="J68" i="87"/>
  <c r="J71" i="87"/>
  <c r="O79" i="94"/>
  <c r="N80" i="94"/>
  <c r="N81" i="94" s="1"/>
  <c r="P79" i="94"/>
  <c r="M79" i="87"/>
  <c r="O78" i="87"/>
  <c r="P79" i="109"/>
  <c r="O79" i="109"/>
  <c r="N80" i="109"/>
  <c r="N81" i="109" s="1"/>
  <c r="K74" i="106"/>
  <c r="K75" i="106" s="1"/>
  <c r="K74" i="101"/>
  <c r="K75" i="101" s="1"/>
  <c r="K64" i="78"/>
  <c r="K70" i="78"/>
  <c r="K73" i="78"/>
  <c r="K67" i="78"/>
  <c r="K65" i="78"/>
  <c r="K66" i="78"/>
  <c r="K72" i="78"/>
  <c r="K68" i="78"/>
  <c r="K71" i="78"/>
  <c r="K69" i="78"/>
  <c r="K79" i="89"/>
  <c r="P77" i="75"/>
  <c r="M83" i="75"/>
  <c r="N83" i="75" s="1"/>
  <c r="M78" i="75"/>
  <c r="M79" i="75" s="1"/>
  <c r="N80" i="75" s="1"/>
  <c r="N81" i="75" s="1"/>
  <c r="L32" i="134"/>
  <c r="L40" i="134"/>
  <c r="L41" i="134"/>
  <c r="L43" i="134"/>
  <c r="L42" i="134"/>
  <c r="J65" i="100"/>
  <c r="J72" i="100"/>
  <c r="J66" i="100"/>
  <c r="J73" i="100"/>
  <c r="J70" i="100"/>
  <c r="J68" i="100"/>
  <c r="J71" i="100"/>
  <c r="J64" i="100"/>
  <c r="J69" i="100"/>
  <c r="J67" i="100"/>
  <c r="J74" i="79"/>
  <c r="J73" i="77"/>
  <c r="J64" i="77"/>
  <c r="J70" i="77"/>
  <c r="J65" i="77"/>
  <c r="J67" i="77"/>
  <c r="J72" i="77"/>
  <c r="J66" i="77"/>
  <c r="J71" i="77"/>
  <c r="J69" i="77"/>
  <c r="J68" i="77"/>
  <c r="J73" i="92"/>
  <c r="J68" i="92"/>
  <c r="J70" i="92"/>
  <c r="J66" i="92"/>
  <c r="J71" i="92"/>
  <c r="J72" i="92"/>
  <c r="J69" i="92"/>
  <c r="J65" i="92"/>
  <c r="J67" i="92"/>
  <c r="J64" i="92"/>
  <c r="J74" i="123"/>
  <c r="J75" i="123" s="1"/>
  <c r="N80" i="95"/>
  <c r="N81" i="95" s="1"/>
  <c r="P79" i="95"/>
  <c r="O79" i="95"/>
  <c r="N80" i="76"/>
  <c r="N81" i="76" s="1"/>
  <c r="K74" i="74"/>
  <c r="K75" i="74" s="1"/>
  <c r="K74" i="94"/>
  <c r="O77" i="80"/>
  <c r="M83" i="80"/>
  <c r="N83" i="80" s="1"/>
  <c r="M78" i="80"/>
  <c r="M59" i="106"/>
  <c r="M67" i="90"/>
  <c r="M66" i="90"/>
  <c r="M65" i="90"/>
  <c r="M71" i="90"/>
  <c r="M73" i="90"/>
  <c r="M69" i="90"/>
  <c r="M72" i="90"/>
  <c r="M68" i="90"/>
  <c r="M70" i="90"/>
  <c r="M64" i="90"/>
  <c r="M70" i="84"/>
  <c r="M69" i="84"/>
  <c r="M68" i="84"/>
  <c r="M73" i="84"/>
  <c r="M64" i="84"/>
  <c r="M65" i="84"/>
  <c r="M66" i="84"/>
  <c r="M67" i="84"/>
  <c r="M72" i="84"/>
  <c r="M71" i="84"/>
  <c r="M73" i="104"/>
  <c r="M70" i="104"/>
  <c r="M64" i="104"/>
  <c r="M71" i="104"/>
  <c r="M69" i="104"/>
  <c r="M68" i="104"/>
  <c r="M65" i="104"/>
  <c r="M67" i="104"/>
  <c r="M66" i="104"/>
  <c r="M72" i="104"/>
  <c r="M64" i="74"/>
  <c r="M72" i="74"/>
  <c r="M66" i="74"/>
  <c r="M71" i="74"/>
  <c r="M65" i="74"/>
  <c r="M69" i="74"/>
  <c r="M70" i="74"/>
  <c r="M73" i="74"/>
  <c r="M67" i="74"/>
  <c r="M68" i="74"/>
  <c r="M67" i="92"/>
  <c r="M69" i="92"/>
  <c r="M64" i="92"/>
  <c r="M66" i="92"/>
  <c r="M70" i="92"/>
  <c r="M73" i="92"/>
  <c r="M72" i="92"/>
  <c r="M68" i="92"/>
  <c r="M65" i="92"/>
  <c r="M71" i="92"/>
  <c r="M72" i="97"/>
  <c r="M71" i="97"/>
  <c r="M70" i="97"/>
  <c r="M73" i="97"/>
  <c r="M68" i="97"/>
  <c r="M64" i="97"/>
  <c r="M65" i="97"/>
  <c r="M67" i="97"/>
  <c r="M66" i="97"/>
  <c r="M69" i="97"/>
  <c r="M70" i="125"/>
  <c r="M67" i="125"/>
  <c r="M69" i="125"/>
  <c r="M71" i="125"/>
  <c r="M73" i="125"/>
  <c r="M72" i="125"/>
  <c r="M66" i="125"/>
  <c r="M68" i="125"/>
  <c r="M64" i="125"/>
  <c r="M65" i="125"/>
  <c r="M72" i="75"/>
  <c r="M71" i="75"/>
  <c r="M67" i="75"/>
  <c r="M69" i="75"/>
  <c r="M73" i="75"/>
  <c r="M66" i="75"/>
  <c r="M68" i="75"/>
  <c r="M64" i="75"/>
  <c r="M65" i="75"/>
  <c r="M70" i="75"/>
  <c r="M73" i="103"/>
  <c r="M65" i="103"/>
  <c r="M68" i="103"/>
  <c r="M67" i="103"/>
  <c r="M72" i="103"/>
  <c r="M66" i="103"/>
  <c r="M69" i="103"/>
  <c r="M64" i="103"/>
  <c r="M71" i="103"/>
  <c r="M70" i="103"/>
  <c r="N79" i="81"/>
  <c r="O78" i="81"/>
  <c r="J67" i="101"/>
  <c r="J70" i="101"/>
  <c r="J69" i="101"/>
  <c r="J73" i="101"/>
  <c r="J72" i="101"/>
  <c r="J68" i="101"/>
  <c r="J64" i="101"/>
  <c r="J66" i="101"/>
  <c r="J65" i="101"/>
  <c r="J71" i="101"/>
  <c r="J67" i="89"/>
  <c r="J70" i="89"/>
  <c r="J65" i="89"/>
  <c r="J68" i="89"/>
  <c r="J72" i="89"/>
  <c r="J73" i="89"/>
  <c r="J64" i="89"/>
  <c r="J71" i="89"/>
  <c r="J69" i="89"/>
  <c r="J66" i="89"/>
  <c r="M83" i="92"/>
  <c r="N83" i="92" s="1"/>
  <c r="M78" i="92"/>
  <c r="O77" i="92"/>
  <c r="M83" i="74"/>
  <c r="N83" i="74" s="1"/>
  <c r="M78" i="74"/>
  <c r="P77" i="74"/>
  <c r="O77" i="74"/>
  <c r="K74" i="82"/>
  <c r="K74" i="102"/>
  <c r="K75" i="102" s="1"/>
  <c r="G11" i="63"/>
  <c r="R11" i="63" s="1"/>
  <c r="R26" i="63" s="1"/>
  <c r="I13" i="63" l="1"/>
  <c r="T13" i="63" s="1"/>
  <c r="T28" i="63" s="1"/>
  <c r="N80" i="86"/>
  <c r="N81" i="86" s="1"/>
  <c r="O78" i="95"/>
  <c r="O79" i="76"/>
  <c r="O78" i="107"/>
  <c r="P78" i="95"/>
  <c r="G12" i="14"/>
  <c r="R12" i="14" s="1"/>
  <c r="R34" i="14" s="1"/>
  <c r="O78" i="76"/>
  <c r="O78" i="108"/>
  <c r="O78" i="84"/>
  <c r="O79" i="96"/>
  <c r="P79" i="86"/>
  <c r="N80" i="84"/>
  <c r="N81" i="84" s="1"/>
  <c r="J74" i="89"/>
  <c r="J75" i="89" s="1"/>
  <c r="M74" i="125"/>
  <c r="M75" i="125" s="1"/>
  <c r="M74" i="92"/>
  <c r="P78" i="108"/>
  <c r="J74" i="102"/>
  <c r="J75" i="102" s="1"/>
  <c r="O79" i="84"/>
  <c r="G15" i="14"/>
  <c r="R15" i="14" s="1"/>
  <c r="R37" i="14" s="1"/>
  <c r="P78" i="96"/>
  <c r="M74" i="96"/>
  <c r="M75" i="96" s="1"/>
  <c r="G22" i="14"/>
  <c r="R22" i="14" s="1"/>
  <c r="R44" i="14" s="1"/>
  <c r="G10" i="14"/>
  <c r="R10" i="14" s="1"/>
  <c r="R32" i="14" s="1"/>
  <c r="G13" i="14"/>
  <c r="R13" i="14" s="1"/>
  <c r="R35" i="14" s="1"/>
  <c r="G14" i="14"/>
  <c r="R14" i="14" s="1"/>
  <c r="R36" i="14" s="1"/>
  <c r="G21" i="14"/>
  <c r="R21" i="14" s="1"/>
  <c r="R43" i="14" s="1"/>
  <c r="G11" i="14"/>
  <c r="R11" i="14" s="1"/>
  <c r="R33" i="14" s="1"/>
  <c r="M74" i="101"/>
  <c r="M75" i="101" s="1"/>
  <c r="M79" i="80"/>
  <c r="P78" i="80"/>
  <c r="O78" i="80"/>
  <c r="H19" i="131"/>
  <c r="H12" i="131" s="1"/>
  <c r="H20" i="131"/>
  <c r="H13" i="131" s="1"/>
  <c r="K74" i="78"/>
  <c r="G9" i="14"/>
  <c r="M74" i="94"/>
  <c r="M74" i="129"/>
  <c r="M75" i="129" s="1"/>
  <c r="M74" i="82"/>
  <c r="M64" i="91"/>
  <c r="M70" i="91"/>
  <c r="M72" i="91"/>
  <c r="M65" i="91"/>
  <c r="M73" i="91"/>
  <c r="M67" i="91"/>
  <c r="M68" i="91"/>
  <c r="M66" i="91"/>
  <c r="M71" i="91"/>
  <c r="M69" i="91"/>
  <c r="K74" i="87"/>
  <c r="L79" i="110"/>
  <c r="J74" i="99"/>
  <c r="J75" i="99" s="1"/>
  <c r="J74" i="95"/>
  <c r="J75" i="95" s="1"/>
  <c r="G27" i="115"/>
  <c r="K75" i="84"/>
  <c r="H16" i="63"/>
  <c r="S16" i="63" s="1"/>
  <c r="L65" i="98"/>
  <c r="L64" i="98"/>
  <c r="L68" i="98"/>
  <c r="L73" i="98"/>
  <c r="L70" i="98"/>
  <c r="L72" i="98"/>
  <c r="H14" i="63"/>
  <c r="S14" i="63" s="1"/>
  <c r="H10" i="63"/>
  <c r="S10" i="63" s="1"/>
  <c r="L69" i="98"/>
  <c r="L66" i="98"/>
  <c r="H15" i="63"/>
  <c r="S15" i="63" s="1"/>
  <c r="H9" i="63"/>
  <c r="H13" i="63"/>
  <c r="S13" i="63" s="1"/>
  <c r="H11" i="63"/>
  <c r="S11" i="63" s="1"/>
  <c r="H12" i="63"/>
  <c r="S12" i="63" s="1"/>
  <c r="L71" i="98"/>
  <c r="L67" i="98"/>
  <c r="L69" i="9"/>
  <c r="L72" i="9"/>
  <c r="L67" i="9"/>
  <c r="L71" i="9"/>
  <c r="L70" i="9"/>
  <c r="L68" i="9"/>
  <c r="L66" i="9"/>
  <c r="L65" i="9"/>
  <c r="L64" i="9"/>
  <c r="L73" i="9"/>
  <c r="L72" i="84"/>
  <c r="L73" i="84"/>
  <c r="L69" i="84"/>
  <c r="L68" i="84"/>
  <c r="L67" i="84"/>
  <c r="L71" i="84"/>
  <c r="L70" i="84"/>
  <c r="L65" i="84"/>
  <c r="L66" i="84"/>
  <c r="L64" i="84"/>
  <c r="L72" i="121"/>
  <c r="L65" i="121"/>
  <c r="L69" i="121"/>
  <c r="L66" i="121"/>
  <c r="L68" i="121"/>
  <c r="L67" i="121"/>
  <c r="L64" i="121"/>
  <c r="L71" i="121"/>
  <c r="L73" i="121"/>
  <c r="L70" i="121"/>
  <c r="L64" i="79"/>
  <c r="L68" i="79"/>
  <c r="L70" i="79"/>
  <c r="L71" i="79"/>
  <c r="L65" i="79"/>
  <c r="L69" i="79"/>
  <c r="L73" i="79"/>
  <c r="L67" i="79"/>
  <c r="L72" i="79"/>
  <c r="L66" i="79"/>
  <c r="P18" i="14"/>
  <c r="K18" i="14"/>
  <c r="J74" i="96"/>
  <c r="J82" i="110"/>
  <c r="K80" i="110" s="1"/>
  <c r="J81" i="110"/>
  <c r="M79" i="97"/>
  <c r="P78" i="97"/>
  <c r="O78" i="97"/>
  <c r="M74" i="123"/>
  <c r="M75" i="123" s="1"/>
  <c r="G11" i="115"/>
  <c r="Q11" i="115" s="1"/>
  <c r="K75" i="85"/>
  <c r="J74" i="78"/>
  <c r="P79" i="107"/>
  <c r="L70" i="81"/>
  <c r="L68" i="81"/>
  <c r="L69" i="81"/>
  <c r="L73" i="81"/>
  <c r="L66" i="81"/>
  <c r="L71" i="81"/>
  <c r="L72" i="81"/>
  <c r="L67" i="81"/>
  <c r="L64" i="81"/>
  <c r="L65" i="81"/>
  <c r="L65" i="91"/>
  <c r="L72" i="91"/>
  <c r="L73" i="91"/>
  <c r="L71" i="91"/>
  <c r="L64" i="91"/>
  <c r="L66" i="91"/>
  <c r="L70" i="91"/>
  <c r="L68" i="91"/>
  <c r="L69" i="91"/>
  <c r="L67" i="91"/>
  <c r="L68" i="77"/>
  <c r="L73" i="77"/>
  <c r="L72" i="77"/>
  <c r="L66" i="77"/>
  <c r="L65" i="77"/>
  <c r="L70" i="77"/>
  <c r="L67" i="77"/>
  <c r="L71" i="77"/>
  <c r="L64" i="77"/>
  <c r="L69" i="77"/>
  <c r="L68" i="129"/>
  <c r="L69" i="129"/>
  <c r="L72" i="129"/>
  <c r="L65" i="129"/>
  <c r="L66" i="129"/>
  <c r="L64" i="129"/>
  <c r="L71" i="129"/>
  <c r="L73" i="129"/>
  <c r="L67" i="129"/>
  <c r="L70" i="129"/>
  <c r="L71" i="78"/>
  <c r="L73" i="78"/>
  <c r="L67" i="78"/>
  <c r="L72" i="78"/>
  <c r="L65" i="78"/>
  <c r="L69" i="78"/>
  <c r="L64" i="78"/>
  <c r="L68" i="78"/>
  <c r="L66" i="78"/>
  <c r="L70" i="78"/>
  <c r="P78" i="82"/>
  <c r="G19" i="131"/>
  <c r="G12" i="131" s="1"/>
  <c r="G20" i="131"/>
  <c r="G13" i="131" s="1"/>
  <c r="J75" i="121"/>
  <c r="F35" i="115"/>
  <c r="P35" i="115" s="1"/>
  <c r="I11" i="63"/>
  <c r="T11" i="63" s="1"/>
  <c r="T26" i="63" s="1"/>
  <c r="M74" i="126"/>
  <c r="M75" i="126" s="1"/>
  <c r="M67" i="105"/>
  <c r="M64" i="105"/>
  <c r="M73" i="105"/>
  <c r="M68" i="105"/>
  <c r="M69" i="105"/>
  <c r="M65" i="105"/>
  <c r="M70" i="105"/>
  <c r="M71" i="105"/>
  <c r="M66" i="105"/>
  <c r="M72" i="105"/>
  <c r="M74" i="76"/>
  <c r="P78" i="75"/>
  <c r="M43" i="134"/>
  <c r="M32" i="134"/>
  <c r="I20" i="131" s="1"/>
  <c r="I13" i="131" s="1"/>
  <c r="M41" i="134"/>
  <c r="M40" i="134"/>
  <c r="M42" i="134"/>
  <c r="I19" i="131"/>
  <c r="I12" i="131" s="1"/>
  <c r="I15" i="131" s="1"/>
  <c r="F12" i="14"/>
  <c r="Q12" i="14" s="1"/>
  <c r="Q34" i="14" s="1"/>
  <c r="F14" i="14"/>
  <c r="Q14" i="14" s="1"/>
  <c r="Q36" i="14" s="1"/>
  <c r="Q9" i="63"/>
  <c r="F17" i="63"/>
  <c r="K74" i="104"/>
  <c r="K75" i="104" s="1"/>
  <c r="L69" i="92"/>
  <c r="L66" i="92"/>
  <c r="L65" i="92"/>
  <c r="L64" i="92"/>
  <c r="L68" i="92"/>
  <c r="L73" i="92"/>
  <c r="L72" i="92"/>
  <c r="L67" i="92"/>
  <c r="L70" i="92"/>
  <c r="L71" i="92"/>
  <c r="L72" i="85"/>
  <c r="L67" i="85"/>
  <c r="L70" i="85"/>
  <c r="L73" i="85"/>
  <c r="L71" i="85"/>
  <c r="L65" i="85"/>
  <c r="L64" i="85"/>
  <c r="L69" i="85"/>
  <c r="L66" i="85"/>
  <c r="L68" i="85"/>
  <c r="L69" i="99"/>
  <c r="L70" i="99"/>
  <c r="L73" i="99"/>
  <c r="L71" i="99"/>
  <c r="L65" i="99"/>
  <c r="L67" i="99"/>
  <c r="L72" i="99"/>
  <c r="L68" i="99"/>
  <c r="L66" i="99"/>
  <c r="L64" i="99"/>
  <c r="L69" i="106"/>
  <c r="L73" i="106"/>
  <c r="L72" i="106"/>
  <c r="L67" i="106"/>
  <c r="L70" i="106"/>
  <c r="L68" i="106"/>
  <c r="L71" i="106"/>
  <c r="L66" i="106"/>
  <c r="L64" i="106"/>
  <c r="L65" i="106"/>
  <c r="L66" i="93"/>
  <c r="L64" i="93"/>
  <c r="L65" i="93"/>
  <c r="L73" i="93"/>
  <c r="L68" i="93"/>
  <c r="L67" i="93"/>
  <c r="L69" i="93"/>
  <c r="L70" i="93"/>
  <c r="L72" i="93"/>
  <c r="L71" i="93"/>
  <c r="M79" i="74"/>
  <c r="P78" i="74"/>
  <c r="O78" i="74"/>
  <c r="M75" i="92"/>
  <c r="M64" i="106"/>
  <c r="I9" i="14" s="1"/>
  <c r="M73" i="106"/>
  <c r="M66" i="106"/>
  <c r="M71" i="106"/>
  <c r="M67" i="106"/>
  <c r="M72" i="106"/>
  <c r="M70" i="106"/>
  <c r="M65" i="106"/>
  <c r="M69" i="106"/>
  <c r="M68" i="106"/>
  <c r="K75" i="92"/>
  <c r="G10" i="115"/>
  <c r="Q10" i="115" s="1"/>
  <c r="L73" i="90"/>
  <c r="L71" i="90"/>
  <c r="L64" i="90"/>
  <c r="L68" i="90"/>
  <c r="L65" i="90"/>
  <c r="L66" i="90"/>
  <c r="L67" i="90"/>
  <c r="L70" i="90"/>
  <c r="L69" i="90"/>
  <c r="L72" i="90"/>
  <c r="L71" i="124"/>
  <c r="L67" i="124"/>
  <c r="L73" i="124"/>
  <c r="L70" i="124"/>
  <c r="L66" i="124"/>
  <c r="L65" i="124"/>
  <c r="L72" i="124"/>
  <c r="L64" i="124"/>
  <c r="L68" i="124"/>
  <c r="L69" i="124"/>
  <c r="L68" i="76"/>
  <c r="L70" i="76"/>
  <c r="L64" i="76"/>
  <c r="L67" i="76"/>
  <c r="L73" i="76"/>
  <c r="L65" i="76"/>
  <c r="L71" i="76"/>
  <c r="L66" i="76"/>
  <c r="L72" i="76"/>
  <c r="L69" i="76"/>
  <c r="L66" i="104"/>
  <c r="L70" i="104"/>
  <c r="L69" i="104"/>
  <c r="L71" i="104"/>
  <c r="L65" i="104"/>
  <c r="L72" i="104"/>
  <c r="L73" i="104"/>
  <c r="L68" i="104"/>
  <c r="L64" i="104"/>
  <c r="L67" i="104"/>
  <c r="G17" i="63"/>
  <c r="R9" i="63"/>
  <c r="O79" i="82"/>
  <c r="M74" i="81"/>
  <c r="M75" i="81" s="1"/>
  <c r="M83" i="110"/>
  <c r="N83" i="110" s="1"/>
  <c r="M78" i="110"/>
  <c r="M79" i="110" s="1"/>
  <c r="P77" i="110"/>
  <c r="M79" i="78"/>
  <c r="O78" i="78"/>
  <c r="P78" i="78"/>
  <c r="O77" i="85"/>
  <c r="M83" i="85"/>
  <c r="N83" i="85" s="1"/>
  <c r="M78" i="85"/>
  <c r="M79" i="85" s="1"/>
  <c r="P79" i="85" s="1"/>
  <c r="K75" i="80"/>
  <c r="J74" i="76"/>
  <c r="M74" i="124"/>
  <c r="M75" i="124" s="1"/>
  <c r="M74" i="79"/>
  <c r="M74" i="80"/>
  <c r="M74" i="127"/>
  <c r="M75" i="127" s="1"/>
  <c r="M74" i="102"/>
  <c r="M75" i="102" s="1"/>
  <c r="J74" i="80"/>
  <c r="O75" i="110"/>
  <c r="O78" i="96"/>
  <c r="J74" i="94"/>
  <c r="I15" i="63"/>
  <c r="T15" i="63" s="1"/>
  <c r="T30" i="63" s="1"/>
  <c r="I12" i="63"/>
  <c r="T12" i="63" s="1"/>
  <c r="T27" i="63" s="1"/>
  <c r="I16" i="63"/>
  <c r="T16" i="63" s="1"/>
  <c r="T31" i="63" s="1"/>
  <c r="M74" i="85"/>
  <c r="O78" i="93"/>
  <c r="K74" i="76"/>
  <c r="O79" i="108"/>
  <c r="P78" i="84"/>
  <c r="M83" i="89"/>
  <c r="N83" i="89" s="1"/>
  <c r="M78" i="89"/>
  <c r="K82" i="108"/>
  <c r="L80" i="108" s="1"/>
  <c r="J74" i="98"/>
  <c r="J75" i="98" s="1"/>
  <c r="F9" i="14"/>
  <c r="F21" i="14"/>
  <c r="Q21" i="14" s="1"/>
  <c r="Q43" i="14" s="1"/>
  <c r="F10" i="14"/>
  <c r="Q10" i="14" s="1"/>
  <c r="Q32" i="14" s="1"/>
  <c r="J74" i="103"/>
  <c r="J75" i="103" s="1"/>
  <c r="J74" i="86"/>
  <c r="P81" i="81"/>
  <c r="J74" i="74"/>
  <c r="J75" i="74" s="1"/>
  <c r="O79" i="81"/>
  <c r="N80" i="81"/>
  <c r="N82" i="81" s="1"/>
  <c r="J74" i="77"/>
  <c r="J75" i="77" s="1"/>
  <c r="L66" i="105"/>
  <c r="L69" i="105"/>
  <c r="L71" i="105"/>
  <c r="L70" i="105"/>
  <c r="L72" i="105"/>
  <c r="L65" i="105"/>
  <c r="L68" i="105"/>
  <c r="L67" i="105"/>
  <c r="L73" i="105"/>
  <c r="L64" i="105"/>
  <c r="M74" i="75"/>
  <c r="M75" i="75" s="1"/>
  <c r="M74" i="97"/>
  <c r="M75" i="97" s="1"/>
  <c r="M74" i="104"/>
  <c r="M75" i="104" s="1"/>
  <c r="J74" i="92"/>
  <c r="J74" i="87"/>
  <c r="N80" i="82"/>
  <c r="N81" i="82" s="1"/>
  <c r="J74" i="90"/>
  <c r="J75" i="90" s="1"/>
  <c r="M74" i="95"/>
  <c r="M75" i="95" s="1"/>
  <c r="P78" i="107"/>
  <c r="J74" i="75"/>
  <c r="J75" i="75" s="1"/>
  <c r="K74" i="125"/>
  <c r="K75" i="125" s="1"/>
  <c r="L66" i="94"/>
  <c r="L70" i="94"/>
  <c r="L64" i="94"/>
  <c r="L72" i="94"/>
  <c r="L69" i="94"/>
  <c r="L68" i="94"/>
  <c r="L73" i="94"/>
  <c r="L71" i="94"/>
  <c r="L65" i="94"/>
  <c r="L67" i="94"/>
  <c r="L68" i="83"/>
  <c r="L71" i="83"/>
  <c r="L66" i="83"/>
  <c r="L69" i="83"/>
  <c r="L72" i="83"/>
  <c r="L70" i="83"/>
  <c r="L67" i="83"/>
  <c r="L65" i="83"/>
  <c r="L64" i="83"/>
  <c r="L73" i="83"/>
  <c r="L64" i="82"/>
  <c r="L65" i="82"/>
  <c r="L73" i="82"/>
  <c r="L71" i="82"/>
  <c r="L66" i="82"/>
  <c r="L67" i="82"/>
  <c r="L68" i="82"/>
  <c r="L70" i="82"/>
  <c r="L72" i="82"/>
  <c r="L69" i="82"/>
  <c r="L70" i="96"/>
  <c r="L71" i="96"/>
  <c r="L65" i="96"/>
  <c r="L67" i="96"/>
  <c r="L64" i="96"/>
  <c r="L66" i="96"/>
  <c r="L73" i="96"/>
  <c r="L69" i="96"/>
  <c r="L72" i="96"/>
  <c r="L68" i="96"/>
  <c r="L72" i="75"/>
  <c r="L67" i="75"/>
  <c r="L73" i="75"/>
  <c r="L68" i="75"/>
  <c r="L66" i="75"/>
  <c r="L64" i="75"/>
  <c r="L69" i="75"/>
  <c r="L70" i="75"/>
  <c r="L65" i="75"/>
  <c r="L71" i="75"/>
  <c r="L68" i="89"/>
  <c r="L69" i="89"/>
  <c r="L64" i="89"/>
  <c r="L71" i="89"/>
  <c r="L70" i="89"/>
  <c r="L72" i="89"/>
  <c r="L66" i="89"/>
  <c r="L73" i="89"/>
  <c r="L67" i="89"/>
  <c r="L65" i="89"/>
  <c r="I91" i="2"/>
  <c r="I81" i="2"/>
  <c r="I78" i="2"/>
  <c r="N60" i="134"/>
  <c r="N61" i="134" s="1"/>
  <c r="N32" i="134"/>
  <c r="N41" i="134"/>
  <c r="N42" i="134"/>
  <c r="N43" i="134"/>
  <c r="N40" i="134"/>
  <c r="M74" i="121"/>
  <c r="O79" i="75"/>
  <c r="J74" i="97"/>
  <c r="J75" i="97" s="1"/>
  <c r="K74" i="79"/>
  <c r="K82" i="107"/>
  <c r="L80" i="107" s="1"/>
  <c r="K81" i="107"/>
  <c r="N80" i="85"/>
  <c r="N81" i="85" s="1"/>
  <c r="K74" i="124"/>
  <c r="K75" i="124" s="1"/>
  <c r="L64" i="128"/>
  <c r="L65" i="128"/>
  <c r="L69" i="128"/>
  <c r="L70" i="128"/>
  <c r="L72" i="128"/>
  <c r="L67" i="128"/>
  <c r="L66" i="128"/>
  <c r="L71" i="128"/>
  <c r="L73" i="128"/>
  <c r="L68" i="128"/>
  <c r="L68" i="102"/>
  <c r="L66" i="102"/>
  <c r="L65" i="102"/>
  <c r="L64" i="102"/>
  <c r="L70" i="102"/>
  <c r="L69" i="102"/>
  <c r="L72" i="102"/>
  <c r="L71" i="102"/>
  <c r="L73" i="102"/>
  <c r="L67" i="102"/>
  <c r="L68" i="103"/>
  <c r="L64" i="103"/>
  <c r="L72" i="103"/>
  <c r="L71" i="103"/>
  <c r="L65" i="103"/>
  <c r="L73" i="103"/>
  <c r="L69" i="103"/>
  <c r="L66" i="103"/>
  <c r="L70" i="103"/>
  <c r="L67" i="103"/>
  <c r="L72" i="74"/>
  <c r="L64" i="74"/>
  <c r="L69" i="74"/>
  <c r="L68" i="74"/>
  <c r="L67" i="74"/>
  <c r="L73" i="74"/>
  <c r="L65" i="74"/>
  <c r="L71" i="74"/>
  <c r="L70" i="74"/>
  <c r="L66" i="74"/>
  <c r="L65" i="125"/>
  <c r="L67" i="125"/>
  <c r="L71" i="125"/>
  <c r="L68" i="125"/>
  <c r="L64" i="125"/>
  <c r="L70" i="125"/>
  <c r="L73" i="125"/>
  <c r="L66" i="125"/>
  <c r="L69" i="125"/>
  <c r="L72" i="125"/>
  <c r="K44" i="134"/>
  <c r="K45" i="134" s="1"/>
  <c r="I9" i="63"/>
  <c r="I14" i="63"/>
  <c r="T14" i="63" s="1"/>
  <c r="T29" i="63" s="1"/>
  <c r="M74" i="87"/>
  <c r="M74" i="99"/>
  <c r="M75" i="99" s="1"/>
  <c r="M74" i="77"/>
  <c r="M75" i="77" s="1"/>
  <c r="M74" i="83"/>
  <c r="M75" i="83" s="1"/>
  <c r="P78" i="93"/>
  <c r="N80" i="108"/>
  <c r="N81" i="108" s="1"/>
  <c r="P78" i="86"/>
  <c r="F13" i="14"/>
  <c r="Q13" i="14" s="1"/>
  <c r="Q35" i="14" s="1"/>
  <c r="F22" i="14"/>
  <c r="Q22" i="14" s="1"/>
  <c r="Q44" i="14" s="1"/>
  <c r="F15" i="14"/>
  <c r="Q15" i="14" s="1"/>
  <c r="Q37" i="14" s="1"/>
  <c r="K74" i="96"/>
  <c r="L72" i="87"/>
  <c r="L69" i="87"/>
  <c r="L65" i="87"/>
  <c r="L66" i="87"/>
  <c r="L71" i="87"/>
  <c r="L64" i="87"/>
  <c r="L73" i="87"/>
  <c r="L68" i="87"/>
  <c r="L67" i="87"/>
  <c r="L70" i="87"/>
  <c r="L65" i="127"/>
  <c r="L72" i="127"/>
  <c r="L71" i="127"/>
  <c r="L68" i="127"/>
  <c r="L66" i="127"/>
  <c r="L70" i="127"/>
  <c r="L64" i="127"/>
  <c r="L67" i="127"/>
  <c r="L69" i="127"/>
  <c r="L73" i="127"/>
  <c r="L71" i="101"/>
  <c r="L64" i="101"/>
  <c r="L66" i="101"/>
  <c r="L68" i="101"/>
  <c r="L73" i="101"/>
  <c r="L72" i="101"/>
  <c r="L67" i="101"/>
  <c r="L70" i="101"/>
  <c r="L65" i="101"/>
  <c r="L69" i="101"/>
  <c r="L66" i="95"/>
  <c r="L72" i="95"/>
  <c r="L65" i="95"/>
  <c r="L70" i="95"/>
  <c r="L64" i="95"/>
  <c r="L71" i="95"/>
  <c r="L68" i="95"/>
  <c r="L69" i="95"/>
  <c r="L67" i="95"/>
  <c r="L73" i="95"/>
  <c r="L71" i="88"/>
  <c r="L67" i="88"/>
  <c r="L65" i="88"/>
  <c r="L73" i="88"/>
  <c r="L64" i="88"/>
  <c r="L69" i="88"/>
  <c r="L66" i="88"/>
  <c r="L68" i="88"/>
  <c r="L72" i="88"/>
  <c r="L70" i="88"/>
  <c r="N59" i="109"/>
  <c r="J74" i="85"/>
  <c r="F34" i="115"/>
  <c r="P34" i="115" s="1"/>
  <c r="J75" i="79"/>
  <c r="G30" i="115"/>
  <c r="Q30" i="115" s="1"/>
  <c r="K75" i="82"/>
  <c r="M74" i="74"/>
  <c r="M75" i="74" s="1"/>
  <c r="M74" i="90"/>
  <c r="M75" i="90" s="1"/>
  <c r="M79" i="92"/>
  <c r="O78" i="92"/>
  <c r="P78" i="92"/>
  <c r="J74" i="101"/>
  <c r="J75" i="101" s="1"/>
  <c r="M74" i="103"/>
  <c r="M75" i="103" s="1"/>
  <c r="M74" i="84"/>
  <c r="O78" i="75"/>
  <c r="G29" i="115"/>
  <c r="Q29" i="115" s="1"/>
  <c r="K75" i="94"/>
  <c r="J74" i="100"/>
  <c r="J75" i="100" s="1"/>
  <c r="L44" i="134"/>
  <c r="L45" i="134" s="1"/>
  <c r="P79" i="87"/>
  <c r="N80" i="87"/>
  <c r="N81" i="87" s="1"/>
  <c r="O79" i="87"/>
  <c r="K74" i="123"/>
  <c r="K75" i="123" s="1"/>
  <c r="L70" i="100"/>
  <c r="L69" i="100"/>
  <c r="L73" i="100"/>
  <c r="L67" i="100"/>
  <c r="L72" i="100"/>
  <c r="L71" i="100"/>
  <c r="L64" i="100"/>
  <c r="L68" i="100"/>
  <c r="L66" i="100"/>
  <c r="L65" i="100"/>
  <c r="L72" i="86"/>
  <c r="L69" i="86"/>
  <c r="L68" i="86"/>
  <c r="L64" i="86"/>
  <c r="L73" i="86"/>
  <c r="L71" i="86"/>
  <c r="L67" i="86"/>
  <c r="L66" i="86"/>
  <c r="L70" i="86"/>
  <c r="L65" i="86"/>
  <c r="L69" i="126"/>
  <c r="L66" i="126"/>
  <c r="L72" i="126"/>
  <c r="L68" i="126"/>
  <c r="L70" i="126"/>
  <c r="L71" i="126"/>
  <c r="L73" i="126"/>
  <c r="L67" i="126"/>
  <c r="L64" i="126"/>
  <c r="L65" i="126"/>
  <c r="L66" i="97"/>
  <c r="L70" i="97"/>
  <c r="L71" i="97"/>
  <c r="L69" i="97"/>
  <c r="L73" i="97"/>
  <c r="L68" i="97"/>
  <c r="L72" i="97"/>
  <c r="L67" i="97"/>
  <c r="L65" i="97"/>
  <c r="L64" i="97"/>
  <c r="L70" i="123"/>
  <c r="L72" i="123"/>
  <c r="L73" i="123"/>
  <c r="L65" i="123"/>
  <c r="L66" i="123"/>
  <c r="L64" i="123"/>
  <c r="L69" i="123"/>
  <c r="L71" i="123"/>
  <c r="L68" i="123"/>
  <c r="L67" i="123"/>
  <c r="L66" i="80"/>
  <c r="L65" i="80"/>
  <c r="L69" i="80"/>
  <c r="L70" i="80"/>
  <c r="L72" i="80"/>
  <c r="L68" i="80"/>
  <c r="L71" i="80"/>
  <c r="L67" i="80"/>
  <c r="L64" i="80"/>
  <c r="L73" i="80"/>
  <c r="M74" i="100"/>
  <c r="M75" i="100" s="1"/>
  <c r="M74" i="9"/>
  <c r="M75" i="9" s="1"/>
  <c r="M74" i="128"/>
  <c r="M75" i="128" s="1"/>
  <c r="P77" i="85"/>
  <c r="J74" i="84"/>
  <c r="J74" i="93"/>
  <c r="J75" i="93" s="1"/>
  <c r="O78" i="82"/>
  <c r="M74" i="93"/>
  <c r="M75" i="93" s="1"/>
  <c r="M74" i="86"/>
  <c r="M74" i="78"/>
  <c r="P79" i="75"/>
  <c r="P78" i="76"/>
  <c r="M60" i="134"/>
  <c r="M61" i="134" s="1"/>
  <c r="M79" i="77"/>
  <c r="P78" i="77"/>
  <c r="O79" i="107"/>
  <c r="M74" i="88"/>
  <c r="M75" i="88" s="1"/>
  <c r="I10" i="63"/>
  <c r="T10" i="63" s="1"/>
  <c r="T25" i="63" s="1"/>
  <c r="M74" i="98"/>
  <c r="M75" i="98" s="1"/>
  <c r="I22" i="14"/>
  <c r="T22" i="14" s="1"/>
  <c r="T44" i="14" s="1"/>
  <c r="M74" i="89"/>
  <c r="M75" i="89" s="1"/>
  <c r="N80" i="93"/>
  <c r="N81" i="93" s="1"/>
  <c r="O79" i="93"/>
  <c r="P79" i="93"/>
  <c r="K74" i="83"/>
  <c r="K75" i="83" s="1"/>
  <c r="P79" i="108"/>
  <c r="O78" i="110"/>
  <c r="J74" i="82"/>
  <c r="F11" i="14"/>
  <c r="Q11" i="14" s="1"/>
  <c r="Q33" i="14" s="1"/>
  <c r="I60" i="109"/>
  <c r="P57" i="109"/>
  <c r="O57" i="109"/>
  <c r="O59" i="109" s="1"/>
  <c r="I59" i="109"/>
  <c r="O77" i="110"/>
  <c r="I15" i="14" l="1"/>
  <c r="T15" i="14" s="1"/>
  <c r="T37" i="14" s="1"/>
  <c r="O79" i="85"/>
  <c r="I11" i="14"/>
  <c r="T11" i="14" s="1"/>
  <c r="T33" i="14" s="1"/>
  <c r="P78" i="85"/>
  <c r="I21" i="14"/>
  <c r="T21" i="14" s="1"/>
  <c r="T43" i="14" s="1"/>
  <c r="I12" i="14"/>
  <c r="T12" i="14" s="1"/>
  <c r="T34" i="14" s="1"/>
  <c r="I14" i="14"/>
  <c r="T14" i="14" s="1"/>
  <c r="T36" i="14" s="1"/>
  <c r="I28" i="115"/>
  <c r="S28" i="115" s="1"/>
  <c r="H15" i="131"/>
  <c r="N44" i="134"/>
  <c r="N45" i="134" s="1"/>
  <c r="I10" i="14"/>
  <c r="T10" i="14" s="1"/>
  <c r="T32" i="14" s="1"/>
  <c r="L74" i="105"/>
  <c r="L75" i="105" s="1"/>
  <c r="L74" i="106"/>
  <c r="L75" i="106" s="1"/>
  <c r="L74" i="85"/>
  <c r="L75" i="85" s="1"/>
  <c r="I13" i="14"/>
  <c r="T13" i="14" s="1"/>
  <c r="T35" i="14" s="1"/>
  <c r="L74" i="127"/>
  <c r="L75" i="127" s="1"/>
  <c r="I12" i="115"/>
  <c r="S12" i="115" s="1"/>
  <c r="M75" i="86"/>
  <c r="L74" i="123"/>
  <c r="L75" i="123" s="1"/>
  <c r="L74" i="86"/>
  <c r="L74" i="100"/>
  <c r="L75" i="100" s="1"/>
  <c r="N80" i="92"/>
  <c r="N81" i="92" s="1"/>
  <c r="O79" i="92"/>
  <c r="P79" i="92"/>
  <c r="L74" i="101"/>
  <c r="L75" i="101" s="1"/>
  <c r="G28" i="115"/>
  <c r="Q28" i="115" s="1"/>
  <c r="K75" i="96"/>
  <c r="L74" i="125"/>
  <c r="L75" i="125" s="1"/>
  <c r="L82" i="107"/>
  <c r="M80" i="107" s="1"/>
  <c r="O80" i="107" s="1"/>
  <c r="O81" i="107" s="1"/>
  <c r="L81" i="107"/>
  <c r="M75" i="121"/>
  <c r="I35" i="115"/>
  <c r="S35" i="115" s="1"/>
  <c r="L74" i="83"/>
  <c r="L75" i="83" s="1"/>
  <c r="J75" i="87"/>
  <c r="F33" i="115"/>
  <c r="P33" i="115" s="1"/>
  <c r="M79" i="89"/>
  <c r="P78" i="89"/>
  <c r="O78" i="89"/>
  <c r="K75" i="76"/>
  <c r="G31" i="115"/>
  <c r="Q31" i="115" s="1"/>
  <c r="F29" i="115"/>
  <c r="P29" i="115" s="1"/>
  <c r="J75" i="94"/>
  <c r="M75" i="79"/>
  <c r="I34" i="115"/>
  <c r="S34" i="115" s="1"/>
  <c r="G9" i="115"/>
  <c r="M74" i="106"/>
  <c r="M75" i="106" s="1"/>
  <c r="F28" i="115"/>
  <c r="P28" i="115" s="1"/>
  <c r="J75" i="96"/>
  <c r="L74" i="79"/>
  <c r="H17" i="63"/>
  <c r="S9" i="63"/>
  <c r="S25" i="63"/>
  <c r="H22" i="14"/>
  <c r="S22" i="14" s="1"/>
  <c r="S31" i="63"/>
  <c r="K75" i="87"/>
  <c r="G33" i="115"/>
  <c r="Q33" i="115" s="1"/>
  <c r="I30" i="115"/>
  <c r="S30" i="115" s="1"/>
  <c r="M75" i="82"/>
  <c r="M75" i="94"/>
  <c r="I29" i="115"/>
  <c r="S29" i="115" s="1"/>
  <c r="F11" i="115"/>
  <c r="P11" i="115" s="1"/>
  <c r="J75" i="85"/>
  <c r="L74" i="95"/>
  <c r="L75" i="95" s="1"/>
  <c r="L74" i="87"/>
  <c r="T9" i="63"/>
  <c r="I17" i="63"/>
  <c r="L74" i="128"/>
  <c r="L75" i="128" s="1"/>
  <c r="K75" i="79"/>
  <c r="G34" i="115"/>
  <c r="Q34" i="115" s="1"/>
  <c r="J19" i="131"/>
  <c r="J12" i="131" s="1"/>
  <c r="J20" i="131"/>
  <c r="J13" i="131" s="1"/>
  <c r="I95" i="2"/>
  <c r="N81" i="2"/>
  <c r="N95" i="2" s="1"/>
  <c r="L74" i="82"/>
  <c r="L74" i="94"/>
  <c r="J75" i="92"/>
  <c r="F10" i="115"/>
  <c r="P10" i="115" s="1"/>
  <c r="F9" i="115"/>
  <c r="J75" i="80"/>
  <c r="L74" i="124"/>
  <c r="L75" i="124" s="1"/>
  <c r="L74" i="90"/>
  <c r="L75" i="90" s="1"/>
  <c r="L74" i="93"/>
  <c r="L75" i="93" s="1"/>
  <c r="M75" i="76"/>
  <c r="I31" i="115"/>
  <c r="S31" i="115" s="1"/>
  <c r="L74" i="78"/>
  <c r="L74" i="129"/>
  <c r="L75" i="129" s="1"/>
  <c r="L74" i="77"/>
  <c r="L75" i="77" s="1"/>
  <c r="L74" i="91"/>
  <c r="L75" i="91" s="1"/>
  <c r="O78" i="85"/>
  <c r="N80" i="97"/>
  <c r="N81" i="97" s="1"/>
  <c r="P79" i="97"/>
  <c r="O79" i="97"/>
  <c r="L74" i="121"/>
  <c r="L74" i="84"/>
  <c r="L74" i="9"/>
  <c r="L75" i="9" s="1"/>
  <c r="S27" i="63"/>
  <c r="S30" i="63"/>
  <c r="S29" i="63"/>
  <c r="H13" i="14"/>
  <c r="S13" i="14" s="1"/>
  <c r="P78" i="110"/>
  <c r="K75" i="78"/>
  <c r="G32" i="115"/>
  <c r="Q32" i="115" s="1"/>
  <c r="I80" i="109"/>
  <c r="J60" i="109"/>
  <c r="K60" i="109" s="1"/>
  <c r="I66" i="109"/>
  <c r="I71" i="109"/>
  <c r="I72" i="109"/>
  <c r="I64" i="109"/>
  <c r="I65" i="109"/>
  <c r="I70" i="109"/>
  <c r="I73" i="109"/>
  <c r="I67" i="109"/>
  <c r="I69" i="109"/>
  <c r="I68" i="109"/>
  <c r="F30" i="115"/>
  <c r="P30" i="115" s="1"/>
  <c r="J75" i="82"/>
  <c r="J75" i="84"/>
  <c r="F27" i="115"/>
  <c r="L74" i="80"/>
  <c r="M75" i="87"/>
  <c r="I33" i="115"/>
  <c r="S33" i="115" s="1"/>
  <c r="L74" i="103"/>
  <c r="L75" i="103" s="1"/>
  <c r="J20" i="134"/>
  <c r="J31" i="134" s="1"/>
  <c r="J19" i="134"/>
  <c r="I92" i="2"/>
  <c r="L74" i="89"/>
  <c r="L75" i="89" s="1"/>
  <c r="L74" i="75"/>
  <c r="L75" i="75" s="1"/>
  <c r="M75" i="85"/>
  <c r="I11" i="115"/>
  <c r="S11" i="115" s="1"/>
  <c r="L74" i="104"/>
  <c r="L75" i="104" s="1"/>
  <c r="I10" i="115"/>
  <c r="S10" i="115" s="1"/>
  <c r="O79" i="74"/>
  <c r="N80" i="74"/>
  <c r="N81" i="74" s="1"/>
  <c r="P79" i="74"/>
  <c r="L74" i="99"/>
  <c r="L75" i="99" s="1"/>
  <c r="L74" i="92"/>
  <c r="Q17" i="63"/>
  <c r="Q24" i="63"/>
  <c r="Q32" i="63" s="1"/>
  <c r="V18" i="14"/>
  <c r="P40" i="14"/>
  <c r="V40" i="14" s="1"/>
  <c r="S26" i="63"/>
  <c r="H11" i="14"/>
  <c r="S11" i="14" s="1"/>
  <c r="H21" i="14"/>
  <c r="S21" i="14" s="1"/>
  <c r="H9" i="14"/>
  <c r="L74" i="98"/>
  <c r="L75" i="98" s="1"/>
  <c r="O79" i="110"/>
  <c r="N80" i="110"/>
  <c r="N81" i="110" s="1"/>
  <c r="P79" i="110"/>
  <c r="M74" i="91"/>
  <c r="M75" i="91" s="1"/>
  <c r="O79" i="80"/>
  <c r="N80" i="80"/>
  <c r="N81" i="80" s="1"/>
  <c r="P79" i="80"/>
  <c r="P59" i="109"/>
  <c r="I23" i="14"/>
  <c r="I24" i="14" s="1"/>
  <c r="T9" i="14"/>
  <c r="N80" i="77"/>
  <c r="N81" i="77" s="1"/>
  <c r="O79" i="77"/>
  <c r="P79" i="77"/>
  <c r="I32" i="115"/>
  <c r="S32" i="115" s="1"/>
  <c r="M75" i="78"/>
  <c r="L74" i="97"/>
  <c r="L75" i="97" s="1"/>
  <c r="L74" i="126"/>
  <c r="L75" i="126" s="1"/>
  <c r="M75" i="84"/>
  <c r="I27" i="115"/>
  <c r="N71" i="109"/>
  <c r="N69" i="109"/>
  <c r="N67" i="109"/>
  <c r="N70" i="109"/>
  <c r="N73" i="109"/>
  <c r="N65" i="109"/>
  <c r="N64" i="109"/>
  <c r="N66" i="109"/>
  <c r="N68" i="109"/>
  <c r="N72" i="109"/>
  <c r="L74" i="88"/>
  <c r="L75" i="88" s="1"/>
  <c r="L74" i="74"/>
  <c r="L75" i="74" s="1"/>
  <c r="L74" i="102"/>
  <c r="L75" i="102" s="1"/>
  <c r="L74" i="96"/>
  <c r="N81" i="81"/>
  <c r="O80" i="81"/>
  <c r="O81" i="81" s="1"/>
  <c r="J75" i="86"/>
  <c r="F12" i="115"/>
  <c r="P12" i="115" s="1"/>
  <c r="Q9" i="14"/>
  <c r="F23" i="14"/>
  <c r="F24" i="14" s="1"/>
  <c r="L82" i="108"/>
  <c r="M80" i="108" s="1"/>
  <c r="L81" i="108"/>
  <c r="I9" i="115"/>
  <c r="M75" i="80"/>
  <c r="J75" i="76"/>
  <c r="F31" i="115"/>
  <c r="P31" i="115" s="1"/>
  <c r="N80" i="78"/>
  <c r="N81" i="78" s="1"/>
  <c r="P79" i="78"/>
  <c r="O79" i="78"/>
  <c r="R17" i="63"/>
  <c r="R24" i="63"/>
  <c r="R32" i="63" s="1"/>
  <c r="L74" i="76"/>
  <c r="M44" i="134"/>
  <c r="M45" i="134" s="1"/>
  <c r="M74" i="105"/>
  <c r="M75" i="105" s="1"/>
  <c r="G15" i="131"/>
  <c r="L74" i="81"/>
  <c r="L75" i="81" s="1"/>
  <c r="F32" i="115"/>
  <c r="P32" i="115" s="1"/>
  <c r="J75" i="78"/>
  <c r="K82" i="110"/>
  <c r="L80" i="110" s="1"/>
  <c r="L81" i="110" s="1"/>
  <c r="K81" i="110"/>
  <c r="H12" i="14"/>
  <c r="S12" i="14" s="1"/>
  <c r="S28" i="63"/>
  <c r="H14" i="14"/>
  <c r="S14" i="14" s="1"/>
  <c r="H15" i="14"/>
  <c r="S15" i="14" s="1"/>
  <c r="H10" i="14"/>
  <c r="S10" i="14" s="1"/>
  <c r="Q27" i="115"/>
  <c r="G23" i="14"/>
  <c r="G24" i="14" s="1"/>
  <c r="R9" i="14"/>
  <c r="H11" i="115" l="1"/>
  <c r="R11" i="115" s="1"/>
  <c r="G36" i="115"/>
  <c r="G37" i="115" s="1"/>
  <c r="Q36" i="115"/>
  <c r="J15" i="131"/>
  <c r="F91" i="107"/>
  <c r="H90" i="107"/>
  <c r="H94" i="107"/>
  <c r="I90" i="107"/>
  <c r="I89" i="107"/>
  <c r="G89" i="107"/>
  <c r="F93" i="107"/>
  <c r="H85" i="107"/>
  <c r="F85" i="107"/>
  <c r="F94" i="107"/>
  <c r="I91" i="107"/>
  <c r="H92" i="107"/>
  <c r="D20" i="111" s="1"/>
  <c r="O20" i="111" s="1"/>
  <c r="O42" i="111" s="1"/>
  <c r="G92" i="107"/>
  <c r="C20" i="111" s="1"/>
  <c r="N20" i="111" s="1"/>
  <c r="N42" i="111" s="1"/>
  <c r="F87" i="107"/>
  <c r="H93" i="107"/>
  <c r="G94" i="107"/>
  <c r="F88" i="107"/>
  <c r="G93" i="107"/>
  <c r="I93" i="107"/>
  <c r="G88" i="107"/>
  <c r="G91" i="107"/>
  <c r="I94" i="107"/>
  <c r="I85" i="107"/>
  <c r="F90" i="107"/>
  <c r="H88" i="107"/>
  <c r="F92" i="107"/>
  <c r="H86" i="107"/>
  <c r="I87" i="107"/>
  <c r="I92" i="107"/>
  <c r="G85" i="107"/>
  <c r="H89" i="107"/>
  <c r="H91" i="107"/>
  <c r="G86" i="107"/>
  <c r="H87" i="107"/>
  <c r="F89" i="107"/>
  <c r="G90" i="107"/>
  <c r="I86" i="107"/>
  <c r="G87" i="107"/>
  <c r="F86" i="107"/>
  <c r="I88" i="107"/>
  <c r="N86" i="107"/>
  <c r="N88" i="107"/>
  <c r="N91" i="107"/>
  <c r="J91" i="107"/>
  <c r="J85" i="107"/>
  <c r="J93" i="107"/>
  <c r="N92" i="107"/>
  <c r="J20" i="111" s="1"/>
  <c r="U20" i="111" s="1"/>
  <c r="U42" i="111" s="1"/>
  <c r="N87" i="107"/>
  <c r="J89" i="107"/>
  <c r="J87" i="107"/>
  <c r="J94" i="107"/>
  <c r="N93" i="107"/>
  <c r="N94" i="107"/>
  <c r="J88" i="107"/>
  <c r="J90" i="107"/>
  <c r="N90" i="107"/>
  <c r="N89" i="107"/>
  <c r="N85" i="107"/>
  <c r="J92" i="107"/>
  <c r="F20" i="111" s="1"/>
  <c r="Q20" i="111" s="1"/>
  <c r="Q42" i="111" s="1"/>
  <c r="J86" i="107"/>
  <c r="K92" i="107"/>
  <c r="G20" i="111" s="1"/>
  <c r="R20" i="111" s="1"/>
  <c r="R42" i="111" s="1"/>
  <c r="K89" i="107"/>
  <c r="K90" i="107"/>
  <c r="K87" i="107"/>
  <c r="K93" i="107"/>
  <c r="K85" i="107"/>
  <c r="K88" i="107"/>
  <c r="K91" i="107"/>
  <c r="K94" i="107"/>
  <c r="K86" i="107"/>
  <c r="S37" i="14"/>
  <c r="S34" i="14"/>
  <c r="L75" i="76"/>
  <c r="H31" i="115"/>
  <c r="R31" i="115" s="1"/>
  <c r="Q23" i="14"/>
  <c r="G16" i="131" s="1"/>
  <c r="Q31" i="14"/>
  <c r="Q45" i="14" s="1"/>
  <c r="L75" i="96"/>
  <c r="H28" i="115"/>
  <c r="R28" i="115" s="1"/>
  <c r="S33" i="14"/>
  <c r="L75" i="80"/>
  <c r="H9" i="115"/>
  <c r="O73" i="109"/>
  <c r="P73" i="109"/>
  <c r="O72" i="109"/>
  <c r="P72" i="109"/>
  <c r="P9" i="115"/>
  <c r="P18" i="115" s="1"/>
  <c r="F18" i="115"/>
  <c r="F19" i="115" s="1"/>
  <c r="I56" i="104"/>
  <c r="I57" i="104" s="1"/>
  <c r="I56" i="127"/>
  <c r="I57" i="127" s="1"/>
  <c r="I56" i="9"/>
  <c r="I57" i="9" s="1"/>
  <c r="I56" i="128"/>
  <c r="I57" i="128" s="1"/>
  <c r="I56" i="83"/>
  <c r="I57" i="83" s="1"/>
  <c r="I56" i="100"/>
  <c r="I57" i="100" s="1"/>
  <c r="I56" i="91"/>
  <c r="I57" i="91" s="1"/>
  <c r="I56" i="74"/>
  <c r="I57" i="74" s="1"/>
  <c r="I56" i="93"/>
  <c r="I57" i="93" s="1"/>
  <c r="I56" i="87"/>
  <c r="I57" i="87" s="1"/>
  <c r="I56" i="129"/>
  <c r="I57" i="129" s="1"/>
  <c r="I56" i="96"/>
  <c r="I57" i="96" s="1"/>
  <c r="I56" i="94"/>
  <c r="I57" i="94" s="1"/>
  <c r="I56" i="99"/>
  <c r="I57" i="99" s="1"/>
  <c r="I56" i="81"/>
  <c r="I57" i="81" s="1"/>
  <c r="I56" i="103"/>
  <c r="I57" i="103" s="1"/>
  <c r="I56" i="77"/>
  <c r="I57" i="77" s="1"/>
  <c r="I56" i="105"/>
  <c r="I57" i="105" s="1"/>
  <c r="I56" i="98"/>
  <c r="I57" i="98" s="1"/>
  <c r="I56" i="106"/>
  <c r="I57" i="106" s="1"/>
  <c r="I56" i="78"/>
  <c r="I57" i="78" s="1"/>
  <c r="I56" i="86"/>
  <c r="I57" i="86" s="1"/>
  <c r="I56" i="90"/>
  <c r="I57" i="90" s="1"/>
  <c r="I56" i="88"/>
  <c r="I57" i="88" s="1"/>
  <c r="I56" i="92"/>
  <c r="I57" i="92" s="1"/>
  <c r="I56" i="102"/>
  <c r="I57" i="102" s="1"/>
  <c r="I56" i="101"/>
  <c r="I57" i="101" s="1"/>
  <c r="I56" i="80"/>
  <c r="I57" i="80" s="1"/>
  <c r="I56" i="85"/>
  <c r="I57" i="85" s="1"/>
  <c r="I56" i="84"/>
  <c r="I57" i="84" s="1"/>
  <c r="I56" i="124"/>
  <c r="I57" i="124" s="1"/>
  <c r="I56" i="126"/>
  <c r="I57" i="126" s="1"/>
  <c r="I56" i="75"/>
  <c r="I57" i="75" s="1"/>
  <c r="I56" i="123"/>
  <c r="I57" i="123" s="1"/>
  <c r="I56" i="97"/>
  <c r="I57" i="97" s="1"/>
  <c r="I56" i="125"/>
  <c r="I57" i="125" s="1"/>
  <c r="I56" i="76"/>
  <c r="I57" i="76" s="1"/>
  <c r="I56" i="95"/>
  <c r="I57" i="95" s="1"/>
  <c r="I56" i="89"/>
  <c r="I57" i="89" s="1"/>
  <c r="I56" i="82"/>
  <c r="I57" i="82" s="1"/>
  <c r="I56" i="79"/>
  <c r="I57" i="79" s="1"/>
  <c r="I56" i="121"/>
  <c r="I57" i="121" s="1"/>
  <c r="H33" i="115"/>
  <c r="R33" i="115" s="1"/>
  <c r="L75" i="87"/>
  <c r="S36" i="14"/>
  <c r="L82" i="110"/>
  <c r="M80" i="110" s="1"/>
  <c r="O80" i="110" s="1"/>
  <c r="O81" i="110" s="1"/>
  <c r="S27" i="115"/>
  <c r="S36" i="115" s="1"/>
  <c r="I36" i="115"/>
  <c r="I37" i="115" s="1"/>
  <c r="L75" i="92"/>
  <c r="H10" i="115"/>
  <c r="R10" i="115" s="1"/>
  <c r="P27" i="115"/>
  <c r="P36" i="115" s="1"/>
  <c r="F36" i="115"/>
  <c r="F37" i="115" s="1"/>
  <c r="O68" i="109"/>
  <c r="P68" i="109"/>
  <c r="O70" i="109"/>
  <c r="P70" i="109"/>
  <c r="O71" i="109"/>
  <c r="P71" i="109"/>
  <c r="L60" i="109"/>
  <c r="H27" i="115"/>
  <c r="L75" i="84"/>
  <c r="L75" i="94"/>
  <c r="H29" i="115"/>
  <c r="R29" i="115" s="1"/>
  <c r="T17" i="63"/>
  <c r="T24" i="63"/>
  <c r="T32" i="63" s="1"/>
  <c r="P79" i="89"/>
  <c r="O79" i="89"/>
  <c r="N80" i="89"/>
  <c r="N81" i="89" s="1"/>
  <c r="P80" i="108"/>
  <c r="M82" i="108"/>
  <c r="N82" i="108" s="1"/>
  <c r="O80" i="108"/>
  <c r="O81" i="108" s="1"/>
  <c r="L89" i="108" s="1"/>
  <c r="M81" i="108"/>
  <c r="N74" i="109"/>
  <c r="H23" i="14"/>
  <c r="H24" i="14" s="1"/>
  <c r="S9" i="14"/>
  <c r="Q33" i="63"/>
  <c r="J21" i="134"/>
  <c r="J22" i="134" s="1"/>
  <c r="J30" i="134"/>
  <c r="O69" i="109"/>
  <c r="P69" i="109"/>
  <c r="O65" i="109"/>
  <c r="P65" i="109"/>
  <c r="O66" i="109"/>
  <c r="P66" i="109"/>
  <c r="I82" i="109"/>
  <c r="J80" i="109" s="1"/>
  <c r="I81" i="109"/>
  <c r="L75" i="121"/>
  <c r="H35" i="115"/>
  <c r="R35" i="115" s="1"/>
  <c r="S17" i="63"/>
  <c r="S24" i="63"/>
  <c r="S32" i="63" s="1"/>
  <c r="Q9" i="115"/>
  <c r="Q18" i="115" s="1"/>
  <c r="G18" i="115"/>
  <c r="G19" i="115" s="1"/>
  <c r="L85" i="107"/>
  <c r="L89" i="107"/>
  <c r="L86" i="107"/>
  <c r="L88" i="107"/>
  <c r="L93" i="107"/>
  <c r="L94" i="107"/>
  <c r="L87" i="107"/>
  <c r="L90" i="107"/>
  <c r="L92" i="107"/>
  <c r="H20" i="111" s="1"/>
  <c r="S20" i="111" s="1"/>
  <c r="S42" i="111" s="1"/>
  <c r="L91" i="107"/>
  <c r="L75" i="86"/>
  <c r="H12" i="115"/>
  <c r="R12" i="115" s="1"/>
  <c r="R23" i="14"/>
  <c r="R18" i="63" s="1"/>
  <c r="R31" i="14"/>
  <c r="R45" i="14" s="1"/>
  <c r="R33" i="63" s="1"/>
  <c r="S32" i="14"/>
  <c r="S9" i="115"/>
  <c r="S18" i="115" s="1"/>
  <c r="I18" i="115"/>
  <c r="I19" i="115" s="1"/>
  <c r="T23" i="14"/>
  <c r="T31" i="14"/>
  <c r="T45" i="14" s="1"/>
  <c r="S43" i="14"/>
  <c r="Q18" i="63"/>
  <c r="J54" i="134"/>
  <c r="J52" i="134"/>
  <c r="J53" i="134"/>
  <c r="J55" i="134"/>
  <c r="J51" i="134"/>
  <c r="O31" i="134"/>
  <c r="O67" i="109"/>
  <c r="P67" i="109"/>
  <c r="I74" i="109"/>
  <c r="O64" i="109"/>
  <c r="P64" i="109"/>
  <c r="S35" i="14"/>
  <c r="L75" i="78"/>
  <c r="H32" i="115"/>
  <c r="R32" i="115" s="1"/>
  <c r="L75" i="82"/>
  <c r="H30" i="115"/>
  <c r="R30" i="115" s="1"/>
  <c r="N56" i="77"/>
  <c r="N57" i="77" s="1"/>
  <c r="N59" i="77" s="1"/>
  <c r="N56" i="125"/>
  <c r="N57" i="125" s="1"/>
  <c r="N59" i="125" s="1"/>
  <c r="N56" i="123"/>
  <c r="N57" i="123" s="1"/>
  <c r="N59" i="123" s="1"/>
  <c r="N56" i="82"/>
  <c r="N57" i="82" s="1"/>
  <c r="N59" i="82" s="1"/>
  <c r="N56" i="103"/>
  <c r="N57" i="103" s="1"/>
  <c r="N59" i="103" s="1"/>
  <c r="N56" i="94"/>
  <c r="N57" i="94" s="1"/>
  <c r="N59" i="94" s="1"/>
  <c r="N56" i="129"/>
  <c r="N57" i="129" s="1"/>
  <c r="N59" i="129" s="1"/>
  <c r="N56" i="74"/>
  <c r="N57" i="74" s="1"/>
  <c r="N59" i="74" s="1"/>
  <c r="N56" i="9"/>
  <c r="N57" i="9" s="1"/>
  <c r="N59" i="9" s="1"/>
  <c r="N56" i="93"/>
  <c r="N57" i="93" s="1"/>
  <c r="N59" i="93" s="1"/>
  <c r="N56" i="84"/>
  <c r="N57" i="84" s="1"/>
  <c r="N59" i="84" s="1"/>
  <c r="N56" i="127"/>
  <c r="N57" i="127" s="1"/>
  <c r="N59" i="127" s="1"/>
  <c r="N56" i="76"/>
  <c r="N57" i="76" s="1"/>
  <c r="N59" i="76" s="1"/>
  <c r="N56" i="83"/>
  <c r="N57" i="83" s="1"/>
  <c r="N59" i="83" s="1"/>
  <c r="N56" i="91"/>
  <c r="N57" i="91" s="1"/>
  <c r="N59" i="91" s="1"/>
  <c r="N56" i="79"/>
  <c r="N57" i="79" s="1"/>
  <c r="N59" i="79" s="1"/>
  <c r="N56" i="80"/>
  <c r="N57" i="80" s="1"/>
  <c r="N59" i="80" s="1"/>
  <c r="N56" i="87"/>
  <c r="N57" i="87" s="1"/>
  <c r="N59" i="87" s="1"/>
  <c r="N56" i="99"/>
  <c r="N57" i="99" s="1"/>
  <c r="N59" i="99" s="1"/>
  <c r="N56" i="128"/>
  <c r="N57" i="128" s="1"/>
  <c r="N59" i="128" s="1"/>
  <c r="N56" i="104"/>
  <c r="N57" i="104" s="1"/>
  <c r="N59" i="104" s="1"/>
  <c r="N56" i="89"/>
  <c r="N57" i="89" s="1"/>
  <c r="N59" i="89" s="1"/>
  <c r="N56" i="106"/>
  <c r="N57" i="106" s="1"/>
  <c r="N56" i="88"/>
  <c r="N57" i="88" s="1"/>
  <c r="N59" i="88" s="1"/>
  <c r="N56" i="105"/>
  <c r="N57" i="105" s="1"/>
  <c r="N56" i="100"/>
  <c r="N57" i="100" s="1"/>
  <c r="N59" i="100" s="1"/>
  <c r="N56" i="85"/>
  <c r="N57" i="85" s="1"/>
  <c r="N59" i="85" s="1"/>
  <c r="N56" i="78"/>
  <c r="N57" i="78" s="1"/>
  <c r="N56" i="126"/>
  <c r="N57" i="126" s="1"/>
  <c r="N59" i="126" s="1"/>
  <c r="N56" i="98"/>
  <c r="N57" i="98" s="1"/>
  <c r="N59" i="98" s="1"/>
  <c r="N56" i="96"/>
  <c r="N57" i="96" s="1"/>
  <c r="N59" i="96" s="1"/>
  <c r="N56" i="75"/>
  <c r="N57" i="75" s="1"/>
  <c r="N59" i="75" s="1"/>
  <c r="N56" i="102"/>
  <c r="N57" i="102" s="1"/>
  <c r="N59" i="102" s="1"/>
  <c r="N56" i="86"/>
  <c r="N57" i="86" s="1"/>
  <c r="N59" i="86" s="1"/>
  <c r="N56" i="92"/>
  <c r="N57" i="92" s="1"/>
  <c r="N59" i="92" s="1"/>
  <c r="N56" i="124"/>
  <c r="N57" i="124" s="1"/>
  <c r="N59" i="124" s="1"/>
  <c r="N56" i="90"/>
  <c r="N57" i="90" s="1"/>
  <c r="N59" i="90" s="1"/>
  <c r="N56" i="81"/>
  <c r="N57" i="81" s="1"/>
  <c r="N59" i="81" s="1"/>
  <c r="N56" i="101"/>
  <c r="N57" i="101" s="1"/>
  <c r="N59" i="101" s="1"/>
  <c r="N56" i="97"/>
  <c r="N57" i="97" s="1"/>
  <c r="N59" i="97" s="1"/>
  <c r="N56" i="121"/>
  <c r="N57" i="121" s="1"/>
  <c r="N59" i="121" s="1"/>
  <c r="N56" i="95"/>
  <c r="N57" i="95" s="1"/>
  <c r="N59" i="95" s="1"/>
  <c r="S44" i="14"/>
  <c r="H34" i="115"/>
  <c r="R34" i="115" s="1"/>
  <c r="L75" i="79"/>
  <c r="M82" i="107"/>
  <c r="N82" i="107" s="1"/>
  <c r="M81" i="107"/>
  <c r="P80" i="107"/>
  <c r="L92" i="108" l="1"/>
  <c r="H19" i="111" s="1"/>
  <c r="S19" i="111" s="1"/>
  <c r="S41" i="111" s="1"/>
  <c r="L85" i="108"/>
  <c r="N95" i="107"/>
  <c r="N96" i="107" s="1"/>
  <c r="L88" i="108"/>
  <c r="L86" i="108"/>
  <c r="T18" i="63"/>
  <c r="L93" i="108"/>
  <c r="P80" i="110"/>
  <c r="G91" i="110"/>
  <c r="G85" i="110"/>
  <c r="I88" i="110"/>
  <c r="I93" i="110"/>
  <c r="F93" i="110"/>
  <c r="G94" i="110"/>
  <c r="H93" i="110"/>
  <c r="H94" i="110"/>
  <c r="H92" i="110"/>
  <c r="D18" i="111" s="1"/>
  <c r="O18" i="111" s="1"/>
  <c r="O40" i="111" s="1"/>
  <c r="G87" i="110"/>
  <c r="J92" i="110"/>
  <c r="F18" i="111" s="1"/>
  <c r="Q18" i="111" s="1"/>
  <c r="Q40" i="111" s="1"/>
  <c r="H86" i="110"/>
  <c r="J85" i="110"/>
  <c r="F94" i="110"/>
  <c r="I91" i="110"/>
  <c r="I86" i="110"/>
  <c r="G88" i="110"/>
  <c r="G86" i="110"/>
  <c r="F90" i="110"/>
  <c r="G89" i="110"/>
  <c r="F88" i="110"/>
  <c r="J94" i="110"/>
  <c r="F89" i="110"/>
  <c r="J89" i="110"/>
  <c r="G90" i="110"/>
  <c r="J87" i="110"/>
  <c r="I85" i="110"/>
  <c r="H87" i="110"/>
  <c r="I89" i="110"/>
  <c r="H88" i="110"/>
  <c r="I94" i="110"/>
  <c r="F92" i="110"/>
  <c r="H89" i="110"/>
  <c r="J93" i="110"/>
  <c r="F86" i="110"/>
  <c r="F91" i="110"/>
  <c r="H85" i="110"/>
  <c r="J88" i="110"/>
  <c r="F85" i="110"/>
  <c r="H90" i="110"/>
  <c r="H91" i="110"/>
  <c r="G93" i="110"/>
  <c r="I87" i="110"/>
  <c r="J86" i="110"/>
  <c r="I92" i="110"/>
  <c r="G92" i="110"/>
  <c r="C18" i="111" s="1"/>
  <c r="N18" i="111" s="1"/>
  <c r="N40" i="111" s="1"/>
  <c r="J91" i="110"/>
  <c r="F87" i="110"/>
  <c r="J90" i="110"/>
  <c r="I90" i="110"/>
  <c r="L87" i="110"/>
  <c r="L88" i="110"/>
  <c r="K90" i="110"/>
  <c r="K86" i="110"/>
  <c r="N86" i="110"/>
  <c r="N91" i="110"/>
  <c r="L86" i="110"/>
  <c r="L89" i="110"/>
  <c r="L90" i="110"/>
  <c r="K91" i="110"/>
  <c r="K92" i="110"/>
  <c r="G18" i="111" s="1"/>
  <c r="R18" i="111" s="1"/>
  <c r="R40" i="111" s="1"/>
  <c r="N85" i="110"/>
  <c r="N87" i="110"/>
  <c r="L91" i="110"/>
  <c r="L92" i="110"/>
  <c r="H18" i="111" s="1"/>
  <c r="S18" i="111" s="1"/>
  <c r="S40" i="111" s="1"/>
  <c r="L85" i="110"/>
  <c r="K94" i="110"/>
  <c r="K87" i="110"/>
  <c r="K88" i="110"/>
  <c r="N90" i="110"/>
  <c r="N92" i="110"/>
  <c r="J18" i="111" s="1"/>
  <c r="U18" i="111" s="1"/>
  <c r="U40" i="111" s="1"/>
  <c r="N88" i="110"/>
  <c r="L94" i="110"/>
  <c r="L93" i="110"/>
  <c r="K85" i="110"/>
  <c r="K93" i="110"/>
  <c r="K89" i="110"/>
  <c r="N94" i="110"/>
  <c r="N89" i="110"/>
  <c r="N93" i="110"/>
  <c r="N69" i="98"/>
  <c r="N72" i="98"/>
  <c r="N64" i="98"/>
  <c r="N68" i="98"/>
  <c r="N71" i="98"/>
  <c r="N66" i="98"/>
  <c r="N67" i="98"/>
  <c r="N65" i="98"/>
  <c r="N70" i="98"/>
  <c r="N73" i="98"/>
  <c r="P81" i="107"/>
  <c r="N64" i="90"/>
  <c r="N68" i="90"/>
  <c r="N73" i="90"/>
  <c r="N71" i="90"/>
  <c r="N72" i="90"/>
  <c r="N69" i="90"/>
  <c r="N66" i="90"/>
  <c r="N67" i="90"/>
  <c r="N65" i="90"/>
  <c r="N70" i="90"/>
  <c r="N66" i="104"/>
  <c r="N65" i="104"/>
  <c r="N64" i="104"/>
  <c r="N72" i="104"/>
  <c r="N70" i="104"/>
  <c r="N69" i="104"/>
  <c r="N71" i="104"/>
  <c r="N67" i="104"/>
  <c r="N68" i="104"/>
  <c r="N73" i="104"/>
  <c r="N71" i="97"/>
  <c r="N73" i="97"/>
  <c r="N66" i="97"/>
  <c r="N68" i="97"/>
  <c r="N72" i="97"/>
  <c r="N69" i="97"/>
  <c r="N70" i="97"/>
  <c r="N64" i="97"/>
  <c r="N65" i="97"/>
  <c r="N67" i="97"/>
  <c r="N71" i="124"/>
  <c r="N70" i="124"/>
  <c r="N69" i="124"/>
  <c r="N66" i="124"/>
  <c r="N68" i="124"/>
  <c r="N73" i="124"/>
  <c r="N65" i="124"/>
  <c r="N72" i="124"/>
  <c r="N67" i="124"/>
  <c r="N64" i="124"/>
  <c r="N66" i="75"/>
  <c r="N69" i="75"/>
  <c r="N67" i="75"/>
  <c r="N70" i="75"/>
  <c r="N73" i="75"/>
  <c r="N64" i="75"/>
  <c r="N72" i="75"/>
  <c r="N71" i="75"/>
  <c r="N68" i="75"/>
  <c r="N65" i="75"/>
  <c r="N59" i="78"/>
  <c r="N73" i="88"/>
  <c r="N65" i="88"/>
  <c r="N70" i="88"/>
  <c r="N71" i="88"/>
  <c r="N72" i="88"/>
  <c r="N66" i="88"/>
  <c r="N67" i="88"/>
  <c r="N69" i="88"/>
  <c r="N68" i="88"/>
  <c r="N64" i="88"/>
  <c r="N64" i="128"/>
  <c r="N72" i="128"/>
  <c r="N68" i="128"/>
  <c r="N71" i="128"/>
  <c r="N73" i="128"/>
  <c r="N65" i="128"/>
  <c r="N69" i="128"/>
  <c r="N67" i="128"/>
  <c r="N70" i="128"/>
  <c r="N66" i="128"/>
  <c r="N66" i="79"/>
  <c r="N71" i="79"/>
  <c r="N65" i="79"/>
  <c r="N64" i="79"/>
  <c r="N69" i="79"/>
  <c r="N72" i="79"/>
  <c r="N67" i="79"/>
  <c r="N73" i="79"/>
  <c r="N68" i="79"/>
  <c r="N70" i="79"/>
  <c r="N66" i="127"/>
  <c r="N70" i="127"/>
  <c r="N65" i="127"/>
  <c r="N73" i="127"/>
  <c r="N67" i="127"/>
  <c r="N64" i="127"/>
  <c r="N69" i="127"/>
  <c r="N68" i="127"/>
  <c r="N72" i="127"/>
  <c r="N71" i="127"/>
  <c r="N66" i="74"/>
  <c r="N64" i="74"/>
  <c r="N71" i="74"/>
  <c r="N68" i="74"/>
  <c r="N65" i="74"/>
  <c r="N73" i="74"/>
  <c r="N69" i="74"/>
  <c r="N70" i="74"/>
  <c r="N67" i="74"/>
  <c r="N72" i="74"/>
  <c r="N71" i="82"/>
  <c r="N68" i="82"/>
  <c r="N70" i="82"/>
  <c r="N73" i="82"/>
  <c r="N69" i="82"/>
  <c r="N67" i="82"/>
  <c r="N66" i="82"/>
  <c r="N72" i="82"/>
  <c r="N64" i="82"/>
  <c r="N65" i="82"/>
  <c r="P74" i="109"/>
  <c r="P75" i="109" s="1"/>
  <c r="H16" i="131"/>
  <c r="L95" i="107"/>
  <c r="L96" i="107" s="1"/>
  <c r="H94" i="108"/>
  <c r="G90" i="108"/>
  <c r="F88" i="108"/>
  <c r="F86" i="108"/>
  <c r="H86" i="108"/>
  <c r="G89" i="108"/>
  <c r="G91" i="108"/>
  <c r="H85" i="108"/>
  <c r="F93" i="108"/>
  <c r="H93" i="108"/>
  <c r="H89" i="108"/>
  <c r="G85" i="108"/>
  <c r="F91" i="108"/>
  <c r="H92" i="108"/>
  <c r="D19" i="111" s="1"/>
  <c r="O19" i="111" s="1"/>
  <c r="O41" i="111" s="1"/>
  <c r="G93" i="108"/>
  <c r="H91" i="108"/>
  <c r="H87" i="108"/>
  <c r="G86" i="108"/>
  <c r="G87" i="108"/>
  <c r="F90" i="108"/>
  <c r="F92" i="108"/>
  <c r="H88" i="108"/>
  <c r="F89" i="108"/>
  <c r="F94" i="108"/>
  <c r="F87" i="108"/>
  <c r="G88" i="108"/>
  <c r="G92" i="108"/>
  <c r="C19" i="111" s="1"/>
  <c r="N19" i="111" s="1"/>
  <c r="N41" i="111" s="1"/>
  <c r="H90" i="108"/>
  <c r="G94" i="108"/>
  <c r="F85" i="108"/>
  <c r="I92" i="108"/>
  <c r="I91" i="108"/>
  <c r="I86" i="108"/>
  <c r="I85" i="108"/>
  <c r="I88" i="108"/>
  <c r="I89" i="108"/>
  <c r="I90" i="108"/>
  <c r="I93" i="108"/>
  <c r="I87" i="108"/>
  <c r="I94" i="108"/>
  <c r="K89" i="108"/>
  <c r="K93" i="108"/>
  <c r="J86" i="108"/>
  <c r="J90" i="108"/>
  <c r="K86" i="108"/>
  <c r="K90" i="108"/>
  <c r="K87" i="108"/>
  <c r="J88" i="108"/>
  <c r="J89" i="108"/>
  <c r="J93" i="108"/>
  <c r="K92" i="108"/>
  <c r="G19" i="111" s="1"/>
  <c r="R19" i="111" s="1"/>
  <c r="R41" i="111" s="1"/>
  <c r="K88" i="108"/>
  <c r="K91" i="108"/>
  <c r="J85" i="108"/>
  <c r="J91" i="108"/>
  <c r="J92" i="108"/>
  <c r="F19" i="111" s="1"/>
  <c r="Q19" i="111" s="1"/>
  <c r="Q41" i="111" s="1"/>
  <c r="K85" i="108"/>
  <c r="K94" i="108"/>
  <c r="J87" i="108"/>
  <c r="J94" i="108"/>
  <c r="N90" i="108"/>
  <c r="N86" i="108"/>
  <c r="N92" i="108"/>
  <c r="J19" i="111" s="1"/>
  <c r="U19" i="111" s="1"/>
  <c r="U41" i="111" s="1"/>
  <c r="N93" i="108"/>
  <c r="N85" i="108"/>
  <c r="N89" i="108"/>
  <c r="N87" i="108"/>
  <c r="N94" i="108"/>
  <c r="N88" i="108"/>
  <c r="N91" i="108"/>
  <c r="J16" i="131"/>
  <c r="L94" i="108"/>
  <c r="L90" i="108"/>
  <c r="I60" i="82"/>
  <c r="P57" i="82"/>
  <c r="O57" i="82"/>
  <c r="O59" i="82" s="1"/>
  <c r="I59" i="82"/>
  <c r="I60" i="125"/>
  <c r="J60" i="125" s="1"/>
  <c r="K60" i="125" s="1"/>
  <c r="L60" i="125" s="1"/>
  <c r="M60" i="125" s="1"/>
  <c r="N60" i="125" s="1"/>
  <c r="O57" i="125"/>
  <c r="O59" i="125" s="1"/>
  <c r="P57" i="125"/>
  <c r="I59" i="125"/>
  <c r="I60" i="126"/>
  <c r="J60" i="126" s="1"/>
  <c r="K60" i="126" s="1"/>
  <c r="L60" i="126" s="1"/>
  <c r="M60" i="126" s="1"/>
  <c r="N60" i="126" s="1"/>
  <c r="P57" i="126"/>
  <c r="O57" i="126"/>
  <c r="O59" i="126" s="1"/>
  <c r="I59" i="126"/>
  <c r="I60" i="80"/>
  <c r="P57" i="80"/>
  <c r="O57" i="80"/>
  <c r="O59" i="80" s="1"/>
  <c r="I59" i="80"/>
  <c r="I60" i="88"/>
  <c r="J60" i="88" s="1"/>
  <c r="K60" i="88" s="1"/>
  <c r="L60" i="88" s="1"/>
  <c r="M60" i="88" s="1"/>
  <c r="N60" i="88" s="1"/>
  <c r="P57" i="88"/>
  <c r="O57" i="88"/>
  <c r="O59" i="88" s="1"/>
  <c r="I59" i="88"/>
  <c r="I60" i="106"/>
  <c r="J60" i="106" s="1"/>
  <c r="K60" i="106" s="1"/>
  <c r="P57" i="106"/>
  <c r="O57" i="106"/>
  <c r="O59" i="106" s="1"/>
  <c r="I59" i="106"/>
  <c r="I60" i="103"/>
  <c r="P57" i="103"/>
  <c r="O57" i="103"/>
  <c r="O59" i="103" s="1"/>
  <c r="I59" i="103"/>
  <c r="I60" i="96"/>
  <c r="P57" i="96"/>
  <c r="O57" i="96"/>
  <c r="O59" i="96" s="1"/>
  <c r="I59" i="96"/>
  <c r="I60" i="74"/>
  <c r="P57" i="74"/>
  <c r="O57" i="74"/>
  <c r="O59" i="74" s="1"/>
  <c r="I59" i="74"/>
  <c r="I60" i="128"/>
  <c r="J60" i="128" s="1"/>
  <c r="K60" i="128" s="1"/>
  <c r="L60" i="128" s="1"/>
  <c r="M60" i="128" s="1"/>
  <c r="N60" i="128" s="1"/>
  <c r="P57" i="128"/>
  <c r="O57" i="128"/>
  <c r="O59" i="128" s="1"/>
  <c r="I59" i="128"/>
  <c r="J95" i="107"/>
  <c r="J96" i="107" s="1"/>
  <c r="E20" i="111"/>
  <c r="F95" i="107"/>
  <c r="F96" i="107" s="1"/>
  <c r="N66" i="86"/>
  <c r="N64" i="86"/>
  <c r="N69" i="86"/>
  <c r="N67" i="86"/>
  <c r="N73" i="86"/>
  <c r="N72" i="86"/>
  <c r="N65" i="86"/>
  <c r="N68" i="86"/>
  <c r="N70" i="86"/>
  <c r="N71" i="86"/>
  <c r="N72" i="102"/>
  <c r="N68" i="102"/>
  <c r="N71" i="102"/>
  <c r="N67" i="102"/>
  <c r="N64" i="102"/>
  <c r="N70" i="102"/>
  <c r="N73" i="102"/>
  <c r="N66" i="102"/>
  <c r="N69" i="102"/>
  <c r="N65" i="102"/>
  <c r="N59" i="105"/>
  <c r="M92" i="107"/>
  <c r="I20" i="111" s="1"/>
  <c r="T20" i="111" s="1"/>
  <c r="T42" i="111" s="1"/>
  <c r="M86" i="107"/>
  <c r="P86" i="107" s="1"/>
  <c r="M88" i="107"/>
  <c r="O88" i="107" s="1"/>
  <c r="M94" i="107"/>
  <c r="M85" i="107"/>
  <c r="O85" i="107" s="1"/>
  <c r="M90" i="107"/>
  <c r="P90" i="107" s="1"/>
  <c r="M91" i="107"/>
  <c r="O91" i="107" s="1"/>
  <c r="M93" i="107"/>
  <c r="O93" i="107" s="1"/>
  <c r="M87" i="107"/>
  <c r="M89" i="107"/>
  <c r="P89" i="107" s="1"/>
  <c r="N73" i="101"/>
  <c r="N72" i="101"/>
  <c r="N65" i="101"/>
  <c r="N70" i="101"/>
  <c r="N68" i="101"/>
  <c r="N66" i="101"/>
  <c r="N71" i="101"/>
  <c r="N69" i="101"/>
  <c r="N67" i="101"/>
  <c r="N64" i="101"/>
  <c r="N68" i="92"/>
  <c r="N65" i="92"/>
  <c r="N64" i="92"/>
  <c r="N67" i="92"/>
  <c r="N72" i="92"/>
  <c r="N71" i="92"/>
  <c r="N70" i="92"/>
  <c r="N69" i="92"/>
  <c r="N66" i="92"/>
  <c r="N73" i="92"/>
  <c r="N67" i="96"/>
  <c r="N64" i="96"/>
  <c r="N69" i="96"/>
  <c r="N72" i="96"/>
  <c r="N66" i="96"/>
  <c r="N71" i="96"/>
  <c r="N73" i="96"/>
  <c r="N68" i="96"/>
  <c r="N65" i="96"/>
  <c r="N70" i="96"/>
  <c r="N72" i="85"/>
  <c r="N71" i="85"/>
  <c r="N70" i="85"/>
  <c r="N73" i="85"/>
  <c r="N66" i="85"/>
  <c r="N65" i="85"/>
  <c r="N64" i="85"/>
  <c r="N69" i="85"/>
  <c r="N67" i="85"/>
  <c r="N68" i="85"/>
  <c r="N59" i="106"/>
  <c r="N66" i="99"/>
  <c r="N68" i="99"/>
  <c r="N73" i="99"/>
  <c r="N72" i="99"/>
  <c r="N64" i="99"/>
  <c r="N70" i="99"/>
  <c r="N69" i="99"/>
  <c r="N67" i="99"/>
  <c r="N65" i="99"/>
  <c r="N71" i="99"/>
  <c r="N64" i="91"/>
  <c r="N70" i="91"/>
  <c r="N68" i="91"/>
  <c r="N69" i="91"/>
  <c r="N72" i="91"/>
  <c r="N71" i="91"/>
  <c r="N65" i="91"/>
  <c r="N73" i="91"/>
  <c r="N66" i="91"/>
  <c r="N67" i="91"/>
  <c r="N67" i="84"/>
  <c r="N71" i="84"/>
  <c r="N68" i="84"/>
  <c r="N65" i="84"/>
  <c r="N69" i="84"/>
  <c r="N66" i="84"/>
  <c r="N70" i="84"/>
  <c r="N72" i="84"/>
  <c r="N64" i="84"/>
  <c r="N73" i="84"/>
  <c r="N70" i="129"/>
  <c r="N66" i="129"/>
  <c r="N64" i="129"/>
  <c r="N67" i="129"/>
  <c r="N71" i="129"/>
  <c r="N68" i="129"/>
  <c r="N65" i="129"/>
  <c r="N69" i="129"/>
  <c r="N72" i="129"/>
  <c r="N73" i="129"/>
  <c r="N70" i="123"/>
  <c r="N73" i="123"/>
  <c r="N69" i="123"/>
  <c r="N72" i="123"/>
  <c r="N68" i="123"/>
  <c r="N64" i="123"/>
  <c r="N71" i="123"/>
  <c r="N67" i="123"/>
  <c r="N66" i="123"/>
  <c r="N65" i="123"/>
  <c r="O74" i="109"/>
  <c r="H36" i="115"/>
  <c r="H37" i="115" s="1"/>
  <c r="R27" i="115"/>
  <c r="R36" i="115" s="1"/>
  <c r="L91" i="108"/>
  <c r="L87" i="108"/>
  <c r="M81" i="110"/>
  <c r="M82" i="110"/>
  <c r="N82" i="110" s="1"/>
  <c r="I60" i="89"/>
  <c r="O57" i="89"/>
  <c r="O59" i="89" s="1"/>
  <c r="P57" i="89"/>
  <c r="I59" i="89"/>
  <c r="I60" i="97"/>
  <c r="O57" i="97"/>
  <c r="O59" i="97" s="1"/>
  <c r="P57" i="97"/>
  <c r="I59" i="97"/>
  <c r="I60" i="124"/>
  <c r="J60" i="124" s="1"/>
  <c r="K60" i="124" s="1"/>
  <c r="L60" i="124" s="1"/>
  <c r="M60" i="124" s="1"/>
  <c r="N60" i="124" s="1"/>
  <c r="O57" i="124"/>
  <c r="O59" i="124" s="1"/>
  <c r="P57" i="124"/>
  <c r="I59" i="124"/>
  <c r="I60" i="101"/>
  <c r="O57" i="101"/>
  <c r="O59" i="101" s="1"/>
  <c r="P57" i="101"/>
  <c r="I59" i="101"/>
  <c r="I60" i="90"/>
  <c r="P57" i="90"/>
  <c r="O57" i="90"/>
  <c r="O59" i="90" s="1"/>
  <c r="I59" i="90"/>
  <c r="I59" i="98"/>
  <c r="I60" i="98"/>
  <c r="O57" i="98"/>
  <c r="O59" i="98" s="1"/>
  <c r="P57" i="98"/>
  <c r="I60" i="81"/>
  <c r="J60" i="81" s="1"/>
  <c r="K60" i="81" s="1"/>
  <c r="L60" i="81" s="1"/>
  <c r="M60" i="81" s="1"/>
  <c r="N60" i="81" s="1"/>
  <c r="P57" i="81"/>
  <c r="O57" i="81"/>
  <c r="O59" i="81" s="1"/>
  <c r="I59" i="81"/>
  <c r="I60" i="129"/>
  <c r="J60" i="129" s="1"/>
  <c r="K60" i="129" s="1"/>
  <c r="L60" i="129" s="1"/>
  <c r="M60" i="129" s="1"/>
  <c r="N60" i="129" s="1"/>
  <c r="O57" i="129"/>
  <c r="O59" i="129" s="1"/>
  <c r="P57" i="129"/>
  <c r="I59" i="129"/>
  <c r="I60" i="91"/>
  <c r="J60" i="91" s="1"/>
  <c r="K60" i="91" s="1"/>
  <c r="L60" i="91" s="1"/>
  <c r="O57" i="91"/>
  <c r="O59" i="91" s="1"/>
  <c r="P57" i="91"/>
  <c r="I59" i="91"/>
  <c r="I60" i="9"/>
  <c r="J60" i="9" s="1"/>
  <c r="K60" i="9" s="1"/>
  <c r="L60" i="9" s="1"/>
  <c r="M60" i="9" s="1"/>
  <c r="N60" i="9" s="1"/>
  <c r="O57" i="9"/>
  <c r="O59" i="9" s="1"/>
  <c r="P57" i="9"/>
  <c r="I59" i="9"/>
  <c r="P87" i="107"/>
  <c r="O90" i="107"/>
  <c r="H95" i="107"/>
  <c r="H96" i="107" s="1"/>
  <c r="N69" i="81"/>
  <c r="N70" i="81"/>
  <c r="N64" i="81"/>
  <c r="N72" i="81"/>
  <c r="N73" i="81"/>
  <c r="N65" i="81"/>
  <c r="N68" i="81"/>
  <c r="N66" i="81"/>
  <c r="N67" i="81"/>
  <c r="N71" i="81"/>
  <c r="N73" i="100"/>
  <c r="N72" i="100"/>
  <c r="N65" i="100"/>
  <c r="N70" i="100"/>
  <c r="N69" i="100"/>
  <c r="N67" i="100"/>
  <c r="N66" i="100"/>
  <c r="N68" i="100"/>
  <c r="N71" i="100"/>
  <c r="N64" i="100"/>
  <c r="N67" i="89"/>
  <c r="N73" i="89"/>
  <c r="N64" i="89"/>
  <c r="N70" i="89"/>
  <c r="N66" i="89"/>
  <c r="N69" i="89"/>
  <c r="N68" i="89"/>
  <c r="N71" i="89"/>
  <c r="N65" i="89"/>
  <c r="N72" i="89"/>
  <c r="N68" i="87"/>
  <c r="N66" i="87"/>
  <c r="N69" i="87"/>
  <c r="N64" i="87"/>
  <c r="N72" i="87"/>
  <c r="N65" i="87"/>
  <c r="N71" i="87"/>
  <c r="N70" i="87"/>
  <c r="N73" i="87"/>
  <c r="N67" i="87"/>
  <c r="N67" i="83"/>
  <c r="N73" i="83"/>
  <c r="N68" i="83"/>
  <c r="N71" i="83"/>
  <c r="N70" i="83"/>
  <c r="N65" i="83"/>
  <c r="N64" i="83"/>
  <c r="N72" i="83"/>
  <c r="N69" i="83"/>
  <c r="N66" i="83"/>
  <c r="N66" i="93"/>
  <c r="N69" i="93"/>
  <c r="N70" i="93"/>
  <c r="N67" i="93"/>
  <c r="N64" i="93"/>
  <c r="N65" i="93"/>
  <c r="N72" i="93"/>
  <c r="N68" i="93"/>
  <c r="N73" i="93"/>
  <c r="N71" i="93"/>
  <c r="N65" i="94"/>
  <c r="N64" i="94"/>
  <c r="N73" i="94"/>
  <c r="N66" i="94"/>
  <c r="N69" i="94"/>
  <c r="N67" i="94"/>
  <c r="N70" i="94"/>
  <c r="N71" i="94"/>
  <c r="N68" i="94"/>
  <c r="N72" i="94"/>
  <c r="N72" i="125"/>
  <c r="N66" i="125"/>
  <c r="N69" i="125"/>
  <c r="N65" i="125"/>
  <c r="N70" i="125"/>
  <c r="N68" i="125"/>
  <c r="N71" i="125"/>
  <c r="N64" i="125"/>
  <c r="N67" i="125"/>
  <c r="N73" i="125"/>
  <c r="E17" i="14"/>
  <c r="I75" i="109"/>
  <c r="J60" i="134"/>
  <c r="J61" i="134" s="1"/>
  <c r="O30" i="134"/>
  <c r="O32" i="134" s="1"/>
  <c r="J40" i="134"/>
  <c r="J41" i="134"/>
  <c r="J43" i="134"/>
  <c r="J32" i="134"/>
  <c r="F20" i="131" s="1"/>
  <c r="F13" i="131" s="1"/>
  <c r="J42" i="134"/>
  <c r="S23" i="14"/>
  <c r="S18" i="63" s="1"/>
  <c r="S31" i="14"/>
  <c r="S45" i="14" s="1"/>
  <c r="S33" i="63" s="1"/>
  <c r="N75" i="109"/>
  <c r="P81" i="108"/>
  <c r="T33" i="63"/>
  <c r="I60" i="121"/>
  <c r="J60" i="121" s="1"/>
  <c r="K60" i="121" s="1"/>
  <c r="L60" i="121" s="1"/>
  <c r="M60" i="121" s="1"/>
  <c r="N60" i="121" s="1"/>
  <c r="O57" i="121"/>
  <c r="O59" i="121" s="1"/>
  <c r="P57" i="121"/>
  <c r="I59" i="121"/>
  <c r="I60" i="95"/>
  <c r="P57" i="95"/>
  <c r="O57" i="95"/>
  <c r="O59" i="95" s="1"/>
  <c r="I59" i="95"/>
  <c r="I60" i="123"/>
  <c r="J60" i="123" s="1"/>
  <c r="K60" i="123" s="1"/>
  <c r="L60" i="123" s="1"/>
  <c r="M60" i="123" s="1"/>
  <c r="N60" i="123" s="1"/>
  <c r="O57" i="123"/>
  <c r="O59" i="123" s="1"/>
  <c r="P57" i="123"/>
  <c r="I59" i="123"/>
  <c r="I60" i="84"/>
  <c r="O57" i="84"/>
  <c r="O59" i="84" s="1"/>
  <c r="P57" i="84"/>
  <c r="I59" i="84"/>
  <c r="I60" i="102"/>
  <c r="P57" i="102"/>
  <c r="O57" i="102"/>
  <c r="O59" i="102" s="1"/>
  <c r="I59" i="102"/>
  <c r="I60" i="86"/>
  <c r="O57" i="86"/>
  <c r="O59" i="86" s="1"/>
  <c r="P57" i="86"/>
  <c r="I59" i="86"/>
  <c r="I60" i="105"/>
  <c r="J60" i="105" s="1"/>
  <c r="K60" i="105" s="1"/>
  <c r="L60" i="105" s="1"/>
  <c r="O57" i="105"/>
  <c r="O59" i="105" s="1"/>
  <c r="P57" i="105"/>
  <c r="I59" i="105"/>
  <c r="I59" i="99"/>
  <c r="I60" i="99"/>
  <c r="P57" i="99"/>
  <c r="O57" i="99"/>
  <c r="O59" i="99" s="1"/>
  <c r="I60" i="87"/>
  <c r="O57" i="87"/>
  <c r="O59" i="87" s="1"/>
  <c r="P57" i="87"/>
  <c r="I59" i="87"/>
  <c r="I60" i="100"/>
  <c r="P57" i="100"/>
  <c r="O57" i="100"/>
  <c r="O59" i="100" s="1"/>
  <c r="I59" i="100"/>
  <c r="I60" i="127"/>
  <c r="J60" i="127" s="1"/>
  <c r="K60" i="127" s="1"/>
  <c r="L60" i="127" s="1"/>
  <c r="M60" i="127" s="1"/>
  <c r="N60" i="127" s="1"/>
  <c r="O57" i="127"/>
  <c r="O59" i="127" s="1"/>
  <c r="P57" i="127"/>
  <c r="I59" i="127"/>
  <c r="H18" i="115"/>
  <c r="H19" i="115" s="1"/>
  <c r="R9" i="115"/>
  <c r="R18" i="115" s="1"/>
  <c r="O89" i="107"/>
  <c r="I95" i="107"/>
  <c r="I96" i="107" s="1"/>
  <c r="P93" i="107"/>
  <c r="N70" i="95"/>
  <c r="N68" i="95"/>
  <c r="N66" i="95"/>
  <c r="N73" i="95"/>
  <c r="N64" i="95"/>
  <c r="N65" i="95"/>
  <c r="N67" i="95"/>
  <c r="N71" i="95"/>
  <c r="N69" i="95"/>
  <c r="N72" i="95"/>
  <c r="N67" i="121"/>
  <c r="N73" i="121"/>
  <c r="N66" i="121"/>
  <c r="N70" i="121"/>
  <c r="N69" i="121"/>
  <c r="N64" i="121"/>
  <c r="N65" i="121"/>
  <c r="N68" i="121"/>
  <c r="N72" i="121"/>
  <c r="N71" i="121"/>
  <c r="N70" i="126"/>
  <c r="N64" i="126"/>
  <c r="N65" i="126"/>
  <c r="N67" i="126"/>
  <c r="N68" i="126"/>
  <c r="N69" i="126"/>
  <c r="N73" i="126"/>
  <c r="N71" i="126"/>
  <c r="N66" i="126"/>
  <c r="N72" i="126"/>
  <c r="N67" i="80"/>
  <c r="N69" i="80"/>
  <c r="N71" i="80"/>
  <c r="N73" i="80"/>
  <c r="N65" i="80"/>
  <c r="N68" i="80"/>
  <c r="N72" i="80"/>
  <c r="N66" i="80"/>
  <c r="N70" i="80"/>
  <c r="N64" i="80"/>
  <c r="N64" i="76"/>
  <c r="N68" i="76"/>
  <c r="N70" i="76"/>
  <c r="N73" i="76"/>
  <c r="N71" i="76"/>
  <c r="N65" i="76"/>
  <c r="N69" i="76"/>
  <c r="N67" i="76"/>
  <c r="N66" i="76"/>
  <c r="N72" i="76"/>
  <c r="N70" i="9"/>
  <c r="N68" i="9"/>
  <c r="N65" i="9"/>
  <c r="N73" i="9"/>
  <c r="N64" i="9"/>
  <c r="N69" i="9"/>
  <c r="N67" i="9"/>
  <c r="N71" i="9"/>
  <c r="N66" i="9"/>
  <c r="N72" i="9"/>
  <c r="N72" i="103"/>
  <c r="N65" i="103"/>
  <c r="N70" i="103"/>
  <c r="N64" i="103"/>
  <c r="N68" i="103"/>
  <c r="N67" i="103"/>
  <c r="N69" i="103"/>
  <c r="N73" i="103"/>
  <c r="N66" i="103"/>
  <c r="N71" i="103"/>
  <c r="N66" i="77"/>
  <c r="N70" i="77"/>
  <c r="N65" i="77"/>
  <c r="N68" i="77"/>
  <c r="N64" i="77"/>
  <c r="N72" i="77"/>
  <c r="N67" i="77"/>
  <c r="N69" i="77"/>
  <c r="N73" i="77"/>
  <c r="N71" i="77"/>
  <c r="J82" i="109"/>
  <c r="K80" i="109" s="1"/>
  <c r="J81" i="109"/>
  <c r="M91" i="108"/>
  <c r="M90" i="108"/>
  <c r="M93" i="108"/>
  <c r="M94" i="108"/>
  <c r="P94" i="108" s="1"/>
  <c r="M88" i="108"/>
  <c r="M89" i="108"/>
  <c r="M92" i="108"/>
  <c r="I19" i="111" s="1"/>
  <c r="T19" i="111" s="1"/>
  <c r="T41" i="111" s="1"/>
  <c r="M87" i="108"/>
  <c r="M86" i="108"/>
  <c r="M85" i="108"/>
  <c r="M60" i="109"/>
  <c r="N60" i="109" s="1"/>
  <c r="I60" i="79"/>
  <c r="J60" i="79" s="1"/>
  <c r="P57" i="79"/>
  <c r="O57" i="79"/>
  <c r="O59" i="79" s="1"/>
  <c r="I59" i="79"/>
  <c r="I60" i="76"/>
  <c r="P57" i="76"/>
  <c r="O57" i="76"/>
  <c r="O59" i="76" s="1"/>
  <c r="I59" i="76"/>
  <c r="I60" i="75"/>
  <c r="O57" i="75"/>
  <c r="O59" i="75" s="1"/>
  <c r="P57" i="75"/>
  <c r="I59" i="75"/>
  <c r="I60" i="85"/>
  <c r="O57" i="85"/>
  <c r="O59" i="85" s="1"/>
  <c r="P57" i="85"/>
  <c r="I59" i="85"/>
  <c r="I60" i="92"/>
  <c r="O57" i="92"/>
  <c r="O59" i="92" s="1"/>
  <c r="P57" i="92"/>
  <c r="I59" i="92"/>
  <c r="I59" i="78"/>
  <c r="I60" i="78"/>
  <c r="O57" i="78"/>
  <c r="O59" i="78" s="1"/>
  <c r="P57" i="78"/>
  <c r="I60" i="77"/>
  <c r="P57" i="77"/>
  <c r="O57" i="77"/>
  <c r="O59" i="77" s="1"/>
  <c r="I59" i="77"/>
  <c r="I59" i="94"/>
  <c r="I60" i="94"/>
  <c r="O57" i="94"/>
  <c r="O59" i="94" s="1"/>
  <c r="P57" i="94"/>
  <c r="I60" i="93"/>
  <c r="P57" i="93"/>
  <c r="O57" i="93"/>
  <c r="O59" i="93" s="1"/>
  <c r="I59" i="93"/>
  <c r="I60" i="83"/>
  <c r="J60" i="83" s="1"/>
  <c r="O57" i="83"/>
  <c r="O59" i="83" s="1"/>
  <c r="P57" i="83"/>
  <c r="I59" i="83"/>
  <c r="I60" i="104"/>
  <c r="J60" i="104" s="1"/>
  <c r="P57" i="104"/>
  <c r="O57" i="104"/>
  <c r="O59" i="104" s="1"/>
  <c r="I59" i="104"/>
  <c r="K95" i="107"/>
  <c r="K96" i="107" s="1"/>
  <c r="G95" i="107"/>
  <c r="G96" i="107" s="1"/>
  <c r="O92" i="107"/>
  <c r="P94" i="107"/>
  <c r="O87" i="107"/>
  <c r="O94" i="107"/>
  <c r="P85" i="107" l="1"/>
  <c r="P86" i="108"/>
  <c r="P88" i="108"/>
  <c r="P91" i="107"/>
  <c r="P87" i="108"/>
  <c r="O86" i="107"/>
  <c r="O91" i="108"/>
  <c r="L95" i="108"/>
  <c r="L96" i="108" s="1"/>
  <c r="O93" i="108"/>
  <c r="P88" i="107"/>
  <c r="P89" i="108"/>
  <c r="P90" i="108"/>
  <c r="F95" i="108"/>
  <c r="F96" i="108" s="1"/>
  <c r="K95" i="110"/>
  <c r="K96" i="110" s="1"/>
  <c r="N74" i="83"/>
  <c r="N75" i="83" s="1"/>
  <c r="N74" i="101"/>
  <c r="N75" i="101" s="1"/>
  <c r="N74" i="124"/>
  <c r="N75" i="124" s="1"/>
  <c r="N74" i="97"/>
  <c r="N75" i="97" s="1"/>
  <c r="P81" i="110"/>
  <c r="J14" i="63"/>
  <c r="U14" i="63" s="1"/>
  <c r="N74" i="95"/>
  <c r="N75" i="95" s="1"/>
  <c r="J80" i="104"/>
  <c r="K60" i="104"/>
  <c r="L60" i="104" s="1"/>
  <c r="M60" i="104" s="1"/>
  <c r="N60" i="104" s="1"/>
  <c r="K82" i="109"/>
  <c r="L80" i="109" s="1"/>
  <c r="K81" i="109"/>
  <c r="I80" i="84"/>
  <c r="J60" i="84"/>
  <c r="K60" i="84" s="1"/>
  <c r="L60" i="84" s="1"/>
  <c r="P59" i="83"/>
  <c r="P59" i="92"/>
  <c r="P59" i="85"/>
  <c r="P59" i="75"/>
  <c r="N74" i="77"/>
  <c r="N75" i="77" s="1"/>
  <c r="N74" i="9"/>
  <c r="N75" i="9" s="1"/>
  <c r="P59" i="127"/>
  <c r="P59" i="87"/>
  <c r="P59" i="99"/>
  <c r="P59" i="105"/>
  <c r="P59" i="86"/>
  <c r="P59" i="84"/>
  <c r="P59" i="123"/>
  <c r="P59" i="121"/>
  <c r="P17" i="14"/>
  <c r="N74" i="125"/>
  <c r="N75" i="125" s="1"/>
  <c r="N74" i="94"/>
  <c r="N75" i="94" s="1"/>
  <c r="N74" i="87"/>
  <c r="N75" i="87" s="1"/>
  <c r="P59" i="9"/>
  <c r="P59" i="91"/>
  <c r="P59" i="129"/>
  <c r="P59" i="101"/>
  <c r="P59" i="124"/>
  <c r="P59" i="97"/>
  <c r="P59" i="89"/>
  <c r="N74" i="129"/>
  <c r="N75" i="129" s="1"/>
  <c r="N74" i="84"/>
  <c r="N75" i="84" s="1"/>
  <c r="N74" i="99"/>
  <c r="N75" i="99" s="1"/>
  <c r="M95" i="107"/>
  <c r="M96" i="107" s="1"/>
  <c r="P59" i="128"/>
  <c r="P59" i="74"/>
  <c r="P59" i="96"/>
  <c r="P59" i="103"/>
  <c r="P59" i="106"/>
  <c r="P59" i="88"/>
  <c r="P59" i="80"/>
  <c r="P59" i="126"/>
  <c r="P59" i="82"/>
  <c r="N95" i="108"/>
  <c r="N96" i="108" s="1"/>
  <c r="K95" i="108"/>
  <c r="K96" i="108" s="1"/>
  <c r="O87" i="108"/>
  <c r="O92" i="108"/>
  <c r="N74" i="82"/>
  <c r="N75" i="82" s="1"/>
  <c r="N74" i="128"/>
  <c r="N75" i="128" s="1"/>
  <c r="N72" i="78"/>
  <c r="N69" i="78"/>
  <c r="N67" i="78"/>
  <c r="N71" i="78"/>
  <c r="N70" i="78"/>
  <c r="N64" i="78"/>
  <c r="N68" i="78"/>
  <c r="N66" i="78"/>
  <c r="N73" i="78"/>
  <c r="N65" i="78"/>
  <c r="J16" i="63"/>
  <c r="U16" i="63" s="1"/>
  <c r="J12" i="63"/>
  <c r="U12" i="63" s="1"/>
  <c r="N74" i="98"/>
  <c r="N75" i="98" s="1"/>
  <c r="F95" i="110"/>
  <c r="F96" i="110" s="1"/>
  <c r="I95" i="110"/>
  <c r="I96" i="110" s="1"/>
  <c r="I80" i="93"/>
  <c r="J60" i="93"/>
  <c r="K60" i="93" s="1"/>
  <c r="L60" i="93" s="1"/>
  <c r="I80" i="77"/>
  <c r="J60" i="77"/>
  <c r="K60" i="77" s="1"/>
  <c r="L60" i="77" s="1"/>
  <c r="I80" i="92"/>
  <c r="J60" i="92"/>
  <c r="K60" i="92" s="1"/>
  <c r="L60" i="92" s="1"/>
  <c r="I80" i="75"/>
  <c r="J60" i="75"/>
  <c r="K60" i="75" s="1"/>
  <c r="L60" i="75" s="1"/>
  <c r="J80" i="79"/>
  <c r="K60" i="79"/>
  <c r="N74" i="76"/>
  <c r="N75" i="76" s="1"/>
  <c r="J60" i="100"/>
  <c r="K60" i="100" s="1"/>
  <c r="L60" i="100" s="1"/>
  <c r="M60" i="100" s="1"/>
  <c r="N60" i="100" s="1"/>
  <c r="I80" i="100"/>
  <c r="L80" i="105"/>
  <c r="M60" i="105"/>
  <c r="P59" i="104"/>
  <c r="P59" i="93"/>
  <c r="I80" i="94"/>
  <c r="J60" i="94"/>
  <c r="K60" i="94" s="1"/>
  <c r="L60" i="94" s="1"/>
  <c r="P59" i="77"/>
  <c r="I80" i="78"/>
  <c r="J60" i="78"/>
  <c r="K60" i="78" s="1"/>
  <c r="L60" i="78" s="1"/>
  <c r="P59" i="76"/>
  <c r="P59" i="79"/>
  <c r="N74" i="126"/>
  <c r="N75" i="126" s="1"/>
  <c r="P59" i="100"/>
  <c r="I80" i="99"/>
  <c r="J60" i="99"/>
  <c r="K60" i="99" s="1"/>
  <c r="L60" i="99" s="1"/>
  <c r="M60" i="99" s="1"/>
  <c r="N60" i="99" s="1"/>
  <c r="P59" i="102"/>
  <c r="P59" i="95"/>
  <c r="I16" i="131"/>
  <c r="P59" i="81"/>
  <c r="I80" i="98"/>
  <c r="J60" i="98"/>
  <c r="K60" i="98" s="1"/>
  <c r="L60" i="98" s="1"/>
  <c r="M60" i="98" s="1"/>
  <c r="N60" i="98" s="1"/>
  <c r="P59" i="90"/>
  <c r="M90" i="110"/>
  <c r="O90" i="110" s="1"/>
  <c r="M85" i="110"/>
  <c r="M91" i="110"/>
  <c r="P91" i="110" s="1"/>
  <c r="M87" i="110"/>
  <c r="P87" i="110" s="1"/>
  <c r="M93" i="110"/>
  <c r="P93" i="110" s="1"/>
  <c r="M88" i="110"/>
  <c r="P88" i="110" s="1"/>
  <c r="M86" i="110"/>
  <c r="O86" i="110" s="1"/>
  <c r="M89" i="110"/>
  <c r="O89" i="110" s="1"/>
  <c r="M94" i="110"/>
  <c r="P94" i="110" s="1"/>
  <c r="M92" i="110"/>
  <c r="I18" i="111" s="1"/>
  <c r="T18" i="111" s="1"/>
  <c r="T40" i="111" s="1"/>
  <c r="N74" i="96"/>
  <c r="N75" i="96" s="1"/>
  <c r="N74" i="102"/>
  <c r="N75" i="102" s="1"/>
  <c r="I80" i="74"/>
  <c r="J60" i="74"/>
  <c r="K60" i="74" s="1"/>
  <c r="L60" i="74" s="1"/>
  <c r="I80" i="96"/>
  <c r="J60" i="96"/>
  <c r="J60" i="103"/>
  <c r="K60" i="103" s="1"/>
  <c r="L60" i="103" s="1"/>
  <c r="M60" i="103" s="1"/>
  <c r="N60" i="103" s="1"/>
  <c r="I80" i="103"/>
  <c r="K80" i="106"/>
  <c r="L60" i="106"/>
  <c r="I80" i="80"/>
  <c r="J60" i="80"/>
  <c r="K60" i="80" s="1"/>
  <c r="L60" i="80" s="1"/>
  <c r="I80" i="82"/>
  <c r="J60" i="82"/>
  <c r="K60" i="82" s="1"/>
  <c r="L60" i="82" s="1"/>
  <c r="P91" i="108"/>
  <c r="O94" i="108"/>
  <c r="O90" i="108"/>
  <c r="G95" i="108"/>
  <c r="G96" i="108" s="1"/>
  <c r="H95" i="108"/>
  <c r="H96" i="108" s="1"/>
  <c r="O86" i="108"/>
  <c r="N74" i="74"/>
  <c r="N75" i="74" s="1"/>
  <c r="N74" i="88"/>
  <c r="N75" i="88" s="1"/>
  <c r="N74" i="75"/>
  <c r="N75" i="75" s="1"/>
  <c r="J11" i="63"/>
  <c r="U11" i="63" s="1"/>
  <c r="J10" i="63"/>
  <c r="U10" i="63" s="1"/>
  <c r="L95" i="110"/>
  <c r="L96" i="110" s="1"/>
  <c r="N95" i="110"/>
  <c r="N96" i="110" s="1"/>
  <c r="G95" i="110"/>
  <c r="G96" i="110" s="1"/>
  <c r="F19" i="131"/>
  <c r="F12" i="131" s="1"/>
  <c r="F15" i="131" s="1"/>
  <c r="N74" i="100"/>
  <c r="N75" i="100" s="1"/>
  <c r="L80" i="91"/>
  <c r="M60" i="91"/>
  <c r="N60" i="91" s="1"/>
  <c r="I65" i="98"/>
  <c r="I72" i="98"/>
  <c r="E16" i="63"/>
  <c r="I69" i="98"/>
  <c r="I67" i="98"/>
  <c r="I73" i="98"/>
  <c r="I66" i="98"/>
  <c r="I70" i="98"/>
  <c r="I71" i="98"/>
  <c r="I64" i="98"/>
  <c r="I68" i="98"/>
  <c r="E14" i="63"/>
  <c r="E15" i="63"/>
  <c r="E12" i="63"/>
  <c r="E9" i="63"/>
  <c r="E11" i="63"/>
  <c r="E10" i="63"/>
  <c r="E13" i="63"/>
  <c r="I80" i="90"/>
  <c r="J60" i="90"/>
  <c r="K60" i="90" s="1"/>
  <c r="L60" i="90" s="1"/>
  <c r="M60" i="90" s="1"/>
  <c r="N60" i="90" s="1"/>
  <c r="J60" i="101"/>
  <c r="K60" i="101" s="1"/>
  <c r="L60" i="101" s="1"/>
  <c r="M60" i="101" s="1"/>
  <c r="N60" i="101" s="1"/>
  <c r="I80" i="101"/>
  <c r="I80" i="97"/>
  <c r="J60" i="97"/>
  <c r="K60" i="97" s="1"/>
  <c r="L60" i="97" s="1"/>
  <c r="J60" i="89"/>
  <c r="K60" i="89" s="1"/>
  <c r="L60" i="89" s="1"/>
  <c r="I80" i="89"/>
  <c r="O75" i="109"/>
  <c r="N74" i="91"/>
  <c r="N75" i="91" s="1"/>
  <c r="N71" i="106"/>
  <c r="N73" i="106"/>
  <c r="N64" i="106"/>
  <c r="N69" i="106"/>
  <c r="N66" i="106"/>
  <c r="N70" i="106"/>
  <c r="N68" i="106"/>
  <c r="N72" i="106"/>
  <c r="N65" i="106"/>
  <c r="N67" i="106"/>
  <c r="N74" i="85"/>
  <c r="N75" i="85" s="1"/>
  <c r="N74" i="92"/>
  <c r="N75" i="92" s="1"/>
  <c r="P92" i="107"/>
  <c r="P95" i="107" s="1"/>
  <c r="P96" i="107" s="1"/>
  <c r="I72" i="128"/>
  <c r="I69" i="128"/>
  <c r="I67" i="128"/>
  <c r="I68" i="128"/>
  <c r="I65" i="128"/>
  <c r="I73" i="128"/>
  <c r="I70" i="128"/>
  <c r="I66" i="128"/>
  <c r="I64" i="128"/>
  <c r="I71" i="128"/>
  <c r="I68" i="74"/>
  <c r="I69" i="74"/>
  <c r="I71" i="74"/>
  <c r="I72" i="74"/>
  <c r="I64" i="74"/>
  <c r="I73" i="74"/>
  <c r="I65" i="74"/>
  <c r="I67" i="74"/>
  <c r="I66" i="74"/>
  <c r="I70" i="74"/>
  <c r="I73" i="96"/>
  <c r="P73" i="96" s="1"/>
  <c r="I65" i="96"/>
  <c r="I71" i="96"/>
  <c r="I70" i="96"/>
  <c r="I72" i="96"/>
  <c r="P72" i="96" s="1"/>
  <c r="I67" i="96"/>
  <c r="I64" i="96"/>
  <c r="I69" i="96"/>
  <c r="I66" i="96"/>
  <c r="I68" i="96"/>
  <c r="I64" i="103"/>
  <c r="I65" i="103"/>
  <c r="I67" i="103"/>
  <c r="I72" i="103"/>
  <c r="I68" i="103"/>
  <c r="I70" i="103"/>
  <c r="I69" i="103"/>
  <c r="I73" i="103"/>
  <c r="I66" i="103"/>
  <c r="I71" i="103"/>
  <c r="I73" i="106"/>
  <c r="I65" i="106"/>
  <c r="I68" i="106"/>
  <c r="I71" i="106"/>
  <c r="I67" i="106"/>
  <c r="P67" i="106" s="1"/>
  <c r="I64" i="106"/>
  <c r="I72" i="106"/>
  <c r="P72" i="106" s="1"/>
  <c r="I66" i="106"/>
  <c r="I70" i="106"/>
  <c r="P70" i="106" s="1"/>
  <c r="I69" i="106"/>
  <c r="I71" i="88"/>
  <c r="I66" i="88"/>
  <c r="I64" i="88"/>
  <c r="I67" i="88"/>
  <c r="I68" i="88"/>
  <c r="I65" i="88"/>
  <c r="I73" i="88"/>
  <c r="I69" i="88"/>
  <c r="I72" i="88"/>
  <c r="I70" i="88"/>
  <c r="I72" i="80"/>
  <c r="I71" i="80"/>
  <c r="I67" i="80"/>
  <c r="I69" i="80"/>
  <c r="I68" i="80"/>
  <c r="I70" i="80"/>
  <c r="I66" i="80"/>
  <c r="I73" i="80"/>
  <c r="I64" i="80"/>
  <c r="I65" i="80"/>
  <c r="I69" i="126"/>
  <c r="I70" i="126"/>
  <c r="I65" i="126"/>
  <c r="I71" i="126"/>
  <c r="I64" i="126"/>
  <c r="I68" i="126"/>
  <c r="I72" i="126"/>
  <c r="I66" i="126"/>
  <c r="I73" i="126"/>
  <c r="I67" i="126"/>
  <c r="I70" i="125"/>
  <c r="I72" i="125"/>
  <c r="I71" i="125"/>
  <c r="I66" i="125"/>
  <c r="I65" i="125"/>
  <c r="I64" i="125"/>
  <c r="I69" i="125"/>
  <c r="I73" i="125"/>
  <c r="I67" i="125"/>
  <c r="I68" i="125"/>
  <c r="I71" i="82"/>
  <c r="I66" i="82"/>
  <c r="I64" i="82"/>
  <c r="I70" i="82"/>
  <c r="I65" i="82"/>
  <c r="I72" i="82"/>
  <c r="I67" i="82"/>
  <c r="I68" i="82"/>
  <c r="I73" i="82"/>
  <c r="P73" i="82" s="1"/>
  <c r="I69" i="82"/>
  <c r="E19" i="111"/>
  <c r="P92" i="108"/>
  <c r="O89" i="108"/>
  <c r="O88" i="108"/>
  <c r="N74" i="104"/>
  <c r="N75" i="104" s="1"/>
  <c r="N74" i="90"/>
  <c r="N75" i="90" s="1"/>
  <c r="J13" i="63"/>
  <c r="U13" i="63" s="1"/>
  <c r="E18" i="111"/>
  <c r="H95" i="110"/>
  <c r="H96" i="110" s="1"/>
  <c r="P89" i="110"/>
  <c r="J95" i="110"/>
  <c r="J96" i="110" s="1"/>
  <c r="J80" i="83"/>
  <c r="K60" i="83"/>
  <c r="L60" i="83" s="1"/>
  <c r="M60" i="83" s="1"/>
  <c r="N60" i="83" s="1"/>
  <c r="I65" i="94"/>
  <c r="I68" i="94"/>
  <c r="I66" i="94"/>
  <c r="I71" i="94"/>
  <c r="I72" i="94"/>
  <c r="I67" i="94"/>
  <c r="I69" i="94"/>
  <c r="I70" i="94"/>
  <c r="I64" i="94"/>
  <c r="I73" i="94"/>
  <c r="I64" i="78"/>
  <c r="I66" i="78"/>
  <c r="I70" i="78"/>
  <c r="I69" i="78"/>
  <c r="I68" i="78"/>
  <c r="I65" i="78"/>
  <c r="I73" i="78"/>
  <c r="I72" i="78"/>
  <c r="I71" i="78"/>
  <c r="I67" i="78"/>
  <c r="J60" i="85"/>
  <c r="K60" i="85" s="1"/>
  <c r="L60" i="85" s="1"/>
  <c r="I80" i="85"/>
  <c r="I80" i="76"/>
  <c r="J60" i="76"/>
  <c r="K60" i="76" s="1"/>
  <c r="L60" i="76" s="1"/>
  <c r="O85" i="108"/>
  <c r="M95" i="108"/>
  <c r="M96" i="108" s="1"/>
  <c r="I80" i="87"/>
  <c r="J60" i="87"/>
  <c r="K60" i="87" s="1"/>
  <c r="L60" i="87" s="1"/>
  <c r="M60" i="87" s="1"/>
  <c r="I68" i="99"/>
  <c r="I73" i="99"/>
  <c r="I69" i="99"/>
  <c r="I67" i="99"/>
  <c r="I64" i="99"/>
  <c r="I71" i="99"/>
  <c r="I65" i="99"/>
  <c r="I70" i="99"/>
  <c r="I72" i="99"/>
  <c r="I66" i="99"/>
  <c r="I80" i="86"/>
  <c r="J60" i="86"/>
  <c r="K60" i="86" s="1"/>
  <c r="L60" i="86" s="1"/>
  <c r="I80" i="102"/>
  <c r="J60" i="102"/>
  <c r="K60" i="102" s="1"/>
  <c r="L60" i="102" s="1"/>
  <c r="M60" i="102" s="1"/>
  <c r="N60" i="102" s="1"/>
  <c r="I80" i="95"/>
  <c r="J60" i="95"/>
  <c r="K60" i="95" s="1"/>
  <c r="L60" i="95" s="1"/>
  <c r="I66" i="104"/>
  <c r="I73" i="104"/>
  <c r="I70" i="104"/>
  <c r="I69" i="104"/>
  <c r="I71" i="104"/>
  <c r="I68" i="104"/>
  <c r="I72" i="104"/>
  <c r="I65" i="104"/>
  <c r="I67" i="104"/>
  <c r="I64" i="104"/>
  <c r="I65" i="83"/>
  <c r="I69" i="83"/>
  <c r="I71" i="83"/>
  <c r="I73" i="83"/>
  <c r="I70" i="83"/>
  <c r="I68" i="83"/>
  <c r="I64" i="83"/>
  <c r="I67" i="83"/>
  <c r="I72" i="83"/>
  <c r="I66" i="83"/>
  <c r="I72" i="93"/>
  <c r="I70" i="93"/>
  <c r="I73" i="93"/>
  <c r="I64" i="93"/>
  <c r="I67" i="93"/>
  <c r="P67" i="93" s="1"/>
  <c r="I71" i="93"/>
  <c r="I65" i="93"/>
  <c r="I69" i="93"/>
  <c r="I66" i="93"/>
  <c r="I68" i="93"/>
  <c r="P59" i="94"/>
  <c r="I64" i="77"/>
  <c r="I71" i="77"/>
  <c r="I72" i="77"/>
  <c r="I66" i="77"/>
  <c r="I65" i="77"/>
  <c r="I73" i="77"/>
  <c r="I70" i="77"/>
  <c r="I69" i="77"/>
  <c r="I67" i="77"/>
  <c r="I68" i="77"/>
  <c r="P59" i="78"/>
  <c r="I68" i="92"/>
  <c r="I71" i="92"/>
  <c r="I73" i="92"/>
  <c r="I67" i="92"/>
  <c r="I69" i="92"/>
  <c r="I72" i="92"/>
  <c r="I65" i="92"/>
  <c r="I66" i="92"/>
  <c r="I70" i="92"/>
  <c r="I64" i="92"/>
  <c r="I72" i="85"/>
  <c r="I70" i="85"/>
  <c r="I71" i="85"/>
  <c r="I73" i="85"/>
  <c r="I68" i="85"/>
  <c r="I66" i="85"/>
  <c r="I67" i="85"/>
  <c r="I69" i="85"/>
  <c r="I64" i="85"/>
  <c r="I65" i="85"/>
  <c r="I70" i="75"/>
  <c r="I71" i="75"/>
  <c r="I69" i="75"/>
  <c r="I65" i="75"/>
  <c r="I66" i="75"/>
  <c r="I68" i="75"/>
  <c r="I64" i="75"/>
  <c r="I67" i="75"/>
  <c r="I72" i="75"/>
  <c r="I73" i="75"/>
  <c r="I66" i="76"/>
  <c r="I68" i="76"/>
  <c r="I72" i="76"/>
  <c r="I71" i="76"/>
  <c r="I69" i="76"/>
  <c r="I70" i="76"/>
  <c r="I73" i="76"/>
  <c r="I67" i="76"/>
  <c r="I64" i="76"/>
  <c r="I65" i="76"/>
  <c r="I64" i="79"/>
  <c r="I72" i="79"/>
  <c r="I67" i="79"/>
  <c r="I69" i="79"/>
  <c r="I71" i="79"/>
  <c r="I65" i="79"/>
  <c r="I68" i="79"/>
  <c r="I73" i="79"/>
  <c r="I66" i="79"/>
  <c r="I70" i="79"/>
  <c r="N74" i="103"/>
  <c r="N75" i="103" s="1"/>
  <c r="N74" i="80"/>
  <c r="N75" i="80" s="1"/>
  <c r="N74" i="121"/>
  <c r="I69" i="127"/>
  <c r="I66" i="127"/>
  <c r="I68" i="127"/>
  <c r="I71" i="127"/>
  <c r="I64" i="127"/>
  <c r="I70" i="127"/>
  <c r="I65" i="127"/>
  <c r="I72" i="127"/>
  <c r="I67" i="127"/>
  <c r="I73" i="127"/>
  <c r="I68" i="100"/>
  <c r="I71" i="100"/>
  <c r="I65" i="100"/>
  <c r="I67" i="100"/>
  <c r="I72" i="100"/>
  <c r="I70" i="100"/>
  <c r="I64" i="100"/>
  <c r="I69" i="100"/>
  <c r="I66" i="100"/>
  <c r="I73" i="100"/>
  <c r="I65" i="87"/>
  <c r="I72" i="87"/>
  <c r="I70" i="87"/>
  <c r="I66" i="87"/>
  <c r="I64" i="87"/>
  <c r="I68" i="87"/>
  <c r="I71" i="87"/>
  <c r="I69" i="87"/>
  <c r="I73" i="87"/>
  <c r="I67" i="87"/>
  <c r="I73" i="105"/>
  <c r="I70" i="105"/>
  <c r="I68" i="105"/>
  <c r="I65" i="105"/>
  <c r="I66" i="105"/>
  <c r="I71" i="105"/>
  <c r="I72" i="105"/>
  <c r="I67" i="105"/>
  <c r="I69" i="105"/>
  <c r="I64" i="105"/>
  <c r="I68" i="86"/>
  <c r="I64" i="86"/>
  <c r="I66" i="86"/>
  <c r="I67" i="86"/>
  <c r="I73" i="86"/>
  <c r="I72" i="86"/>
  <c r="I71" i="86"/>
  <c r="I65" i="86"/>
  <c r="I69" i="86"/>
  <c r="I70" i="86"/>
  <c r="I69" i="102"/>
  <c r="I67" i="102"/>
  <c r="I71" i="102"/>
  <c r="I72" i="102"/>
  <c r="I68" i="102"/>
  <c r="I66" i="102"/>
  <c r="I73" i="102"/>
  <c r="I70" i="102"/>
  <c r="I65" i="102"/>
  <c r="I64" i="102"/>
  <c r="I71" i="84"/>
  <c r="I65" i="84"/>
  <c r="I70" i="84"/>
  <c r="I72" i="84"/>
  <c r="I66" i="84"/>
  <c r="I69" i="84"/>
  <c r="I73" i="84"/>
  <c r="I64" i="84"/>
  <c r="I67" i="84"/>
  <c r="I68" i="84"/>
  <c r="I69" i="123"/>
  <c r="I65" i="123"/>
  <c r="I73" i="123"/>
  <c r="I64" i="123"/>
  <c r="I68" i="123"/>
  <c r="I71" i="123"/>
  <c r="I72" i="123"/>
  <c r="I70" i="123"/>
  <c r="I67" i="123"/>
  <c r="I66" i="123"/>
  <c r="I67" i="95"/>
  <c r="I66" i="95"/>
  <c r="I68" i="95"/>
  <c r="I65" i="95"/>
  <c r="I71" i="95"/>
  <c r="I70" i="95"/>
  <c r="I72" i="95"/>
  <c r="I73" i="95"/>
  <c r="I69" i="95"/>
  <c r="I64" i="95"/>
  <c r="I72" i="121"/>
  <c r="I68" i="121"/>
  <c r="I70" i="121"/>
  <c r="I71" i="121"/>
  <c r="I65" i="121"/>
  <c r="I66" i="121"/>
  <c r="I64" i="121"/>
  <c r="I73" i="121"/>
  <c r="I67" i="121"/>
  <c r="I69" i="121"/>
  <c r="J44" i="134"/>
  <c r="J45" i="134" s="1"/>
  <c r="N74" i="93"/>
  <c r="N75" i="93" s="1"/>
  <c r="N74" i="89"/>
  <c r="N75" i="89" s="1"/>
  <c r="N74" i="81"/>
  <c r="N75" i="81" s="1"/>
  <c r="I65" i="9"/>
  <c r="P65" i="9" s="1"/>
  <c r="I67" i="9"/>
  <c r="I70" i="9"/>
  <c r="P70" i="9" s="1"/>
  <c r="I64" i="9"/>
  <c r="I66" i="9"/>
  <c r="I71" i="9"/>
  <c r="I68" i="9"/>
  <c r="P68" i="9" s="1"/>
  <c r="I73" i="9"/>
  <c r="I69" i="9"/>
  <c r="I72" i="9"/>
  <c r="I73" i="91"/>
  <c r="I70" i="91"/>
  <c r="I65" i="91"/>
  <c r="I67" i="91"/>
  <c r="I71" i="91"/>
  <c r="I69" i="91"/>
  <c r="I66" i="91"/>
  <c r="I68" i="91"/>
  <c r="I72" i="91"/>
  <c r="I64" i="91"/>
  <c r="I71" i="129"/>
  <c r="I66" i="129"/>
  <c r="I72" i="129"/>
  <c r="I64" i="129"/>
  <c r="I67" i="129"/>
  <c r="I68" i="129"/>
  <c r="I73" i="129"/>
  <c r="I70" i="129"/>
  <c r="I65" i="129"/>
  <c r="I69" i="129"/>
  <c r="I68" i="81"/>
  <c r="I73" i="81"/>
  <c r="I67" i="81"/>
  <c r="I70" i="81"/>
  <c r="I69" i="81"/>
  <c r="I65" i="81"/>
  <c r="I64" i="81"/>
  <c r="I66" i="81"/>
  <c r="I72" i="81"/>
  <c r="I71" i="81"/>
  <c r="P59" i="98"/>
  <c r="I66" i="90"/>
  <c r="I72" i="90"/>
  <c r="I71" i="90"/>
  <c r="I65" i="90"/>
  <c r="I70" i="90"/>
  <c r="I67" i="90"/>
  <c r="I64" i="90"/>
  <c r="I69" i="90"/>
  <c r="I68" i="90"/>
  <c r="I73" i="90"/>
  <c r="I65" i="101"/>
  <c r="I64" i="101"/>
  <c r="I69" i="101"/>
  <c r="I73" i="101"/>
  <c r="I66" i="101"/>
  <c r="I71" i="101"/>
  <c r="I67" i="101"/>
  <c r="I72" i="101"/>
  <c r="I70" i="101"/>
  <c r="I68" i="101"/>
  <c r="I67" i="124"/>
  <c r="I65" i="124"/>
  <c r="I66" i="124"/>
  <c r="I71" i="124"/>
  <c r="I73" i="124"/>
  <c r="I64" i="124"/>
  <c r="I69" i="124"/>
  <c r="I70" i="124"/>
  <c r="I68" i="124"/>
  <c r="I72" i="124"/>
  <c r="I73" i="97"/>
  <c r="I65" i="97"/>
  <c r="I68" i="97"/>
  <c r="I70" i="97"/>
  <c r="I72" i="97"/>
  <c r="I67" i="97"/>
  <c r="I64" i="97"/>
  <c r="I71" i="97"/>
  <c r="I69" i="97"/>
  <c r="I66" i="97"/>
  <c r="I66" i="89"/>
  <c r="I69" i="89"/>
  <c r="I70" i="89"/>
  <c r="I64" i="89"/>
  <c r="I68" i="89"/>
  <c r="I71" i="89"/>
  <c r="I73" i="89"/>
  <c r="I65" i="89"/>
  <c r="I72" i="89"/>
  <c r="I67" i="89"/>
  <c r="N74" i="123"/>
  <c r="N75" i="123" s="1"/>
  <c r="N73" i="105"/>
  <c r="J22" i="14" s="1"/>
  <c r="U22" i="14" s="1"/>
  <c r="N64" i="105"/>
  <c r="N65" i="105"/>
  <c r="N72" i="105"/>
  <c r="N69" i="105"/>
  <c r="J14" i="14" s="1"/>
  <c r="U14" i="14" s="1"/>
  <c r="N71" i="105"/>
  <c r="N67" i="105"/>
  <c r="N70" i="105"/>
  <c r="N66" i="105"/>
  <c r="N68" i="105"/>
  <c r="N74" i="86"/>
  <c r="N75" i="86" s="1"/>
  <c r="O95" i="107"/>
  <c r="P20" i="111"/>
  <c r="K20" i="111"/>
  <c r="P59" i="125"/>
  <c r="J95" i="108"/>
  <c r="J96" i="108" s="1"/>
  <c r="P93" i="108"/>
  <c r="I95" i="108"/>
  <c r="I96" i="108" s="1"/>
  <c r="P85" i="108"/>
  <c r="N74" i="127"/>
  <c r="N75" i="127" s="1"/>
  <c r="N74" i="79"/>
  <c r="N75" i="79" s="1"/>
  <c r="J15" i="63"/>
  <c r="U15" i="63" s="1"/>
  <c r="J9" i="63"/>
  <c r="J13" i="14"/>
  <c r="U13" i="14" s="1"/>
  <c r="O87" i="110"/>
  <c r="O91" i="110"/>
  <c r="P86" i="110"/>
  <c r="J21" i="14" l="1"/>
  <c r="U21" i="14" s="1"/>
  <c r="J12" i="14"/>
  <c r="U12" i="14" s="1"/>
  <c r="O92" i="110"/>
  <c r="J10" i="14"/>
  <c r="U10" i="14" s="1"/>
  <c r="J11" i="14"/>
  <c r="U11" i="14" s="1"/>
  <c r="O95" i="108"/>
  <c r="O72" i="96"/>
  <c r="O93" i="110"/>
  <c r="J15" i="14"/>
  <c r="U15" i="14" s="1"/>
  <c r="O88" i="110"/>
  <c r="P92" i="110"/>
  <c r="O94" i="110"/>
  <c r="P90" i="110"/>
  <c r="O72" i="106"/>
  <c r="P65" i="89"/>
  <c r="O65" i="89"/>
  <c r="P68" i="89"/>
  <c r="O68" i="89"/>
  <c r="P71" i="97"/>
  <c r="O71" i="97"/>
  <c r="O70" i="97"/>
  <c r="P70" i="97"/>
  <c r="P72" i="124"/>
  <c r="O72" i="124"/>
  <c r="I74" i="124"/>
  <c r="I75" i="124" s="1"/>
  <c r="O64" i="124"/>
  <c r="P64" i="124"/>
  <c r="O70" i="101"/>
  <c r="P70" i="101"/>
  <c r="N74" i="105"/>
  <c r="N75" i="105" s="1"/>
  <c r="P73" i="89"/>
  <c r="O73" i="89"/>
  <c r="I74" i="89"/>
  <c r="I75" i="89" s="1"/>
  <c r="P64" i="89"/>
  <c r="O64" i="89"/>
  <c r="P66" i="97"/>
  <c r="O66" i="97"/>
  <c r="I74" i="97"/>
  <c r="I75" i="97" s="1"/>
  <c r="P64" i="97"/>
  <c r="O64" i="97"/>
  <c r="P68" i="97"/>
  <c r="O68" i="97"/>
  <c r="P68" i="124"/>
  <c r="O68" i="124"/>
  <c r="O73" i="124"/>
  <c r="P73" i="124"/>
  <c r="P65" i="124"/>
  <c r="O65" i="124"/>
  <c r="O72" i="101"/>
  <c r="P72" i="101"/>
  <c r="O66" i="101"/>
  <c r="P66" i="101"/>
  <c r="P65" i="101"/>
  <c r="O65" i="101"/>
  <c r="I74" i="90"/>
  <c r="I75" i="90" s="1"/>
  <c r="P64" i="90"/>
  <c r="O64" i="90"/>
  <c r="O71" i="90"/>
  <c r="P71" i="90"/>
  <c r="O66" i="81"/>
  <c r="P66" i="81"/>
  <c r="P70" i="81"/>
  <c r="O70" i="81"/>
  <c r="O68" i="81"/>
  <c r="P68" i="81"/>
  <c r="O73" i="129"/>
  <c r="P73" i="129"/>
  <c r="P72" i="129"/>
  <c r="O72" i="129"/>
  <c r="I74" i="91"/>
  <c r="I75" i="91" s="1"/>
  <c r="O64" i="91"/>
  <c r="P64" i="91"/>
  <c r="O69" i="91"/>
  <c r="P69" i="91"/>
  <c r="O65" i="91"/>
  <c r="P65" i="91"/>
  <c r="O69" i="9"/>
  <c r="P69" i="9"/>
  <c r="O66" i="9"/>
  <c r="P66" i="9"/>
  <c r="P73" i="121"/>
  <c r="O73" i="121"/>
  <c r="P65" i="121"/>
  <c r="O65" i="121"/>
  <c r="P72" i="121"/>
  <c r="O72" i="121"/>
  <c r="P72" i="95"/>
  <c r="O72" i="95"/>
  <c r="P68" i="95"/>
  <c r="O68" i="95"/>
  <c r="P66" i="123"/>
  <c r="O66" i="123"/>
  <c r="O71" i="123"/>
  <c r="P71" i="123"/>
  <c r="O65" i="123"/>
  <c r="P65" i="123"/>
  <c r="O67" i="84"/>
  <c r="P67" i="84"/>
  <c r="O69" i="84"/>
  <c r="P69" i="84"/>
  <c r="O65" i="84"/>
  <c r="P65" i="84"/>
  <c r="O68" i="102"/>
  <c r="P68" i="102"/>
  <c r="P69" i="102"/>
  <c r="O69" i="102"/>
  <c r="P65" i="86"/>
  <c r="O65" i="86"/>
  <c r="P67" i="86"/>
  <c r="O67" i="86"/>
  <c r="I74" i="105"/>
  <c r="I75" i="105" s="1"/>
  <c r="P64" i="105"/>
  <c r="O64" i="105"/>
  <c r="O71" i="105"/>
  <c r="P71" i="105"/>
  <c r="O70" i="105"/>
  <c r="P70" i="105"/>
  <c r="O73" i="87"/>
  <c r="P73" i="87"/>
  <c r="O68" i="87"/>
  <c r="P68" i="87"/>
  <c r="P72" i="87"/>
  <c r="O72" i="87"/>
  <c r="P69" i="100"/>
  <c r="O69" i="100"/>
  <c r="P67" i="100"/>
  <c r="O67" i="100"/>
  <c r="P68" i="100"/>
  <c r="O68" i="100"/>
  <c r="P65" i="127"/>
  <c r="O65" i="127"/>
  <c r="P71" i="127"/>
  <c r="O71" i="127"/>
  <c r="N75" i="121"/>
  <c r="J17" i="14"/>
  <c r="P70" i="79"/>
  <c r="O70" i="79"/>
  <c r="O65" i="79"/>
  <c r="P65" i="79"/>
  <c r="I74" i="76"/>
  <c r="O64" i="76"/>
  <c r="P64" i="76"/>
  <c r="O68" i="76"/>
  <c r="P68" i="76"/>
  <c r="P67" i="75"/>
  <c r="O67" i="75"/>
  <c r="P65" i="75"/>
  <c r="O65" i="75"/>
  <c r="P67" i="85"/>
  <c r="O67" i="85"/>
  <c r="P73" i="85"/>
  <c r="O73" i="85"/>
  <c r="I74" i="92"/>
  <c r="P64" i="92"/>
  <c r="O64" i="92"/>
  <c r="P72" i="92"/>
  <c r="O72" i="92"/>
  <c r="P71" i="92"/>
  <c r="O71" i="92"/>
  <c r="P70" i="77"/>
  <c r="O70" i="77"/>
  <c r="O66" i="77"/>
  <c r="P66" i="77"/>
  <c r="O69" i="93"/>
  <c r="P69" i="93"/>
  <c r="I74" i="93"/>
  <c r="I75" i="93" s="1"/>
  <c r="P64" i="93"/>
  <c r="O64" i="93"/>
  <c r="I74" i="83"/>
  <c r="I75" i="83" s="1"/>
  <c r="P64" i="83"/>
  <c r="O64" i="83"/>
  <c r="P71" i="83"/>
  <c r="O71" i="83"/>
  <c r="I74" i="104"/>
  <c r="I75" i="104" s="1"/>
  <c r="O64" i="104"/>
  <c r="P64" i="104"/>
  <c r="P68" i="104"/>
  <c r="O68" i="104"/>
  <c r="P73" i="104"/>
  <c r="O73" i="104"/>
  <c r="I82" i="95"/>
  <c r="J80" i="95" s="1"/>
  <c r="I81" i="95"/>
  <c r="I82" i="86"/>
  <c r="J80" i="86" s="1"/>
  <c r="I81" i="86"/>
  <c r="P70" i="99"/>
  <c r="O70" i="99"/>
  <c r="P67" i="99"/>
  <c r="O67" i="99"/>
  <c r="N60" i="87"/>
  <c r="M60" i="76"/>
  <c r="N60" i="76" s="1"/>
  <c r="P67" i="78"/>
  <c r="O67" i="78"/>
  <c r="P65" i="78"/>
  <c r="O65" i="78"/>
  <c r="O70" i="78"/>
  <c r="P70" i="78"/>
  <c r="I74" i="94"/>
  <c r="P64" i="94"/>
  <c r="O64" i="94"/>
  <c r="P72" i="94"/>
  <c r="O72" i="94"/>
  <c r="P65" i="94"/>
  <c r="O65" i="94"/>
  <c r="P69" i="82"/>
  <c r="O69" i="82"/>
  <c r="O72" i="82"/>
  <c r="P72" i="82"/>
  <c r="O67" i="125"/>
  <c r="P67" i="125"/>
  <c r="I74" i="125"/>
  <c r="I75" i="125" s="1"/>
  <c r="O64" i="125"/>
  <c r="P64" i="125"/>
  <c r="O72" i="125"/>
  <c r="P72" i="125"/>
  <c r="P66" i="126"/>
  <c r="O66" i="126"/>
  <c r="I74" i="126"/>
  <c r="I75" i="126" s="1"/>
  <c r="P64" i="126"/>
  <c r="O64" i="126"/>
  <c r="O69" i="126"/>
  <c r="P69" i="126"/>
  <c r="P73" i="80"/>
  <c r="O73" i="80"/>
  <c r="P69" i="80"/>
  <c r="O69" i="80"/>
  <c r="O70" i="88"/>
  <c r="P70" i="88"/>
  <c r="O65" i="88"/>
  <c r="P65" i="88"/>
  <c r="O66" i="88"/>
  <c r="P66" i="88"/>
  <c r="O65" i="106"/>
  <c r="P65" i="106"/>
  <c r="O73" i="103"/>
  <c r="P73" i="103"/>
  <c r="O72" i="103"/>
  <c r="P72" i="103"/>
  <c r="I74" i="103"/>
  <c r="I75" i="103" s="1"/>
  <c r="O64" i="103"/>
  <c r="P64" i="103"/>
  <c r="I74" i="96"/>
  <c r="P64" i="96"/>
  <c r="O64" i="96"/>
  <c r="O71" i="96"/>
  <c r="P71" i="96"/>
  <c r="O70" i="74"/>
  <c r="P70" i="74"/>
  <c r="P65" i="74"/>
  <c r="O65" i="74"/>
  <c r="P71" i="74"/>
  <c r="O71" i="74"/>
  <c r="I74" i="128"/>
  <c r="I75" i="128" s="1"/>
  <c r="O64" i="128"/>
  <c r="P64" i="128"/>
  <c r="O73" i="128"/>
  <c r="P73" i="128"/>
  <c r="O69" i="128"/>
  <c r="P69" i="128"/>
  <c r="N74" i="106"/>
  <c r="N75" i="106" s="1"/>
  <c r="M60" i="89"/>
  <c r="N60" i="89" s="1"/>
  <c r="P10" i="63"/>
  <c r="K10" i="63"/>
  <c r="P15" i="63"/>
  <c r="K15" i="63"/>
  <c r="E22" i="14"/>
  <c r="O73" i="98"/>
  <c r="P73" i="98"/>
  <c r="E21" i="14"/>
  <c r="P72" i="98"/>
  <c r="O72" i="98"/>
  <c r="M60" i="80"/>
  <c r="N60" i="80" s="1"/>
  <c r="P80" i="103"/>
  <c r="I82" i="103"/>
  <c r="J82" i="103" s="1"/>
  <c r="K82" i="103" s="1"/>
  <c r="L82" i="103" s="1"/>
  <c r="M82" i="103" s="1"/>
  <c r="N82" i="103" s="1"/>
  <c r="O80" i="103"/>
  <c r="O81" i="103" s="1"/>
  <c r="I81" i="103"/>
  <c r="M60" i="74"/>
  <c r="N60" i="74" s="1"/>
  <c r="I82" i="98"/>
  <c r="J80" i="98" s="1"/>
  <c r="P80" i="98" s="1"/>
  <c r="I81" i="98"/>
  <c r="I82" i="78"/>
  <c r="J80" i="78" s="1"/>
  <c r="I81" i="78"/>
  <c r="I82" i="94"/>
  <c r="J80" i="94" s="1"/>
  <c r="I81" i="94"/>
  <c r="L60" i="79"/>
  <c r="M60" i="79" s="1"/>
  <c r="N60" i="79" s="1"/>
  <c r="M60" i="92"/>
  <c r="N60" i="92" s="1"/>
  <c r="M60" i="93"/>
  <c r="N60" i="93" s="1"/>
  <c r="V20" i="111"/>
  <c r="P42" i="111"/>
  <c r="V42" i="111" s="1"/>
  <c r="P67" i="89"/>
  <c r="O67" i="89"/>
  <c r="O71" i="89"/>
  <c r="P71" i="89"/>
  <c r="O70" i="89"/>
  <c r="P70" i="89"/>
  <c r="P69" i="97"/>
  <c r="O69" i="97"/>
  <c r="P67" i="97"/>
  <c r="O67" i="97"/>
  <c r="O65" i="97"/>
  <c r="P65" i="97"/>
  <c r="O70" i="124"/>
  <c r="P70" i="124"/>
  <c r="P71" i="124"/>
  <c r="O71" i="124"/>
  <c r="O67" i="124"/>
  <c r="P67" i="124"/>
  <c r="P67" i="101"/>
  <c r="O67" i="101"/>
  <c r="O73" i="101"/>
  <c r="P73" i="101"/>
  <c r="P73" i="90"/>
  <c r="O73" i="90"/>
  <c r="P67" i="90"/>
  <c r="O67" i="90"/>
  <c r="O72" i="90"/>
  <c r="P72" i="90"/>
  <c r="I74" i="81"/>
  <c r="I75" i="81" s="1"/>
  <c r="O64" i="81"/>
  <c r="P64" i="81"/>
  <c r="P67" i="81"/>
  <c r="O67" i="81"/>
  <c r="P69" i="129"/>
  <c r="O69" i="129"/>
  <c r="P68" i="129"/>
  <c r="O68" i="129"/>
  <c r="O72" i="91"/>
  <c r="P72" i="91"/>
  <c r="O70" i="91"/>
  <c r="P70" i="91"/>
  <c r="O73" i="9"/>
  <c r="P73" i="9"/>
  <c r="I74" i="9"/>
  <c r="I75" i="9" s="1"/>
  <c r="P64" i="9"/>
  <c r="O64" i="9"/>
  <c r="I74" i="121"/>
  <c r="O64" i="121"/>
  <c r="P64" i="121"/>
  <c r="P71" i="121"/>
  <c r="O71" i="121"/>
  <c r="I74" i="95"/>
  <c r="I75" i="95" s="1"/>
  <c r="P64" i="95"/>
  <c r="O64" i="95"/>
  <c r="O70" i="95"/>
  <c r="P70" i="95"/>
  <c r="O67" i="123"/>
  <c r="P67" i="123"/>
  <c r="O68" i="123"/>
  <c r="P68" i="123"/>
  <c r="P69" i="123"/>
  <c r="O69" i="123"/>
  <c r="O66" i="84"/>
  <c r="P66" i="84"/>
  <c r="O71" i="84"/>
  <c r="P71" i="84"/>
  <c r="P70" i="102"/>
  <c r="O70" i="102"/>
  <c r="P72" i="102"/>
  <c r="O72" i="102"/>
  <c r="O70" i="86"/>
  <c r="P70" i="86"/>
  <c r="P71" i="86"/>
  <c r="O71" i="86"/>
  <c r="P66" i="86"/>
  <c r="O66" i="86"/>
  <c r="O69" i="105"/>
  <c r="P69" i="105"/>
  <c r="P66" i="105"/>
  <c r="O66" i="105"/>
  <c r="O73" i="105"/>
  <c r="P73" i="105"/>
  <c r="I74" i="87"/>
  <c r="P64" i="87"/>
  <c r="O64" i="87"/>
  <c r="P65" i="87"/>
  <c r="O65" i="87"/>
  <c r="I74" i="100"/>
  <c r="I75" i="100" s="1"/>
  <c r="P64" i="100"/>
  <c r="O64" i="100"/>
  <c r="P65" i="100"/>
  <c r="O65" i="100"/>
  <c r="O73" i="127"/>
  <c r="P73" i="127"/>
  <c r="P70" i="127"/>
  <c r="O70" i="127"/>
  <c r="P68" i="127"/>
  <c r="O68" i="127"/>
  <c r="P66" i="79"/>
  <c r="O66" i="79"/>
  <c r="P71" i="79"/>
  <c r="O71" i="79"/>
  <c r="O72" i="79"/>
  <c r="P72" i="79"/>
  <c r="O67" i="76"/>
  <c r="P67" i="76"/>
  <c r="O69" i="76"/>
  <c r="P69" i="76"/>
  <c r="O66" i="76"/>
  <c r="P66" i="76"/>
  <c r="I74" i="75"/>
  <c r="I75" i="75" s="1"/>
  <c r="O64" i="75"/>
  <c r="P64" i="75"/>
  <c r="P69" i="75"/>
  <c r="O69" i="75"/>
  <c r="O65" i="85"/>
  <c r="P65" i="85"/>
  <c r="P66" i="85"/>
  <c r="O66" i="85"/>
  <c r="O71" i="85"/>
  <c r="P71" i="85"/>
  <c r="O70" i="92"/>
  <c r="P70" i="92"/>
  <c r="P69" i="92"/>
  <c r="O69" i="92"/>
  <c r="P68" i="92"/>
  <c r="O68" i="92"/>
  <c r="O68" i="77"/>
  <c r="P68" i="77"/>
  <c r="O73" i="77"/>
  <c r="P73" i="77"/>
  <c r="O72" i="77"/>
  <c r="P72" i="77"/>
  <c r="O65" i="93"/>
  <c r="P65" i="93"/>
  <c r="P73" i="93"/>
  <c r="O73" i="93"/>
  <c r="P66" i="83"/>
  <c r="O66" i="83"/>
  <c r="O68" i="83"/>
  <c r="P68" i="83"/>
  <c r="P67" i="104"/>
  <c r="O67" i="104"/>
  <c r="O71" i="104"/>
  <c r="P71" i="104"/>
  <c r="P66" i="104"/>
  <c r="O66" i="104"/>
  <c r="P66" i="99"/>
  <c r="O66" i="99"/>
  <c r="P65" i="99"/>
  <c r="O65" i="99"/>
  <c r="O69" i="99"/>
  <c r="P69" i="99"/>
  <c r="I82" i="87"/>
  <c r="J80" i="87" s="1"/>
  <c r="I81" i="87"/>
  <c r="I82" i="76"/>
  <c r="J80" i="76" s="1"/>
  <c r="I81" i="76"/>
  <c r="P71" i="78"/>
  <c r="O71" i="78"/>
  <c r="P66" i="78"/>
  <c r="O66" i="78"/>
  <c r="P70" i="94"/>
  <c r="O70" i="94"/>
  <c r="P71" i="94"/>
  <c r="O71" i="94"/>
  <c r="P18" i="111"/>
  <c r="K18" i="111"/>
  <c r="O65" i="82"/>
  <c r="P65" i="82"/>
  <c r="O66" i="82"/>
  <c r="P66" i="82"/>
  <c r="O65" i="125"/>
  <c r="P65" i="125"/>
  <c r="O70" i="125"/>
  <c r="P70" i="125"/>
  <c r="O72" i="126"/>
  <c r="P72" i="126"/>
  <c r="O71" i="126"/>
  <c r="P71" i="126"/>
  <c r="P65" i="80"/>
  <c r="O65" i="80"/>
  <c r="P66" i="80"/>
  <c r="O66" i="80"/>
  <c r="O67" i="80"/>
  <c r="P67" i="80"/>
  <c r="O72" i="88"/>
  <c r="P72" i="88"/>
  <c r="O68" i="88"/>
  <c r="P68" i="88"/>
  <c r="P71" i="88"/>
  <c r="O71" i="88"/>
  <c r="O66" i="106"/>
  <c r="P66" i="106"/>
  <c r="O71" i="106"/>
  <c r="P71" i="106"/>
  <c r="O73" i="106"/>
  <c r="P73" i="106"/>
  <c r="P69" i="103"/>
  <c r="O69" i="103"/>
  <c r="P68" i="96"/>
  <c r="O68" i="96"/>
  <c r="O67" i="96"/>
  <c r="P67" i="96"/>
  <c r="P66" i="74"/>
  <c r="O66" i="74"/>
  <c r="P73" i="74"/>
  <c r="O73" i="74"/>
  <c r="P69" i="74"/>
  <c r="O69" i="74"/>
  <c r="O65" i="128"/>
  <c r="P65" i="128"/>
  <c r="O72" i="128"/>
  <c r="P72" i="128"/>
  <c r="O67" i="106"/>
  <c r="O70" i="106"/>
  <c r="M60" i="97"/>
  <c r="N60" i="97" s="1"/>
  <c r="P11" i="63"/>
  <c r="K11" i="63"/>
  <c r="P14" i="63"/>
  <c r="K14" i="63"/>
  <c r="O71" i="98"/>
  <c r="P71" i="98"/>
  <c r="E12" i="14"/>
  <c r="P67" i="98"/>
  <c r="O67" i="98"/>
  <c r="E10" i="14"/>
  <c r="P65" i="98"/>
  <c r="O65" i="98"/>
  <c r="I82" i="80"/>
  <c r="J80" i="80" s="1"/>
  <c r="I81" i="80"/>
  <c r="I82" i="74"/>
  <c r="J80" i="74" s="1"/>
  <c r="I81" i="74"/>
  <c r="N60" i="105"/>
  <c r="J82" i="79"/>
  <c r="K80" i="79" s="1"/>
  <c r="J81" i="79"/>
  <c r="I82" i="92"/>
  <c r="J80" i="92" s="1"/>
  <c r="I81" i="92"/>
  <c r="I82" i="93"/>
  <c r="J80" i="93" s="1"/>
  <c r="I81" i="93"/>
  <c r="J9" i="14"/>
  <c r="L81" i="109"/>
  <c r="L82" i="109"/>
  <c r="M80" i="109" s="1"/>
  <c r="J17" i="63"/>
  <c r="U9" i="63"/>
  <c r="U17" i="63" s="1"/>
  <c r="P95" i="108"/>
  <c r="P96" i="108" s="1"/>
  <c r="O96" i="107"/>
  <c r="O97" i="107"/>
  <c r="P72" i="89"/>
  <c r="O72" i="89"/>
  <c r="P69" i="89"/>
  <c r="O69" i="89"/>
  <c r="P72" i="97"/>
  <c r="O72" i="97"/>
  <c r="P73" i="97"/>
  <c r="O73" i="97"/>
  <c r="O69" i="124"/>
  <c r="P69" i="124"/>
  <c r="P66" i="124"/>
  <c r="O66" i="124"/>
  <c r="P68" i="101"/>
  <c r="O68" i="101"/>
  <c r="O71" i="101"/>
  <c r="P71" i="101"/>
  <c r="P69" i="101"/>
  <c r="O69" i="101"/>
  <c r="P68" i="90"/>
  <c r="O68" i="90"/>
  <c r="P70" i="90"/>
  <c r="O70" i="90"/>
  <c r="O66" i="90"/>
  <c r="P66" i="90"/>
  <c r="O71" i="81"/>
  <c r="P71" i="81"/>
  <c r="O65" i="81"/>
  <c r="P65" i="81"/>
  <c r="O65" i="129"/>
  <c r="P65" i="129"/>
  <c r="P67" i="129"/>
  <c r="O67" i="129"/>
  <c r="O66" i="129"/>
  <c r="P66" i="129"/>
  <c r="P68" i="91"/>
  <c r="O68" i="91"/>
  <c r="P71" i="91"/>
  <c r="O71" i="91"/>
  <c r="P73" i="91"/>
  <c r="O73" i="91"/>
  <c r="P69" i="121"/>
  <c r="O69" i="121"/>
  <c r="P66" i="121"/>
  <c r="O66" i="121"/>
  <c r="O70" i="121"/>
  <c r="P70" i="121"/>
  <c r="P69" i="95"/>
  <c r="O69" i="95"/>
  <c r="O71" i="95"/>
  <c r="P71" i="95"/>
  <c r="P66" i="95"/>
  <c r="O66" i="95"/>
  <c r="O70" i="123"/>
  <c r="P70" i="123"/>
  <c r="I74" i="123"/>
  <c r="I75" i="123" s="1"/>
  <c r="P64" i="123"/>
  <c r="O64" i="123"/>
  <c r="I74" i="84"/>
  <c r="O64" i="84"/>
  <c r="P64" i="84"/>
  <c r="O72" i="84"/>
  <c r="P72" i="84"/>
  <c r="I74" i="102"/>
  <c r="I75" i="102" s="1"/>
  <c r="P64" i="102"/>
  <c r="O64" i="102"/>
  <c r="P73" i="102"/>
  <c r="O73" i="102"/>
  <c r="P71" i="102"/>
  <c r="O71" i="102"/>
  <c r="O69" i="86"/>
  <c r="P69" i="86"/>
  <c r="P72" i="86"/>
  <c r="O72" i="86"/>
  <c r="I74" i="86"/>
  <c r="O64" i="86"/>
  <c r="P64" i="86"/>
  <c r="O67" i="105"/>
  <c r="P67" i="105"/>
  <c r="O65" i="105"/>
  <c r="P65" i="105"/>
  <c r="O69" i="87"/>
  <c r="P69" i="87"/>
  <c r="P66" i="87"/>
  <c r="O66" i="87"/>
  <c r="P73" i="100"/>
  <c r="O73" i="100"/>
  <c r="P70" i="100"/>
  <c r="O70" i="100"/>
  <c r="O67" i="127"/>
  <c r="P67" i="127"/>
  <c r="P66" i="127"/>
  <c r="O66" i="127"/>
  <c r="O68" i="9"/>
  <c r="P73" i="79"/>
  <c r="O73" i="79"/>
  <c r="O69" i="79"/>
  <c r="P69" i="79"/>
  <c r="I74" i="79"/>
  <c r="P64" i="79"/>
  <c r="O64" i="79"/>
  <c r="O73" i="76"/>
  <c r="P73" i="76"/>
  <c r="P71" i="76"/>
  <c r="O71" i="76"/>
  <c r="O73" i="75"/>
  <c r="P73" i="75"/>
  <c r="O68" i="75"/>
  <c r="P68" i="75"/>
  <c r="O71" i="75"/>
  <c r="P71" i="75"/>
  <c r="I74" i="85"/>
  <c r="O64" i="85"/>
  <c r="P64" i="85"/>
  <c r="O70" i="85"/>
  <c r="P70" i="85"/>
  <c r="P66" i="92"/>
  <c r="O66" i="92"/>
  <c r="P67" i="92"/>
  <c r="O67" i="92"/>
  <c r="P67" i="77"/>
  <c r="O67" i="77"/>
  <c r="P71" i="77"/>
  <c r="O71" i="77"/>
  <c r="P68" i="93"/>
  <c r="O68" i="93"/>
  <c r="P71" i="93"/>
  <c r="O71" i="93"/>
  <c r="O70" i="93"/>
  <c r="P70" i="93"/>
  <c r="P72" i="83"/>
  <c r="O72" i="83"/>
  <c r="P70" i="83"/>
  <c r="O70" i="83"/>
  <c r="P69" i="83"/>
  <c r="O69" i="83"/>
  <c r="O65" i="104"/>
  <c r="P65" i="104"/>
  <c r="P69" i="104"/>
  <c r="O69" i="104"/>
  <c r="I82" i="102"/>
  <c r="J80" i="102" s="1"/>
  <c r="O80" i="102" s="1"/>
  <c r="O81" i="102" s="1"/>
  <c r="I81" i="102"/>
  <c r="P72" i="99"/>
  <c r="O72" i="99"/>
  <c r="P71" i="99"/>
  <c r="O71" i="99"/>
  <c r="O73" i="99"/>
  <c r="P73" i="99"/>
  <c r="I82" i="85"/>
  <c r="J80" i="85" s="1"/>
  <c r="I81" i="85"/>
  <c r="P72" i="78"/>
  <c r="O72" i="78"/>
  <c r="P68" i="78"/>
  <c r="O68" i="78"/>
  <c r="I74" i="78"/>
  <c r="P64" i="78"/>
  <c r="O64" i="78"/>
  <c r="O69" i="94"/>
  <c r="P69" i="94"/>
  <c r="P66" i="94"/>
  <c r="O66" i="94"/>
  <c r="P68" i="82"/>
  <c r="O68" i="82"/>
  <c r="O70" i="82"/>
  <c r="P70" i="82"/>
  <c r="O71" i="82"/>
  <c r="P71" i="82"/>
  <c r="O73" i="125"/>
  <c r="P73" i="125"/>
  <c r="O66" i="125"/>
  <c r="P66" i="125"/>
  <c r="P67" i="126"/>
  <c r="O67" i="126"/>
  <c r="P68" i="126"/>
  <c r="O68" i="126"/>
  <c r="P65" i="126"/>
  <c r="O65" i="126"/>
  <c r="I74" i="80"/>
  <c r="P64" i="80"/>
  <c r="O64" i="80"/>
  <c r="O70" i="80"/>
  <c r="P70" i="80"/>
  <c r="P71" i="80"/>
  <c r="O71" i="80"/>
  <c r="O69" i="88"/>
  <c r="P69" i="88"/>
  <c r="P67" i="88"/>
  <c r="O67" i="88"/>
  <c r="O68" i="106"/>
  <c r="P68" i="106"/>
  <c r="O71" i="103"/>
  <c r="P71" i="103"/>
  <c r="O70" i="103"/>
  <c r="P70" i="103"/>
  <c r="P67" i="103"/>
  <c r="O67" i="103"/>
  <c r="P66" i="96"/>
  <c r="O66" i="96"/>
  <c r="O65" i="96"/>
  <c r="P65" i="96"/>
  <c r="I74" i="74"/>
  <c r="I75" i="74" s="1"/>
  <c r="P64" i="74"/>
  <c r="O64" i="74"/>
  <c r="O68" i="74"/>
  <c r="P68" i="74"/>
  <c r="P66" i="128"/>
  <c r="O66" i="128"/>
  <c r="O68" i="128"/>
  <c r="P68" i="128"/>
  <c r="I82" i="97"/>
  <c r="J80" i="97" s="1"/>
  <c r="I81" i="97"/>
  <c r="I82" i="90"/>
  <c r="J80" i="90" s="1"/>
  <c r="P80" i="90" s="1"/>
  <c r="I81" i="90"/>
  <c r="P9" i="63"/>
  <c r="E17" i="63"/>
  <c r="K9" i="63"/>
  <c r="P68" i="98"/>
  <c r="O68" i="98"/>
  <c r="E15" i="14"/>
  <c r="O70" i="98"/>
  <c r="P70" i="98"/>
  <c r="E14" i="14"/>
  <c r="O69" i="98"/>
  <c r="P69" i="98"/>
  <c r="M60" i="82"/>
  <c r="N60" i="82" s="1"/>
  <c r="M60" i="106"/>
  <c r="N60" i="106" s="1"/>
  <c r="K60" i="96"/>
  <c r="L60" i="96" s="1"/>
  <c r="M95" i="110"/>
  <c r="M96" i="110" s="1"/>
  <c r="I82" i="99"/>
  <c r="J80" i="99" s="1"/>
  <c r="P80" i="99" s="1"/>
  <c r="I81" i="99"/>
  <c r="L82" i="105"/>
  <c r="M80" i="105" s="1"/>
  <c r="L81" i="105"/>
  <c r="M60" i="75"/>
  <c r="N60" i="75" s="1"/>
  <c r="M60" i="77"/>
  <c r="N60" i="77" s="1"/>
  <c r="P85" i="110"/>
  <c r="P95" i="110" s="1"/>
  <c r="P96" i="110" s="1"/>
  <c r="O67" i="93"/>
  <c r="V17" i="14"/>
  <c r="P39" i="14"/>
  <c r="V39" i="14" s="1"/>
  <c r="M60" i="84"/>
  <c r="N60" i="84" s="1"/>
  <c r="P66" i="89"/>
  <c r="O66" i="89"/>
  <c r="I74" i="101"/>
  <c r="I75" i="101" s="1"/>
  <c r="O64" i="101"/>
  <c r="P64" i="101"/>
  <c r="P74" i="101" s="1"/>
  <c r="P75" i="101" s="1"/>
  <c r="P69" i="90"/>
  <c r="O69" i="90"/>
  <c r="P65" i="90"/>
  <c r="O65" i="90"/>
  <c r="O72" i="81"/>
  <c r="P72" i="81"/>
  <c r="O69" i="81"/>
  <c r="P69" i="81"/>
  <c r="O73" i="81"/>
  <c r="P73" i="81"/>
  <c r="P70" i="129"/>
  <c r="O70" i="129"/>
  <c r="I74" i="129"/>
  <c r="I75" i="129" s="1"/>
  <c r="O64" i="129"/>
  <c r="P64" i="129"/>
  <c r="P71" i="129"/>
  <c r="O71" i="129"/>
  <c r="P66" i="91"/>
  <c r="O66" i="91"/>
  <c r="P67" i="91"/>
  <c r="O67" i="91"/>
  <c r="O72" i="9"/>
  <c r="P72" i="9"/>
  <c r="O71" i="9"/>
  <c r="P71" i="9"/>
  <c r="O67" i="9"/>
  <c r="P67" i="9"/>
  <c r="O67" i="121"/>
  <c r="P67" i="121"/>
  <c r="P68" i="121"/>
  <c r="O68" i="121"/>
  <c r="O73" i="95"/>
  <c r="P73" i="95"/>
  <c r="P65" i="95"/>
  <c r="O65" i="95"/>
  <c r="P67" i="95"/>
  <c r="O67" i="95"/>
  <c r="O72" i="123"/>
  <c r="P72" i="123"/>
  <c r="O73" i="123"/>
  <c r="P73" i="123"/>
  <c r="O68" i="84"/>
  <c r="P68" i="84"/>
  <c r="P73" i="84"/>
  <c r="O73" i="84"/>
  <c r="P70" i="84"/>
  <c r="O70" i="84"/>
  <c r="O65" i="102"/>
  <c r="P65" i="102"/>
  <c r="P66" i="102"/>
  <c r="O66" i="102"/>
  <c r="P67" i="102"/>
  <c r="O67" i="102"/>
  <c r="O73" i="86"/>
  <c r="P73" i="86"/>
  <c r="P68" i="86"/>
  <c r="O68" i="86"/>
  <c r="O72" i="105"/>
  <c r="P72" i="105"/>
  <c r="P68" i="105"/>
  <c r="O68" i="105"/>
  <c r="P67" i="87"/>
  <c r="O67" i="87"/>
  <c r="P71" i="87"/>
  <c r="O71" i="87"/>
  <c r="O70" i="87"/>
  <c r="P70" i="87"/>
  <c r="P66" i="100"/>
  <c r="O66" i="100"/>
  <c r="O72" i="100"/>
  <c r="P72" i="100"/>
  <c r="P71" i="100"/>
  <c r="O71" i="100"/>
  <c r="O72" i="127"/>
  <c r="P72" i="127"/>
  <c r="I74" i="127"/>
  <c r="I75" i="127" s="1"/>
  <c r="P64" i="127"/>
  <c r="O64" i="127"/>
  <c r="P69" i="127"/>
  <c r="O69" i="127"/>
  <c r="P68" i="79"/>
  <c r="O68" i="79"/>
  <c r="O67" i="79"/>
  <c r="P67" i="79"/>
  <c r="O65" i="76"/>
  <c r="P65" i="76"/>
  <c r="O70" i="76"/>
  <c r="P70" i="76"/>
  <c r="O72" i="76"/>
  <c r="P72" i="76"/>
  <c r="O72" i="75"/>
  <c r="P72" i="75"/>
  <c r="O66" i="75"/>
  <c r="P66" i="75"/>
  <c r="P70" i="75"/>
  <c r="O70" i="75"/>
  <c r="P69" i="85"/>
  <c r="O69" i="85"/>
  <c r="P68" i="85"/>
  <c r="O68" i="85"/>
  <c r="P72" i="85"/>
  <c r="O72" i="85"/>
  <c r="O65" i="92"/>
  <c r="P65" i="92"/>
  <c r="P73" i="92"/>
  <c r="O73" i="92"/>
  <c r="P69" i="77"/>
  <c r="O69" i="77"/>
  <c r="P65" i="77"/>
  <c r="O65" i="77"/>
  <c r="I74" i="77"/>
  <c r="I75" i="77" s="1"/>
  <c r="O64" i="77"/>
  <c r="P64" i="77"/>
  <c r="P66" i="93"/>
  <c r="O66" i="93"/>
  <c r="P72" i="93"/>
  <c r="O72" i="93"/>
  <c r="O67" i="83"/>
  <c r="P67" i="83"/>
  <c r="P73" i="83"/>
  <c r="O73" i="83"/>
  <c r="P65" i="83"/>
  <c r="O65" i="83"/>
  <c r="P72" i="104"/>
  <c r="O72" i="104"/>
  <c r="P70" i="104"/>
  <c r="O70" i="104"/>
  <c r="M60" i="95"/>
  <c r="N60" i="95" s="1"/>
  <c r="M60" i="86"/>
  <c r="N60" i="86" s="1"/>
  <c r="I74" i="99"/>
  <c r="I75" i="99" s="1"/>
  <c r="P64" i="99"/>
  <c r="O64" i="99"/>
  <c r="P68" i="99"/>
  <c r="O68" i="99"/>
  <c r="O96" i="108"/>
  <c r="O97" i="108"/>
  <c r="M60" i="85"/>
  <c r="N60" i="85" s="1"/>
  <c r="P73" i="78"/>
  <c r="O73" i="78"/>
  <c r="P69" i="78"/>
  <c r="O69" i="78"/>
  <c r="O73" i="94"/>
  <c r="P73" i="94"/>
  <c r="P67" i="94"/>
  <c r="O67" i="94"/>
  <c r="O68" i="94"/>
  <c r="P68" i="94"/>
  <c r="J82" i="83"/>
  <c r="K82" i="83" s="1"/>
  <c r="L82" i="83" s="1"/>
  <c r="M82" i="83" s="1"/>
  <c r="N82" i="83" s="1"/>
  <c r="O80" i="83"/>
  <c r="O81" i="83" s="1"/>
  <c r="P80" i="83"/>
  <c r="J81" i="83"/>
  <c r="P19" i="111"/>
  <c r="K19" i="111"/>
  <c r="P67" i="82"/>
  <c r="O67" i="82"/>
  <c r="I74" i="82"/>
  <c r="O64" i="82"/>
  <c r="P64" i="82"/>
  <c r="P74" i="82" s="1"/>
  <c r="P75" i="82" s="1"/>
  <c r="O68" i="125"/>
  <c r="P68" i="125"/>
  <c r="O69" i="125"/>
  <c r="P69" i="125"/>
  <c r="P71" i="125"/>
  <c r="O71" i="125"/>
  <c r="P73" i="126"/>
  <c r="O73" i="126"/>
  <c r="P70" i="126"/>
  <c r="O70" i="126"/>
  <c r="O68" i="80"/>
  <c r="P68" i="80"/>
  <c r="P72" i="80"/>
  <c r="O72" i="80"/>
  <c r="O73" i="88"/>
  <c r="P73" i="88"/>
  <c r="I74" i="88"/>
  <c r="I75" i="88" s="1"/>
  <c r="P64" i="88"/>
  <c r="O64" i="88"/>
  <c r="O69" i="106"/>
  <c r="P69" i="106"/>
  <c r="I74" i="106"/>
  <c r="I75" i="106" s="1"/>
  <c r="P64" i="106"/>
  <c r="O64" i="106"/>
  <c r="O74" i="106" s="1"/>
  <c r="O66" i="103"/>
  <c r="P66" i="103"/>
  <c r="E13" i="14"/>
  <c r="O68" i="103"/>
  <c r="P68" i="103"/>
  <c r="O65" i="103"/>
  <c r="P65" i="103"/>
  <c r="O69" i="96"/>
  <c r="P69" i="96"/>
  <c r="O70" i="96"/>
  <c r="P70" i="96"/>
  <c r="P67" i="74"/>
  <c r="O67" i="74"/>
  <c r="P72" i="74"/>
  <c r="O72" i="74"/>
  <c r="O71" i="128"/>
  <c r="P71" i="128"/>
  <c r="O70" i="128"/>
  <c r="P70" i="128"/>
  <c r="O67" i="128"/>
  <c r="P67" i="128"/>
  <c r="I82" i="89"/>
  <c r="J80" i="89" s="1"/>
  <c r="I81" i="89"/>
  <c r="P80" i="101"/>
  <c r="I82" i="101"/>
  <c r="J82" i="101" s="1"/>
  <c r="K82" i="101" s="1"/>
  <c r="L82" i="101" s="1"/>
  <c r="M82" i="101" s="1"/>
  <c r="N82" i="101" s="1"/>
  <c r="O80" i="101"/>
  <c r="O81" i="101" s="1"/>
  <c r="I81" i="101"/>
  <c r="P13" i="63"/>
  <c r="K13" i="63"/>
  <c r="P12" i="63"/>
  <c r="K12" i="63"/>
  <c r="E9" i="14"/>
  <c r="I74" i="98"/>
  <c r="I75" i="98" s="1"/>
  <c r="O64" i="98"/>
  <c r="P64" i="98"/>
  <c r="E11" i="14"/>
  <c r="O66" i="98"/>
  <c r="P66" i="98"/>
  <c r="P16" i="63"/>
  <c r="K16" i="63"/>
  <c r="L82" i="91"/>
  <c r="M82" i="91" s="1"/>
  <c r="N82" i="91" s="1"/>
  <c r="P80" i="91"/>
  <c r="O80" i="91"/>
  <c r="O81" i="91" s="1"/>
  <c r="L81" i="91"/>
  <c r="O73" i="82"/>
  <c r="I82" i="82"/>
  <c r="J80" i="82" s="1"/>
  <c r="I81" i="82"/>
  <c r="K82" i="106"/>
  <c r="L80" i="106" s="1"/>
  <c r="K81" i="106"/>
  <c r="I82" i="96"/>
  <c r="J80" i="96" s="1"/>
  <c r="I81" i="96"/>
  <c r="M60" i="78"/>
  <c r="N60" i="78" s="1"/>
  <c r="M60" i="94"/>
  <c r="N60" i="94" s="1"/>
  <c r="I82" i="100"/>
  <c r="J80" i="100" s="1"/>
  <c r="P80" i="100" s="1"/>
  <c r="I81" i="100"/>
  <c r="O65" i="9"/>
  <c r="I82" i="75"/>
  <c r="J80" i="75" s="1"/>
  <c r="I81" i="75"/>
  <c r="I82" i="77"/>
  <c r="J80" i="77" s="1"/>
  <c r="I81" i="77"/>
  <c r="O85" i="110"/>
  <c r="O95" i="110" s="1"/>
  <c r="N74" i="78"/>
  <c r="N75" i="78" s="1"/>
  <c r="O73" i="96"/>
  <c r="O70" i="9"/>
  <c r="I82" i="84"/>
  <c r="J80" i="84" s="1"/>
  <c r="I81" i="84"/>
  <c r="P80" i="104"/>
  <c r="O80" i="104"/>
  <c r="O81" i="104" s="1"/>
  <c r="J82" i="104"/>
  <c r="K82" i="104" s="1"/>
  <c r="L82" i="104" s="1"/>
  <c r="M82" i="104" s="1"/>
  <c r="N82" i="104" s="1"/>
  <c r="J81" i="104"/>
  <c r="O74" i="88" l="1"/>
  <c r="O74" i="101"/>
  <c r="P74" i="106"/>
  <c r="P75" i="106" s="1"/>
  <c r="P74" i="127"/>
  <c r="P75" i="127" s="1"/>
  <c r="P74" i="77"/>
  <c r="P75" i="77" s="1"/>
  <c r="O80" i="99"/>
  <c r="O81" i="99" s="1"/>
  <c r="P74" i="129"/>
  <c r="P75" i="129" s="1"/>
  <c r="O74" i="77"/>
  <c r="O80" i="98"/>
  <c r="O81" i="98" s="1"/>
  <c r="O74" i="98"/>
  <c r="O74" i="129"/>
  <c r="P80" i="102"/>
  <c r="P74" i="99"/>
  <c r="P75" i="99" s="1"/>
  <c r="L82" i="106"/>
  <c r="M80" i="106" s="1"/>
  <c r="P80" i="106" s="1"/>
  <c r="L81" i="106"/>
  <c r="J82" i="96"/>
  <c r="K80" i="96" s="1"/>
  <c r="J81" i="96"/>
  <c r="M82" i="105"/>
  <c r="N82" i="105" s="1"/>
  <c r="M81" i="105"/>
  <c r="O80" i="105"/>
  <c r="O81" i="105" s="1"/>
  <c r="P80" i="105"/>
  <c r="P81" i="90"/>
  <c r="P80" i="79"/>
  <c r="K82" i="79"/>
  <c r="L82" i="79" s="1"/>
  <c r="M82" i="79" s="1"/>
  <c r="N82" i="79" s="1"/>
  <c r="K81" i="79"/>
  <c r="O80" i="79"/>
  <c r="O81" i="79" s="1"/>
  <c r="P81" i="100"/>
  <c r="P81" i="104"/>
  <c r="J82" i="84"/>
  <c r="K80" i="84" s="1"/>
  <c r="J81" i="84"/>
  <c r="O97" i="110"/>
  <c r="O96" i="110"/>
  <c r="J82" i="77"/>
  <c r="K80" i="77" s="1"/>
  <c r="J81" i="77"/>
  <c r="J82" i="75"/>
  <c r="K80" i="75" s="1"/>
  <c r="J81" i="75"/>
  <c r="O80" i="100"/>
  <c r="O81" i="100" s="1"/>
  <c r="J82" i="100"/>
  <c r="K82" i="100" s="1"/>
  <c r="L82" i="100" s="1"/>
  <c r="M82" i="100" s="1"/>
  <c r="N82" i="100" s="1"/>
  <c r="J81" i="100"/>
  <c r="P31" i="63"/>
  <c r="V31" i="63" s="1"/>
  <c r="V16" i="63"/>
  <c r="P74" i="98"/>
  <c r="P75" i="98" s="1"/>
  <c r="O74" i="99"/>
  <c r="O74" i="127"/>
  <c r="K17" i="63"/>
  <c r="O74" i="74"/>
  <c r="P74" i="80"/>
  <c r="P75" i="80" s="1"/>
  <c r="E32" i="115"/>
  <c r="I75" i="78"/>
  <c r="J82" i="85"/>
  <c r="K80" i="85" s="1"/>
  <c r="J81" i="85"/>
  <c r="O74" i="85"/>
  <c r="O74" i="79"/>
  <c r="E12" i="115"/>
  <c r="I75" i="86"/>
  <c r="I75" i="84"/>
  <c r="E27" i="115"/>
  <c r="P74" i="75"/>
  <c r="P75" i="75" s="1"/>
  <c r="P74" i="100"/>
  <c r="P75" i="100" s="1"/>
  <c r="O74" i="87"/>
  <c r="P74" i="95"/>
  <c r="P75" i="95" s="1"/>
  <c r="P74" i="121"/>
  <c r="P75" i="121" s="1"/>
  <c r="P74" i="9"/>
  <c r="P75" i="9" s="1"/>
  <c r="P81" i="103"/>
  <c r="P22" i="14"/>
  <c r="K22" i="14"/>
  <c r="P30" i="63"/>
  <c r="V30" i="63" s="1"/>
  <c r="V15" i="63"/>
  <c r="P74" i="103"/>
  <c r="P75" i="103" s="1"/>
  <c r="P74" i="125"/>
  <c r="P75" i="125" s="1"/>
  <c r="P74" i="83"/>
  <c r="P75" i="83" s="1"/>
  <c r="P74" i="92"/>
  <c r="P75" i="92" s="1"/>
  <c r="P74" i="76"/>
  <c r="P75" i="76" s="1"/>
  <c r="P74" i="89"/>
  <c r="P75" i="89" s="1"/>
  <c r="O74" i="124"/>
  <c r="J82" i="82"/>
  <c r="K80" i="82" s="1"/>
  <c r="J81" i="82"/>
  <c r="F88" i="98"/>
  <c r="F85" i="98"/>
  <c r="H88" i="98"/>
  <c r="I94" i="98"/>
  <c r="F89" i="98"/>
  <c r="I90" i="98"/>
  <c r="F94" i="98"/>
  <c r="O75" i="98"/>
  <c r="M90" i="98"/>
  <c r="L88" i="98"/>
  <c r="M92" i="98"/>
  <c r="K85" i="98"/>
  <c r="F86" i="98"/>
  <c r="N85" i="98"/>
  <c r="M87" i="98"/>
  <c r="N93" i="98"/>
  <c r="F92" i="98"/>
  <c r="K94" i="98"/>
  <c r="I88" i="98"/>
  <c r="H93" i="98"/>
  <c r="G94" i="98"/>
  <c r="H85" i="98"/>
  <c r="H89" i="98"/>
  <c r="K88" i="98"/>
  <c r="N87" i="98"/>
  <c r="L87" i="98"/>
  <c r="L89" i="98"/>
  <c r="F91" i="98"/>
  <c r="N86" i="98"/>
  <c r="F90" i="98"/>
  <c r="L93" i="98"/>
  <c r="N94" i="98"/>
  <c r="K90" i="98"/>
  <c r="L86" i="98"/>
  <c r="G89" i="98"/>
  <c r="K86" i="98"/>
  <c r="M91" i="98"/>
  <c r="I89" i="98"/>
  <c r="G87" i="98"/>
  <c r="M85" i="98"/>
  <c r="K92" i="98"/>
  <c r="G90" i="98"/>
  <c r="F87" i="98"/>
  <c r="I87" i="98"/>
  <c r="I91" i="98"/>
  <c r="L85" i="98"/>
  <c r="L94" i="98"/>
  <c r="G92" i="98"/>
  <c r="H92" i="98"/>
  <c r="G88" i="98"/>
  <c r="G85" i="98"/>
  <c r="H94" i="98"/>
  <c r="G86" i="98"/>
  <c r="H91" i="98"/>
  <c r="K89" i="98"/>
  <c r="H90" i="98"/>
  <c r="N88" i="98"/>
  <c r="N89" i="98"/>
  <c r="K93" i="98"/>
  <c r="I86" i="98"/>
  <c r="N92" i="98"/>
  <c r="M88" i="98"/>
  <c r="K87" i="98"/>
  <c r="H86" i="98"/>
  <c r="H87" i="98"/>
  <c r="N90" i="98"/>
  <c r="L92" i="98"/>
  <c r="I85" i="98"/>
  <c r="L90" i="98"/>
  <c r="F93" i="98"/>
  <c r="G93" i="98"/>
  <c r="M89" i="98"/>
  <c r="I92" i="98"/>
  <c r="I93" i="98"/>
  <c r="L91" i="98"/>
  <c r="M94" i="98"/>
  <c r="N91" i="98"/>
  <c r="K91" i="98"/>
  <c r="M93" i="98"/>
  <c r="M86" i="98"/>
  <c r="G91" i="98"/>
  <c r="P27" i="63"/>
  <c r="V27" i="63" s="1"/>
  <c r="V12" i="63"/>
  <c r="O75" i="106"/>
  <c r="P81" i="83"/>
  <c r="I89" i="101"/>
  <c r="L87" i="101"/>
  <c r="I90" i="101"/>
  <c r="J93" i="101"/>
  <c r="H87" i="101"/>
  <c r="I87" i="101"/>
  <c r="N88" i="101"/>
  <c r="K88" i="101"/>
  <c r="G94" i="101"/>
  <c r="J91" i="101"/>
  <c r="N93" i="101"/>
  <c r="I93" i="101"/>
  <c r="M87" i="101"/>
  <c r="M86" i="101"/>
  <c r="H92" i="101"/>
  <c r="L90" i="101"/>
  <c r="F93" i="101"/>
  <c r="J89" i="101"/>
  <c r="M88" i="101"/>
  <c r="K94" i="101"/>
  <c r="F94" i="101"/>
  <c r="H94" i="101"/>
  <c r="G92" i="101"/>
  <c r="H88" i="101"/>
  <c r="I91" i="101"/>
  <c r="H89" i="101"/>
  <c r="M93" i="101"/>
  <c r="H93" i="101"/>
  <c r="J94" i="101"/>
  <c r="L93" i="101"/>
  <c r="F88" i="101"/>
  <c r="M90" i="101"/>
  <c r="F85" i="101"/>
  <c r="F92" i="101"/>
  <c r="G90" i="101"/>
  <c r="L86" i="101"/>
  <c r="K92" i="101"/>
  <c r="N85" i="101"/>
  <c r="G89" i="101"/>
  <c r="N90" i="101"/>
  <c r="I94" i="101"/>
  <c r="N92" i="101"/>
  <c r="J85" i="101"/>
  <c r="M89" i="101"/>
  <c r="G86" i="101"/>
  <c r="N89" i="101"/>
  <c r="G87" i="101"/>
  <c r="L91" i="101"/>
  <c r="L92" i="101"/>
  <c r="N91" i="101"/>
  <c r="F86" i="101"/>
  <c r="G85" i="101"/>
  <c r="H86" i="101"/>
  <c r="F91" i="101"/>
  <c r="K86" i="101"/>
  <c r="K90" i="101"/>
  <c r="K89" i="101"/>
  <c r="I92" i="101"/>
  <c r="J88" i="101"/>
  <c r="L88" i="101"/>
  <c r="J86" i="101"/>
  <c r="N94" i="101"/>
  <c r="O75" i="101"/>
  <c r="N87" i="101"/>
  <c r="K85" i="101"/>
  <c r="K93" i="101"/>
  <c r="M92" i="101"/>
  <c r="I88" i="101"/>
  <c r="L94" i="101"/>
  <c r="M91" i="101"/>
  <c r="M94" i="101"/>
  <c r="H90" i="101"/>
  <c r="G88" i="101"/>
  <c r="K87" i="101"/>
  <c r="K91" i="101"/>
  <c r="I86" i="101"/>
  <c r="J87" i="101"/>
  <c r="J90" i="101"/>
  <c r="F90" i="101"/>
  <c r="G93" i="101"/>
  <c r="J92" i="101"/>
  <c r="I85" i="101"/>
  <c r="N86" i="101"/>
  <c r="L85" i="101"/>
  <c r="H91" i="101"/>
  <c r="F89" i="101"/>
  <c r="L89" i="101"/>
  <c r="F87" i="101"/>
  <c r="G91" i="101"/>
  <c r="H85" i="101"/>
  <c r="M85" i="101"/>
  <c r="P15" i="14"/>
  <c r="K15" i="14"/>
  <c r="O80" i="90"/>
  <c r="O81" i="90" s="1"/>
  <c r="J82" i="90"/>
  <c r="K82" i="90" s="1"/>
  <c r="L82" i="90" s="1"/>
  <c r="M82" i="90" s="1"/>
  <c r="N82" i="90" s="1"/>
  <c r="J81" i="90"/>
  <c r="J82" i="97"/>
  <c r="K80" i="97" s="1"/>
  <c r="J81" i="97"/>
  <c r="P74" i="74"/>
  <c r="P75" i="74" s="1"/>
  <c r="E9" i="115"/>
  <c r="I75" i="80"/>
  <c r="P81" i="102"/>
  <c r="I75" i="85"/>
  <c r="E11" i="115"/>
  <c r="P74" i="79"/>
  <c r="P75" i="79" s="1"/>
  <c r="O74" i="102"/>
  <c r="O74" i="123"/>
  <c r="M82" i="109"/>
  <c r="N82" i="109" s="1"/>
  <c r="M81" i="109"/>
  <c r="O80" i="109"/>
  <c r="O81" i="109" s="1"/>
  <c r="L87" i="109" s="1"/>
  <c r="P80" i="109"/>
  <c r="U9" i="14"/>
  <c r="J23" i="14"/>
  <c r="J24" i="14" s="1"/>
  <c r="J82" i="93"/>
  <c r="K80" i="93" s="1"/>
  <c r="J81" i="93"/>
  <c r="J82" i="92"/>
  <c r="K80" i="92" s="1"/>
  <c r="J81" i="92"/>
  <c r="P12" i="14"/>
  <c r="K12" i="14"/>
  <c r="P29" i="63"/>
  <c r="V29" i="63" s="1"/>
  <c r="V14" i="63"/>
  <c r="O74" i="75"/>
  <c r="P74" i="87"/>
  <c r="P75" i="87" s="1"/>
  <c r="O74" i="121"/>
  <c r="P81" i="98"/>
  <c r="P21" i="14"/>
  <c r="K21" i="14"/>
  <c r="O74" i="96"/>
  <c r="O74" i="103"/>
  <c r="O74" i="126"/>
  <c r="O74" i="125"/>
  <c r="O74" i="94"/>
  <c r="J82" i="86"/>
  <c r="K80" i="86" s="1"/>
  <c r="J81" i="86"/>
  <c r="J82" i="95"/>
  <c r="K80" i="95" s="1"/>
  <c r="J81" i="95"/>
  <c r="E10" i="115"/>
  <c r="I75" i="92"/>
  <c r="O74" i="76"/>
  <c r="O74" i="105"/>
  <c r="O74" i="90"/>
  <c r="P81" i="91"/>
  <c r="P13" i="14"/>
  <c r="K13" i="14"/>
  <c r="L87" i="88"/>
  <c r="N90" i="88"/>
  <c r="H90" i="88"/>
  <c r="G89" i="88"/>
  <c r="I88" i="88"/>
  <c r="I93" i="88"/>
  <c r="M92" i="88"/>
  <c r="N94" i="88"/>
  <c r="K87" i="88"/>
  <c r="M86" i="88"/>
  <c r="K90" i="88"/>
  <c r="M94" i="88"/>
  <c r="J89" i="88"/>
  <c r="F93" i="88"/>
  <c r="K85" i="88"/>
  <c r="M87" i="88"/>
  <c r="G86" i="88"/>
  <c r="K94" i="88"/>
  <c r="F90" i="88"/>
  <c r="N91" i="88"/>
  <c r="H89" i="88"/>
  <c r="G94" i="88"/>
  <c r="K86" i="88"/>
  <c r="I86" i="88"/>
  <c r="F87" i="88"/>
  <c r="M85" i="88"/>
  <c r="K88" i="88"/>
  <c r="K91" i="88"/>
  <c r="J87" i="88"/>
  <c r="F85" i="88"/>
  <c r="H88" i="88"/>
  <c r="O75" i="88"/>
  <c r="G85" i="88"/>
  <c r="L89" i="88"/>
  <c r="L94" i="88"/>
  <c r="H93" i="88"/>
  <c r="J94" i="88"/>
  <c r="F94" i="88"/>
  <c r="N87" i="88"/>
  <c r="K93" i="88"/>
  <c r="M93" i="88"/>
  <c r="K89" i="88"/>
  <c r="F89" i="88"/>
  <c r="M89" i="88"/>
  <c r="L93" i="88"/>
  <c r="M91" i="88"/>
  <c r="I87" i="88"/>
  <c r="G87" i="88"/>
  <c r="N92" i="88"/>
  <c r="M90" i="88"/>
  <c r="N89" i="88"/>
  <c r="H87" i="88"/>
  <c r="I89" i="88"/>
  <c r="F92" i="88"/>
  <c r="I91" i="88"/>
  <c r="N88" i="88"/>
  <c r="J93" i="88"/>
  <c r="F88" i="88"/>
  <c r="K92" i="88"/>
  <c r="M88" i="88"/>
  <c r="J88" i="88"/>
  <c r="F91" i="88"/>
  <c r="L88" i="88"/>
  <c r="G90" i="88"/>
  <c r="N85" i="88"/>
  <c r="I90" i="88"/>
  <c r="G88" i="88"/>
  <c r="L86" i="88"/>
  <c r="L92" i="88"/>
  <c r="H85" i="88"/>
  <c r="J91" i="88"/>
  <c r="J92" i="88"/>
  <c r="F86" i="88"/>
  <c r="N86" i="88"/>
  <c r="H92" i="88"/>
  <c r="I92" i="88"/>
  <c r="L90" i="88"/>
  <c r="H86" i="88"/>
  <c r="J90" i="88"/>
  <c r="H91" i="88"/>
  <c r="J85" i="88"/>
  <c r="N93" i="88"/>
  <c r="G92" i="88"/>
  <c r="L85" i="88"/>
  <c r="J86" i="88"/>
  <c r="I94" i="88"/>
  <c r="H94" i="88"/>
  <c r="L91" i="88"/>
  <c r="G93" i="88"/>
  <c r="G91" i="88"/>
  <c r="I85" i="88"/>
  <c r="O74" i="82"/>
  <c r="O75" i="77"/>
  <c r="M94" i="129"/>
  <c r="J89" i="129"/>
  <c r="F92" i="129"/>
  <c r="L85" i="129"/>
  <c r="M85" i="129"/>
  <c r="N94" i="129"/>
  <c r="L90" i="129"/>
  <c r="J94" i="129"/>
  <c r="I89" i="129"/>
  <c r="I90" i="129"/>
  <c r="H89" i="129"/>
  <c r="H87" i="129"/>
  <c r="H93" i="129"/>
  <c r="I92" i="129"/>
  <c r="I91" i="129"/>
  <c r="G92" i="129"/>
  <c r="H86" i="129"/>
  <c r="H90" i="129"/>
  <c r="J92" i="129"/>
  <c r="J88" i="129"/>
  <c r="L88" i="129"/>
  <c r="J87" i="129"/>
  <c r="N85" i="129"/>
  <c r="L87" i="129"/>
  <c r="I94" i="129"/>
  <c r="G94" i="129"/>
  <c r="F90" i="129"/>
  <c r="I86" i="129"/>
  <c r="K88" i="129"/>
  <c r="G89" i="129"/>
  <c r="F85" i="129"/>
  <c r="L93" i="129"/>
  <c r="M92" i="129"/>
  <c r="L92" i="129"/>
  <c r="M88" i="129"/>
  <c r="H92" i="129"/>
  <c r="F94" i="129"/>
  <c r="N91" i="129"/>
  <c r="J86" i="129"/>
  <c r="G93" i="129"/>
  <c r="N93" i="129"/>
  <c r="N86" i="129"/>
  <c r="G86" i="129"/>
  <c r="F87" i="129"/>
  <c r="I87" i="129"/>
  <c r="G88" i="129"/>
  <c r="M87" i="129"/>
  <c r="H94" i="129"/>
  <c r="M90" i="129"/>
  <c r="K89" i="129"/>
  <c r="K90" i="129"/>
  <c r="K91" i="129"/>
  <c r="H91" i="129"/>
  <c r="N89" i="129"/>
  <c r="H85" i="129"/>
  <c r="F91" i="129"/>
  <c r="M93" i="129"/>
  <c r="M91" i="129"/>
  <c r="L91" i="129"/>
  <c r="J93" i="129"/>
  <c r="I85" i="129"/>
  <c r="I93" i="129"/>
  <c r="N88" i="129"/>
  <c r="N87" i="129"/>
  <c r="L89" i="129"/>
  <c r="K86" i="129"/>
  <c r="K94" i="129"/>
  <c r="F93" i="129"/>
  <c r="N92" i="129"/>
  <c r="O75" i="129"/>
  <c r="H88" i="129"/>
  <c r="N90" i="129"/>
  <c r="I88" i="129"/>
  <c r="M86" i="129"/>
  <c r="F88" i="129"/>
  <c r="F89" i="129"/>
  <c r="G91" i="129"/>
  <c r="G85" i="129"/>
  <c r="K92" i="129"/>
  <c r="K93" i="129"/>
  <c r="K87" i="129"/>
  <c r="M89" i="129"/>
  <c r="J90" i="129"/>
  <c r="J91" i="129"/>
  <c r="G87" i="129"/>
  <c r="K85" i="129"/>
  <c r="L86" i="129"/>
  <c r="G90" i="129"/>
  <c r="L94" i="129"/>
  <c r="F86" i="129"/>
  <c r="J85" i="129"/>
  <c r="P81" i="99"/>
  <c r="M60" i="96"/>
  <c r="N60" i="96" s="1"/>
  <c r="P14" i="14"/>
  <c r="K14" i="14"/>
  <c r="P17" i="63"/>
  <c r="V9" i="63"/>
  <c r="P24" i="63"/>
  <c r="O74" i="78"/>
  <c r="J82" i="102"/>
  <c r="K82" i="102" s="1"/>
  <c r="L82" i="102" s="1"/>
  <c r="M82" i="102" s="1"/>
  <c r="N82" i="102" s="1"/>
  <c r="J81" i="102"/>
  <c r="I75" i="79"/>
  <c r="E34" i="115"/>
  <c r="P74" i="86"/>
  <c r="P75" i="86" s="1"/>
  <c r="P74" i="102"/>
  <c r="P75" i="102" s="1"/>
  <c r="P74" i="84"/>
  <c r="P75" i="84" s="1"/>
  <c r="P74" i="123"/>
  <c r="P75" i="123" s="1"/>
  <c r="L89" i="109"/>
  <c r="L90" i="109"/>
  <c r="L92" i="109"/>
  <c r="H17" i="111" s="1"/>
  <c r="S17" i="111" s="1"/>
  <c r="S39" i="111" s="1"/>
  <c r="J82" i="74"/>
  <c r="K80" i="74" s="1"/>
  <c r="J81" i="74"/>
  <c r="J82" i="80"/>
  <c r="K80" i="80" s="1"/>
  <c r="J81" i="80"/>
  <c r="P10" i="14"/>
  <c r="K10" i="14"/>
  <c r="E33" i="115"/>
  <c r="I75" i="87"/>
  <c r="E35" i="115"/>
  <c r="I75" i="121"/>
  <c r="P74" i="81"/>
  <c r="P75" i="81" s="1"/>
  <c r="J82" i="94"/>
  <c r="K80" i="94" s="1"/>
  <c r="J81" i="94"/>
  <c r="J82" i="78"/>
  <c r="K80" i="78" s="1"/>
  <c r="J81" i="78"/>
  <c r="J82" i="98"/>
  <c r="K82" i="98" s="1"/>
  <c r="L82" i="98" s="1"/>
  <c r="M82" i="98" s="1"/>
  <c r="N82" i="98" s="1"/>
  <c r="J81" i="98"/>
  <c r="P25" i="63"/>
  <c r="V25" i="63" s="1"/>
  <c r="V10" i="63"/>
  <c r="P74" i="128"/>
  <c r="P75" i="128" s="1"/>
  <c r="P74" i="96"/>
  <c r="P75" i="96" s="1"/>
  <c r="P74" i="126"/>
  <c r="P75" i="126" s="1"/>
  <c r="P74" i="94"/>
  <c r="P75" i="94" s="1"/>
  <c r="P74" i="104"/>
  <c r="P75" i="104" s="1"/>
  <c r="O74" i="93"/>
  <c r="E31" i="115"/>
  <c r="I75" i="76"/>
  <c r="P74" i="105"/>
  <c r="P75" i="105" s="1"/>
  <c r="P74" i="91"/>
  <c r="P75" i="91" s="1"/>
  <c r="P74" i="90"/>
  <c r="P75" i="90" s="1"/>
  <c r="O74" i="97"/>
  <c r="P11" i="14"/>
  <c r="K11" i="14"/>
  <c r="E23" i="14"/>
  <c r="E24" i="14" s="1"/>
  <c r="P9" i="14"/>
  <c r="K9" i="14"/>
  <c r="P28" i="63"/>
  <c r="V28" i="63" s="1"/>
  <c r="V13" i="63"/>
  <c r="P81" i="101"/>
  <c r="J82" i="89"/>
  <c r="K80" i="89" s="1"/>
  <c r="J81" i="89"/>
  <c r="P74" i="88"/>
  <c r="P75" i="88" s="1"/>
  <c r="E30" i="115"/>
  <c r="I75" i="82"/>
  <c r="V19" i="111"/>
  <c r="P41" i="111"/>
  <c r="V41" i="111" s="1"/>
  <c r="J82" i="99"/>
  <c r="K82" i="99" s="1"/>
  <c r="L82" i="99" s="1"/>
  <c r="M82" i="99" s="1"/>
  <c r="N82" i="99" s="1"/>
  <c r="J81" i="99"/>
  <c r="O74" i="80"/>
  <c r="P74" i="78"/>
  <c r="P75" i="78" s="1"/>
  <c r="P74" i="85"/>
  <c r="P75" i="85" s="1"/>
  <c r="O74" i="86"/>
  <c r="O74" i="84"/>
  <c r="P26" i="63"/>
  <c r="V26" i="63" s="1"/>
  <c r="V11" i="63"/>
  <c r="V18" i="111"/>
  <c r="P40" i="111"/>
  <c r="V40" i="111" s="1"/>
  <c r="J82" i="76"/>
  <c r="K80" i="76" s="1"/>
  <c r="J81" i="76"/>
  <c r="J82" i="87"/>
  <c r="K80" i="87" s="1"/>
  <c r="J81" i="87"/>
  <c r="O74" i="100"/>
  <c r="O74" i="95"/>
  <c r="O74" i="9"/>
  <c r="O74" i="81"/>
  <c r="O74" i="128"/>
  <c r="E28" i="115"/>
  <c r="I75" i="96"/>
  <c r="E29" i="115"/>
  <c r="I75" i="94"/>
  <c r="O74" i="104"/>
  <c r="O74" i="83"/>
  <c r="P74" i="93"/>
  <c r="P75" i="93" s="1"/>
  <c r="O74" i="92"/>
  <c r="U17" i="14"/>
  <c r="U23" i="14" s="1"/>
  <c r="U18" i="63" s="1"/>
  <c r="K17" i="14"/>
  <c r="O74" i="91"/>
  <c r="P74" i="97"/>
  <c r="P75" i="97" s="1"/>
  <c r="O74" i="89"/>
  <c r="P74" i="124"/>
  <c r="P75" i="124" s="1"/>
  <c r="O89" i="129" l="1"/>
  <c r="L86" i="109"/>
  <c r="L93" i="109"/>
  <c r="P88" i="129"/>
  <c r="O89" i="101"/>
  <c r="K23" i="14"/>
  <c r="L94" i="109"/>
  <c r="L91" i="109"/>
  <c r="L85" i="109"/>
  <c r="L88" i="109"/>
  <c r="M95" i="101"/>
  <c r="M96" i="101" s="1"/>
  <c r="H95" i="101"/>
  <c r="H96" i="101" s="1"/>
  <c r="P86" i="129"/>
  <c r="P92" i="88"/>
  <c r="P87" i="88"/>
  <c r="P81" i="106"/>
  <c r="O75" i="92"/>
  <c r="J92" i="100"/>
  <c r="M86" i="100"/>
  <c r="K86" i="100"/>
  <c r="M91" i="100"/>
  <c r="N88" i="100"/>
  <c r="G90" i="100"/>
  <c r="F87" i="100"/>
  <c r="M92" i="100"/>
  <c r="J94" i="100"/>
  <c r="K90" i="100"/>
  <c r="K85" i="100"/>
  <c r="G94" i="100"/>
  <c r="I88" i="100"/>
  <c r="H89" i="100"/>
  <c r="J89" i="100"/>
  <c r="N92" i="100"/>
  <c r="M90" i="100"/>
  <c r="L88" i="100"/>
  <c r="K88" i="100"/>
  <c r="H90" i="100"/>
  <c r="G88" i="100"/>
  <c r="F94" i="100"/>
  <c r="J93" i="100"/>
  <c r="H91" i="100"/>
  <c r="L91" i="100"/>
  <c r="F85" i="100"/>
  <c r="N93" i="100"/>
  <c r="K89" i="100"/>
  <c r="H92" i="100"/>
  <c r="J90" i="100"/>
  <c r="J85" i="100"/>
  <c r="L94" i="100"/>
  <c r="H87" i="100"/>
  <c r="O75" i="100"/>
  <c r="I89" i="100"/>
  <c r="K87" i="100"/>
  <c r="K91" i="100"/>
  <c r="G92" i="100"/>
  <c r="F91" i="100"/>
  <c r="N91" i="100"/>
  <c r="I86" i="100"/>
  <c r="I87" i="100"/>
  <c r="N87" i="100"/>
  <c r="G89" i="100"/>
  <c r="H86" i="100"/>
  <c r="L92" i="100"/>
  <c r="N90" i="100"/>
  <c r="H88" i="100"/>
  <c r="J88" i="100"/>
  <c r="M87" i="100"/>
  <c r="G87" i="100"/>
  <c r="L89" i="100"/>
  <c r="I91" i="100"/>
  <c r="I93" i="100"/>
  <c r="N85" i="100"/>
  <c r="L93" i="100"/>
  <c r="M94" i="100"/>
  <c r="I92" i="100"/>
  <c r="F90" i="100"/>
  <c r="H94" i="100"/>
  <c r="F86" i="100"/>
  <c r="L86" i="100"/>
  <c r="N89" i="100"/>
  <c r="G85" i="100"/>
  <c r="G86" i="100"/>
  <c r="N94" i="100"/>
  <c r="G93" i="100"/>
  <c r="G91" i="100"/>
  <c r="F88" i="100"/>
  <c r="M88" i="100"/>
  <c r="L87" i="100"/>
  <c r="J91" i="100"/>
  <c r="L85" i="100"/>
  <c r="K93" i="100"/>
  <c r="M85" i="100"/>
  <c r="K92" i="100"/>
  <c r="K94" i="100"/>
  <c r="F93" i="100"/>
  <c r="F89" i="100"/>
  <c r="N86" i="100"/>
  <c r="L90" i="100"/>
  <c r="H85" i="100"/>
  <c r="I90" i="100"/>
  <c r="M89" i="100"/>
  <c r="F92" i="100"/>
  <c r="M93" i="100"/>
  <c r="I85" i="100"/>
  <c r="H93" i="100"/>
  <c r="J86" i="100"/>
  <c r="J87" i="100"/>
  <c r="I94" i="100"/>
  <c r="K82" i="76"/>
  <c r="L80" i="76" s="1"/>
  <c r="K81" i="76"/>
  <c r="K82" i="89"/>
  <c r="L80" i="89" s="1"/>
  <c r="K81" i="89"/>
  <c r="O31" i="115"/>
  <c r="T31" i="115" s="1"/>
  <c r="J31" i="115"/>
  <c r="K82" i="78"/>
  <c r="L80" i="78" s="1"/>
  <c r="K81" i="78"/>
  <c r="V17" i="63"/>
  <c r="J95" i="129"/>
  <c r="J96" i="129" s="1"/>
  <c r="O88" i="129"/>
  <c r="H95" i="129"/>
  <c r="H96" i="129" s="1"/>
  <c r="O85" i="129"/>
  <c r="F95" i="129"/>
  <c r="F96" i="129" s="1"/>
  <c r="O90" i="129"/>
  <c r="N95" i="129"/>
  <c r="N96" i="129" s="1"/>
  <c r="P91" i="129"/>
  <c r="O92" i="129"/>
  <c r="P94" i="88"/>
  <c r="H95" i="88"/>
  <c r="H96" i="88" s="1"/>
  <c r="P90" i="88"/>
  <c r="O91" i="88"/>
  <c r="O88" i="88"/>
  <c r="O92" i="88"/>
  <c r="O94" i="88"/>
  <c r="F95" i="88"/>
  <c r="F96" i="88" s="1"/>
  <c r="O85" i="88"/>
  <c r="M95" i="88"/>
  <c r="M96" i="88" s="1"/>
  <c r="O93" i="88"/>
  <c r="P93" i="88"/>
  <c r="O75" i="76"/>
  <c r="K82" i="95"/>
  <c r="L80" i="95" s="1"/>
  <c r="K81" i="95"/>
  <c r="N92" i="125"/>
  <c r="N88" i="125"/>
  <c r="H89" i="125"/>
  <c r="H87" i="125"/>
  <c r="J93" i="125"/>
  <c r="K88" i="125"/>
  <c r="J90" i="125"/>
  <c r="F89" i="125"/>
  <c r="N91" i="125"/>
  <c r="N85" i="125"/>
  <c r="M94" i="125"/>
  <c r="J94" i="125"/>
  <c r="G91" i="125"/>
  <c r="K89" i="125"/>
  <c r="L88" i="125"/>
  <c r="G89" i="125"/>
  <c r="H88" i="125"/>
  <c r="M87" i="125"/>
  <c r="K93" i="125"/>
  <c r="K87" i="125"/>
  <c r="N94" i="125"/>
  <c r="M90" i="125"/>
  <c r="J88" i="125"/>
  <c r="I93" i="125"/>
  <c r="I85" i="125"/>
  <c r="F85" i="125"/>
  <c r="F88" i="125"/>
  <c r="K94" i="125"/>
  <c r="N89" i="125"/>
  <c r="F87" i="125"/>
  <c r="I88" i="125"/>
  <c r="M88" i="125"/>
  <c r="L87" i="125"/>
  <c r="K90" i="125"/>
  <c r="G85" i="125"/>
  <c r="L86" i="125"/>
  <c r="I90" i="125"/>
  <c r="I91" i="125"/>
  <c r="J85" i="125"/>
  <c r="H90" i="125"/>
  <c r="J89" i="125"/>
  <c r="L94" i="125"/>
  <c r="F94" i="125"/>
  <c r="H85" i="125"/>
  <c r="N86" i="125"/>
  <c r="M89" i="125"/>
  <c r="J86" i="125"/>
  <c r="G93" i="125"/>
  <c r="G92" i="125"/>
  <c r="I89" i="125"/>
  <c r="F92" i="125"/>
  <c r="F90" i="125"/>
  <c r="M85" i="125"/>
  <c r="N90" i="125"/>
  <c r="F86" i="125"/>
  <c r="J87" i="125"/>
  <c r="L92" i="125"/>
  <c r="H86" i="125"/>
  <c r="K85" i="125"/>
  <c r="O75" i="125"/>
  <c r="H92" i="125"/>
  <c r="N93" i="125"/>
  <c r="L85" i="125"/>
  <c r="K86" i="125"/>
  <c r="F93" i="125"/>
  <c r="J92" i="125"/>
  <c r="M91" i="125"/>
  <c r="G87" i="125"/>
  <c r="G86" i="125"/>
  <c r="M86" i="125"/>
  <c r="L90" i="125"/>
  <c r="M92" i="125"/>
  <c r="F91" i="125"/>
  <c r="H91" i="125"/>
  <c r="L89" i="125"/>
  <c r="L93" i="125"/>
  <c r="L91" i="125"/>
  <c r="I94" i="125"/>
  <c r="K91" i="125"/>
  <c r="K92" i="125"/>
  <c r="G90" i="125"/>
  <c r="N87" i="125"/>
  <c r="M93" i="125"/>
  <c r="I87" i="125"/>
  <c r="J91" i="125"/>
  <c r="G88" i="125"/>
  <c r="H93" i="125"/>
  <c r="H94" i="125"/>
  <c r="I86" i="125"/>
  <c r="I92" i="125"/>
  <c r="G94" i="125"/>
  <c r="F85" i="121"/>
  <c r="H93" i="121"/>
  <c r="K87" i="121"/>
  <c r="J90" i="121"/>
  <c r="F87" i="121"/>
  <c r="M87" i="121"/>
  <c r="I88" i="121"/>
  <c r="N92" i="121"/>
  <c r="H88" i="121"/>
  <c r="L93" i="121"/>
  <c r="I89" i="121"/>
  <c r="G85" i="121"/>
  <c r="L92" i="121"/>
  <c r="F86" i="121"/>
  <c r="I93" i="121"/>
  <c r="H94" i="121"/>
  <c r="K89" i="121"/>
  <c r="I92" i="121"/>
  <c r="H87" i="121"/>
  <c r="M86" i="121"/>
  <c r="J91" i="121"/>
  <c r="J94" i="121"/>
  <c r="M94" i="121"/>
  <c r="I85" i="121"/>
  <c r="I94" i="121"/>
  <c r="H91" i="121"/>
  <c r="M89" i="121"/>
  <c r="J85" i="121"/>
  <c r="H86" i="121"/>
  <c r="K91" i="121"/>
  <c r="N91" i="121"/>
  <c r="F89" i="121"/>
  <c r="H89" i="121"/>
  <c r="N88" i="121"/>
  <c r="N87" i="121"/>
  <c r="G92" i="121"/>
  <c r="L89" i="121"/>
  <c r="F88" i="121"/>
  <c r="G86" i="121"/>
  <c r="K93" i="121"/>
  <c r="N89" i="121"/>
  <c r="N86" i="121"/>
  <c r="G94" i="121"/>
  <c r="L88" i="121"/>
  <c r="F93" i="121"/>
  <c r="H90" i="121"/>
  <c r="L90" i="121"/>
  <c r="F92" i="121"/>
  <c r="N93" i="121"/>
  <c r="L87" i="121"/>
  <c r="F94" i="121"/>
  <c r="J86" i="121"/>
  <c r="M91" i="121"/>
  <c r="K90" i="121"/>
  <c r="J87" i="121"/>
  <c r="O75" i="121"/>
  <c r="L85" i="121"/>
  <c r="I86" i="121"/>
  <c r="G87" i="121"/>
  <c r="M85" i="121"/>
  <c r="M93" i="121"/>
  <c r="J89" i="121"/>
  <c r="H85" i="121"/>
  <c r="K85" i="121"/>
  <c r="I87" i="121"/>
  <c r="G88" i="121"/>
  <c r="L91" i="121"/>
  <c r="F91" i="121"/>
  <c r="J93" i="121"/>
  <c r="M90" i="121"/>
  <c r="N85" i="121"/>
  <c r="I90" i="121"/>
  <c r="G89" i="121"/>
  <c r="K88" i="121"/>
  <c r="F90" i="121"/>
  <c r="G91" i="121"/>
  <c r="L94" i="121"/>
  <c r="K86" i="121"/>
  <c r="J88" i="121"/>
  <c r="L86" i="121"/>
  <c r="K92" i="121"/>
  <c r="J92" i="121"/>
  <c r="G90" i="121"/>
  <c r="M92" i="121"/>
  <c r="N94" i="121"/>
  <c r="G93" i="121"/>
  <c r="K94" i="121"/>
  <c r="I91" i="121"/>
  <c r="N90" i="121"/>
  <c r="H92" i="121"/>
  <c r="M88" i="121"/>
  <c r="M86" i="109"/>
  <c r="M88" i="109"/>
  <c r="M87" i="109"/>
  <c r="M85" i="109"/>
  <c r="M90" i="109"/>
  <c r="M89" i="109"/>
  <c r="M91" i="109"/>
  <c r="M92" i="109"/>
  <c r="I17" i="111" s="1"/>
  <c r="T17" i="111" s="1"/>
  <c r="T39" i="111" s="1"/>
  <c r="M94" i="109"/>
  <c r="M93" i="109"/>
  <c r="K82" i="97"/>
  <c r="L80" i="97" s="1"/>
  <c r="K81" i="97"/>
  <c r="K95" i="101"/>
  <c r="K96" i="101" s="1"/>
  <c r="P94" i="101"/>
  <c r="O85" i="101"/>
  <c r="F95" i="101"/>
  <c r="F96" i="101" s="1"/>
  <c r="P91" i="101"/>
  <c r="O94" i="101"/>
  <c r="O93" i="101"/>
  <c r="P89" i="101"/>
  <c r="J90" i="98"/>
  <c r="P90" i="98" s="1"/>
  <c r="F95" i="98"/>
  <c r="F96" i="98" s="1"/>
  <c r="K82" i="82"/>
  <c r="L80" i="82" s="1"/>
  <c r="K81" i="82"/>
  <c r="O75" i="85"/>
  <c r="O32" i="115"/>
  <c r="T32" i="115" s="1"/>
  <c r="J32" i="115"/>
  <c r="N92" i="127"/>
  <c r="H88" i="127"/>
  <c r="K91" i="127"/>
  <c r="G88" i="127"/>
  <c r="I88" i="127"/>
  <c r="J93" i="127"/>
  <c r="H94" i="127"/>
  <c r="K93" i="127"/>
  <c r="H90" i="127"/>
  <c r="F85" i="127"/>
  <c r="M89" i="127"/>
  <c r="M87" i="127"/>
  <c r="J86" i="127"/>
  <c r="L87" i="127"/>
  <c r="H91" i="127"/>
  <c r="M90" i="127"/>
  <c r="I87" i="127"/>
  <c r="N86" i="127"/>
  <c r="N90" i="127"/>
  <c r="K92" i="127"/>
  <c r="J85" i="127"/>
  <c r="I92" i="127"/>
  <c r="L94" i="127"/>
  <c r="K86" i="127"/>
  <c r="F89" i="127"/>
  <c r="H85" i="127"/>
  <c r="I91" i="127"/>
  <c r="H86" i="127"/>
  <c r="M92" i="127"/>
  <c r="N89" i="127"/>
  <c r="M85" i="127"/>
  <c r="I89" i="127"/>
  <c r="L92" i="127"/>
  <c r="L85" i="127"/>
  <c r="F90" i="127"/>
  <c r="M94" i="127"/>
  <c r="F92" i="127"/>
  <c r="F93" i="127"/>
  <c r="J87" i="127"/>
  <c r="G89" i="127"/>
  <c r="L86" i="127"/>
  <c r="J88" i="127"/>
  <c r="G86" i="127"/>
  <c r="L90" i="127"/>
  <c r="K94" i="127"/>
  <c r="O75" i="127"/>
  <c r="K85" i="127"/>
  <c r="L91" i="127"/>
  <c r="G85" i="127"/>
  <c r="N91" i="127"/>
  <c r="J94" i="127"/>
  <c r="N94" i="127"/>
  <c r="H93" i="127"/>
  <c r="G90" i="127"/>
  <c r="L93" i="127"/>
  <c r="K88" i="127"/>
  <c r="I94" i="127"/>
  <c r="G91" i="127"/>
  <c r="M91" i="127"/>
  <c r="F91" i="127"/>
  <c r="G93" i="127"/>
  <c r="F86" i="127"/>
  <c r="N85" i="127"/>
  <c r="M88" i="127"/>
  <c r="G87" i="127"/>
  <c r="I85" i="127"/>
  <c r="I90" i="127"/>
  <c r="I86" i="127"/>
  <c r="L88" i="127"/>
  <c r="K89" i="127"/>
  <c r="M93" i="127"/>
  <c r="L89" i="127"/>
  <c r="J90" i="127"/>
  <c r="F87" i="127"/>
  <c r="N88" i="127"/>
  <c r="G94" i="127"/>
  <c r="N87" i="127"/>
  <c r="M86" i="127"/>
  <c r="F94" i="127"/>
  <c r="K87" i="127"/>
  <c r="K90" i="127"/>
  <c r="J92" i="127"/>
  <c r="J91" i="127"/>
  <c r="H89" i="127"/>
  <c r="N93" i="127"/>
  <c r="H92" i="127"/>
  <c r="G92" i="127"/>
  <c r="F88" i="127"/>
  <c r="H87" i="127"/>
  <c r="J89" i="127"/>
  <c r="I93" i="127"/>
  <c r="K82" i="77"/>
  <c r="L80" i="77" s="1"/>
  <c r="K81" i="77"/>
  <c r="K82" i="84"/>
  <c r="L80" i="84" s="1"/>
  <c r="K81" i="84"/>
  <c r="P81" i="79"/>
  <c r="O80" i="106"/>
  <c r="O81" i="106" s="1"/>
  <c r="K85" i="91"/>
  <c r="N87" i="91"/>
  <c r="K92" i="91"/>
  <c r="H88" i="91"/>
  <c r="I86" i="91"/>
  <c r="H89" i="91"/>
  <c r="K94" i="91"/>
  <c r="H92" i="91"/>
  <c r="L86" i="91"/>
  <c r="M91" i="91"/>
  <c r="L93" i="91"/>
  <c r="G94" i="91"/>
  <c r="F87" i="91"/>
  <c r="F94" i="91"/>
  <c r="I94" i="91"/>
  <c r="L92" i="91"/>
  <c r="N89" i="91"/>
  <c r="H90" i="91"/>
  <c r="G89" i="91"/>
  <c r="O75" i="91"/>
  <c r="N90" i="91"/>
  <c r="I89" i="91"/>
  <c r="J87" i="91"/>
  <c r="I93" i="91"/>
  <c r="F91" i="91"/>
  <c r="J92" i="91"/>
  <c r="M86" i="91"/>
  <c r="F88" i="91"/>
  <c r="H87" i="91"/>
  <c r="L94" i="91"/>
  <c r="F92" i="91"/>
  <c r="N94" i="91"/>
  <c r="H93" i="91"/>
  <c r="J85" i="91"/>
  <c r="J89" i="91"/>
  <c r="J94" i="91"/>
  <c r="F89" i="91"/>
  <c r="H91" i="91"/>
  <c r="H94" i="91"/>
  <c r="H86" i="91"/>
  <c r="G93" i="91"/>
  <c r="J91" i="91"/>
  <c r="L85" i="91"/>
  <c r="I90" i="91"/>
  <c r="F86" i="91"/>
  <c r="I87" i="91"/>
  <c r="K90" i="91"/>
  <c r="G88" i="91"/>
  <c r="M93" i="91"/>
  <c r="N92" i="91"/>
  <c r="G90" i="91"/>
  <c r="M88" i="91"/>
  <c r="G86" i="91"/>
  <c r="M89" i="91"/>
  <c r="J86" i="91"/>
  <c r="K91" i="91"/>
  <c r="J90" i="91"/>
  <c r="G91" i="91"/>
  <c r="M94" i="91"/>
  <c r="L87" i="91"/>
  <c r="M85" i="91"/>
  <c r="J88" i="91"/>
  <c r="K93" i="91"/>
  <c r="N85" i="91"/>
  <c r="I85" i="91"/>
  <c r="N93" i="91"/>
  <c r="L90" i="91"/>
  <c r="F90" i="91"/>
  <c r="N86" i="91"/>
  <c r="H85" i="91"/>
  <c r="M90" i="91"/>
  <c r="M87" i="91"/>
  <c r="K89" i="91"/>
  <c r="F85" i="91"/>
  <c r="K87" i="91"/>
  <c r="I88" i="91"/>
  <c r="N88" i="91"/>
  <c r="J93" i="91"/>
  <c r="M92" i="91"/>
  <c r="G92" i="91"/>
  <c r="I92" i="91"/>
  <c r="K86" i="91"/>
  <c r="L88" i="91"/>
  <c r="G85" i="91"/>
  <c r="N91" i="91"/>
  <c r="L91" i="91"/>
  <c r="K88" i="91"/>
  <c r="L89" i="91"/>
  <c r="G87" i="91"/>
  <c r="F93" i="91"/>
  <c r="I91" i="91"/>
  <c r="O28" i="115"/>
  <c r="T28" i="115" s="1"/>
  <c r="J28" i="115"/>
  <c r="L89" i="81"/>
  <c r="J91" i="81"/>
  <c r="F85" i="81"/>
  <c r="G93" i="81"/>
  <c r="N91" i="81"/>
  <c r="H92" i="81"/>
  <c r="J88" i="81"/>
  <c r="N93" i="81"/>
  <c r="I94" i="81"/>
  <c r="M94" i="81"/>
  <c r="F88" i="81"/>
  <c r="F86" i="81"/>
  <c r="H89" i="81"/>
  <c r="M87" i="81"/>
  <c r="F94" i="81"/>
  <c r="G94" i="81"/>
  <c r="F89" i="81"/>
  <c r="J90" i="81"/>
  <c r="I89" i="81"/>
  <c r="F91" i="81"/>
  <c r="G91" i="81"/>
  <c r="M88" i="81"/>
  <c r="N86" i="81"/>
  <c r="O75" i="81"/>
  <c r="I90" i="81"/>
  <c r="L90" i="81"/>
  <c r="N85" i="81"/>
  <c r="L94" i="81"/>
  <c r="H85" i="81"/>
  <c r="K89" i="81"/>
  <c r="M86" i="81"/>
  <c r="J87" i="81"/>
  <c r="H94" i="81"/>
  <c r="G85" i="81"/>
  <c r="J94" i="81"/>
  <c r="K87" i="81"/>
  <c r="M93" i="81"/>
  <c r="L85" i="81"/>
  <c r="G92" i="81"/>
  <c r="H90" i="81"/>
  <c r="G86" i="81"/>
  <c r="I88" i="81"/>
  <c r="H86" i="81"/>
  <c r="J93" i="81"/>
  <c r="I85" i="81"/>
  <c r="K85" i="81"/>
  <c r="K91" i="81"/>
  <c r="F93" i="81"/>
  <c r="G89" i="81"/>
  <c r="L91" i="81"/>
  <c r="L93" i="81"/>
  <c r="L87" i="81"/>
  <c r="G88" i="81"/>
  <c r="K90" i="81"/>
  <c r="F92" i="81"/>
  <c r="J86" i="81"/>
  <c r="F90" i="81"/>
  <c r="L88" i="81"/>
  <c r="J85" i="81"/>
  <c r="H93" i="81"/>
  <c r="N94" i="81"/>
  <c r="K94" i="81"/>
  <c r="I86" i="81"/>
  <c r="M91" i="81"/>
  <c r="J89" i="81"/>
  <c r="M89" i="81"/>
  <c r="K86" i="81"/>
  <c r="K93" i="81"/>
  <c r="J92" i="81"/>
  <c r="L92" i="81"/>
  <c r="I93" i="81"/>
  <c r="G87" i="81"/>
  <c r="I91" i="81"/>
  <c r="M85" i="81"/>
  <c r="K92" i="81"/>
  <c r="N92" i="81"/>
  <c r="N87" i="81"/>
  <c r="M92" i="81"/>
  <c r="K88" i="81"/>
  <c r="N89" i="81"/>
  <c r="M90" i="81"/>
  <c r="H88" i="81"/>
  <c r="N90" i="81"/>
  <c r="F87" i="81"/>
  <c r="I87" i="81"/>
  <c r="I92" i="81"/>
  <c r="L86" i="81"/>
  <c r="H91" i="81"/>
  <c r="G90" i="81"/>
  <c r="H87" i="81"/>
  <c r="N88" i="81"/>
  <c r="O30" i="115"/>
  <c r="T30" i="115" s="1"/>
  <c r="J30" i="115"/>
  <c r="P33" i="14"/>
  <c r="V33" i="14" s="1"/>
  <c r="V11" i="14"/>
  <c r="O75" i="93"/>
  <c r="O35" i="115"/>
  <c r="T35" i="115" s="1"/>
  <c r="J35" i="115"/>
  <c r="P32" i="14"/>
  <c r="V32" i="14" s="1"/>
  <c r="V10" i="14"/>
  <c r="K82" i="74"/>
  <c r="L80" i="74" s="1"/>
  <c r="K81" i="74"/>
  <c r="O34" i="115"/>
  <c r="T34" i="115" s="1"/>
  <c r="J34" i="115"/>
  <c r="O86" i="129"/>
  <c r="K95" i="129"/>
  <c r="K96" i="129" s="1"/>
  <c r="G95" i="129"/>
  <c r="G96" i="129" s="1"/>
  <c r="P93" i="129"/>
  <c r="P92" i="129"/>
  <c r="P90" i="129"/>
  <c r="J95" i="88"/>
  <c r="J96" i="88" s="1"/>
  <c r="O86" i="88"/>
  <c r="N95" i="88"/>
  <c r="N96" i="88" s="1"/>
  <c r="P89" i="88"/>
  <c r="G95" i="88"/>
  <c r="G96" i="88" s="1"/>
  <c r="O87" i="88"/>
  <c r="P88" i="88"/>
  <c r="H94" i="126"/>
  <c r="J88" i="126"/>
  <c r="L89" i="126"/>
  <c r="F85" i="126"/>
  <c r="N92" i="126"/>
  <c r="I90" i="126"/>
  <c r="J89" i="126"/>
  <c r="G92" i="126"/>
  <c r="I93" i="126"/>
  <c r="J92" i="126"/>
  <c r="I86" i="126"/>
  <c r="L91" i="126"/>
  <c r="H92" i="126"/>
  <c r="N89" i="126"/>
  <c r="F87" i="126"/>
  <c r="N93" i="126"/>
  <c r="I87" i="126"/>
  <c r="I88" i="126"/>
  <c r="L86" i="126"/>
  <c r="G94" i="126"/>
  <c r="M92" i="126"/>
  <c r="J86" i="126"/>
  <c r="J91" i="126"/>
  <c r="G88" i="126"/>
  <c r="F86" i="126"/>
  <c r="J94" i="126"/>
  <c r="G90" i="126"/>
  <c r="K92" i="126"/>
  <c r="J90" i="126"/>
  <c r="I92" i="126"/>
  <c r="M94" i="126"/>
  <c r="L85" i="126"/>
  <c r="G85" i="126"/>
  <c r="I91" i="126"/>
  <c r="L87" i="126"/>
  <c r="H91" i="126"/>
  <c r="N87" i="126"/>
  <c r="N91" i="126"/>
  <c r="M85" i="126"/>
  <c r="K88" i="126"/>
  <c r="I89" i="126"/>
  <c r="L90" i="126"/>
  <c r="L92" i="126"/>
  <c r="G87" i="126"/>
  <c r="K89" i="126"/>
  <c r="F90" i="126"/>
  <c r="J93" i="126"/>
  <c r="K94" i="126"/>
  <c r="H86" i="126"/>
  <c r="J87" i="126"/>
  <c r="L93" i="126"/>
  <c r="F92" i="126"/>
  <c r="N90" i="126"/>
  <c r="M89" i="126"/>
  <c r="K86" i="126"/>
  <c r="M88" i="126"/>
  <c r="H88" i="126"/>
  <c r="G89" i="126"/>
  <c r="M93" i="126"/>
  <c r="K85" i="126"/>
  <c r="K87" i="126"/>
  <c r="F93" i="126"/>
  <c r="N88" i="126"/>
  <c r="L88" i="126"/>
  <c r="K90" i="126"/>
  <c r="L94" i="126"/>
  <c r="H85" i="126"/>
  <c r="K93" i="126"/>
  <c r="I85" i="126"/>
  <c r="N85" i="126"/>
  <c r="H93" i="126"/>
  <c r="O75" i="126"/>
  <c r="J85" i="126"/>
  <c r="M91" i="126"/>
  <c r="N86" i="126"/>
  <c r="M87" i="126"/>
  <c r="F88" i="126"/>
  <c r="F94" i="126"/>
  <c r="H89" i="126"/>
  <c r="F89" i="126"/>
  <c r="M90" i="126"/>
  <c r="G86" i="126"/>
  <c r="H87" i="126"/>
  <c r="K91" i="126"/>
  <c r="G91" i="126"/>
  <c r="H90" i="126"/>
  <c r="G93" i="126"/>
  <c r="F91" i="126"/>
  <c r="N94" i="126"/>
  <c r="M86" i="126"/>
  <c r="I94" i="126"/>
  <c r="P43" i="14"/>
  <c r="V43" i="14" s="1"/>
  <c r="V21" i="14"/>
  <c r="K82" i="92"/>
  <c r="L80" i="92" s="1"/>
  <c r="K81" i="92"/>
  <c r="O11" i="115"/>
  <c r="T11" i="115" s="1"/>
  <c r="J11" i="115"/>
  <c r="O9" i="115"/>
  <c r="E18" i="115"/>
  <c r="E19" i="115" s="1"/>
  <c r="J9" i="115"/>
  <c r="P37" i="14"/>
  <c r="V37" i="14" s="1"/>
  <c r="V15" i="14"/>
  <c r="O87" i="101"/>
  <c r="L95" i="101"/>
  <c r="L96" i="101" s="1"/>
  <c r="P86" i="101"/>
  <c r="P88" i="101"/>
  <c r="G95" i="101"/>
  <c r="G96" i="101" s="1"/>
  <c r="P93" i="101"/>
  <c r="J88" i="98"/>
  <c r="P88" i="98" s="1"/>
  <c r="J91" i="98"/>
  <c r="L95" i="98"/>
  <c r="M95" i="98"/>
  <c r="K95" i="98"/>
  <c r="I94" i="124"/>
  <c r="J93" i="124"/>
  <c r="I88" i="124"/>
  <c r="N92" i="124"/>
  <c r="H93" i="124"/>
  <c r="L90" i="124"/>
  <c r="J94" i="124"/>
  <c r="I91" i="124"/>
  <c r="K86" i="124"/>
  <c r="L93" i="124"/>
  <c r="L87" i="124"/>
  <c r="N93" i="124"/>
  <c r="J86" i="124"/>
  <c r="M86" i="124"/>
  <c r="H90" i="124"/>
  <c r="M89" i="124"/>
  <c r="G90" i="124"/>
  <c r="I87" i="124"/>
  <c r="N87" i="124"/>
  <c r="F88" i="124"/>
  <c r="F85" i="124"/>
  <c r="K85" i="124"/>
  <c r="F92" i="124"/>
  <c r="L91" i="124"/>
  <c r="M90" i="124"/>
  <c r="F91" i="124"/>
  <c r="M87" i="124"/>
  <c r="K94" i="124"/>
  <c r="L94" i="124"/>
  <c r="J92" i="124"/>
  <c r="G89" i="124"/>
  <c r="N88" i="124"/>
  <c r="M92" i="124"/>
  <c r="F94" i="124"/>
  <c r="L88" i="124"/>
  <c r="K93" i="124"/>
  <c r="G85" i="124"/>
  <c r="H87" i="124"/>
  <c r="J90" i="124"/>
  <c r="G91" i="124"/>
  <c r="N86" i="124"/>
  <c r="J88" i="124"/>
  <c r="J91" i="124"/>
  <c r="H94" i="124"/>
  <c r="M91" i="124"/>
  <c r="H89" i="124"/>
  <c r="N89" i="124"/>
  <c r="J89" i="124"/>
  <c r="H85" i="124"/>
  <c r="H91" i="124"/>
  <c r="L92" i="124"/>
  <c r="F87" i="124"/>
  <c r="H86" i="124"/>
  <c r="I86" i="124"/>
  <c r="M85" i="124"/>
  <c r="J85" i="124"/>
  <c r="G88" i="124"/>
  <c r="H88" i="124"/>
  <c r="K92" i="124"/>
  <c r="H92" i="124"/>
  <c r="M93" i="124"/>
  <c r="L89" i="124"/>
  <c r="I92" i="124"/>
  <c r="G86" i="124"/>
  <c r="N94" i="124"/>
  <c r="N85" i="124"/>
  <c r="G93" i="124"/>
  <c r="I85" i="124"/>
  <c r="M88" i="124"/>
  <c r="I90" i="124"/>
  <c r="K90" i="124"/>
  <c r="F93" i="124"/>
  <c r="G92" i="124"/>
  <c r="J87" i="124"/>
  <c r="M94" i="124"/>
  <c r="I93" i="124"/>
  <c r="K88" i="124"/>
  <c r="G94" i="124"/>
  <c r="F86" i="124"/>
  <c r="L86" i="124"/>
  <c r="N90" i="124"/>
  <c r="F89" i="124"/>
  <c r="G87" i="124"/>
  <c r="K89" i="124"/>
  <c r="K87" i="124"/>
  <c r="I89" i="124"/>
  <c r="F90" i="124"/>
  <c r="L85" i="124"/>
  <c r="K91" i="124"/>
  <c r="N91" i="124"/>
  <c r="O75" i="124"/>
  <c r="O75" i="87"/>
  <c r="L89" i="99"/>
  <c r="I92" i="99"/>
  <c r="F89" i="99"/>
  <c r="J93" i="99"/>
  <c r="I88" i="99"/>
  <c r="L86" i="99"/>
  <c r="G92" i="99"/>
  <c r="K90" i="99"/>
  <c r="M86" i="99"/>
  <c r="J92" i="99"/>
  <c r="M85" i="99"/>
  <c r="K93" i="99"/>
  <c r="N93" i="99"/>
  <c r="J91" i="99"/>
  <c r="G91" i="99"/>
  <c r="H86" i="99"/>
  <c r="G87" i="99"/>
  <c r="L87" i="99"/>
  <c r="L91" i="99"/>
  <c r="H93" i="99"/>
  <c r="G86" i="99"/>
  <c r="I89" i="99"/>
  <c r="F86" i="99"/>
  <c r="I91" i="99"/>
  <c r="N88" i="99"/>
  <c r="K88" i="99"/>
  <c r="J87" i="99"/>
  <c r="L94" i="99"/>
  <c r="G93" i="99"/>
  <c r="N92" i="99"/>
  <c r="J89" i="99"/>
  <c r="L90" i="99"/>
  <c r="M87" i="99"/>
  <c r="J88" i="99"/>
  <c r="K92" i="99"/>
  <c r="J86" i="99"/>
  <c r="M93" i="99"/>
  <c r="K86" i="99"/>
  <c r="M91" i="99"/>
  <c r="N85" i="99"/>
  <c r="M92" i="99"/>
  <c r="H92" i="99"/>
  <c r="G90" i="99"/>
  <c r="K89" i="99"/>
  <c r="J90" i="99"/>
  <c r="H94" i="99"/>
  <c r="H87" i="99"/>
  <c r="F93" i="99"/>
  <c r="I93" i="99"/>
  <c r="K91" i="99"/>
  <c r="G89" i="99"/>
  <c r="K87" i="99"/>
  <c r="H89" i="99"/>
  <c r="F94" i="99"/>
  <c r="G88" i="99"/>
  <c r="L88" i="99"/>
  <c r="F90" i="99"/>
  <c r="L92" i="99"/>
  <c r="N86" i="99"/>
  <c r="K85" i="99"/>
  <c r="G85" i="99"/>
  <c r="L85" i="99"/>
  <c r="H88" i="99"/>
  <c r="O75" i="99"/>
  <c r="N90" i="99"/>
  <c r="M94" i="99"/>
  <c r="H91" i="99"/>
  <c r="I87" i="99"/>
  <c r="J94" i="99"/>
  <c r="L93" i="99"/>
  <c r="N89" i="99"/>
  <c r="I85" i="99"/>
  <c r="I90" i="99"/>
  <c r="F91" i="99"/>
  <c r="H85" i="99"/>
  <c r="M90" i="99"/>
  <c r="H90" i="99"/>
  <c r="N87" i="99"/>
  <c r="I94" i="99"/>
  <c r="J85" i="99"/>
  <c r="F85" i="99"/>
  <c r="M89" i="99"/>
  <c r="G94" i="99"/>
  <c r="N94" i="99"/>
  <c r="F87" i="99"/>
  <c r="K94" i="99"/>
  <c r="M88" i="99"/>
  <c r="F92" i="99"/>
  <c r="I86" i="99"/>
  <c r="N91" i="99"/>
  <c r="F88" i="99"/>
  <c r="P81" i="105"/>
  <c r="K82" i="96"/>
  <c r="L80" i="96" s="1"/>
  <c r="K81" i="96"/>
  <c r="O75" i="83"/>
  <c r="M90" i="83"/>
  <c r="M86" i="83"/>
  <c r="G85" i="83"/>
  <c r="J94" i="83"/>
  <c r="G91" i="83"/>
  <c r="I92" i="83"/>
  <c r="L87" i="83"/>
  <c r="F89" i="83"/>
  <c r="H85" i="83"/>
  <c r="L92" i="83"/>
  <c r="N85" i="83"/>
  <c r="F85" i="83"/>
  <c r="I90" i="83"/>
  <c r="J89" i="83"/>
  <c r="K91" i="83"/>
  <c r="H91" i="83"/>
  <c r="L93" i="83"/>
  <c r="L88" i="83"/>
  <c r="N90" i="83"/>
  <c r="F86" i="83"/>
  <c r="G90" i="83"/>
  <c r="M92" i="83"/>
  <c r="G89" i="83"/>
  <c r="F88" i="83"/>
  <c r="M88" i="83"/>
  <c r="H93" i="83"/>
  <c r="N94" i="83"/>
  <c r="L94" i="83"/>
  <c r="H89" i="83"/>
  <c r="F91" i="83"/>
  <c r="G92" i="83"/>
  <c r="I88" i="83"/>
  <c r="N89" i="83"/>
  <c r="K89" i="83"/>
  <c r="L85" i="83"/>
  <c r="J91" i="83"/>
  <c r="F87" i="83"/>
  <c r="H90" i="83"/>
  <c r="H88" i="83"/>
  <c r="L86" i="83"/>
  <c r="N92" i="83"/>
  <c r="G94" i="83"/>
  <c r="L91" i="83"/>
  <c r="J92" i="83"/>
  <c r="H94" i="83"/>
  <c r="K86" i="83"/>
  <c r="N86" i="83"/>
  <c r="J87" i="83"/>
  <c r="J88" i="83"/>
  <c r="F94" i="83"/>
  <c r="L90" i="83"/>
  <c r="M85" i="83"/>
  <c r="N87" i="83"/>
  <c r="K90" i="83"/>
  <c r="G93" i="83"/>
  <c r="N91" i="83"/>
  <c r="I93" i="83"/>
  <c r="I86" i="83"/>
  <c r="H86" i="83"/>
  <c r="L89" i="83"/>
  <c r="K92" i="83"/>
  <c r="M89" i="83"/>
  <c r="I87" i="83"/>
  <c r="F93" i="83"/>
  <c r="H87" i="83"/>
  <c r="N88" i="83"/>
  <c r="M87" i="83"/>
  <c r="I89" i="83"/>
  <c r="J93" i="83"/>
  <c r="K87" i="83"/>
  <c r="G86" i="83"/>
  <c r="K88" i="83"/>
  <c r="F90" i="83"/>
  <c r="J90" i="83"/>
  <c r="J85" i="83"/>
  <c r="K93" i="83"/>
  <c r="M94" i="83"/>
  <c r="J86" i="83"/>
  <c r="N93" i="83"/>
  <c r="I91" i="83"/>
  <c r="K85" i="83"/>
  <c r="H92" i="83"/>
  <c r="F92" i="83"/>
  <c r="I94" i="83"/>
  <c r="I85" i="83"/>
  <c r="K94" i="83"/>
  <c r="G88" i="83"/>
  <c r="M93" i="83"/>
  <c r="M91" i="83"/>
  <c r="G87" i="83"/>
  <c r="K90" i="128"/>
  <c r="F90" i="128"/>
  <c r="L93" i="128"/>
  <c r="G87" i="128"/>
  <c r="N88" i="128"/>
  <c r="G89" i="128"/>
  <c r="F92" i="128"/>
  <c r="K89" i="128"/>
  <c r="K87" i="128"/>
  <c r="J89" i="128"/>
  <c r="G90" i="128"/>
  <c r="J86" i="128"/>
  <c r="N92" i="128"/>
  <c r="L89" i="128"/>
  <c r="F87" i="128"/>
  <c r="F89" i="128"/>
  <c r="M87" i="128"/>
  <c r="N86" i="128"/>
  <c r="K92" i="128"/>
  <c r="J88" i="128"/>
  <c r="M86" i="128"/>
  <c r="G91" i="128"/>
  <c r="G86" i="128"/>
  <c r="F94" i="128"/>
  <c r="K88" i="128"/>
  <c r="G92" i="128"/>
  <c r="L90" i="128"/>
  <c r="L94" i="128"/>
  <c r="N94" i="128"/>
  <c r="N90" i="128"/>
  <c r="I87" i="128"/>
  <c r="G88" i="128"/>
  <c r="H92" i="128"/>
  <c r="N87" i="128"/>
  <c r="K94" i="128"/>
  <c r="H94" i="128"/>
  <c r="H89" i="128"/>
  <c r="H88" i="128"/>
  <c r="L92" i="128"/>
  <c r="J93" i="128"/>
  <c r="G94" i="128"/>
  <c r="I94" i="128"/>
  <c r="L86" i="128"/>
  <c r="I86" i="128"/>
  <c r="N93" i="128"/>
  <c r="H86" i="128"/>
  <c r="L85" i="128"/>
  <c r="M90" i="128"/>
  <c r="J90" i="128"/>
  <c r="L88" i="128"/>
  <c r="H91" i="128"/>
  <c r="F85" i="128"/>
  <c r="F88" i="128"/>
  <c r="H93" i="128"/>
  <c r="H85" i="128"/>
  <c r="I88" i="128"/>
  <c r="I93" i="128"/>
  <c r="M88" i="128"/>
  <c r="O75" i="128"/>
  <c r="J92" i="128"/>
  <c r="L87" i="128"/>
  <c r="N91" i="128"/>
  <c r="J94" i="128"/>
  <c r="K93" i="128"/>
  <c r="L91" i="128"/>
  <c r="I89" i="128"/>
  <c r="I91" i="128"/>
  <c r="K86" i="128"/>
  <c r="I92" i="128"/>
  <c r="J87" i="128"/>
  <c r="K85" i="128"/>
  <c r="J85" i="128"/>
  <c r="I85" i="128"/>
  <c r="F86" i="128"/>
  <c r="M93" i="128"/>
  <c r="M91" i="128"/>
  <c r="M94" i="128"/>
  <c r="G93" i="128"/>
  <c r="N85" i="128"/>
  <c r="G85" i="128"/>
  <c r="H87" i="128"/>
  <c r="I90" i="128"/>
  <c r="F91" i="128"/>
  <c r="M92" i="128"/>
  <c r="M89" i="128"/>
  <c r="H90" i="128"/>
  <c r="K91" i="128"/>
  <c r="N89" i="128"/>
  <c r="M85" i="128"/>
  <c r="J91" i="128"/>
  <c r="F93" i="128"/>
  <c r="K86" i="9"/>
  <c r="J89" i="9"/>
  <c r="G85" i="9"/>
  <c r="J92" i="9"/>
  <c r="K94" i="9"/>
  <c r="H89" i="9"/>
  <c r="G90" i="9"/>
  <c r="L94" i="9"/>
  <c r="G94" i="9"/>
  <c r="H92" i="9"/>
  <c r="F85" i="9"/>
  <c r="H85" i="9"/>
  <c r="N94" i="9"/>
  <c r="M88" i="9"/>
  <c r="I85" i="9"/>
  <c r="M91" i="9"/>
  <c r="H87" i="9"/>
  <c r="I89" i="9"/>
  <c r="J88" i="9"/>
  <c r="N90" i="9"/>
  <c r="N86" i="9"/>
  <c r="F93" i="9"/>
  <c r="G93" i="9"/>
  <c r="L91" i="9"/>
  <c r="G89" i="9"/>
  <c r="L93" i="9"/>
  <c r="G87" i="9"/>
  <c r="F86" i="9"/>
  <c r="I91" i="9"/>
  <c r="J91" i="9"/>
  <c r="J85" i="9"/>
  <c r="L92" i="9"/>
  <c r="J86" i="9"/>
  <c r="K87" i="9"/>
  <c r="G88" i="9"/>
  <c r="J94" i="9"/>
  <c r="L88" i="9"/>
  <c r="K90" i="9"/>
  <c r="N87" i="9"/>
  <c r="K85" i="9"/>
  <c r="M87" i="9"/>
  <c r="H91" i="9"/>
  <c r="L87" i="9"/>
  <c r="I86" i="9"/>
  <c r="K88" i="9"/>
  <c r="G91" i="9"/>
  <c r="M89" i="9"/>
  <c r="M93" i="9"/>
  <c r="K93" i="9"/>
  <c r="K92" i="9"/>
  <c r="M90" i="9"/>
  <c r="F89" i="9"/>
  <c r="H90" i="9"/>
  <c r="F91" i="9"/>
  <c r="L86" i="9"/>
  <c r="H93" i="9"/>
  <c r="I93" i="9"/>
  <c r="M85" i="9"/>
  <c r="K89" i="9"/>
  <c r="F94" i="9"/>
  <c r="O75" i="9"/>
  <c r="J90" i="9"/>
  <c r="F88" i="9"/>
  <c r="H86" i="9"/>
  <c r="I92" i="9"/>
  <c r="I87" i="9"/>
  <c r="L90" i="9"/>
  <c r="F92" i="9"/>
  <c r="M94" i="9"/>
  <c r="N91" i="9"/>
  <c r="J87" i="9"/>
  <c r="M92" i="9"/>
  <c r="M86" i="9"/>
  <c r="N88" i="9"/>
  <c r="L89" i="9"/>
  <c r="H94" i="9"/>
  <c r="G86" i="9"/>
  <c r="N85" i="9"/>
  <c r="N89" i="9"/>
  <c r="N92" i="9"/>
  <c r="F87" i="9"/>
  <c r="I94" i="9"/>
  <c r="I88" i="9"/>
  <c r="L85" i="9"/>
  <c r="K91" i="9"/>
  <c r="F90" i="9"/>
  <c r="I90" i="9"/>
  <c r="H88" i="9"/>
  <c r="G92" i="9"/>
  <c r="N93" i="9"/>
  <c r="J93" i="9"/>
  <c r="K82" i="87"/>
  <c r="L82" i="87" s="1"/>
  <c r="M80" i="87" s="1"/>
  <c r="P80" i="87" s="1"/>
  <c r="K81" i="87"/>
  <c r="O75" i="84"/>
  <c r="O75" i="80"/>
  <c r="P23" i="14"/>
  <c r="V9" i="14"/>
  <c r="P31" i="14"/>
  <c r="K82" i="94"/>
  <c r="L80" i="94" s="1"/>
  <c r="K81" i="94"/>
  <c r="O75" i="78"/>
  <c r="I95" i="129"/>
  <c r="I96" i="129" s="1"/>
  <c r="P85" i="129"/>
  <c r="P87" i="129"/>
  <c r="O94" i="129"/>
  <c r="P94" i="129"/>
  <c r="P89" i="129"/>
  <c r="M95" i="129"/>
  <c r="M96" i="129" s="1"/>
  <c r="O75" i="82"/>
  <c r="L95" i="88"/>
  <c r="L96" i="88" s="1"/>
  <c r="P86" i="88"/>
  <c r="G94" i="90"/>
  <c r="K86" i="90"/>
  <c r="J94" i="90"/>
  <c r="L94" i="90"/>
  <c r="F90" i="90"/>
  <c r="K94" i="90"/>
  <c r="K92" i="90"/>
  <c r="H86" i="90"/>
  <c r="J90" i="90"/>
  <c r="F93" i="90"/>
  <c r="N91" i="90"/>
  <c r="G88" i="90"/>
  <c r="J91" i="90"/>
  <c r="H88" i="90"/>
  <c r="J93" i="90"/>
  <c r="I85" i="90"/>
  <c r="G86" i="90"/>
  <c r="I94" i="90"/>
  <c r="N86" i="90"/>
  <c r="F86" i="90"/>
  <c r="H87" i="90"/>
  <c r="H85" i="90"/>
  <c r="J89" i="90"/>
  <c r="K85" i="90"/>
  <c r="H89" i="90"/>
  <c r="H91" i="90"/>
  <c r="I91" i="90"/>
  <c r="K89" i="90"/>
  <c r="L90" i="90"/>
  <c r="K93" i="90"/>
  <c r="M92" i="90"/>
  <c r="L93" i="90"/>
  <c r="K90" i="90"/>
  <c r="M89" i="90"/>
  <c r="M87" i="90"/>
  <c r="J87" i="90"/>
  <c r="L86" i="90"/>
  <c r="L92" i="90"/>
  <c r="J92" i="90"/>
  <c r="M88" i="90"/>
  <c r="H90" i="90"/>
  <c r="G93" i="90"/>
  <c r="N88" i="90"/>
  <c r="L87" i="90"/>
  <c r="G90" i="90"/>
  <c r="K87" i="90"/>
  <c r="G91" i="90"/>
  <c r="K91" i="90"/>
  <c r="G92" i="90"/>
  <c r="G87" i="90"/>
  <c r="N93" i="90"/>
  <c r="F88" i="90"/>
  <c r="F89" i="90"/>
  <c r="J88" i="90"/>
  <c r="I87" i="90"/>
  <c r="I92" i="90"/>
  <c r="I88" i="90"/>
  <c r="L88" i="90"/>
  <c r="G85" i="90"/>
  <c r="L89" i="90"/>
  <c r="J86" i="90"/>
  <c r="I90" i="90"/>
  <c r="N89" i="90"/>
  <c r="L85" i="90"/>
  <c r="F94" i="90"/>
  <c r="M85" i="90"/>
  <c r="M90" i="90"/>
  <c r="N87" i="90"/>
  <c r="F85" i="90"/>
  <c r="N92" i="90"/>
  <c r="I93" i="90"/>
  <c r="H94" i="90"/>
  <c r="J85" i="90"/>
  <c r="F92" i="90"/>
  <c r="H92" i="90"/>
  <c r="H93" i="90"/>
  <c r="O75" i="90"/>
  <c r="I89" i="90"/>
  <c r="I86" i="90"/>
  <c r="N90" i="90"/>
  <c r="F87" i="90"/>
  <c r="G89" i="90"/>
  <c r="M94" i="90"/>
  <c r="F91" i="90"/>
  <c r="M91" i="90"/>
  <c r="N85" i="90"/>
  <c r="M86" i="90"/>
  <c r="K88" i="90"/>
  <c r="L91" i="90"/>
  <c r="M93" i="90"/>
  <c r="N94" i="90"/>
  <c r="O10" i="115"/>
  <c r="T10" i="115" s="1"/>
  <c r="J10" i="115"/>
  <c r="K82" i="86"/>
  <c r="L80" i="86" s="1"/>
  <c r="K81" i="86"/>
  <c r="H93" i="103"/>
  <c r="G94" i="103"/>
  <c r="L87" i="103"/>
  <c r="N88" i="103"/>
  <c r="F88" i="103"/>
  <c r="J94" i="103"/>
  <c r="G90" i="103"/>
  <c r="J90" i="103"/>
  <c r="K85" i="103"/>
  <c r="H89" i="103"/>
  <c r="M87" i="103"/>
  <c r="K89" i="103"/>
  <c r="M94" i="103"/>
  <c r="K90" i="103"/>
  <c r="I90" i="103"/>
  <c r="K88" i="103"/>
  <c r="L93" i="103"/>
  <c r="N90" i="103"/>
  <c r="N89" i="103"/>
  <c r="I93" i="103"/>
  <c r="J92" i="103"/>
  <c r="G89" i="103"/>
  <c r="I85" i="103"/>
  <c r="H92" i="103"/>
  <c r="K91" i="103"/>
  <c r="M90" i="103"/>
  <c r="J93" i="103"/>
  <c r="F90" i="103"/>
  <c r="G92" i="103"/>
  <c r="K86" i="103"/>
  <c r="J86" i="103"/>
  <c r="L88" i="103"/>
  <c r="K93" i="103"/>
  <c r="H88" i="103"/>
  <c r="I86" i="103"/>
  <c r="F92" i="103"/>
  <c r="K87" i="103"/>
  <c r="M92" i="103"/>
  <c r="N94" i="103"/>
  <c r="L85" i="103"/>
  <c r="N91" i="103"/>
  <c r="M91" i="103"/>
  <c r="K92" i="103"/>
  <c r="J88" i="103"/>
  <c r="M88" i="103"/>
  <c r="I91" i="103"/>
  <c r="N87" i="103"/>
  <c r="H87" i="103"/>
  <c r="M85" i="103"/>
  <c r="N85" i="103"/>
  <c r="G91" i="103"/>
  <c r="O75" i="103"/>
  <c r="F93" i="103"/>
  <c r="K94" i="103"/>
  <c r="I88" i="103"/>
  <c r="L86" i="103"/>
  <c r="I89" i="103"/>
  <c r="I92" i="103"/>
  <c r="H90" i="103"/>
  <c r="I87" i="103"/>
  <c r="H85" i="103"/>
  <c r="J85" i="103"/>
  <c r="G86" i="103"/>
  <c r="H86" i="103"/>
  <c r="F86" i="103"/>
  <c r="I94" i="103"/>
  <c r="M86" i="103"/>
  <c r="G87" i="103"/>
  <c r="F85" i="103"/>
  <c r="J87" i="103"/>
  <c r="N86" i="103"/>
  <c r="N92" i="103"/>
  <c r="F89" i="103"/>
  <c r="F94" i="103"/>
  <c r="J89" i="103"/>
  <c r="L89" i="103"/>
  <c r="G85" i="103"/>
  <c r="H91" i="103"/>
  <c r="L91" i="103"/>
  <c r="F91" i="103"/>
  <c r="L92" i="103"/>
  <c r="J91" i="103"/>
  <c r="H94" i="103"/>
  <c r="G88" i="103"/>
  <c r="M93" i="103"/>
  <c r="F87" i="103"/>
  <c r="M89" i="103"/>
  <c r="N93" i="103"/>
  <c r="L90" i="103"/>
  <c r="G93" i="103"/>
  <c r="L94" i="103"/>
  <c r="O75" i="75"/>
  <c r="P81" i="109"/>
  <c r="J92" i="123"/>
  <c r="J89" i="123"/>
  <c r="G85" i="123"/>
  <c r="N86" i="123"/>
  <c r="K94" i="123"/>
  <c r="H91" i="123"/>
  <c r="J86" i="123"/>
  <c r="F92" i="123"/>
  <c r="F87" i="123"/>
  <c r="I91" i="123"/>
  <c r="L90" i="123"/>
  <c r="L93" i="123"/>
  <c r="K92" i="123"/>
  <c r="G91" i="123"/>
  <c r="I85" i="123"/>
  <c r="N93" i="123"/>
  <c r="H88" i="123"/>
  <c r="N94" i="123"/>
  <c r="N90" i="123"/>
  <c r="J88" i="123"/>
  <c r="G90" i="123"/>
  <c r="I86" i="123"/>
  <c r="M91" i="123"/>
  <c r="N87" i="123"/>
  <c r="M90" i="123"/>
  <c r="H90" i="123"/>
  <c r="K91" i="123"/>
  <c r="F93" i="123"/>
  <c r="K93" i="123"/>
  <c r="G94" i="123"/>
  <c r="I94" i="123"/>
  <c r="I88" i="123"/>
  <c r="K86" i="123"/>
  <c r="I92" i="123"/>
  <c r="N88" i="123"/>
  <c r="M89" i="123"/>
  <c r="F94" i="123"/>
  <c r="F89" i="123"/>
  <c r="N92" i="123"/>
  <c r="J85" i="123"/>
  <c r="G93" i="123"/>
  <c r="M92" i="123"/>
  <c r="F88" i="123"/>
  <c r="I87" i="123"/>
  <c r="F86" i="123"/>
  <c r="L94" i="123"/>
  <c r="O75" i="123"/>
  <c r="J87" i="123"/>
  <c r="K88" i="123"/>
  <c r="I90" i="123"/>
  <c r="I93" i="123"/>
  <c r="N85" i="123"/>
  <c r="M87" i="123"/>
  <c r="H89" i="123"/>
  <c r="G87" i="123"/>
  <c r="L87" i="123"/>
  <c r="G88" i="123"/>
  <c r="K85" i="123"/>
  <c r="F91" i="123"/>
  <c r="M88" i="123"/>
  <c r="G92" i="123"/>
  <c r="K90" i="123"/>
  <c r="N91" i="123"/>
  <c r="J91" i="123"/>
  <c r="G89" i="123"/>
  <c r="M93" i="123"/>
  <c r="M86" i="123"/>
  <c r="G86" i="123"/>
  <c r="H86" i="123"/>
  <c r="H93" i="123"/>
  <c r="L89" i="123"/>
  <c r="L91" i="123"/>
  <c r="H94" i="123"/>
  <c r="K89" i="123"/>
  <c r="J93" i="123"/>
  <c r="L85" i="123"/>
  <c r="F90" i="123"/>
  <c r="L88" i="123"/>
  <c r="M85" i="123"/>
  <c r="N89" i="123"/>
  <c r="H87" i="123"/>
  <c r="L92" i="123"/>
  <c r="F85" i="123"/>
  <c r="I89" i="123"/>
  <c r="L86" i="123"/>
  <c r="M94" i="123"/>
  <c r="K87" i="123"/>
  <c r="H92" i="123"/>
  <c r="J90" i="123"/>
  <c r="J94" i="123"/>
  <c r="H85" i="123"/>
  <c r="O90" i="101"/>
  <c r="O86" i="101"/>
  <c r="J95" i="101"/>
  <c r="J96" i="101" s="1"/>
  <c r="O88" i="101"/>
  <c r="P90" i="101"/>
  <c r="I95" i="98"/>
  <c r="J89" i="98"/>
  <c r="P89" i="98" s="1"/>
  <c r="G95" i="98"/>
  <c r="P91" i="98"/>
  <c r="J86" i="98"/>
  <c r="J94" i="98"/>
  <c r="O94" i="98" s="1"/>
  <c r="O12" i="115"/>
  <c r="T12" i="115" s="1"/>
  <c r="J12" i="115"/>
  <c r="K82" i="85"/>
  <c r="L80" i="85" s="1"/>
  <c r="K81" i="85"/>
  <c r="O75" i="74"/>
  <c r="K82" i="75"/>
  <c r="L80" i="75" s="1"/>
  <c r="K81" i="75"/>
  <c r="O75" i="89"/>
  <c r="I90" i="104"/>
  <c r="K91" i="104"/>
  <c r="J90" i="104"/>
  <c r="K90" i="104"/>
  <c r="F91" i="104"/>
  <c r="G87" i="104"/>
  <c r="L94" i="104"/>
  <c r="N88" i="104"/>
  <c r="L85" i="104"/>
  <c r="F89" i="104"/>
  <c r="H92" i="104"/>
  <c r="K92" i="104"/>
  <c r="J92" i="104"/>
  <c r="H91" i="104"/>
  <c r="G94" i="104"/>
  <c r="M88" i="104"/>
  <c r="K88" i="104"/>
  <c r="K94" i="104"/>
  <c r="H86" i="104"/>
  <c r="J89" i="104"/>
  <c r="K85" i="104"/>
  <c r="F87" i="104"/>
  <c r="M89" i="104"/>
  <c r="J85" i="104"/>
  <c r="G85" i="104"/>
  <c r="H89" i="104"/>
  <c r="J88" i="104"/>
  <c r="M86" i="104"/>
  <c r="G86" i="104"/>
  <c r="F90" i="104"/>
  <c r="H94" i="104"/>
  <c r="J93" i="104"/>
  <c r="M85" i="104"/>
  <c r="M92" i="104"/>
  <c r="N93" i="104"/>
  <c r="F88" i="104"/>
  <c r="N91" i="104"/>
  <c r="F94" i="104"/>
  <c r="I93" i="104"/>
  <c r="K86" i="104"/>
  <c r="G91" i="104"/>
  <c r="J94" i="104"/>
  <c r="H85" i="104"/>
  <c r="G92" i="104"/>
  <c r="I86" i="104"/>
  <c r="N86" i="104"/>
  <c r="I85" i="104"/>
  <c r="K87" i="104"/>
  <c r="H87" i="104"/>
  <c r="N85" i="104"/>
  <c r="N92" i="104"/>
  <c r="M91" i="104"/>
  <c r="M94" i="104"/>
  <c r="M93" i="104"/>
  <c r="G88" i="104"/>
  <c r="H90" i="104"/>
  <c r="N94" i="104"/>
  <c r="K89" i="104"/>
  <c r="I94" i="104"/>
  <c r="N87" i="104"/>
  <c r="I89" i="104"/>
  <c r="M87" i="104"/>
  <c r="F85" i="104"/>
  <c r="F86" i="104"/>
  <c r="I87" i="104"/>
  <c r="G93" i="104"/>
  <c r="N90" i="104"/>
  <c r="K93" i="104"/>
  <c r="L89" i="104"/>
  <c r="J91" i="104"/>
  <c r="F93" i="104"/>
  <c r="L87" i="104"/>
  <c r="L88" i="104"/>
  <c r="O75" i="104"/>
  <c r="L91" i="104"/>
  <c r="L86" i="104"/>
  <c r="I88" i="104"/>
  <c r="L92" i="104"/>
  <c r="J86" i="104"/>
  <c r="N89" i="104"/>
  <c r="I91" i="104"/>
  <c r="G90" i="104"/>
  <c r="L93" i="104"/>
  <c r="I92" i="104"/>
  <c r="J87" i="104"/>
  <c r="H93" i="104"/>
  <c r="F92" i="104"/>
  <c r="L90" i="104"/>
  <c r="H88" i="104"/>
  <c r="M90" i="104"/>
  <c r="G89" i="104"/>
  <c r="O29" i="115"/>
  <c r="T29" i="115" s="1"/>
  <c r="J29" i="115"/>
  <c r="O75" i="95"/>
  <c r="O75" i="86"/>
  <c r="O75" i="97"/>
  <c r="O33" i="115"/>
  <c r="T33" i="115" s="1"/>
  <c r="J33" i="115"/>
  <c r="K82" i="80"/>
  <c r="L80" i="80" s="1"/>
  <c r="K81" i="80"/>
  <c r="P32" i="63"/>
  <c r="V24" i="63"/>
  <c r="V32" i="63" s="1"/>
  <c r="P36" i="14"/>
  <c r="V36" i="14" s="1"/>
  <c r="V14" i="14"/>
  <c r="O93" i="129"/>
  <c r="O91" i="129"/>
  <c r="O87" i="129"/>
  <c r="L95" i="129"/>
  <c r="L96" i="129" s="1"/>
  <c r="I95" i="88"/>
  <c r="I96" i="88" s="1"/>
  <c r="P85" i="88"/>
  <c r="P91" i="88"/>
  <c r="O89" i="88"/>
  <c r="O90" i="88"/>
  <c r="K95" i="88"/>
  <c r="K96" i="88" s="1"/>
  <c r="P35" i="14"/>
  <c r="V35" i="14" s="1"/>
  <c r="V13" i="14"/>
  <c r="L86" i="105"/>
  <c r="N91" i="105"/>
  <c r="M86" i="105"/>
  <c r="K93" i="105"/>
  <c r="I85" i="105"/>
  <c r="L93" i="105"/>
  <c r="N94" i="105"/>
  <c r="K94" i="105"/>
  <c r="H94" i="105"/>
  <c r="I89" i="105"/>
  <c r="N86" i="105"/>
  <c r="I90" i="105"/>
  <c r="G93" i="105"/>
  <c r="K90" i="105"/>
  <c r="J92" i="105"/>
  <c r="I91" i="105"/>
  <c r="F93" i="105"/>
  <c r="G87" i="105"/>
  <c r="J88" i="105"/>
  <c r="L92" i="105"/>
  <c r="F86" i="105"/>
  <c r="G85" i="105"/>
  <c r="N85" i="105"/>
  <c r="J85" i="105"/>
  <c r="J93" i="105"/>
  <c r="F90" i="105"/>
  <c r="M88" i="105"/>
  <c r="L91" i="105"/>
  <c r="F85" i="105"/>
  <c r="H93" i="105"/>
  <c r="M93" i="105"/>
  <c r="H88" i="105"/>
  <c r="G92" i="105"/>
  <c r="G89" i="105"/>
  <c r="L88" i="105"/>
  <c r="K91" i="105"/>
  <c r="K86" i="105"/>
  <c r="F87" i="105"/>
  <c r="H92" i="105"/>
  <c r="K85" i="105"/>
  <c r="N89" i="105"/>
  <c r="M89" i="105"/>
  <c r="J90" i="105"/>
  <c r="H85" i="105"/>
  <c r="L89" i="105"/>
  <c r="L90" i="105"/>
  <c r="J87" i="105"/>
  <c r="J86" i="105"/>
  <c r="I92" i="105"/>
  <c r="N93" i="105"/>
  <c r="O75" i="105"/>
  <c r="L85" i="105"/>
  <c r="I94" i="105"/>
  <c r="G91" i="105"/>
  <c r="H91" i="105"/>
  <c r="F94" i="105"/>
  <c r="N88" i="105"/>
  <c r="M92" i="105"/>
  <c r="G88" i="105"/>
  <c r="H90" i="105"/>
  <c r="F91" i="105"/>
  <c r="M90" i="105"/>
  <c r="I93" i="105"/>
  <c r="K92" i="105"/>
  <c r="J89" i="105"/>
  <c r="L94" i="105"/>
  <c r="J91" i="105"/>
  <c r="J94" i="105"/>
  <c r="N87" i="105"/>
  <c r="M85" i="105"/>
  <c r="I88" i="105"/>
  <c r="H89" i="105"/>
  <c r="F92" i="105"/>
  <c r="M94" i="105"/>
  <c r="I86" i="105"/>
  <c r="F89" i="105"/>
  <c r="N92" i="105"/>
  <c r="K87" i="105"/>
  <c r="M91" i="105"/>
  <c r="L87" i="105"/>
  <c r="K88" i="105"/>
  <c r="H87" i="105"/>
  <c r="N90" i="105"/>
  <c r="K89" i="105"/>
  <c r="F88" i="105"/>
  <c r="I87" i="105"/>
  <c r="G94" i="105"/>
  <c r="H86" i="105"/>
  <c r="G90" i="105"/>
  <c r="M87" i="105"/>
  <c r="G86" i="105"/>
  <c r="O75" i="94"/>
  <c r="O75" i="96"/>
  <c r="P34" i="14"/>
  <c r="V34" i="14" s="1"/>
  <c r="V12" i="14"/>
  <c r="K82" i="93"/>
  <c r="L80" i="93" s="1"/>
  <c r="K81" i="93"/>
  <c r="J89" i="109"/>
  <c r="H92" i="109"/>
  <c r="D17" i="111" s="1"/>
  <c r="O17" i="111" s="1"/>
  <c r="O39" i="111" s="1"/>
  <c r="H85" i="109"/>
  <c r="J92" i="109"/>
  <c r="F17" i="111" s="1"/>
  <c r="Q17" i="111" s="1"/>
  <c r="Q39" i="111" s="1"/>
  <c r="H87" i="109"/>
  <c r="N88" i="109"/>
  <c r="K85" i="109"/>
  <c r="F86" i="109"/>
  <c r="F87" i="109"/>
  <c r="K89" i="109"/>
  <c r="G85" i="109"/>
  <c r="F89" i="109"/>
  <c r="N93" i="109"/>
  <c r="J88" i="109"/>
  <c r="F93" i="109"/>
  <c r="N87" i="109"/>
  <c r="J87" i="109"/>
  <c r="G88" i="109"/>
  <c r="G86" i="109"/>
  <c r="I87" i="109"/>
  <c r="F90" i="109"/>
  <c r="J86" i="109"/>
  <c r="H91" i="109"/>
  <c r="K94" i="109"/>
  <c r="H89" i="109"/>
  <c r="J85" i="109"/>
  <c r="H94" i="109"/>
  <c r="N94" i="109"/>
  <c r="I92" i="109"/>
  <c r="G91" i="109"/>
  <c r="I90" i="109"/>
  <c r="J93" i="109"/>
  <c r="F92" i="109"/>
  <c r="K90" i="109"/>
  <c r="G93" i="109"/>
  <c r="J91" i="109"/>
  <c r="F94" i="109"/>
  <c r="N91" i="109"/>
  <c r="I93" i="109"/>
  <c r="F85" i="109"/>
  <c r="K91" i="109"/>
  <c r="F91" i="109"/>
  <c r="K86" i="109"/>
  <c r="I85" i="109"/>
  <c r="H93" i="109"/>
  <c r="N86" i="109"/>
  <c r="J94" i="109"/>
  <c r="F88" i="109"/>
  <c r="N89" i="109"/>
  <c r="I94" i="109"/>
  <c r="G87" i="109"/>
  <c r="H90" i="109"/>
  <c r="G89" i="109"/>
  <c r="K88" i="109"/>
  <c r="I88" i="109"/>
  <c r="K92" i="109"/>
  <c r="G17" i="111" s="1"/>
  <c r="R17" i="111" s="1"/>
  <c r="R39" i="111" s="1"/>
  <c r="I86" i="109"/>
  <c r="I89" i="109"/>
  <c r="N92" i="109"/>
  <c r="J90" i="109"/>
  <c r="H88" i="109"/>
  <c r="N85" i="109"/>
  <c r="K93" i="109"/>
  <c r="I91" i="109"/>
  <c r="H86" i="109"/>
  <c r="G92" i="109"/>
  <c r="C17" i="111" s="1"/>
  <c r="N17" i="111" s="1"/>
  <c r="N39" i="111" s="1"/>
  <c r="G90" i="109"/>
  <c r="N90" i="109"/>
  <c r="K87" i="109"/>
  <c r="G94" i="109"/>
  <c r="N92" i="102"/>
  <c r="I91" i="102"/>
  <c r="J87" i="102"/>
  <c r="L91" i="102"/>
  <c r="J85" i="102"/>
  <c r="H90" i="102"/>
  <c r="M86" i="102"/>
  <c r="F89" i="102"/>
  <c r="H88" i="102"/>
  <c r="O75" i="102"/>
  <c r="I89" i="102"/>
  <c r="K88" i="102"/>
  <c r="H93" i="102"/>
  <c r="N88" i="102"/>
  <c r="L94" i="102"/>
  <c r="K86" i="102"/>
  <c r="H91" i="102"/>
  <c r="N87" i="102"/>
  <c r="J92" i="102"/>
  <c r="J93" i="102"/>
  <c r="I90" i="102"/>
  <c r="I93" i="102"/>
  <c r="K87" i="102"/>
  <c r="M94" i="102"/>
  <c r="I94" i="102"/>
  <c r="I86" i="102"/>
  <c r="G89" i="102"/>
  <c r="M92" i="102"/>
  <c r="G92" i="102"/>
  <c r="F93" i="102"/>
  <c r="M90" i="102"/>
  <c r="L87" i="102"/>
  <c r="J90" i="102"/>
  <c r="G85" i="102"/>
  <c r="F88" i="102"/>
  <c r="N94" i="102"/>
  <c r="H86" i="102"/>
  <c r="N93" i="102"/>
  <c r="G88" i="102"/>
  <c r="I88" i="102"/>
  <c r="N91" i="102"/>
  <c r="J89" i="102"/>
  <c r="F87" i="102"/>
  <c r="G93" i="102"/>
  <c r="K90" i="102"/>
  <c r="F91" i="102"/>
  <c r="L89" i="102"/>
  <c r="L88" i="102"/>
  <c r="H92" i="102"/>
  <c r="N90" i="102"/>
  <c r="G86" i="102"/>
  <c r="K89" i="102"/>
  <c r="J88" i="102"/>
  <c r="M87" i="102"/>
  <c r="N86" i="102"/>
  <c r="K94" i="102"/>
  <c r="I85" i="102"/>
  <c r="L92" i="102"/>
  <c r="F86" i="102"/>
  <c r="G90" i="102"/>
  <c r="M88" i="102"/>
  <c r="H85" i="102"/>
  <c r="K85" i="102"/>
  <c r="L85" i="102"/>
  <c r="J94" i="102"/>
  <c r="G94" i="102"/>
  <c r="M91" i="102"/>
  <c r="F92" i="102"/>
  <c r="G87" i="102"/>
  <c r="L93" i="102"/>
  <c r="N85" i="102"/>
  <c r="I92" i="102"/>
  <c r="F85" i="102"/>
  <c r="K93" i="102"/>
  <c r="G91" i="102"/>
  <c r="L90" i="102"/>
  <c r="I87" i="102"/>
  <c r="F90" i="102"/>
  <c r="M93" i="102"/>
  <c r="K91" i="102"/>
  <c r="H89" i="102"/>
  <c r="M89" i="102"/>
  <c r="H94" i="102"/>
  <c r="N89" i="102"/>
  <c r="H87" i="102"/>
  <c r="K92" i="102"/>
  <c r="F94" i="102"/>
  <c r="J86" i="102"/>
  <c r="J91" i="102"/>
  <c r="M85" i="102"/>
  <c r="L86" i="102"/>
  <c r="I95" i="101"/>
  <c r="I96" i="101" s="1"/>
  <c r="P85" i="101"/>
  <c r="P92" i="101"/>
  <c r="O91" i="101"/>
  <c r="N95" i="101"/>
  <c r="N96" i="101" s="1"/>
  <c r="O92" i="101"/>
  <c r="P87" i="101"/>
  <c r="J85" i="98"/>
  <c r="O85" i="98" s="1"/>
  <c r="J87" i="98"/>
  <c r="O87" i="98" s="1"/>
  <c r="J93" i="98"/>
  <c r="O93" i="98" s="1"/>
  <c r="O90" i="98"/>
  <c r="H95" i="98"/>
  <c r="N95" i="98"/>
  <c r="J92" i="98"/>
  <c r="P92" i="98" s="1"/>
  <c r="P44" i="14"/>
  <c r="V44" i="14" s="1"/>
  <c r="V22" i="14"/>
  <c r="E36" i="115"/>
  <c r="E37" i="115" s="1"/>
  <c r="O27" i="115"/>
  <c r="J27" i="115"/>
  <c r="H94" i="79"/>
  <c r="M87" i="79"/>
  <c r="K85" i="79"/>
  <c r="G93" i="79"/>
  <c r="M86" i="79"/>
  <c r="L94" i="79"/>
  <c r="H85" i="79"/>
  <c r="H92" i="79"/>
  <c r="H93" i="79"/>
  <c r="G85" i="79"/>
  <c r="N88" i="79"/>
  <c r="H86" i="79"/>
  <c r="K87" i="79"/>
  <c r="I92" i="79"/>
  <c r="H89" i="79"/>
  <c r="L92" i="79"/>
  <c r="H90" i="79"/>
  <c r="F93" i="79"/>
  <c r="F90" i="79"/>
  <c r="H87" i="79"/>
  <c r="K88" i="79"/>
  <c r="J94" i="79"/>
  <c r="N86" i="79"/>
  <c r="M89" i="79"/>
  <c r="L90" i="79"/>
  <c r="L87" i="79"/>
  <c r="N85" i="79"/>
  <c r="L89" i="79"/>
  <c r="M93" i="79"/>
  <c r="F86" i="79"/>
  <c r="G86" i="79"/>
  <c r="J91" i="79"/>
  <c r="M91" i="79"/>
  <c r="J89" i="79"/>
  <c r="K93" i="79"/>
  <c r="G89" i="79"/>
  <c r="M90" i="79"/>
  <c r="K92" i="79"/>
  <c r="I86" i="79"/>
  <c r="N87" i="79"/>
  <c r="J90" i="79"/>
  <c r="L85" i="79"/>
  <c r="F92" i="79"/>
  <c r="J86" i="79"/>
  <c r="L91" i="79"/>
  <c r="K90" i="79"/>
  <c r="J88" i="79"/>
  <c r="I90" i="79"/>
  <c r="J93" i="79"/>
  <c r="N94" i="79"/>
  <c r="K94" i="79"/>
  <c r="O75" i="79"/>
  <c r="F85" i="79"/>
  <c r="I93" i="79"/>
  <c r="K89" i="79"/>
  <c r="I87" i="79"/>
  <c r="I91" i="79"/>
  <c r="G94" i="79"/>
  <c r="H91" i="79"/>
  <c r="N89" i="79"/>
  <c r="L93" i="79"/>
  <c r="F91" i="79"/>
  <c r="G87" i="79"/>
  <c r="L86" i="79"/>
  <c r="N92" i="79"/>
  <c r="M94" i="79"/>
  <c r="F89" i="79"/>
  <c r="G91" i="79"/>
  <c r="H88" i="79"/>
  <c r="I94" i="79"/>
  <c r="G92" i="79"/>
  <c r="K86" i="79"/>
  <c r="J85" i="79"/>
  <c r="M92" i="79"/>
  <c r="I88" i="79"/>
  <c r="M85" i="79"/>
  <c r="G88" i="79"/>
  <c r="I85" i="79"/>
  <c r="N93" i="79"/>
  <c r="L88" i="79"/>
  <c r="I89" i="79"/>
  <c r="G90" i="79"/>
  <c r="F87" i="79"/>
  <c r="K91" i="79"/>
  <c r="F94" i="79"/>
  <c r="J92" i="79"/>
  <c r="N91" i="79"/>
  <c r="N90" i="79"/>
  <c r="J87" i="79"/>
  <c r="M88" i="79"/>
  <c r="F88" i="79"/>
  <c r="M82" i="106"/>
  <c r="N82" i="106" s="1"/>
  <c r="M81" i="106"/>
  <c r="O91" i="126" l="1"/>
  <c r="O92" i="126"/>
  <c r="P87" i="81"/>
  <c r="P89" i="109"/>
  <c r="O89" i="126"/>
  <c r="O88" i="105"/>
  <c r="O90" i="9"/>
  <c r="P94" i="9"/>
  <c r="P87" i="9"/>
  <c r="O92" i="83"/>
  <c r="O90" i="124"/>
  <c r="O86" i="124"/>
  <c r="P92" i="124"/>
  <c r="L95" i="109"/>
  <c r="L96" i="109" s="1"/>
  <c r="P94" i="79"/>
  <c r="P86" i="99"/>
  <c r="O94" i="79"/>
  <c r="P89" i="79"/>
  <c r="P88" i="104"/>
  <c r="P89" i="124"/>
  <c r="J36" i="115"/>
  <c r="O87" i="99"/>
  <c r="P93" i="99"/>
  <c r="P93" i="81"/>
  <c r="P87" i="102"/>
  <c r="P88" i="109"/>
  <c r="P95" i="88"/>
  <c r="P96" i="88" s="1"/>
  <c r="P94" i="104"/>
  <c r="P92" i="90"/>
  <c r="P89" i="9"/>
  <c r="P91" i="121"/>
  <c r="P90" i="121"/>
  <c r="O89" i="121"/>
  <c r="O86" i="125"/>
  <c r="P88" i="125"/>
  <c r="P92" i="104"/>
  <c r="G95" i="91"/>
  <c r="G96" i="91" s="1"/>
  <c r="P88" i="91"/>
  <c r="O90" i="91"/>
  <c r="O92" i="100"/>
  <c r="O88" i="100"/>
  <c r="O89" i="103"/>
  <c r="O86" i="103"/>
  <c r="O91" i="79"/>
  <c r="P93" i="79"/>
  <c r="O92" i="99"/>
  <c r="J95" i="99"/>
  <c r="J96" i="99" s="1"/>
  <c r="P87" i="99"/>
  <c r="K95" i="99"/>
  <c r="K96" i="99" s="1"/>
  <c r="O93" i="99"/>
  <c r="P91" i="99"/>
  <c r="P91" i="91"/>
  <c r="P87" i="125"/>
  <c r="P91" i="104"/>
  <c r="M95" i="102"/>
  <c r="M96" i="102" s="1"/>
  <c r="O90" i="102"/>
  <c r="P91" i="109"/>
  <c r="P86" i="105"/>
  <c r="P93" i="105"/>
  <c r="O87" i="103"/>
  <c r="O94" i="103"/>
  <c r="P94" i="103"/>
  <c r="O87" i="90"/>
  <c r="J95" i="90"/>
  <c r="J96" i="90" s="1"/>
  <c r="O87" i="9"/>
  <c r="P92" i="9"/>
  <c r="P93" i="9"/>
  <c r="G95" i="128"/>
  <c r="G96" i="128" s="1"/>
  <c r="J95" i="128"/>
  <c r="J96" i="128" s="1"/>
  <c r="P88" i="128"/>
  <c r="P86" i="124"/>
  <c r="P94" i="126"/>
  <c r="P93" i="127"/>
  <c r="O94" i="127"/>
  <c r="P90" i="127"/>
  <c r="N95" i="121"/>
  <c r="N96" i="121" s="1"/>
  <c r="H95" i="121"/>
  <c r="H96" i="121" s="1"/>
  <c r="P92" i="125"/>
  <c r="P94" i="125"/>
  <c r="P89" i="103"/>
  <c r="G95" i="99"/>
  <c r="G96" i="99" s="1"/>
  <c r="J95" i="81"/>
  <c r="J96" i="81" s="1"/>
  <c r="N95" i="91"/>
  <c r="N96" i="91" s="1"/>
  <c r="O87" i="127"/>
  <c r="M86" i="106"/>
  <c r="M85" i="106"/>
  <c r="M94" i="106"/>
  <c r="M88" i="106"/>
  <c r="M91" i="106"/>
  <c r="M92" i="106"/>
  <c r="M93" i="106"/>
  <c r="M89" i="106"/>
  <c r="M90" i="106"/>
  <c r="M87" i="106"/>
  <c r="M95" i="79"/>
  <c r="M96" i="79" s="1"/>
  <c r="P87" i="79"/>
  <c r="P90" i="79"/>
  <c r="H96" i="98"/>
  <c r="P87" i="98"/>
  <c r="P92" i="102"/>
  <c r="O92" i="102"/>
  <c r="L95" i="102"/>
  <c r="L96" i="102" s="1"/>
  <c r="P88" i="102"/>
  <c r="O89" i="102"/>
  <c r="N95" i="109"/>
  <c r="N96" i="109" s="1"/>
  <c r="P94" i="109"/>
  <c r="O91" i="109"/>
  <c r="J95" i="109"/>
  <c r="J96" i="109" s="1"/>
  <c r="P87" i="105"/>
  <c r="M95" i="105"/>
  <c r="M96" i="105" s="1"/>
  <c r="O87" i="105"/>
  <c r="O90" i="105"/>
  <c r="G95" i="105"/>
  <c r="G96" i="105" s="1"/>
  <c r="P89" i="105"/>
  <c r="N95" i="104"/>
  <c r="N96" i="104" s="1"/>
  <c r="O94" i="104"/>
  <c r="O90" i="104"/>
  <c r="O87" i="104"/>
  <c r="O89" i="104"/>
  <c r="P89" i="123"/>
  <c r="L95" i="123"/>
  <c r="L96" i="123" s="1"/>
  <c r="N95" i="123"/>
  <c r="N96" i="123" s="1"/>
  <c r="P87" i="123"/>
  <c r="J95" i="123"/>
  <c r="J96" i="123" s="1"/>
  <c r="P88" i="123"/>
  <c r="O93" i="123"/>
  <c r="O92" i="123"/>
  <c r="O91" i="103"/>
  <c r="P87" i="103"/>
  <c r="L95" i="103"/>
  <c r="L96" i="103" s="1"/>
  <c r="O92" i="103"/>
  <c r="O90" i="103"/>
  <c r="P93" i="103"/>
  <c r="P86" i="90"/>
  <c r="P93" i="90"/>
  <c r="G95" i="90"/>
  <c r="G96" i="90" s="1"/>
  <c r="P87" i="90"/>
  <c r="P91" i="90"/>
  <c r="L82" i="94"/>
  <c r="M80" i="94" s="1"/>
  <c r="L81" i="94"/>
  <c r="M82" i="87"/>
  <c r="N82" i="87" s="1"/>
  <c r="M81" i="87"/>
  <c r="L95" i="9"/>
  <c r="L96" i="9" s="1"/>
  <c r="O92" i="9"/>
  <c r="O94" i="9"/>
  <c r="O89" i="9"/>
  <c r="P86" i="9"/>
  <c r="K95" i="9"/>
  <c r="K96" i="9" s="1"/>
  <c r="O86" i="9"/>
  <c r="H95" i="9"/>
  <c r="H96" i="9" s="1"/>
  <c r="O93" i="128"/>
  <c r="O91" i="128"/>
  <c r="N95" i="128"/>
  <c r="N96" i="128" s="1"/>
  <c r="K95" i="128"/>
  <c r="K96" i="128" s="1"/>
  <c r="P91" i="128"/>
  <c r="H95" i="128"/>
  <c r="H96" i="128" s="1"/>
  <c r="L95" i="128"/>
  <c r="L96" i="128" s="1"/>
  <c r="P87" i="128"/>
  <c r="O87" i="128"/>
  <c r="O92" i="128"/>
  <c r="P85" i="83"/>
  <c r="I95" i="83"/>
  <c r="I96" i="83" s="1"/>
  <c r="K95" i="83"/>
  <c r="K96" i="83" s="1"/>
  <c r="O90" i="83"/>
  <c r="P93" i="83"/>
  <c r="O87" i="83"/>
  <c r="P90" i="83"/>
  <c r="H95" i="83"/>
  <c r="H96" i="83" s="1"/>
  <c r="L82" i="96"/>
  <c r="M80" i="96" s="1"/>
  <c r="P80" i="96" s="1"/>
  <c r="L81" i="96"/>
  <c r="O88" i="99"/>
  <c r="P94" i="99"/>
  <c r="H95" i="99"/>
  <c r="H96" i="99" s="1"/>
  <c r="O86" i="99"/>
  <c r="M95" i="99"/>
  <c r="M96" i="99" s="1"/>
  <c r="O89" i="99"/>
  <c r="H95" i="124"/>
  <c r="H96" i="124" s="1"/>
  <c r="G95" i="124"/>
  <c r="G96" i="124" s="1"/>
  <c r="F95" i="124"/>
  <c r="F96" i="124" s="1"/>
  <c r="O85" i="124"/>
  <c r="P94" i="124"/>
  <c r="O18" i="115"/>
  <c r="T9" i="115"/>
  <c r="T18" i="115" s="1"/>
  <c r="L82" i="92"/>
  <c r="M80" i="92" s="1"/>
  <c r="P80" i="92" s="1"/>
  <c r="L81" i="92"/>
  <c r="O94" i="126"/>
  <c r="N95" i="126"/>
  <c r="N96" i="126" s="1"/>
  <c r="O93" i="126"/>
  <c r="O90" i="126"/>
  <c r="P91" i="126"/>
  <c r="P92" i="126"/>
  <c r="P88" i="126"/>
  <c r="P90" i="126"/>
  <c r="P91" i="81"/>
  <c r="O90" i="81"/>
  <c r="P85" i="81"/>
  <c r="I95" i="81"/>
  <c r="I96" i="81" s="1"/>
  <c r="H95" i="81"/>
  <c r="H96" i="81" s="1"/>
  <c r="P90" i="81"/>
  <c r="O89" i="81"/>
  <c r="P94" i="81"/>
  <c r="O93" i="91"/>
  <c r="O85" i="91"/>
  <c r="F95" i="91"/>
  <c r="F96" i="91" s="1"/>
  <c r="H95" i="91"/>
  <c r="H96" i="91" s="1"/>
  <c r="P87" i="91"/>
  <c r="J95" i="91"/>
  <c r="J96" i="91" s="1"/>
  <c r="P89" i="91"/>
  <c r="O94" i="91"/>
  <c r="P94" i="127"/>
  <c r="G95" i="127"/>
  <c r="G96" i="127" s="1"/>
  <c r="O92" i="127"/>
  <c r="O89" i="127"/>
  <c r="J95" i="127"/>
  <c r="J96" i="127" s="1"/>
  <c r="P87" i="127"/>
  <c r="P88" i="127"/>
  <c r="P86" i="121"/>
  <c r="O88" i="121"/>
  <c r="P92" i="121"/>
  <c r="O86" i="121"/>
  <c r="P86" i="125"/>
  <c r="O91" i="125"/>
  <c r="O93" i="125"/>
  <c r="M95" i="125"/>
  <c r="M96" i="125" s="1"/>
  <c r="P90" i="125"/>
  <c r="P85" i="125"/>
  <c r="I95" i="125"/>
  <c r="I96" i="125" s="1"/>
  <c r="P94" i="100"/>
  <c r="P85" i="100"/>
  <c r="I95" i="100"/>
  <c r="I96" i="100" s="1"/>
  <c r="P90" i="100"/>
  <c r="O89" i="100"/>
  <c r="M95" i="100"/>
  <c r="M96" i="100" s="1"/>
  <c r="O90" i="100"/>
  <c r="N95" i="100"/>
  <c r="N96" i="100" s="1"/>
  <c r="O91" i="100"/>
  <c r="P89" i="100"/>
  <c r="J95" i="100"/>
  <c r="J96" i="100" s="1"/>
  <c r="K95" i="100"/>
  <c r="K96" i="100" s="1"/>
  <c r="O87" i="100"/>
  <c r="O88" i="79"/>
  <c r="O87" i="79"/>
  <c r="P88" i="79"/>
  <c r="O89" i="79"/>
  <c r="O92" i="79"/>
  <c r="P86" i="79"/>
  <c r="N95" i="79"/>
  <c r="N96" i="79" s="1"/>
  <c r="O90" i="79"/>
  <c r="H95" i="79"/>
  <c r="H96" i="79" s="1"/>
  <c r="K95" i="79"/>
  <c r="K96" i="79" s="1"/>
  <c r="O36" i="115"/>
  <c r="T27" i="115"/>
  <c r="T36" i="115" s="1"/>
  <c r="N96" i="98"/>
  <c r="P95" i="101"/>
  <c r="P96" i="101" s="1"/>
  <c r="O94" i="102"/>
  <c r="N95" i="102"/>
  <c r="N96" i="102" s="1"/>
  <c r="K95" i="102"/>
  <c r="K96" i="102" s="1"/>
  <c r="O86" i="102"/>
  <c r="O87" i="102"/>
  <c r="O88" i="102"/>
  <c r="P89" i="102"/>
  <c r="P86" i="109"/>
  <c r="O94" i="109"/>
  <c r="O92" i="109"/>
  <c r="E17" i="111"/>
  <c r="P92" i="109"/>
  <c r="O90" i="109"/>
  <c r="O87" i="109"/>
  <c r="O92" i="105"/>
  <c r="O91" i="105"/>
  <c r="P94" i="105"/>
  <c r="P92" i="105"/>
  <c r="F95" i="105"/>
  <c r="F96" i="105" s="1"/>
  <c r="O85" i="105"/>
  <c r="O86" i="105"/>
  <c r="O93" i="105"/>
  <c r="P85" i="105"/>
  <c r="I95" i="105"/>
  <c r="I96" i="105" s="1"/>
  <c r="L81" i="80"/>
  <c r="L82" i="80"/>
  <c r="M80" i="80" s="1"/>
  <c r="P80" i="80" s="1"/>
  <c r="P87" i="104"/>
  <c r="P89" i="104"/>
  <c r="P86" i="104"/>
  <c r="M95" i="104"/>
  <c r="M96" i="104" s="1"/>
  <c r="G95" i="104"/>
  <c r="G96" i="104" s="1"/>
  <c r="K95" i="104"/>
  <c r="K96" i="104" s="1"/>
  <c r="L95" i="104"/>
  <c r="L96" i="104" s="1"/>
  <c r="O91" i="104"/>
  <c r="P90" i="104"/>
  <c r="G96" i="98"/>
  <c r="H95" i="123"/>
  <c r="H96" i="123" s="1"/>
  <c r="O85" i="123"/>
  <c r="F95" i="123"/>
  <c r="F96" i="123" s="1"/>
  <c r="M95" i="123"/>
  <c r="M96" i="123" s="1"/>
  <c r="O91" i="123"/>
  <c r="P93" i="123"/>
  <c r="O88" i="123"/>
  <c r="P94" i="123"/>
  <c r="I95" i="123"/>
  <c r="I96" i="123" s="1"/>
  <c r="P85" i="123"/>
  <c r="G95" i="123"/>
  <c r="G96" i="123" s="1"/>
  <c r="P88" i="103"/>
  <c r="P86" i="103"/>
  <c r="I95" i="103"/>
  <c r="I96" i="103" s="1"/>
  <c r="P85" i="103"/>
  <c r="P90" i="103"/>
  <c r="L82" i="86"/>
  <c r="M80" i="86" s="1"/>
  <c r="P80" i="86" s="1"/>
  <c r="L81" i="86"/>
  <c r="N95" i="90"/>
  <c r="N96" i="90" s="1"/>
  <c r="P89" i="90"/>
  <c r="O92" i="90"/>
  <c r="M95" i="90"/>
  <c r="M96" i="90" s="1"/>
  <c r="P90" i="90"/>
  <c r="H95" i="90"/>
  <c r="H96" i="90" s="1"/>
  <c r="P94" i="90"/>
  <c r="O93" i="90"/>
  <c r="P95" i="129"/>
  <c r="P96" i="129" s="1"/>
  <c r="P45" i="14"/>
  <c r="P33" i="63" s="1"/>
  <c r="V31" i="14"/>
  <c r="V45" i="14" s="1"/>
  <c r="V33" i="63" s="1"/>
  <c r="P90" i="9"/>
  <c r="P88" i="9"/>
  <c r="O88" i="9"/>
  <c r="J95" i="9"/>
  <c r="J96" i="9" s="1"/>
  <c r="P85" i="9"/>
  <c r="I95" i="9"/>
  <c r="I96" i="9" s="1"/>
  <c r="O85" i="9"/>
  <c r="F95" i="9"/>
  <c r="F96" i="9" s="1"/>
  <c r="G95" i="9"/>
  <c r="G96" i="9" s="1"/>
  <c r="P90" i="128"/>
  <c r="O86" i="128"/>
  <c r="P89" i="128"/>
  <c r="P94" i="128"/>
  <c r="O90" i="128"/>
  <c r="P94" i="83"/>
  <c r="P91" i="83"/>
  <c r="P89" i="83"/>
  <c r="O93" i="83"/>
  <c r="M95" i="83"/>
  <c r="M96" i="83" s="1"/>
  <c r="P88" i="83"/>
  <c r="O88" i="83"/>
  <c r="O86" i="83"/>
  <c r="O85" i="83"/>
  <c r="F95" i="83"/>
  <c r="F96" i="83" s="1"/>
  <c r="O89" i="83"/>
  <c r="O91" i="99"/>
  <c r="L95" i="99"/>
  <c r="L96" i="99" s="1"/>
  <c r="O94" i="99"/>
  <c r="P89" i="99"/>
  <c r="P92" i="99"/>
  <c r="L95" i="124"/>
  <c r="L96" i="124" s="1"/>
  <c r="P93" i="124"/>
  <c r="O93" i="124"/>
  <c r="P85" i="124"/>
  <c r="I95" i="124"/>
  <c r="I96" i="124" s="1"/>
  <c r="J95" i="124"/>
  <c r="J96" i="124" s="1"/>
  <c r="O87" i="124"/>
  <c r="O88" i="124"/>
  <c r="P91" i="124"/>
  <c r="O88" i="98"/>
  <c r="K96" i="98"/>
  <c r="O91" i="98"/>
  <c r="O88" i="126"/>
  <c r="J95" i="126"/>
  <c r="J96" i="126" s="1"/>
  <c r="I95" i="126"/>
  <c r="I96" i="126" s="1"/>
  <c r="P85" i="126"/>
  <c r="P89" i="126"/>
  <c r="G95" i="126"/>
  <c r="G96" i="126" s="1"/>
  <c r="O86" i="126"/>
  <c r="P87" i="126"/>
  <c r="P93" i="126"/>
  <c r="O87" i="81"/>
  <c r="O93" i="81"/>
  <c r="O91" i="81"/>
  <c r="O86" i="81"/>
  <c r="P92" i="91"/>
  <c r="P85" i="91"/>
  <c r="I95" i="91"/>
  <c r="I96" i="91" s="1"/>
  <c r="M95" i="91"/>
  <c r="M96" i="91" s="1"/>
  <c r="O86" i="91"/>
  <c r="O89" i="91"/>
  <c r="O91" i="91"/>
  <c r="O87" i="91"/>
  <c r="P86" i="91"/>
  <c r="K95" i="91"/>
  <c r="K96" i="91" s="1"/>
  <c r="L82" i="84"/>
  <c r="M80" i="84" s="1"/>
  <c r="L81" i="84"/>
  <c r="L82" i="77"/>
  <c r="M80" i="77" s="1"/>
  <c r="L81" i="77"/>
  <c r="O88" i="127"/>
  <c r="P86" i="127"/>
  <c r="O91" i="127"/>
  <c r="P89" i="127"/>
  <c r="O86" i="98"/>
  <c r="P86" i="98"/>
  <c r="P87" i="121"/>
  <c r="L95" i="121"/>
  <c r="L96" i="121" s="1"/>
  <c r="O93" i="121"/>
  <c r="P94" i="121"/>
  <c r="O87" i="121"/>
  <c r="F95" i="121"/>
  <c r="F96" i="121" s="1"/>
  <c r="O85" i="121"/>
  <c r="O90" i="125"/>
  <c r="H95" i="125"/>
  <c r="H96" i="125" s="1"/>
  <c r="P93" i="125"/>
  <c r="O89" i="125"/>
  <c r="O95" i="88"/>
  <c r="L82" i="89"/>
  <c r="M80" i="89" s="1"/>
  <c r="L81" i="89"/>
  <c r="H95" i="100"/>
  <c r="H96" i="100" s="1"/>
  <c r="O93" i="100"/>
  <c r="P92" i="100"/>
  <c r="P93" i="100"/>
  <c r="P87" i="100"/>
  <c r="F95" i="100"/>
  <c r="F96" i="100" s="1"/>
  <c r="O85" i="100"/>
  <c r="O94" i="100"/>
  <c r="P85" i="79"/>
  <c r="I95" i="79"/>
  <c r="I96" i="79" s="1"/>
  <c r="L95" i="79"/>
  <c r="L96" i="79" s="1"/>
  <c r="O86" i="79"/>
  <c r="O93" i="79"/>
  <c r="P92" i="79"/>
  <c r="G95" i="79"/>
  <c r="G96" i="79" s="1"/>
  <c r="J95" i="98"/>
  <c r="H95" i="102"/>
  <c r="H96" i="102" s="1"/>
  <c r="O91" i="102"/>
  <c r="G95" i="102"/>
  <c r="G96" i="102" s="1"/>
  <c r="O93" i="102"/>
  <c r="P86" i="102"/>
  <c r="P93" i="102"/>
  <c r="P91" i="102"/>
  <c r="O88" i="109"/>
  <c r="I95" i="109"/>
  <c r="I96" i="109" s="1"/>
  <c r="P85" i="109"/>
  <c r="F95" i="109"/>
  <c r="F96" i="109" s="1"/>
  <c r="O85" i="109"/>
  <c r="P87" i="109"/>
  <c r="O89" i="109"/>
  <c r="O86" i="109"/>
  <c r="O89" i="105"/>
  <c r="O94" i="105"/>
  <c r="L95" i="105"/>
  <c r="L96" i="105" s="1"/>
  <c r="H95" i="105"/>
  <c r="H96" i="105" s="1"/>
  <c r="K95" i="105"/>
  <c r="K96" i="105" s="1"/>
  <c r="J95" i="105"/>
  <c r="J96" i="105" s="1"/>
  <c r="P91" i="105"/>
  <c r="P90" i="105"/>
  <c r="O86" i="104"/>
  <c r="O88" i="104"/>
  <c r="J95" i="104"/>
  <c r="J96" i="104" s="1"/>
  <c r="L82" i="75"/>
  <c r="M80" i="75" s="1"/>
  <c r="P80" i="75" s="1"/>
  <c r="L81" i="75"/>
  <c r="L82" i="85"/>
  <c r="M80" i="85" s="1"/>
  <c r="P80" i="85" s="1"/>
  <c r="L81" i="85"/>
  <c r="I96" i="98"/>
  <c r="K95" i="123"/>
  <c r="K96" i="123" s="1"/>
  <c r="P90" i="123"/>
  <c r="O89" i="123"/>
  <c r="P92" i="123"/>
  <c r="P86" i="123"/>
  <c r="P91" i="123"/>
  <c r="J95" i="103"/>
  <c r="J96" i="103" s="1"/>
  <c r="P92" i="103"/>
  <c r="N95" i="103"/>
  <c r="N96" i="103" s="1"/>
  <c r="P91" i="103"/>
  <c r="O85" i="90"/>
  <c r="F95" i="90"/>
  <c r="F96" i="90" s="1"/>
  <c r="O94" i="90"/>
  <c r="P88" i="90"/>
  <c r="O89" i="90"/>
  <c r="O90" i="90"/>
  <c r="V23" i="14"/>
  <c r="P81" i="87"/>
  <c r="N95" i="9"/>
  <c r="N96" i="9" s="1"/>
  <c r="M95" i="9"/>
  <c r="M96" i="9" s="1"/>
  <c r="O91" i="9"/>
  <c r="O93" i="9"/>
  <c r="M95" i="128"/>
  <c r="M96" i="128" s="1"/>
  <c r="P85" i="128"/>
  <c r="I95" i="128"/>
  <c r="I96" i="128" s="1"/>
  <c r="P92" i="128"/>
  <c r="P93" i="128"/>
  <c r="O88" i="128"/>
  <c r="J95" i="83"/>
  <c r="J96" i="83" s="1"/>
  <c r="P87" i="83"/>
  <c r="L95" i="83"/>
  <c r="L96" i="83" s="1"/>
  <c r="N95" i="83"/>
  <c r="N96" i="83" s="1"/>
  <c r="G95" i="83"/>
  <c r="G96" i="83" s="1"/>
  <c r="F95" i="99"/>
  <c r="F96" i="99" s="1"/>
  <c r="O85" i="99"/>
  <c r="P90" i="99"/>
  <c r="O90" i="99"/>
  <c r="P88" i="99"/>
  <c r="M95" i="124"/>
  <c r="M96" i="124" s="1"/>
  <c r="O92" i="124"/>
  <c r="P88" i="124"/>
  <c r="O89" i="98"/>
  <c r="L96" i="98"/>
  <c r="J18" i="115"/>
  <c r="K95" i="126"/>
  <c r="K96" i="126" s="1"/>
  <c r="L95" i="126"/>
  <c r="L96" i="126" s="1"/>
  <c r="O85" i="126"/>
  <c r="F95" i="126"/>
  <c r="F96" i="126" s="1"/>
  <c r="L82" i="74"/>
  <c r="M80" i="74" s="1"/>
  <c r="L81" i="74"/>
  <c r="P86" i="81"/>
  <c r="O92" i="81"/>
  <c r="N95" i="81"/>
  <c r="N96" i="81" s="1"/>
  <c r="P89" i="81"/>
  <c r="O94" i="81"/>
  <c r="O88" i="81"/>
  <c r="O85" i="81"/>
  <c r="F95" i="81"/>
  <c r="F96" i="81" s="1"/>
  <c r="P90" i="91"/>
  <c r="O88" i="91"/>
  <c r="P93" i="91"/>
  <c r="F86" i="106"/>
  <c r="I90" i="106"/>
  <c r="K91" i="106"/>
  <c r="J87" i="106"/>
  <c r="J85" i="106"/>
  <c r="K85" i="106"/>
  <c r="G94" i="106"/>
  <c r="N89" i="106"/>
  <c r="N92" i="106"/>
  <c r="J92" i="106"/>
  <c r="J93" i="106"/>
  <c r="L89" i="106"/>
  <c r="J88" i="106"/>
  <c r="H87" i="106"/>
  <c r="F90" i="106"/>
  <c r="L85" i="106"/>
  <c r="J94" i="106"/>
  <c r="G87" i="106"/>
  <c r="H85" i="106"/>
  <c r="L87" i="106"/>
  <c r="F91" i="106"/>
  <c r="J86" i="106"/>
  <c r="I91" i="106"/>
  <c r="J90" i="106"/>
  <c r="F85" i="106"/>
  <c r="F88" i="106"/>
  <c r="G85" i="106"/>
  <c r="N87" i="106"/>
  <c r="G90" i="106"/>
  <c r="K86" i="106"/>
  <c r="G92" i="106"/>
  <c r="L90" i="106"/>
  <c r="G91" i="106"/>
  <c r="L91" i="106"/>
  <c r="K94" i="106"/>
  <c r="I94" i="106"/>
  <c r="I88" i="106"/>
  <c r="F92" i="106"/>
  <c r="K88" i="106"/>
  <c r="F94" i="106"/>
  <c r="G89" i="106"/>
  <c r="H88" i="106"/>
  <c r="H94" i="106"/>
  <c r="K93" i="106"/>
  <c r="I93" i="106"/>
  <c r="N86" i="106"/>
  <c r="L86" i="106"/>
  <c r="H89" i="106"/>
  <c r="J91" i="106"/>
  <c r="G86" i="106"/>
  <c r="L94" i="106"/>
  <c r="N88" i="106"/>
  <c r="K89" i="106"/>
  <c r="L92" i="106"/>
  <c r="H90" i="106"/>
  <c r="J89" i="106"/>
  <c r="N85" i="106"/>
  <c r="N93" i="106"/>
  <c r="H91" i="106"/>
  <c r="G93" i="106"/>
  <c r="K92" i="106"/>
  <c r="N90" i="106"/>
  <c r="G88" i="106"/>
  <c r="L93" i="106"/>
  <c r="L88" i="106"/>
  <c r="I87" i="106"/>
  <c r="N91" i="106"/>
  <c r="F89" i="106"/>
  <c r="N94" i="106"/>
  <c r="F87" i="106"/>
  <c r="K90" i="106"/>
  <c r="H86" i="106"/>
  <c r="I89" i="106"/>
  <c r="I86" i="106"/>
  <c r="I92" i="106"/>
  <c r="H93" i="106"/>
  <c r="K87" i="106"/>
  <c r="H92" i="106"/>
  <c r="F93" i="106"/>
  <c r="I85" i="106"/>
  <c r="N95" i="127"/>
  <c r="N96" i="127" s="1"/>
  <c r="K95" i="127"/>
  <c r="K96" i="127" s="1"/>
  <c r="O90" i="127"/>
  <c r="M95" i="127"/>
  <c r="M96" i="127" s="1"/>
  <c r="P91" i="127"/>
  <c r="O92" i="98"/>
  <c r="P93" i="98"/>
  <c r="M95" i="109"/>
  <c r="M96" i="109" s="1"/>
  <c r="O91" i="121"/>
  <c r="K95" i="121"/>
  <c r="K96" i="121" s="1"/>
  <c r="M95" i="121"/>
  <c r="M96" i="121" s="1"/>
  <c r="O92" i="121"/>
  <c r="J95" i="121"/>
  <c r="J96" i="121" s="1"/>
  <c r="P85" i="121"/>
  <c r="I95" i="121"/>
  <c r="I96" i="121" s="1"/>
  <c r="G95" i="121"/>
  <c r="G96" i="121" s="1"/>
  <c r="J17" i="111"/>
  <c r="U17" i="111" s="1"/>
  <c r="U39" i="111" s="1"/>
  <c r="L95" i="125"/>
  <c r="L96" i="125" s="1"/>
  <c r="K95" i="125"/>
  <c r="K96" i="125" s="1"/>
  <c r="O92" i="125"/>
  <c r="O94" i="125"/>
  <c r="J95" i="125"/>
  <c r="J96" i="125" s="1"/>
  <c r="G95" i="125"/>
  <c r="G96" i="125" s="1"/>
  <c r="O88" i="125"/>
  <c r="L82" i="95"/>
  <c r="M80" i="95" s="1"/>
  <c r="O80" i="95" s="1"/>
  <c r="O81" i="95" s="1"/>
  <c r="L81" i="95"/>
  <c r="L95" i="100"/>
  <c r="L96" i="100" s="1"/>
  <c r="O86" i="100"/>
  <c r="P91" i="100"/>
  <c r="P86" i="100"/>
  <c r="P88" i="100"/>
  <c r="O80" i="87"/>
  <c r="O81" i="87" s="1"/>
  <c r="K89" i="87" s="1"/>
  <c r="J95" i="79"/>
  <c r="J96" i="79" s="1"/>
  <c r="P91" i="79"/>
  <c r="O85" i="79"/>
  <c r="F95" i="79"/>
  <c r="F96" i="79" s="1"/>
  <c r="F95" i="102"/>
  <c r="F96" i="102" s="1"/>
  <c r="O85" i="102"/>
  <c r="I95" i="102"/>
  <c r="I96" i="102" s="1"/>
  <c r="P85" i="102"/>
  <c r="P94" i="102"/>
  <c r="P90" i="102"/>
  <c r="J95" i="102"/>
  <c r="J96" i="102" s="1"/>
  <c r="P93" i="109"/>
  <c r="P90" i="109"/>
  <c r="O93" i="109"/>
  <c r="G95" i="109"/>
  <c r="G96" i="109" s="1"/>
  <c r="K95" i="109"/>
  <c r="K96" i="109" s="1"/>
  <c r="H95" i="109"/>
  <c r="H96" i="109" s="1"/>
  <c r="L82" i="93"/>
  <c r="M80" i="93" s="1"/>
  <c r="O80" i="93" s="1"/>
  <c r="O81" i="93" s="1"/>
  <c r="K93" i="93" s="1"/>
  <c r="L81" i="93"/>
  <c r="P88" i="105"/>
  <c r="N95" i="105"/>
  <c r="N96" i="105" s="1"/>
  <c r="O92" i="104"/>
  <c r="O93" i="104"/>
  <c r="F95" i="104"/>
  <c r="F96" i="104" s="1"/>
  <c r="O85" i="104"/>
  <c r="I95" i="104"/>
  <c r="I96" i="104" s="1"/>
  <c r="P85" i="104"/>
  <c r="H95" i="104"/>
  <c r="H96" i="104" s="1"/>
  <c r="P93" i="104"/>
  <c r="P94" i="98"/>
  <c r="P85" i="98"/>
  <c r="O90" i="123"/>
  <c r="O86" i="123"/>
  <c r="O94" i="123"/>
  <c r="O87" i="123"/>
  <c r="G95" i="103"/>
  <c r="G96" i="103" s="1"/>
  <c r="F95" i="103"/>
  <c r="F96" i="103" s="1"/>
  <c r="O85" i="103"/>
  <c r="H95" i="103"/>
  <c r="H96" i="103" s="1"/>
  <c r="O93" i="103"/>
  <c r="M95" i="103"/>
  <c r="M96" i="103" s="1"/>
  <c r="K95" i="103"/>
  <c r="K96" i="103" s="1"/>
  <c r="O88" i="103"/>
  <c r="O91" i="90"/>
  <c r="L95" i="90"/>
  <c r="L96" i="90" s="1"/>
  <c r="O88" i="90"/>
  <c r="K95" i="90"/>
  <c r="K96" i="90" s="1"/>
  <c r="O86" i="90"/>
  <c r="P85" i="90"/>
  <c r="I95" i="90"/>
  <c r="I96" i="90" s="1"/>
  <c r="P18" i="63"/>
  <c r="F16" i="131"/>
  <c r="P91" i="9"/>
  <c r="F95" i="128"/>
  <c r="F96" i="128" s="1"/>
  <c r="O85" i="128"/>
  <c r="P86" i="128"/>
  <c r="O94" i="128"/>
  <c r="O89" i="128"/>
  <c r="P86" i="83"/>
  <c r="O94" i="83"/>
  <c r="O91" i="83"/>
  <c r="P92" i="83"/>
  <c r="I95" i="99"/>
  <c r="I96" i="99" s="1"/>
  <c r="P85" i="99"/>
  <c r="N95" i="99"/>
  <c r="N96" i="99" s="1"/>
  <c r="O89" i="124"/>
  <c r="P90" i="124"/>
  <c r="N95" i="124"/>
  <c r="N96" i="124" s="1"/>
  <c r="O94" i="124"/>
  <c r="O91" i="124"/>
  <c r="K95" i="124"/>
  <c r="K96" i="124" s="1"/>
  <c r="P87" i="124"/>
  <c r="M96" i="98"/>
  <c r="H95" i="126"/>
  <c r="H96" i="126" s="1"/>
  <c r="M95" i="126"/>
  <c r="M96" i="126" s="1"/>
  <c r="O87" i="126"/>
  <c r="P86" i="126"/>
  <c r="P92" i="81"/>
  <c r="M95" i="81"/>
  <c r="M96" i="81" s="1"/>
  <c r="K95" i="81"/>
  <c r="K96" i="81" s="1"/>
  <c r="P88" i="81"/>
  <c r="L95" i="81"/>
  <c r="L96" i="81" s="1"/>
  <c r="G95" i="81"/>
  <c r="G96" i="81" s="1"/>
  <c r="L95" i="91"/>
  <c r="L96" i="91" s="1"/>
  <c r="O92" i="91"/>
  <c r="P94" i="91"/>
  <c r="P85" i="127"/>
  <c r="I95" i="127"/>
  <c r="I96" i="127" s="1"/>
  <c r="O86" i="127"/>
  <c r="O93" i="127"/>
  <c r="L95" i="127"/>
  <c r="L96" i="127" s="1"/>
  <c r="H95" i="127"/>
  <c r="H96" i="127" s="1"/>
  <c r="P92" i="127"/>
  <c r="F95" i="127"/>
  <c r="F96" i="127" s="1"/>
  <c r="O85" i="127"/>
  <c r="L82" i="82"/>
  <c r="M80" i="82" s="1"/>
  <c r="P80" i="82" s="1"/>
  <c r="L81" i="82"/>
  <c r="O95" i="101"/>
  <c r="L82" i="97"/>
  <c r="M80" i="97" s="1"/>
  <c r="O80" i="97" s="1"/>
  <c r="O81" i="97" s="1"/>
  <c r="L81" i="97"/>
  <c r="O90" i="121"/>
  <c r="O94" i="121"/>
  <c r="P93" i="121"/>
  <c r="P89" i="121"/>
  <c r="P88" i="121"/>
  <c r="P89" i="125"/>
  <c r="P91" i="125"/>
  <c r="O87" i="125"/>
  <c r="F95" i="125"/>
  <c r="F96" i="125" s="1"/>
  <c r="O85" i="125"/>
  <c r="N95" i="125"/>
  <c r="N96" i="125" s="1"/>
  <c r="O95" i="129"/>
  <c r="V18" i="63"/>
  <c r="L81" i="78"/>
  <c r="L82" i="78"/>
  <c r="M80" i="78" s="1"/>
  <c r="L82" i="76"/>
  <c r="M80" i="76" s="1"/>
  <c r="L81" i="76"/>
  <c r="G95" i="100"/>
  <c r="G96" i="100" s="1"/>
  <c r="K94" i="87" l="1"/>
  <c r="O95" i="102"/>
  <c r="O80" i="75"/>
  <c r="O81" i="75" s="1"/>
  <c r="K91" i="75" s="1"/>
  <c r="P95" i="99"/>
  <c r="P96" i="99" s="1"/>
  <c r="P95" i="90"/>
  <c r="P96" i="90" s="1"/>
  <c r="K91" i="87"/>
  <c r="O93" i="106"/>
  <c r="P92" i="106"/>
  <c r="P95" i="104"/>
  <c r="P96" i="104" s="1"/>
  <c r="O95" i="79"/>
  <c r="O97" i="79" s="1"/>
  <c r="O95" i="128"/>
  <c r="O96" i="128" s="1"/>
  <c r="O89" i="106"/>
  <c r="O95" i="127"/>
  <c r="O97" i="127" s="1"/>
  <c r="P95" i="127"/>
  <c r="P96" i="127" s="1"/>
  <c r="P95" i="102"/>
  <c r="P96" i="102" s="1"/>
  <c r="P91" i="106"/>
  <c r="O95" i="98"/>
  <c r="O97" i="98" s="1"/>
  <c r="P81" i="96"/>
  <c r="P81" i="75"/>
  <c r="P81" i="86"/>
  <c r="P81" i="82"/>
  <c r="M82" i="78"/>
  <c r="N82" i="78" s="1"/>
  <c r="M81" i="78"/>
  <c r="L85" i="97"/>
  <c r="L89" i="97"/>
  <c r="L92" i="97"/>
  <c r="L88" i="97"/>
  <c r="L87" i="97"/>
  <c r="L90" i="97"/>
  <c r="L94" i="97"/>
  <c r="L93" i="97"/>
  <c r="L86" i="97"/>
  <c r="L91" i="97"/>
  <c r="K87" i="93"/>
  <c r="K88" i="87"/>
  <c r="P95" i="98"/>
  <c r="P96" i="98" s="1"/>
  <c r="O95" i="104"/>
  <c r="P81" i="80"/>
  <c r="L90" i="93"/>
  <c r="L91" i="93"/>
  <c r="L85" i="93"/>
  <c r="L94" i="93"/>
  <c r="L86" i="93"/>
  <c r="L89" i="93"/>
  <c r="L88" i="93"/>
  <c r="L92" i="93"/>
  <c r="L87" i="93"/>
  <c r="L93" i="93"/>
  <c r="O96" i="79"/>
  <c r="L91" i="95"/>
  <c r="L88" i="95"/>
  <c r="L92" i="95"/>
  <c r="L85" i="95"/>
  <c r="L89" i="95"/>
  <c r="L86" i="95"/>
  <c r="L90" i="95"/>
  <c r="L94" i="95"/>
  <c r="L93" i="95"/>
  <c r="L87" i="95"/>
  <c r="P95" i="121"/>
  <c r="P96" i="121" s="1"/>
  <c r="P86" i="106"/>
  <c r="O87" i="106"/>
  <c r="P87" i="106"/>
  <c r="O92" i="106"/>
  <c r="O88" i="106"/>
  <c r="K95" i="106"/>
  <c r="K96" i="106" s="1"/>
  <c r="P90" i="106"/>
  <c r="M82" i="74"/>
  <c r="N82" i="74" s="1"/>
  <c r="M81" i="74"/>
  <c r="P80" i="74"/>
  <c r="O80" i="74"/>
  <c r="O81" i="74" s="1"/>
  <c r="L87" i="74" s="1"/>
  <c r="K85" i="87"/>
  <c r="P95" i="128"/>
  <c r="P96" i="128" s="1"/>
  <c r="P95" i="109"/>
  <c r="P96" i="109" s="1"/>
  <c r="O95" i="100"/>
  <c r="M82" i="89"/>
  <c r="N82" i="89" s="1"/>
  <c r="M81" i="89"/>
  <c r="P80" i="89"/>
  <c r="O80" i="89"/>
  <c r="O81" i="89" s="1"/>
  <c r="O95" i="121"/>
  <c r="M82" i="77"/>
  <c r="N82" i="77" s="1"/>
  <c r="M81" i="77"/>
  <c r="P80" i="77"/>
  <c r="O80" i="77"/>
  <c r="O81" i="77" s="1"/>
  <c r="L87" i="77" s="1"/>
  <c r="K94" i="93"/>
  <c r="K90" i="87"/>
  <c r="O95" i="83"/>
  <c r="O95" i="9"/>
  <c r="P80" i="78"/>
  <c r="K89" i="93"/>
  <c r="M82" i="92"/>
  <c r="N82" i="92" s="1"/>
  <c r="M81" i="92"/>
  <c r="O80" i="92"/>
  <c r="O81" i="92" s="1"/>
  <c r="O95" i="124"/>
  <c r="K86" i="87"/>
  <c r="O96" i="129"/>
  <c r="O97" i="129"/>
  <c r="O95" i="125"/>
  <c r="M82" i="97"/>
  <c r="N82" i="97" s="1"/>
  <c r="M81" i="97"/>
  <c r="P80" i="97"/>
  <c r="O95" i="103"/>
  <c r="M82" i="93"/>
  <c r="N82" i="93" s="1"/>
  <c r="M81" i="93"/>
  <c r="P80" i="93"/>
  <c r="O96" i="102"/>
  <c r="O97" i="102"/>
  <c r="M82" i="95"/>
  <c r="N82" i="95" s="1"/>
  <c r="M81" i="95"/>
  <c r="P80" i="95"/>
  <c r="P89" i="106"/>
  <c r="N95" i="106"/>
  <c r="N96" i="106" s="1"/>
  <c r="P93" i="106"/>
  <c r="P88" i="106"/>
  <c r="F95" i="106"/>
  <c r="F96" i="106" s="1"/>
  <c r="O85" i="106"/>
  <c r="O91" i="106"/>
  <c r="J95" i="106"/>
  <c r="J96" i="106" s="1"/>
  <c r="O86" i="106"/>
  <c r="K91" i="93"/>
  <c r="K93" i="87"/>
  <c r="O95" i="99"/>
  <c r="M82" i="85"/>
  <c r="N82" i="85" s="1"/>
  <c r="M81" i="85"/>
  <c r="O96" i="88"/>
  <c r="O97" i="88"/>
  <c r="K85" i="93"/>
  <c r="P95" i="103"/>
  <c r="P96" i="103" s="1"/>
  <c r="P95" i="123"/>
  <c r="P96" i="123" s="1"/>
  <c r="O95" i="123"/>
  <c r="K92" i="93"/>
  <c r="M94" i="87"/>
  <c r="M87" i="87"/>
  <c r="M86" i="87"/>
  <c r="M89" i="87"/>
  <c r="M85" i="87"/>
  <c r="M90" i="87"/>
  <c r="M88" i="87"/>
  <c r="M92" i="87"/>
  <c r="M93" i="87"/>
  <c r="M91" i="87"/>
  <c r="O96" i="101"/>
  <c r="O97" i="101"/>
  <c r="M82" i="82"/>
  <c r="N82" i="82" s="1"/>
  <c r="M81" i="82"/>
  <c r="O80" i="82"/>
  <c r="O81" i="82" s="1"/>
  <c r="L91" i="82" s="1"/>
  <c r="O96" i="127"/>
  <c r="P81" i="85"/>
  <c r="P85" i="106"/>
  <c r="I95" i="106"/>
  <c r="I96" i="106" s="1"/>
  <c r="O94" i="106"/>
  <c r="P94" i="106"/>
  <c r="L95" i="106"/>
  <c r="L96" i="106" s="1"/>
  <c r="O95" i="81"/>
  <c r="K90" i="93"/>
  <c r="O95" i="126"/>
  <c r="L91" i="75"/>
  <c r="O95" i="109"/>
  <c r="M82" i="84"/>
  <c r="N82" i="84" s="1"/>
  <c r="M81" i="84"/>
  <c r="P80" i="84"/>
  <c r="O80" i="84"/>
  <c r="O81" i="84" s="1"/>
  <c r="L93" i="84" s="1"/>
  <c r="P95" i="126"/>
  <c r="P96" i="126" s="1"/>
  <c r="P95" i="124"/>
  <c r="P96" i="124" s="1"/>
  <c r="P95" i="9"/>
  <c r="P96" i="9" s="1"/>
  <c r="O95" i="105"/>
  <c r="P95" i="100"/>
  <c r="P96" i="100" s="1"/>
  <c r="P95" i="125"/>
  <c r="P96" i="125" s="1"/>
  <c r="P95" i="81"/>
  <c r="P96" i="81" s="1"/>
  <c r="P81" i="92"/>
  <c r="M82" i="96"/>
  <c r="N82" i="96" s="1"/>
  <c r="M81" i="96"/>
  <c r="P95" i="83"/>
  <c r="P96" i="83" s="1"/>
  <c r="O80" i="78"/>
  <c r="O81" i="78" s="1"/>
  <c r="L93" i="78" s="1"/>
  <c r="M82" i="76"/>
  <c r="N82" i="76" s="1"/>
  <c r="M81" i="76"/>
  <c r="O80" i="76"/>
  <c r="O81" i="76" s="1"/>
  <c r="L89" i="76" s="1"/>
  <c r="P80" i="76"/>
  <c r="H90" i="97"/>
  <c r="H86" i="97"/>
  <c r="J92" i="97"/>
  <c r="F93" i="97"/>
  <c r="N88" i="97"/>
  <c r="I90" i="97"/>
  <c r="F89" i="97"/>
  <c r="J93" i="97"/>
  <c r="H89" i="97"/>
  <c r="N86" i="97"/>
  <c r="F85" i="97"/>
  <c r="J88" i="97"/>
  <c r="F94" i="97"/>
  <c r="K87" i="97"/>
  <c r="K94" i="97"/>
  <c r="J85" i="97"/>
  <c r="N87" i="97"/>
  <c r="I94" i="97"/>
  <c r="N91" i="97"/>
  <c r="N90" i="97"/>
  <c r="K89" i="97"/>
  <c r="H92" i="97"/>
  <c r="J86" i="97"/>
  <c r="F91" i="97"/>
  <c r="J90" i="97"/>
  <c r="H87" i="97"/>
  <c r="J91" i="97"/>
  <c r="I85" i="97"/>
  <c r="G93" i="97"/>
  <c r="K92" i="97"/>
  <c r="K86" i="97"/>
  <c r="I92" i="97"/>
  <c r="K85" i="97"/>
  <c r="N85" i="97"/>
  <c r="I88" i="97"/>
  <c r="I87" i="97"/>
  <c r="J87" i="97"/>
  <c r="H94" i="97"/>
  <c r="I91" i="97"/>
  <c r="N94" i="97"/>
  <c r="G87" i="97"/>
  <c r="G92" i="97"/>
  <c r="F92" i="97"/>
  <c r="H93" i="97"/>
  <c r="F87" i="97"/>
  <c r="H88" i="97"/>
  <c r="F90" i="97"/>
  <c r="J89" i="97"/>
  <c r="K93" i="97"/>
  <c r="G90" i="97"/>
  <c r="G86" i="97"/>
  <c r="G89" i="97"/>
  <c r="N89" i="97"/>
  <c r="F86" i="97"/>
  <c r="H85" i="97"/>
  <c r="K88" i="97"/>
  <c r="I93" i="97"/>
  <c r="F88" i="97"/>
  <c r="I89" i="97"/>
  <c r="G94" i="97"/>
  <c r="K91" i="97"/>
  <c r="G88" i="97"/>
  <c r="G85" i="97"/>
  <c r="K90" i="97"/>
  <c r="N93" i="97"/>
  <c r="J94" i="97"/>
  <c r="N92" i="97"/>
  <c r="H91" i="97"/>
  <c r="G91" i="97"/>
  <c r="I86" i="97"/>
  <c r="J90" i="75"/>
  <c r="G92" i="75"/>
  <c r="N87" i="75"/>
  <c r="H85" i="75"/>
  <c r="N90" i="75"/>
  <c r="F93" i="75"/>
  <c r="J89" i="75"/>
  <c r="G92" i="93"/>
  <c r="J88" i="93"/>
  <c r="G94" i="93"/>
  <c r="F88" i="93"/>
  <c r="J94" i="93"/>
  <c r="I88" i="93"/>
  <c r="F91" i="93"/>
  <c r="J91" i="93"/>
  <c r="H94" i="93"/>
  <c r="F89" i="93"/>
  <c r="N88" i="93"/>
  <c r="N85" i="93"/>
  <c r="J90" i="93"/>
  <c r="G88" i="93"/>
  <c r="F92" i="93"/>
  <c r="F86" i="93"/>
  <c r="H90" i="93"/>
  <c r="F85" i="93"/>
  <c r="H93" i="93"/>
  <c r="H87" i="93"/>
  <c r="H89" i="93"/>
  <c r="J89" i="93"/>
  <c r="G89" i="93"/>
  <c r="N90" i="93"/>
  <c r="F90" i="93"/>
  <c r="J85" i="93"/>
  <c r="F87" i="93"/>
  <c r="I86" i="93"/>
  <c r="N91" i="93"/>
  <c r="N86" i="93"/>
  <c r="G86" i="93"/>
  <c r="G91" i="93"/>
  <c r="N92" i="93"/>
  <c r="N94" i="93"/>
  <c r="J87" i="93"/>
  <c r="H88" i="93"/>
  <c r="N89" i="93"/>
  <c r="H86" i="93"/>
  <c r="H91" i="93"/>
  <c r="J92" i="93"/>
  <c r="J86" i="93"/>
  <c r="J93" i="93"/>
  <c r="N87" i="93"/>
  <c r="H92" i="93"/>
  <c r="I92" i="93"/>
  <c r="H85" i="93"/>
  <c r="I91" i="93"/>
  <c r="I93" i="93"/>
  <c r="I89" i="93"/>
  <c r="I87" i="93"/>
  <c r="I90" i="93"/>
  <c r="I94" i="93"/>
  <c r="F93" i="93"/>
  <c r="F94" i="93"/>
  <c r="G85" i="93"/>
  <c r="I85" i="93"/>
  <c r="N93" i="93"/>
  <c r="G90" i="93"/>
  <c r="G93" i="93"/>
  <c r="G87" i="93"/>
  <c r="I85" i="87"/>
  <c r="G92" i="87"/>
  <c r="I89" i="87"/>
  <c r="J85" i="87"/>
  <c r="J86" i="87"/>
  <c r="L86" i="87"/>
  <c r="I92" i="87"/>
  <c r="J87" i="87"/>
  <c r="N86" i="87"/>
  <c r="F86" i="87"/>
  <c r="N92" i="87"/>
  <c r="I87" i="87"/>
  <c r="J93" i="87"/>
  <c r="L90" i="87"/>
  <c r="N88" i="87"/>
  <c r="J90" i="87"/>
  <c r="F87" i="87"/>
  <c r="I90" i="87"/>
  <c r="L87" i="87"/>
  <c r="J91" i="87"/>
  <c r="I94" i="87"/>
  <c r="H92" i="87"/>
  <c r="G89" i="87"/>
  <c r="L93" i="87"/>
  <c r="N90" i="87"/>
  <c r="H93" i="87"/>
  <c r="G86" i="87"/>
  <c r="H90" i="87"/>
  <c r="G94" i="87"/>
  <c r="H87" i="87"/>
  <c r="J94" i="87"/>
  <c r="F90" i="87"/>
  <c r="N93" i="87"/>
  <c r="G91" i="87"/>
  <c r="L89" i="87"/>
  <c r="J89" i="87"/>
  <c r="F88" i="87"/>
  <c r="H88" i="87"/>
  <c r="F93" i="87"/>
  <c r="F94" i="87"/>
  <c r="H85" i="87"/>
  <c r="L91" i="87"/>
  <c r="I93" i="87"/>
  <c r="F92" i="87"/>
  <c r="H86" i="87"/>
  <c r="L85" i="87"/>
  <c r="G90" i="87"/>
  <c r="N85" i="87"/>
  <c r="I91" i="87"/>
  <c r="G87" i="87"/>
  <c r="I86" i="87"/>
  <c r="F89" i="87"/>
  <c r="H91" i="87"/>
  <c r="N87" i="87"/>
  <c r="F85" i="87"/>
  <c r="H94" i="87"/>
  <c r="I88" i="87"/>
  <c r="L92" i="87"/>
  <c r="G88" i="87"/>
  <c r="L94" i="87"/>
  <c r="J88" i="87"/>
  <c r="N94" i="87"/>
  <c r="N89" i="87"/>
  <c r="G93" i="87"/>
  <c r="H89" i="87"/>
  <c r="J92" i="87"/>
  <c r="G85" i="87"/>
  <c r="L88" i="87"/>
  <c r="N91" i="87"/>
  <c r="F91" i="87"/>
  <c r="H88" i="95"/>
  <c r="F94" i="95"/>
  <c r="J91" i="95"/>
  <c r="G88" i="95"/>
  <c r="K92" i="95"/>
  <c r="H89" i="95"/>
  <c r="I89" i="95"/>
  <c r="G92" i="95"/>
  <c r="J94" i="95"/>
  <c r="J93" i="95"/>
  <c r="H87" i="95"/>
  <c r="G94" i="95"/>
  <c r="F92" i="95"/>
  <c r="G85" i="95"/>
  <c r="I90" i="95"/>
  <c r="I94" i="95"/>
  <c r="H93" i="95"/>
  <c r="I92" i="95"/>
  <c r="G93" i="95"/>
  <c r="F93" i="95"/>
  <c r="N89" i="95"/>
  <c r="K88" i="95"/>
  <c r="J85" i="95"/>
  <c r="K85" i="95"/>
  <c r="N92" i="95"/>
  <c r="I93" i="95"/>
  <c r="H91" i="95"/>
  <c r="K94" i="95"/>
  <c r="J86" i="95"/>
  <c r="H85" i="95"/>
  <c r="G87" i="95"/>
  <c r="H90" i="95"/>
  <c r="K90" i="95"/>
  <c r="N94" i="95"/>
  <c r="I85" i="95"/>
  <c r="F88" i="95"/>
  <c r="I87" i="95"/>
  <c r="J92" i="95"/>
  <c r="G89" i="95"/>
  <c r="J89" i="95"/>
  <c r="K89" i="95"/>
  <c r="F86" i="95"/>
  <c r="I88" i="95"/>
  <c r="F87" i="95"/>
  <c r="G90" i="95"/>
  <c r="N93" i="95"/>
  <c r="G86" i="95"/>
  <c r="I86" i="95"/>
  <c r="F91" i="95"/>
  <c r="H86" i="95"/>
  <c r="G91" i="95"/>
  <c r="K87" i="95"/>
  <c r="K86" i="95"/>
  <c r="F85" i="95"/>
  <c r="H92" i="95"/>
  <c r="J88" i="95"/>
  <c r="K91" i="95"/>
  <c r="K93" i="95"/>
  <c r="N87" i="95"/>
  <c r="I91" i="95"/>
  <c r="F89" i="95"/>
  <c r="N91" i="95"/>
  <c r="N86" i="95"/>
  <c r="N88" i="95"/>
  <c r="N85" i="95"/>
  <c r="H94" i="95"/>
  <c r="F90" i="95"/>
  <c r="N90" i="95"/>
  <c r="J87" i="95"/>
  <c r="J90" i="95"/>
  <c r="G95" i="106"/>
  <c r="G96" i="106" s="1"/>
  <c r="H95" i="106"/>
  <c r="H96" i="106" s="1"/>
  <c r="O90" i="106"/>
  <c r="L94" i="74"/>
  <c r="K92" i="87"/>
  <c r="O95" i="90"/>
  <c r="M82" i="75"/>
  <c r="N82" i="75" s="1"/>
  <c r="M81" i="75"/>
  <c r="J96" i="98"/>
  <c r="P95" i="79"/>
  <c r="P96" i="79" s="1"/>
  <c r="L89" i="89"/>
  <c r="L85" i="89"/>
  <c r="L94" i="89"/>
  <c r="L90" i="89"/>
  <c r="L92" i="89"/>
  <c r="L91" i="89"/>
  <c r="L87" i="89"/>
  <c r="L88" i="89"/>
  <c r="L93" i="89"/>
  <c r="L86" i="89"/>
  <c r="L89" i="77"/>
  <c r="P95" i="91"/>
  <c r="P96" i="91" s="1"/>
  <c r="K88" i="93"/>
  <c r="K87" i="87"/>
  <c r="M82" i="86"/>
  <c r="N82" i="86" s="1"/>
  <c r="M81" i="86"/>
  <c r="O80" i="86"/>
  <c r="O81" i="86" s="1"/>
  <c r="M82" i="80"/>
  <c r="N82" i="80" s="1"/>
  <c r="M81" i="80"/>
  <c r="O80" i="80"/>
  <c r="O81" i="80" s="1"/>
  <c r="L91" i="80" s="1"/>
  <c r="P95" i="105"/>
  <c r="P96" i="105" s="1"/>
  <c r="P17" i="111"/>
  <c r="K17" i="111"/>
  <c r="O95" i="91"/>
  <c r="K86" i="93"/>
  <c r="L94" i="92"/>
  <c r="L86" i="92"/>
  <c r="L92" i="92"/>
  <c r="L89" i="92"/>
  <c r="L88" i="92"/>
  <c r="L87" i="92"/>
  <c r="L90" i="92"/>
  <c r="L93" i="92"/>
  <c r="L85" i="92"/>
  <c r="L91" i="92"/>
  <c r="O80" i="96"/>
  <c r="O81" i="96" s="1"/>
  <c r="L91" i="96" s="1"/>
  <c r="M82" i="94"/>
  <c r="N82" i="94" s="1"/>
  <c r="M81" i="94"/>
  <c r="P80" i="94"/>
  <c r="O80" i="94"/>
  <c r="O81" i="94" s="1"/>
  <c r="M95" i="106"/>
  <c r="O80" i="85"/>
  <c r="O81" i="85" s="1"/>
  <c r="L88" i="85" s="1"/>
  <c r="L90" i="77" l="1"/>
  <c r="L86" i="74"/>
  <c r="L93" i="74"/>
  <c r="F87" i="75"/>
  <c r="H94" i="75"/>
  <c r="J93" i="75"/>
  <c r="G89" i="75"/>
  <c r="G91" i="75"/>
  <c r="F90" i="75"/>
  <c r="G86" i="75"/>
  <c r="F85" i="75"/>
  <c r="F95" i="75" s="1"/>
  <c r="F96" i="75" s="1"/>
  <c r="L85" i="75"/>
  <c r="K86" i="75"/>
  <c r="L89" i="75"/>
  <c r="L93" i="75"/>
  <c r="L90" i="75"/>
  <c r="K87" i="75"/>
  <c r="K94" i="75"/>
  <c r="K89" i="75"/>
  <c r="K93" i="75"/>
  <c r="L93" i="77"/>
  <c r="N92" i="75"/>
  <c r="F91" i="75"/>
  <c r="G90" i="75"/>
  <c r="H91" i="75"/>
  <c r="N93" i="75"/>
  <c r="H86" i="75"/>
  <c r="F88" i="75"/>
  <c r="O97" i="128"/>
  <c r="L85" i="77"/>
  <c r="L92" i="77"/>
  <c r="J88" i="75"/>
  <c r="I88" i="75"/>
  <c r="I87" i="75"/>
  <c r="F89" i="75"/>
  <c r="I92" i="75"/>
  <c r="J87" i="75"/>
  <c r="J95" i="75" s="1"/>
  <c r="J96" i="75" s="1"/>
  <c r="J91" i="75"/>
  <c r="G85" i="75"/>
  <c r="G95" i="75" s="1"/>
  <c r="G96" i="75" s="1"/>
  <c r="H93" i="75"/>
  <c r="F94" i="75"/>
  <c r="G87" i="75"/>
  <c r="N89" i="75"/>
  <c r="I85" i="75"/>
  <c r="I89" i="75"/>
  <c r="J86" i="75"/>
  <c r="L87" i="75"/>
  <c r="L94" i="75"/>
  <c r="L92" i="75"/>
  <c r="K88" i="75"/>
  <c r="K92" i="75"/>
  <c r="L94" i="77"/>
  <c r="N88" i="75"/>
  <c r="G94" i="75"/>
  <c r="I93" i="75"/>
  <c r="O93" i="75" s="1"/>
  <c r="H89" i="75"/>
  <c r="J92" i="75"/>
  <c r="N86" i="75"/>
  <c r="G88" i="75"/>
  <c r="G93" i="75"/>
  <c r="L91" i="77"/>
  <c r="L86" i="77"/>
  <c r="J94" i="75"/>
  <c r="I90" i="75"/>
  <c r="H92" i="75"/>
  <c r="F92" i="75"/>
  <c r="F86" i="75"/>
  <c r="O86" i="75" s="1"/>
  <c r="H88" i="75"/>
  <c r="I94" i="75"/>
  <c r="H87" i="75"/>
  <c r="I91" i="75"/>
  <c r="H90" i="75"/>
  <c r="N94" i="75"/>
  <c r="J85" i="75"/>
  <c r="N91" i="75"/>
  <c r="N85" i="75"/>
  <c r="I86" i="75"/>
  <c r="L88" i="75"/>
  <c r="L86" i="75"/>
  <c r="L85" i="74"/>
  <c r="L90" i="74"/>
  <c r="L91" i="74"/>
  <c r="L88" i="77"/>
  <c r="L88" i="74"/>
  <c r="L89" i="74"/>
  <c r="K90" i="75"/>
  <c r="K85" i="75"/>
  <c r="L92" i="74"/>
  <c r="O90" i="87"/>
  <c r="O96" i="98"/>
  <c r="P91" i="87"/>
  <c r="K94" i="94"/>
  <c r="K93" i="94"/>
  <c r="H88" i="94"/>
  <c r="H87" i="94"/>
  <c r="G85" i="94"/>
  <c r="K86" i="94"/>
  <c r="N94" i="94"/>
  <c r="I94" i="94"/>
  <c r="K89" i="94"/>
  <c r="J88" i="94"/>
  <c r="J91" i="94"/>
  <c r="H92" i="94"/>
  <c r="K87" i="94"/>
  <c r="H89" i="94"/>
  <c r="G94" i="94"/>
  <c r="I93" i="94"/>
  <c r="G92" i="94"/>
  <c r="G86" i="94"/>
  <c r="G90" i="94"/>
  <c r="F88" i="94"/>
  <c r="J94" i="94"/>
  <c r="F87" i="94"/>
  <c r="G91" i="94"/>
  <c r="I87" i="94"/>
  <c r="I91" i="94"/>
  <c r="H91" i="94"/>
  <c r="J89" i="94"/>
  <c r="G87" i="94"/>
  <c r="G93" i="94"/>
  <c r="F92" i="94"/>
  <c r="G89" i="94"/>
  <c r="K88" i="94"/>
  <c r="N89" i="94"/>
  <c r="N85" i="94"/>
  <c r="I86" i="94"/>
  <c r="N91" i="94"/>
  <c r="F90" i="94"/>
  <c r="K91" i="94"/>
  <c r="J90" i="94"/>
  <c r="J87" i="94"/>
  <c r="H93" i="94"/>
  <c r="K90" i="94"/>
  <c r="N88" i="94"/>
  <c r="N87" i="94"/>
  <c r="H86" i="94"/>
  <c r="F93" i="94"/>
  <c r="I88" i="94"/>
  <c r="N90" i="94"/>
  <c r="K85" i="94"/>
  <c r="J93" i="94"/>
  <c r="J86" i="94"/>
  <c r="I90" i="94"/>
  <c r="H85" i="94"/>
  <c r="J85" i="94"/>
  <c r="F94" i="94"/>
  <c r="J92" i="94"/>
  <c r="K92" i="94"/>
  <c r="G88" i="94"/>
  <c r="F85" i="94"/>
  <c r="H90" i="94"/>
  <c r="I92" i="94"/>
  <c r="H94" i="94"/>
  <c r="F89" i="94"/>
  <c r="F91" i="94"/>
  <c r="N92" i="94"/>
  <c r="I89" i="94"/>
  <c r="N93" i="94"/>
  <c r="N86" i="94"/>
  <c r="I85" i="94"/>
  <c r="F86" i="94"/>
  <c r="M94" i="80"/>
  <c r="M89" i="80"/>
  <c r="M90" i="80"/>
  <c r="M93" i="80"/>
  <c r="M92" i="80"/>
  <c r="M91" i="80"/>
  <c r="M88" i="80"/>
  <c r="M86" i="80"/>
  <c r="M85" i="80"/>
  <c r="M87" i="80"/>
  <c r="V17" i="111"/>
  <c r="P39" i="111"/>
  <c r="V39" i="111" s="1"/>
  <c r="I86" i="86"/>
  <c r="N93" i="86"/>
  <c r="N89" i="86"/>
  <c r="F92" i="86"/>
  <c r="F89" i="86"/>
  <c r="J92" i="86"/>
  <c r="J90" i="86"/>
  <c r="N85" i="86"/>
  <c r="K85" i="86"/>
  <c r="F90" i="86"/>
  <c r="I85" i="86"/>
  <c r="K93" i="86"/>
  <c r="I90" i="86"/>
  <c r="H91" i="86"/>
  <c r="J94" i="86"/>
  <c r="I88" i="86"/>
  <c r="J85" i="86"/>
  <c r="H88" i="86"/>
  <c r="N90" i="86"/>
  <c r="G89" i="86"/>
  <c r="H93" i="86"/>
  <c r="G85" i="86"/>
  <c r="F94" i="86"/>
  <c r="I91" i="86"/>
  <c r="N86" i="86"/>
  <c r="N88" i="86"/>
  <c r="I93" i="86"/>
  <c r="K91" i="86"/>
  <c r="K90" i="86"/>
  <c r="K92" i="86"/>
  <c r="K94" i="86"/>
  <c r="K86" i="86"/>
  <c r="F93" i="86"/>
  <c r="K87" i="86"/>
  <c r="I89" i="86"/>
  <c r="G93" i="86"/>
  <c r="H90" i="86"/>
  <c r="I94" i="86"/>
  <c r="G90" i="86"/>
  <c r="N87" i="86"/>
  <c r="J91" i="86"/>
  <c r="G91" i="86"/>
  <c r="H92" i="86"/>
  <c r="K89" i="86"/>
  <c r="F91" i="86"/>
  <c r="N92" i="86"/>
  <c r="J89" i="86"/>
  <c r="H86" i="86"/>
  <c r="G88" i="86"/>
  <c r="F86" i="86"/>
  <c r="J86" i="86"/>
  <c r="N91" i="86"/>
  <c r="G87" i="86"/>
  <c r="I87" i="86"/>
  <c r="G86" i="86"/>
  <c r="F88" i="86"/>
  <c r="J87" i="86"/>
  <c r="J93" i="86"/>
  <c r="G92" i="86"/>
  <c r="N94" i="86"/>
  <c r="H94" i="86"/>
  <c r="H85" i="86"/>
  <c r="F87" i="86"/>
  <c r="G94" i="86"/>
  <c r="H87" i="86"/>
  <c r="K88" i="86"/>
  <c r="H89" i="86"/>
  <c r="F85" i="86"/>
  <c r="I92" i="86"/>
  <c r="J88" i="86"/>
  <c r="M92" i="94"/>
  <c r="M89" i="94"/>
  <c r="M91" i="94"/>
  <c r="M93" i="94"/>
  <c r="M88" i="94"/>
  <c r="M90" i="94"/>
  <c r="M94" i="94"/>
  <c r="M86" i="94"/>
  <c r="M87" i="94"/>
  <c r="M85" i="94"/>
  <c r="L95" i="92"/>
  <c r="L96" i="92" s="1"/>
  <c r="M89" i="86"/>
  <c r="M93" i="86"/>
  <c r="M85" i="86"/>
  <c r="M87" i="86"/>
  <c r="M91" i="86"/>
  <c r="M86" i="86"/>
  <c r="M92" i="86"/>
  <c r="M88" i="86"/>
  <c r="M94" i="86"/>
  <c r="M90" i="86"/>
  <c r="M86" i="75"/>
  <c r="M91" i="75"/>
  <c r="M87" i="75"/>
  <c r="P87" i="75" s="1"/>
  <c r="M89" i="75"/>
  <c r="M85" i="75"/>
  <c r="P85" i="75" s="1"/>
  <c r="M93" i="75"/>
  <c r="M88" i="75"/>
  <c r="O88" i="75" s="1"/>
  <c r="M94" i="75"/>
  <c r="M90" i="75"/>
  <c r="M92" i="75"/>
  <c r="O97" i="90"/>
  <c r="O96" i="90"/>
  <c r="N95" i="95"/>
  <c r="N96" i="95" s="1"/>
  <c r="G95" i="87"/>
  <c r="G96" i="87" s="1"/>
  <c r="O85" i="87"/>
  <c r="F95" i="87"/>
  <c r="F96" i="87" s="1"/>
  <c r="P86" i="87"/>
  <c r="P93" i="87"/>
  <c r="O93" i="87"/>
  <c r="P92" i="87"/>
  <c r="P89" i="87"/>
  <c r="G95" i="93"/>
  <c r="G96" i="93" s="1"/>
  <c r="P88" i="75"/>
  <c r="I95" i="97"/>
  <c r="I96" i="97" s="1"/>
  <c r="J95" i="97"/>
  <c r="J96" i="97" s="1"/>
  <c r="P81" i="76"/>
  <c r="L88" i="94"/>
  <c r="L93" i="94"/>
  <c r="L91" i="94"/>
  <c r="L88" i="86"/>
  <c r="L90" i="86"/>
  <c r="L86" i="86"/>
  <c r="P81" i="84"/>
  <c r="O96" i="109"/>
  <c r="O97" i="109"/>
  <c r="L95" i="75"/>
  <c r="L96" i="75" s="1"/>
  <c r="L92" i="76"/>
  <c r="L92" i="96"/>
  <c r="L88" i="96"/>
  <c r="K95" i="93"/>
  <c r="K96" i="93" s="1"/>
  <c r="L90" i="84"/>
  <c r="L89" i="84"/>
  <c r="O96" i="99"/>
  <c r="O97" i="99"/>
  <c r="O95" i="106"/>
  <c r="L94" i="82"/>
  <c r="P81" i="97"/>
  <c r="L88" i="78"/>
  <c r="L91" i="78"/>
  <c r="O96" i="124"/>
  <c r="O97" i="124"/>
  <c r="L86" i="80"/>
  <c r="L92" i="80"/>
  <c r="P81" i="77"/>
  <c r="G88" i="89"/>
  <c r="H90" i="89"/>
  <c r="I91" i="89"/>
  <c r="J85" i="89"/>
  <c r="N88" i="89"/>
  <c r="J92" i="89"/>
  <c r="H86" i="89"/>
  <c r="F89" i="89"/>
  <c r="N93" i="89"/>
  <c r="I89" i="89"/>
  <c r="J86" i="89"/>
  <c r="G85" i="89"/>
  <c r="H93" i="89"/>
  <c r="F90" i="89"/>
  <c r="I92" i="89"/>
  <c r="K89" i="89"/>
  <c r="H87" i="89"/>
  <c r="H92" i="89"/>
  <c r="G87" i="89"/>
  <c r="K88" i="89"/>
  <c r="N89" i="89"/>
  <c r="K91" i="89"/>
  <c r="G90" i="89"/>
  <c r="I90" i="89"/>
  <c r="N91" i="89"/>
  <c r="F85" i="89"/>
  <c r="I88" i="89"/>
  <c r="K87" i="89"/>
  <c r="J91" i="89"/>
  <c r="F87" i="89"/>
  <c r="I87" i="89"/>
  <c r="I94" i="89"/>
  <c r="G92" i="89"/>
  <c r="J87" i="89"/>
  <c r="F92" i="89"/>
  <c r="H94" i="89"/>
  <c r="K86" i="89"/>
  <c r="I93" i="89"/>
  <c r="F93" i="89"/>
  <c r="J89" i="89"/>
  <c r="G86" i="89"/>
  <c r="K93" i="89"/>
  <c r="K85" i="89"/>
  <c r="K90" i="89"/>
  <c r="F86" i="89"/>
  <c r="J88" i="89"/>
  <c r="G91" i="89"/>
  <c r="N86" i="89"/>
  <c r="H91" i="89"/>
  <c r="K92" i="89"/>
  <c r="F94" i="89"/>
  <c r="H88" i="89"/>
  <c r="K94" i="89"/>
  <c r="G93" i="89"/>
  <c r="N90" i="89"/>
  <c r="F88" i="89"/>
  <c r="H89" i="89"/>
  <c r="F91" i="89"/>
  <c r="G89" i="89"/>
  <c r="J94" i="89"/>
  <c r="I86" i="89"/>
  <c r="N92" i="89"/>
  <c r="H85" i="89"/>
  <c r="G94" i="89"/>
  <c r="N94" i="89"/>
  <c r="N85" i="89"/>
  <c r="J90" i="89"/>
  <c r="J93" i="89"/>
  <c r="N87" i="89"/>
  <c r="I85" i="89"/>
  <c r="O96" i="100"/>
  <c r="O97" i="100"/>
  <c r="L89" i="85"/>
  <c r="H93" i="74"/>
  <c r="K89" i="74"/>
  <c r="N92" i="74"/>
  <c r="N91" i="74"/>
  <c r="H85" i="74"/>
  <c r="F85" i="74"/>
  <c r="N89" i="74"/>
  <c r="N86" i="74"/>
  <c r="F93" i="74"/>
  <c r="G85" i="74"/>
  <c r="I89" i="74"/>
  <c r="F87" i="74"/>
  <c r="H88" i="74"/>
  <c r="K87" i="74"/>
  <c r="F90" i="74"/>
  <c r="I88" i="74"/>
  <c r="I92" i="74"/>
  <c r="K92" i="74"/>
  <c r="K93" i="74"/>
  <c r="I86" i="74"/>
  <c r="F88" i="74"/>
  <c r="G89" i="74"/>
  <c r="I93" i="74"/>
  <c r="N94" i="74"/>
  <c r="F89" i="74"/>
  <c r="I94" i="74"/>
  <c r="N85" i="74"/>
  <c r="H94" i="74"/>
  <c r="J92" i="74"/>
  <c r="J87" i="74"/>
  <c r="K85" i="74"/>
  <c r="F92" i="74"/>
  <c r="J90" i="74"/>
  <c r="H91" i="74"/>
  <c r="G91" i="74"/>
  <c r="J86" i="74"/>
  <c r="G86" i="74"/>
  <c r="F86" i="74"/>
  <c r="I87" i="74"/>
  <c r="K90" i="74"/>
  <c r="H86" i="74"/>
  <c r="J93" i="74"/>
  <c r="N88" i="74"/>
  <c r="G87" i="74"/>
  <c r="I90" i="74"/>
  <c r="N93" i="74"/>
  <c r="I85" i="74"/>
  <c r="G93" i="74"/>
  <c r="H92" i="74"/>
  <c r="G90" i="74"/>
  <c r="J88" i="74"/>
  <c r="K88" i="74"/>
  <c r="F94" i="74"/>
  <c r="N90" i="74"/>
  <c r="G88" i="74"/>
  <c r="G92" i="74"/>
  <c r="J85" i="74"/>
  <c r="G94" i="74"/>
  <c r="I91" i="74"/>
  <c r="K91" i="74"/>
  <c r="J89" i="74"/>
  <c r="J94" i="74"/>
  <c r="J91" i="74"/>
  <c r="K86" i="74"/>
  <c r="H89" i="74"/>
  <c r="H87" i="74"/>
  <c r="F91" i="74"/>
  <c r="K94" i="74"/>
  <c r="H90" i="74"/>
  <c r="N87" i="74"/>
  <c r="F90" i="85"/>
  <c r="J93" i="85"/>
  <c r="J92" i="85"/>
  <c r="G89" i="85"/>
  <c r="N91" i="85"/>
  <c r="J87" i="85"/>
  <c r="J86" i="85"/>
  <c r="I87" i="85"/>
  <c r="H92" i="85"/>
  <c r="I94" i="85"/>
  <c r="N87" i="85"/>
  <c r="G92" i="85"/>
  <c r="N90" i="85"/>
  <c r="F89" i="85"/>
  <c r="F93" i="85"/>
  <c r="N92" i="85"/>
  <c r="F87" i="85"/>
  <c r="I89" i="85"/>
  <c r="G85" i="85"/>
  <c r="I93" i="85"/>
  <c r="J89" i="85"/>
  <c r="J88" i="85"/>
  <c r="G93" i="85"/>
  <c r="N93" i="85"/>
  <c r="G86" i="85"/>
  <c r="F85" i="85"/>
  <c r="H87" i="85"/>
  <c r="N85" i="85"/>
  <c r="N88" i="85"/>
  <c r="H86" i="85"/>
  <c r="J90" i="85"/>
  <c r="I91" i="85"/>
  <c r="H88" i="85"/>
  <c r="I92" i="85"/>
  <c r="F86" i="85"/>
  <c r="I86" i="85"/>
  <c r="I85" i="85"/>
  <c r="G88" i="85"/>
  <c r="N86" i="85"/>
  <c r="G94" i="85"/>
  <c r="J94" i="85"/>
  <c r="N89" i="85"/>
  <c r="H94" i="85"/>
  <c r="J91" i="85"/>
  <c r="J85" i="85"/>
  <c r="F92" i="85"/>
  <c r="N94" i="85"/>
  <c r="H85" i="85"/>
  <c r="I88" i="85"/>
  <c r="H89" i="85"/>
  <c r="G87" i="85"/>
  <c r="F91" i="85"/>
  <c r="I90" i="85"/>
  <c r="H90" i="85"/>
  <c r="F94" i="85"/>
  <c r="G90" i="85"/>
  <c r="H91" i="85"/>
  <c r="H93" i="85"/>
  <c r="G91" i="85"/>
  <c r="F88" i="85"/>
  <c r="K89" i="85"/>
  <c r="K92" i="85"/>
  <c r="K93" i="85"/>
  <c r="K86" i="85"/>
  <c r="K91" i="85"/>
  <c r="K90" i="85"/>
  <c r="K87" i="85"/>
  <c r="K94" i="85"/>
  <c r="K85" i="85"/>
  <c r="K88" i="85"/>
  <c r="J87" i="80"/>
  <c r="H93" i="80"/>
  <c r="F87" i="80"/>
  <c r="F88" i="80"/>
  <c r="H90" i="80"/>
  <c r="J89" i="80"/>
  <c r="H94" i="80"/>
  <c r="N90" i="80"/>
  <c r="N87" i="80"/>
  <c r="N94" i="80"/>
  <c r="I89" i="80"/>
  <c r="J85" i="80"/>
  <c r="N85" i="80"/>
  <c r="H87" i="80"/>
  <c r="I88" i="80"/>
  <c r="G87" i="80"/>
  <c r="G88" i="80"/>
  <c r="J91" i="80"/>
  <c r="I85" i="80"/>
  <c r="J90" i="80"/>
  <c r="F85" i="80"/>
  <c r="G89" i="80"/>
  <c r="H91" i="80"/>
  <c r="G85" i="80"/>
  <c r="J93" i="80"/>
  <c r="N86" i="80"/>
  <c r="I91" i="80"/>
  <c r="I90" i="80"/>
  <c r="J86" i="80"/>
  <c r="I93" i="80"/>
  <c r="F93" i="80"/>
  <c r="G94" i="80"/>
  <c r="H92" i="80"/>
  <c r="N93" i="80"/>
  <c r="G93" i="80"/>
  <c r="J94" i="80"/>
  <c r="G92" i="80"/>
  <c r="H86" i="80"/>
  <c r="J88" i="80"/>
  <c r="N89" i="80"/>
  <c r="F90" i="80"/>
  <c r="G91" i="80"/>
  <c r="F86" i="80"/>
  <c r="H89" i="80"/>
  <c r="I92" i="80"/>
  <c r="F91" i="80"/>
  <c r="I86" i="80"/>
  <c r="H88" i="80"/>
  <c r="F89" i="80"/>
  <c r="N88" i="80"/>
  <c r="G90" i="80"/>
  <c r="F92" i="80"/>
  <c r="I87" i="80"/>
  <c r="I94" i="80"/>
  <c r="H85" i="80"/>
  <c r="N92" i="80"/>
  <c r="F94" i="80"/>
  <c r="J92" i="80"/>
  <c r="N91" i="80"/>
  <c r="G86" i="80"/>
  <c r="K94" i="80"/>
  <c r="K92" i="80"/>
  <c r="K87" i="80"/>
  <c r="K91" i="80"/>
  <c r="K86" i="80"/>
  <c r="K93" i="80"/>
  <c r="K88" i="80"/>
  <c r="K90" i="80"/>
  <c r="K85" i="80"/>
  <c r="K89" i="80"/>
  <c r="K95" i="95"/>
  <c r="K96" i="95" s="1"/>
  <c r="O91" i="87"/>
  <c r="L95" i="87"/>
  <c r="L96" i="87" s="1"/>
  <c r="P90" i="87"/>
  <c r="O86" i="87"/>
  <c r="H95" i="93"/>
  <c r="H96" i="93" s="1"/>
  <c r="J95" i="93"/>
  <c r="J96" i="93" s="1"/>
  <c r="F95" i="93"/>
  <c r="F96" i="93" s="1"/>
  <c r="O92" i="75"/>
  <c r="P91" i="75"/>
  <c r="N95" i="75"/>
  <c r="N96" i="75" s="1"/>
  <c r="G95" i="97"/>
  <c r="G96" i="97" s="1"/>
  <c r="H95" i="97"/>
  <c r="H96" i="97" s="1"/>
  <c r="F95" i="97"/>
  <c r="F96" i="97" s="1"/>
  <c r="G88" i="76"/>
  <c r="F94" i="76"/>
  <c r="N86" i="76"/>
  <c r="H86" i="76"/>
  <c r="H94" i="76"/>
  <c r="N92" i="76"/>
  <c r="I87" i="76"/>
  <c r="K94" i="76"/>
  <c r="K93" i="76"/>
  <c r="G92" i="76"/>
  <c r="F92" i="76"/>
  <c r="I86" i="76"/>
  <c r="J86" i="76"/>
  <c r="K85" i="76"/>
  <c r="I94" i="76"/>
  <c r="F87" i="76"/>
  <c r="I85" i="76"/>
  <c r="H92" i="76"/>
  <c r="N93" i="76"/>
  <c r="K91" i="76"/>
  <c r="J93" i="76"/>
  <c r="J85" i="76"/>
  <c r="F91" i="76"/>
  <c r="G94" i="76"/>
  <c r="K89" i="76"/>
  <c r="J94" i="76"/>
  <c r="N87" i="76"/>
  <c r="H91" i="76"/>
  <c r="J92" i="76"/>
  <c r="G87" i="76"/>
  <c r="H88" i="76"/>
  <c r="H93" i="76"/>
  <c r="H89" i="76"/>
  <c r="H85" i="76"/>
  <c r="K87" i="76"/>
  <c r="N85" i="76"/>
  <c r="F86" i="76"/>
  <c r="G90" i="76"/>
  <c r="H90" i="76"/>
  <c r="I91" i="76"/>
  <c r="J91" i="76"/>
  <c r="N88" i="76"/>
  <c r="H87" i="76"/>
  <c r="K88" i="76"/>
  <c r="J88" i="76"/>
  <c r="J89" i="76"/>
  <c r="N91" i="76"/>
  <c r="I92" i="76"/>
  <c r="N94" i="76"/>
  <c r="J87" i="76"/>
  <c r="N89" i="76"/>
  <c r="F89" i="76"/>
  <c r="F85" i="76"/>
  <c r="F90" i="76"/>
  <c r="N90" i="76"/>
  <c r="J90" i="76"/>
  <c r="K90" i="76"/>
  <c r="G85" i="76"/>
  <c r="G91" i="76"/>
  <c r="K86" i="76"/>
  <c r="G89" i="76"/>
  <c r="I93" i="76"/>
  <c r="I90" i="76"/>
  <c r="F93" i="76"/>
  <c r="F88" i="76"/>
  <c r="G93" i="76"/>
  <c r="I88" i="76"/>
  <c r="G86" i="76"/>
  <c r="I89" i="76"/>
  <c r="K92" i="76"/>
  <c r="N88" i="78"/>
  <c r="F88" i="78"/>
  <c r="J87" i="78"/>
  <c r="F91" i="78"/>
  <c r="F85" i="78"/>
  <c r="J86" i="78"/>
  <c r="H86" i="78"/>
  <c r="K87" i="78"/>
  <c r="J89" i="78"/>
  <c r="J90" i="78"/>
  <c r="K89" i="78"/>
  <c r="N85" i="78"/>
  <c r="G94" i="78"/>
  <c r="J85" i="78"/>
  <c r="N92" i="78"/>
  <c r="H87" i="78"/>
  <c r="K93" i="78"/>
  <c r="I88" i="78"/>
  <c r="F90" i="78"/>
  <c r="H89" i="78"/>
  <c r="F86" i="78"/>
  <c r="K85" i="78"/>
  <c r="N89" i="78"/>
  <c r="K90" i="78"/>
  <c r="I87" i="78"/>
  <c r="K92" i="78"/>
  <c r="K88" i="78"/>
  <c r="G87" i="78"/>
  <c r="G85" i="78"/>
  <c r="G92" i="78"/>
  <c r="I94" i="78"/>
  <c r="N90" i="78"/>
  <c r="H94" i="78"/>
  <c r="G90" i="78"/>
  <c r="N93" i="78"/>
  <c r="H90" i="78"/>
  <c r="J92" i="78"/>
  <c r="I89" i="78"/>
  <c r="N87" i="78"/>
  <c r="G89" i="78"/>
  <c r="I86" i="78"/>
  <c r="F89" i="78"/>
  <c r="H91" i="78"/>
  <c r="H92" i="78"/>
  <c r="N86" i="78"/>
  <c r="H93" i="78"/>
  <c r="J91" i="78"/>
  <c r="J93" i="78"/>
  <c r="J94" i="78"/>
  <c r="I90" i="78"/>
  <c r="F87" i="78"/>
  <c r="J88" i="78"/>
  <c r="F94" i="78"/>
  <c r="F93" i="78"/>
  <c r="K91" i="78"/>
  <c r="N91" i="78"/>
  <c r="I91" i="78"/>
  <c r="I92" i="78"/>
  <c r="H88" i="78"/>
  <c r="G86" i="78"/>
  <c r="F92" i="78"/>
  <c r="K94" i="78"/>
  <c r="G88" i="78"/>
  <c r="I93" i="78"/>
  <c r="N94" i="78"/>
  <c r="G91" i="78"/>
  <c r="H85" i="78"/>
  <c r="I85" i="78"/>
  <c r="K86" i="78"/>
  <c r="G93" i="78"/>
  <c r="L89" i="94"/>
  <c r="L85" i="94"/>
  <c r="O97" i="105"/>
  <c r="O96" i="105"/>
  <c r="L94" i="86"/>
  <c r="L91" i="86"/>
  <c r="L89" i="86"/>
  <c r="M91" i="84"/>
  <c r="M89" i="84"/>
  <c r="M86" i="84"/>
  <c r="M94" i="84"/>
  <c r="M90" i="84"/>
  <c r="M87" i="84"/>
  <c r="M88" i="84"/>
  <c r="M92" i="84"/>
  <c r="M85" i="84"/>
  <c r="M93" i="84"/>
  <c r="O96" i="126"/>
  <c r="O97" i="126"/>
  <c r="H87" i="82"/>
  <c r="N87" i="82"/>
  <c r="G92" i="82"/>
  <c r="J94" i="82"/>
  <c r="F88" i="82"/>
  <c r="I87" i="82"/>
  <c r="G90" i="82"/>
  <c r="I86" i="82"/>
  <c r="J89" i="82"/>
  <c r="G89" i="82"/>
  <c r="J92" i="82"/>
  <c r="N86" i="82"/>
  <c r="H86" i="82"/>
  <c r="F91" i="82"/>
  <c r="F89" i="82"/>
  <c r="K86" i="82"/>
  <c r="N90" i="82"/>
  <c r="H93" i="82"/>
  <c r="J91" i="82"/>
  <c r="K92" i="82"/>
  <c r="N89" i="82"/>
  <c r="F93" i="82"/>
  <c r="H89" i="82"/>
  <c r="H91" i="82"/>
  <c r="J93" i="82"/>
  <c r="I93" i="82"/>
  <c r="F92" i="82"/>
  <c r="I92" i="82"/>
  <c r="F86" i="82"/>
  <c r="I89" i="82"/>
  <c r="H85" i="82"/>
  <c r="J88" i="82"/>
  <c r="H88" i="82"/>
  <c r="K91" i="82"/>
  <c r="G87" i="82"/>
  <c r="K94" i="82"/>
  <c r="J85" i="82"/>
  <c r="N94" i="82"/>
  <c r="N91" i="82"/>
  <c r="J90" i="82"/>
  <c r="N85" i="82"/>
  <c r="H90" i="82"/>
  <c r="K87" i="82"/>
  <c r="G86" i="82"/>
  <c r="J87" i="82"/>
  <c r="F90" i="82"/>
  <c r="N88" i="82"/>
  <c r="G94" i="82"/>
  <c r="I91" i="82"/>
  <c r="K90" i="82"/>
  <c r="F94" i="82"/>
  <c r="K93" i="82"/>
  <c r="F87" i="82"/>
  <c r="H92" i="82"/>
  <c r="G88" i="82"/>
  <c r="K89" i="82"/>
  <c r="N93" i="82"/>
  <c r="I88" i="82"/>
  <c r="G85" i="82"/>
  <c r="G93" i="82"/>
  <c r="K88" i="82"/>
  <c r="I94" i="82"/>
  <c r="G91" i="82"/>
  <c r="I85" i="82"/>
  <c r="N92" i="82"/>
  <c r="F85" i="82"/>
  <c r="H94" i="82"/>
  <c r="I90" i="82"/>
  <c r="J86" i="82"/>
  <c r="K85" i="82"/>
  <c r="L90" i="76"/>
  <c r="L88" i="76"/>
  <c r="L94" i="96"/>
  <c r="L89" i="96"/>
  <c r="L87" i="96"/>
  <c r="L92" i="84"/>
  <c r="L88" i="84"/>
  <c r="L85" i="84"/>
  <c r="P81" i="95"/>
  <c r="L85" i="82"/>
  <c r="L90" i="82"/>
  <c r="L89" i="82"/>
  <c r="M89" i="97"/>
  <c r="P89" i="97" s="1"/>
  <c r="M88" i="97"/>
  <c r="P88" i="97" s="1"/>
  <c r="M92" i="97"/>
  <c r="P92" i="97" s="1"/>
  <c r="M91" i="97"/>
  <c r="P91" i="97" s="1"/>
  <c r="M86" i="97"/>
  <c r="M87" i="97"/>
  <c r="P87" i="97" s="1"/>
  <c r="M90" i="97"/>
  <c r="O90" i="97" s="1"/>
  <c r="M93" i="97"/>
  <c r="O93" i="97" s="1"/>
  <c r="M85" i="97"/>
  <c r="M94" i="97"/>
  <c r="P94" i="97" s="1"/>
  <c r="L87" i="78"/>
  <c r="L92" i="78"/>
  <c r="L86" i="78"/>
  <c r="N92" i="92"/>
  <c r="N86" i="92"/>
  <c r="I85" i="92"/>
  <c r="I90" i="92"/>
  <c r="H86" i="92"/>
  <c r="F94" i="92"/>
  <c r="I88" i="92"/>
  <c r="F87" i="92"/>
  <c r="H93" i="92"/>
  <c r="I89" i="92"/>
  <c r="I92" i="92"/>
  <c r="J92" i="92"/>
  <c r="J86" i="92"/>
  <c r="G86" i="92"/>
  <c r="G90" i="92"/>
  <c r="J85" i="92"/>
  <c r="N93" i="92"/>
  <c r="N90" i="92"/>
  <c r="N89" i="92"/>
  <c r="G88" i="92"/>
  <c r="J91" i="92"/>
  <c r="N85" i="92"/>
  <c r="F93" i="92"/>
  <c r="F92" i="92"/>
  <c r="I91" i="92"/>
  <c r="H91" i="92"/>
  <c r="G92" i="92"/>
  <c r="F89" i="92"/>
  <c r="G85" i="92"/>
  <c r="N94" i="92"/>
  <c r="G87" i="92"/>
  <c r="N91" i="92"/>
  <c r="I93" i="92"/>
  <c r="G89" i="92"/>
  <c r="J90" i="92"/>
  <c r="F85" i="92"/>
  <c r="N87" i="92"/>
  <c r="G93" i="92"/>
  <c r="F88" i="92"/>
  <c r="J94" i="92"/>
  <c r="J89" i="92"/>
  <c r="J87" i="92"/>
  <c r="G94" i="92"/>
  <c r="J88" i="92"/>
  <c r="H85" i="92"/>
  <c r="G91" i="92"/>
  <c r="I86" i="92"/>
  <c r="F91" i="92"/>
  <c r="H92" i="92"/>
  <c r="H89" i="92"/>
  <c r="H90" i="92"/>
  <c r="H88" i="92"/>
  <c r="F86" i="92"/>
  <c r="J93" i="92"/>
  <c r="N88" i="92"/>
  <c r="I87" i="92"/>
  <c r="F90" i="92"/>
  <c r="I94" i="92"/>
  <c r="H94" i="92"/>
  <c r="H87" i="92"/>
  <c r="K94" i="92"/>
  <c r="K88" i="92"/>
  <c r="K91" i="92"/>
  <c r="K90" i="92"/>
  <c r="K89" i="92"/>
  <c r="K93" i="92"/>
  <c r="K87" i="92"/>
  <c r="K86" i="92"/>
  <c r="K85" i="92"/>
  <c r="K92" i="92"/>
  <c r="P81" i="78"/>
  <c r="L94" i="80"/>
  <c r="L88" i="80"/>
  <c r="L87" i="80"/>
  <c r="O96" i="9"/>
  <c r="O97" i="9"/>
  <c r="M94" i="77"/>
  <c r="M86" i="77"/>
  <c r="M93" i="77"/>
  <c r="M89" i="77"/>
  <c r="M92" i="77"/>
  <c r="M85" i="77"/>
  <c r="M87" i="77"/>
  <c r="M91" i="77"/>
  <c r="M90" i="77"/>
  <c r="M88" i="77"/>
  <c r="P81" i="89"/>
  <c r="L93" i="85"/>
  <c r="L94" i="85"/>
  <c r="K95" i="87"/>
  <c r="K96" i="87" s="1"/>
  <c r="P81" i="74"/>
  <c r="L95" i="95"/>
  <c r="L96" i="95" s="1"/>
  <c r="O97" i="104"/>
  <c r="O96" i="104"/>
  <c r="L95" i="97"/>
  <c r="L96" i="97" s="1"/>
  <c r="M96" i="106"/>
  <c r="L95" i="74"/>
  <c r="L96" i="74" s="1"/>
  <c r="I95" i="95"/>
  <c r="I96" i="95" s="1"/>
  <c r="J95" i="95"/>
  <c r="J96" i="95" s="1"/>
  <c r="P88" i="87"/>
  <c r="H95" i="87"/>
  <c r="H96" i="87" s="1"/>
  <c r="O88" i="87"/>
  <c r="P94" i="87"/>
  <c r="O87" i="87"/>
  <c r="P85" i="87"/>
  <c r="I95" i="87"/>
  <c r="I96" i="87" s="1"/>
  <c r="O87" i="75"/>
  <c r="H95" i="75"/>
  <c r="H96" i="75" s="1"/>
  <c r="P86" i="97"/>
  <c r="O86" i="97"/>
  <c r="N95" i="97"/>
  <c r="N96" i="97" s="1"/>
  <c r="M88" i="76"/>
  <c r="M85" i="76"/>
  <c r="M92" i="76"/>
  <c r="M93" i="76"/>
  <c r="M86" i="76"/>
  <c r="M94" i="76"/>
  <c r="M90" i="76"/>
  <c r="M89" i="76"/>
  <c r="M87" i="76"/>
  <c r="M91" i="76"/>
  <c r="L90" i="94"/>
  <c r="L86" i="94"/>
  <c r="L85" i="86"/>
  <c r="L92" i="86"/>
  <c r="M91" i="82"/>
  <c r="M85" i="82"/>
  <c r="M87" i="82"/>
  <c r="M90" i="82"/>
  <c r="M86" i="82"/>
  <c r="M92" i="82"/>
  <c r="M93" i="82"/>
  <c r="M88" i="82"/>
  <c r="M89" i="82"/>
  <c r="M94" i="82"/>
  <c r="L86" i="76"/>
  <c r="L87" i="76"/>
  <c r="L93" i="76"/>
  <c r="L85" i="96"/>
  <c r="L90" i="96"/>
  <c r="O97" i="123"/>
  <c r="O96" i="123"/>
  <c r="L91" i="84"/>
  <c r="L86" i="84"/>
  <c r="M88" i="85"/>
  <c r="M93" i="85"/>
  <c r="M92" i="85"/>
  <c r="M90" i="85"/>
  <c r="M94" i="85"/>
  <c r="M86" i="85"/>
  <c r="M89" i="85"/>
  <c r="M85" i="85"/>
  <c r="M87" i="85"/>
  <c r="M91" i="85"/>
  <c r="M89" i="95"/>
  <c r="O89" i="95" s="1"/>
  <c r="M90" i="95"/>
  <c r="O90" i="95" s="1"/>
  <c r="M94" i="95"/>
  <c r="P94" i="95" s="1"/>
  <c r="M87" i="95"/>
  <c r="P87" i="95" s="1"/>
  <c r="M86" i="95"/>
  <c r="P86" i="95" s="1"/>
  <c r="M93" i="95"/>
  <c r="O93" i="95" s="1"/>
  <c r="M85" i="95"/>
  <c r="O85" i="95" s="1"/>
  <c r="M88" i="95"/>
  <c r="O88" i="95" s="1"/>
  <c r="M91" i="95"/>
  <c r="O91" i="95" s="1"/>
  <c r="M92" i="95"/>
  <c r="O92" i="95" s="1"/>
  <c r="P81" i="93"/>
  <c r="O97" i="103"/>
  <c r="O96" i="103"/>
  <c r="L88" i="82"/>
  <c r="L86" i="82"/>
  <c r="L93" i="82"/>
  <c r="L85" i="78"/>
  <c r="L90" i="78"/>
  <c r="M85" i="92"/>
  <c r="M91" i="92"/>
  <c r="M89" i="92"/>
  <c r="M86" i="92"/>
  <c r="M93" i="92"/>
  <c r="M90" i="92"/>
  <c r="M94" i="92"/>
  <c r="M92" i="92"/>
  <c r="M88" i="92"/>
  <c r="M87" i="92"/>
  <c r="L93" i="80"/>
  <c r="L89" i="80"/>
  <c r="O97" i="83"/>
  <c r="O96" i="83"/>
  <c r="M88" i="89"/>
  <c r="M85" i="89"/>
  <c r="M91" i="89"/>
  <c r="M90" i="89"/>
  <c r="M89" i="89"/>
  <c r="M93" i="89"/>
  <c r="M86" i="89"/>
  <c r="M94" i="89"/>
  <c r="M87" i="89"/>
  <c r="M92" i="89"/>
  <c r="L90" i="85"/>
  <c r="L87" i="85"/>
  <c r="L92" i="85"/>
  <c r="M91" i="74"/>
  <c r="M93" i="74"/>
  <c r="M89" i="74"/>
  <c r="M86" i="74"/>
  <c r="M94" i="74"/>
  <c r="M90" i="74"/>
  <c r="M88" i="74"/>
  <c r="M85" i="74"/>
  <c r="M87" i="74"/>
  <c r="M92" i="74"/>
  <c r="F92" i="96"/>
  <c r="K94" i="96"/>
  <c r="N93" i="96"/>
  <c r="F91" i="96"/>
  <c r="G90" i="96"/>
  <c r="K88" i="96"/>
  <c r="N87" i="96"/>
  <c r="H86" i="96"/>
  <c r="K91" i="96"/>
  <c r="H85" i="96"/>
  <c r="G94" i="96"/>
  <c r="F86" i="96"/>
  <c r="F89" i="96"/>
  <c r="G92" i="96"/>
  <c r="N94" i="96"/>
  <c r="N89" i="96"/>
  <c r="H91" i="96"/>
  <c r="K86" i="96"/>
  <c r="F88" i="96"/>
  <c r="G91" i="96"/>
  <c r="H89" i="96"/>
  <c r="F90" i="96"/>
  <c r="N90" i="96"/>
  <c r="N92" i="96"/>
  <c r="F94" i="96"/>
  <c r="G87" i="96"/>
  <c r="I94" i="96"/>
  <c r="K89" i="96"/>
  <c r="J86" i="96"/>
  <c r="G88" i="96"/>
  <c r="J91" i="96"/>
  <c r="K92" i="96"/>
  <c r="I93" i="96"/>
  <c r="F93" i="96"/>
  <c r="N85" i="96"/>
  <c r="J94" i="96"/>
  <c r="J90" i="96"/>
  <c r="G86" i="96"/>
  <c r="J93" i="96"/>
  <c r="G85" i="96"/>
  <c r="G93" i="96"/>
  <c r="H90" i="96"/>
  <c r="H94" i="96"/>
  <c r="I92" i="96"/>
  <c r="I87" i="96"/>
  <c r="H93" i="96"/>
  <c r="J87" i="96"/>
  <c r="N88" i="96"/>
  <c r="J89" i="96"/>
  <c r="I88" i="96"/>
  <c r="J88" i="96"/>
  <c r="K93" i="96"/>
  <c r="I89" i="96"/>
  <c r="J85" i="96"/>
  <c r="K90" i="96"/>
  <c r="I86" i="96"/>
  <c r="F85" i="96"/>
  <c r="I91" i="96"/>
  <c r="K87" i="96"/>
  <c r="N91" i="96"/>
  <c r="I85" i="96"/>
  <c r="F87" i="96"/>
  <c r="I90" i="96"/>
  <c r="H92" i="96"/>
  <c r="H88" i="96"/>
  <c r="K85" i="96"/>
  <c r="H87" i="96"/>
  <c r="G89" i="96"/>
  <c r="J92" i="96"/>
  <c r="N86" i="96"/>
  <c r="P81" i="94"/>
  <c r="O97" i="91"/>
  <c r="O96" i="91"/>
  <c r="L95" i="89"/>
  <c r="F95" i="95"/>
  <c r="F96" i="95" s="1"/>
  <c r="H95" i="95"/>
  <c r="H96" i="95" s="1"/>
  <c r="G95" i="95"/>
  <c r="G96" i="95" s="1"/>
  <c r="O89" i="87"/>
  <c r="N95" i="87"/>
  <c r="N96" i="87" s="1"/>
  <c r="O92" i="87"/>
  <c r="O94" i="87"/>
  <c r="P87" i="87"/>
  <c r="J95" i="87"/>
  <c r="J96" i="87" s="1"/>
  <c r="I95" i="93"/>
  <c r="I96" i="93" s="1"/>
  <c r="N95" i="93"/>
  <c r="N96" i="93" s="1"/>
  <c r="O91" i="75"/>
  <c r="O87" i="97"/>
  <c r="K95" i="97"/>
  <c r="K96" i="97" s="1"/>
  <c r="O94" i="97"/>
  <c r="L92" i="94"/>
  <c r="L94" i="94"/>
  <c r="L87" i="94"/>
  <c r="M88" i="96"/>
  <c r="M87" i="96"/>
  <c r="M93" i="96"/>
  <c r="M91" i="96"/>
  <c r="M85" i="96"/>
  <c r="M90" i="96"/>
  <c r="M94" i="96"/>
  <c r="M92" i="96"/>
  <c r="M86" i="96"/>
  <c r="M89" i="96"/>
  <c r="L87" i="86"/>
  <c r="L93" i="86"/>
  <c r="I92" i="84"/>
  <c r="F92" i="84"/>
  <c r="G89" i="84"/>
  <c r="N88" i="84"/>
  <c r="K86" i="84"/>
  <c r="I88" i="84"/>
  <c r="F91" i="84"/>
  <c r="F94" i="84"/>
  <c r="G90" i="84"/>
  <c r="F86" i="84"/>
  <c r="I87" i="84"/>
  <c r="G93" i="84"/>
  <c r="N91" i="84"/>
  <c r="H94" i="84"/>
  <c r="G85" i="84"/>
  <c r="G87" i="84"/>
  <c r="H93" i="84"/>
  <c r="F93" i="84"/>
  <c r="H88" i="84"/>
  <c r="N93" i="84"/>
  <c r="J88" i="84"/>
  <c r="N85" i="84"/>
  <c r="G94" i="84"/>
  <c r="H87" i="84"/>
  <c r="I94" i="84"/>
  <c r="J85" i="84"/>
  <c r="I89" i="84"/>
  <c r="F89" i="84"/>
  <c r="K85" i="84"/>
  <c r="J86" i="84"/>
  <c r="H92" i="84"/>
  <c r="J93" i="84"/>
  <c r="I93" i="84"/>
  <c r="H85" i="84"/>
  <c r="N90" i="84"/>
  <c r="N92" i="84"/>
  <c r="J87" i="84"/>
  <c r="K94" i="84"/>
  <c r="K91" i="84"/>
  <c r="N86" i="84"/>
  <c r="F87" i="84"/>
  <c r="K92" i="84"/>
  <c r="H86" i="84"/>
  <c r="N89" i="84"/>
  <c r="J92" i="84"/>
  <c r="J91" i="84"/>
  <c r="G86" i="84"/>
  <c r="K87" i="84"/>
  <c r="F85" i="84"/>
  <c r="J94" i="84"/>
  <c r="K88" i="84"/>
  <c r="I86" i="84"/>
  <c r="G88" i="84"/>
  <c r="N94" i="84"/>
  <c r="F90" i="84"/>
  <c r="K93" i="84"/>
  <c r="J90" i="84"/>
  <c r="I90" i="84"/>
  <c r="K90" i="84"/>
  <c r="H90" i="84"/>
  <c r="I91" i="84"/>
  <c r="H91" i="84"/>
  <c r="K89" i="84"/>
  <c r="H89" i="84"/>
  <c r="G91" i="84"/>
  <c r="G92" i="84"/>
  <c r="F88" i="84"/>
  <c r="N87" i="84"/>
  <c r="I85" i="84"/>
  <c r="J89" i="84"/>
  <c r="O97" i="81"/>
  <c r="O96" i="81"/>
  <c r="P95" i="106"/>
  <c r="P96" i="106" s="1"/>
  <c r="L85" i="76"/>
  <c r="L94" i="76"/>
  <c r="L91" i="76"/>
  <c r="M95" i="87"/>
  <c r="M96" i="87" s="1"/>
  <c r="L93" i="96"/>
  <c r="L86" i="96"/>
  <c r="L94" i="84"/>
  <c r="L87" i="84"/>
  <c r="M85" i="93"/>
  <c r="P85" i="93" s="1"/>
  <c r="M92" i="93"/>
  <c r="O92" i="93" s="1"/>
  <c r="M91" i="93"/>
  <c r="O91" i="93" s="1"/>
  <c r="M90" i="93"/>
  <c r="P90" i="93" s="1"/>
  <c r="M86" i="93"/>
  <c r="P86" i="93" s="1"/>
  <c r="M93" i="93"/>
  <c r="P93" i="93" s="1"/>
  <c r="M87" i="93"/>
  <c r="P87" i="93" s="1"/>
  <c r="M88" i="93"/>
  <c r="O88" i="93" s="1"/>
  <c r="M94" i="93"/>
  <c r="O94" i="93" s="1"/>
  <c r="M89" i="93"/>
  <c r="P89" i="93" s="1"/>
  <c r="L92" i="82"/>
  <c r="L87" i="82"/>
  <c r="O97" i="125"/>
  <c r="O96" i="125"/>
  <c r="L94" i="78"/>
  <c r="L89" i="78"/>
  <c r="L90" i="80"/>
  <c r="L85" i="80"/>
  <c r="G93" i="77"/>
  <c r="J85" i="77"/>
  <c r="G92" i="77"/>
  <c r="H87" i="77"/>
  <c r="N85" i="77"/>
  <c r="G89" i="77"/>
  <c r="J91" i="77"/>
  <c r="I85" i="77"/>
  <c r="H90" i="77"/>
  <c r="N94" i="77"/>
  <c r="F87" i="77"/>
  <c r="N92" i="77"/>
  <c r="I86" i="77"/>
  <c r="F92" i="77"/>
  <c r="H88" i="77"/>
  <c r="G91" i="77"/>
  <c r="F85" i="77"/>
  <c r="N93" i="77"/>
  <c r="H91" i="77"/>
  <c r="N89" i="77"/>
  <c r="J87" i="77"/>
  <c r="J93" i="77"/>
  <c r="J89" i="77"/>
  <c r="N86" i="77"/>
  <c r="G90" i="77"/>
  <c r="G85" i="77"/>
  <c r="H92" i="77"/>
  <c r="H85" i="77"/>
  <c r="J92" i="77"/>
  <c r="I92" i="77"/>
  <c r="I94" i="77"/>
  <c r="F91" i="77"/>
  <c r="I89" i="77"/>
  <c r="I87" i="77"/>
  <c r="H93" i="77"/>
  <c r="N88" i="77"/>
  <c r="I91" i="77"/>
  <c r="J86" i="77"/>
  <c r="J94" i="77"/>
  <c r="G86" i="77"/>
  <c r="N90" i="77"/>
  <c r="G94" i="77"/>
  <c r="F94" i="77"/>
  <c r="F89" i="77"/>
  <c r="I88" i="77"/>
  <c r="F90" i="77"/>
  <c r="F88" i="77"/>
  <c r="F93" i="77"/>
  <c r="N87" i="77"/>
  <c r="G87" i="77"/>
  <c r="F86" i="77"/>
  <c r="I90" i="77"/>
  <c r="H89" i="77"/>
  <c r="I93" i="77"/>
  <c r="G88" i="77"/>
  <c r="H94" i="77"/>
  <c r="J88" i="77"/>
  <c r="J90" i="77"/>
  <c r="N91" i="77"/>
  <c r="H86" i="77"/>
  <c r="K87" i="77"/>
  <c r="K93" i="77"/>
  <c r="K94" i="77"/>
  <c r="K89" i="77"/>
  <c r="K86" i="77"/>
  <c r="K92" i="77"/>
  <c r="K88" i="77"/>
  <c r="K90" i="77"/>
  <c r="K85" i="77"/>
  <c r="K91" i="77"/>
  <c r="O97" i="121"/>
  <c r="O96" i="121"/>
  <c r="L86" i="85"/>
  <c r="L91" i="85"/>
  <c r="L85" i="85"/>
  <c r="L95" i="93"/>
  <c r="L96" i="93" s="1"/>
  <c r="M94" i="78"/>
  <c r="M92" i="78"/>
  <c r="M90" i="78"/>
  <c r="M89" i="78"/>
  <c r="M85" i="78"/>
  <c r="M87" i="78"/>
  <c r="M91" i="78"/>
  <c r="M88" i="78"/>
  <c r="M86" i="78"/>
  <c r="M93" i="78"/>
  <c r="P93" i="75" l="1"/>
  <c r="O94" i="95"/>
  <c r="O94" i="75"/>
  <c r="O89" i="75"/>
  <c r="I95" i="75"/>
  <c r="I96" i="75" s="1"/>
  <c r="O88" i="97"/>
  <c r="L95" i="77"/>
  <c r="L96" i="77" s="1"/>
  <c r="P92" i="75"/>
  <c r="P86" i="75"/>
  <c r="P92" i="95"/>
  <c r="P93" i="97"/>
  <c r="K95" i="75"/>
  <c r="K96" i="75" s="1"/>
  <c r="P90" i="75"/>
  <c r="O86" i="95"/>
  <c r="P94" i="75"/>
  <c r="P89" i="75"/>
  <c r="O90" i="75"/>
  <c r="P93" i="95"/>
  <c r="O85" i="75"/>
  <c r="O95" i="75" s="1"/>
  <c r="P90" i="97"/>
  <c r="H95" i="78"/>
  <c r="H96" i="78" s="1"/>
  <c r="L95" i="85"/>
  <c r="L96" i="85" s="1"/>
  <c r="M95" i="84"/>
  <c r="M96" i="84" s="1"/>
  <c r="O93" i="77"/>
  <c r="O91" i="77"/>
  <c r="L95" i="80"/>
  <c r="L96" i="80" s="1"/>
  <c r="P86" i="84"/>
  <c r="O86" i="93"/>
  <c r="P92" i="96"/>
  <c r="M95" i="85"/>
  <c r="M96" i="85" s="1"/>
  <c r="H15" i="111"/>
  <c r="S15" i="111" s="1"/>
  <c r="S37" i="111" s="1"/>
  <c r="H11" i="111"/>
  <c r="S11" i="111" s="1"/>
  <c r="S33" i="111" s="1"/>
  <c r="H10" i="111"/>
  <c r="S10" i="111" s="1"/>
  <c r="S32" i="111" s="1"/>
  <c r="K95" i="82"/>
  <c r="K96" i="82" s="1"/>
  <c r="H21" i="111"/>
  <c r="S21" i="111" s="1"/>
  <c r="S43" i="111" s="1"/>
  <c r="P87" i="77"/>
  <c r="P90" i="84"/>
  <c r="P88" i="84"/>
  <c r="H22" i="111"/>
  <c r="S22" i="111" s="1"/>
  <c r="S44" i="111" s="1"/>
  <c r="K95" i="96"/>
  <c r="K96" i="96" s="1"/>
  <c r="O87" i="96"/>
  <c r="P91" i="96"/>
  <c r="J95" i="96"/>
  <c r="J96" i="96" s="1"/>
  <c r="M95" i="95"/>
  <c r="M96" i="95" s="1"/>
  <c r="H14" i="111"/>
  <c r="S14" i="111" s="1"/>
  <c r="S36" i="111" s="1"/>
  <c r="P86" i="80"/>
  <c r="H12" i="111"/>
  <c r="S12" i="111" s="1"/>
  <c r="S34" i="111" s="1"/>
  <c r="P87" i="96"/>
  <c r="P88" i="95"/>
  <c r="H13" i="111"/>
  <c r="S13" i="111" s="1"/>
  <c r="S35" i="111" s="1"/>
  <c r="M95" i="80"/>
  <c r="M96" i="80" s="1"/>
  <c r="O88" i="77"/>
  <c r="P93" i="77"/>
  <c r="O90" i="77"/>
  <c r="P92" i="77"/>
  <c r="L95" i="76"/>
  <c r="L96" i="76" s="1"/>
  <c r="H95" i="84"/>
  <c r="H96" i="84" s="1"/>
  <c r="J95" i="84"/>
  <c r="J96" i="84" s="1"/>
  <c r="O93" i="84"/>
  <c r="O86" i="84"/>
  <c r="O92" i="84"/>
  <c r="K95" i="77"/>
  <c r="K96" i="77" s="1"/>
  <c r="P88" i="77"/>
  <c r="P91" i="77"/>
  <c r="P89" i="77"/>
  <c r="O85" i="77"/>
  <c r="F95" i="77"/>
  <c r="F96" i="77" s="1"/>
  <c r="P86" i="77"/>
  <c r="N95" i="77"/>
  <c r="N96" i="77" s="1"/>
  <c r="M95" i="93"/>
  <c r="M96" i="93" s="1"/>
  <c r="I95" i="84"/>
  <c r="I96" i="84" s="1"/>
  <c r="P85" i="84"/>
  <c r="P91" i="84"/>
  <c r="F95" i="84"/>
  <c r="F96" i="84" s="1"/>
  <c r="O85" i="84"/>
  <c r="O87" i="84"/>
  <c r="P93" i="84"/>
  <c r="K95" i="84"/>
  <c r="K96" i="84" s="1"/>
  <c r="P94" i="84"/>
  <c r="P92" i="84"/>
  <c r="L96" i="89"/>
  <c r="P90" i="96"/>
  <c r="N95" i="96"/>
  <c r="N96" i="96" s="1"/>
  <c r="P94" i="96"/>
  <c r="O88" i="96"/>
  <c r="I21" i="111"/>
  <c r="T21" i="111" s="1"/>
  <c r="T43" i="111" s="1"/>
  <c r="M95" i="89"/>
  <c r="I9" i="111"/>
  <c r="O93" i="93"/>
  <c r="P89" i="95"/>
  <c r="P85" i="95"/>
  <c r="P86" i="92"/>
  <c r="O88" i="92"/>
  <c r="O93" i="92"/>
  <c r="P92" i="92"/>
  <c r="P88" i="92"/>
  <c r="I95" i="92"/>
  <c r="I96" i="92" s="1"/>
  <c r="P85" i="92"/>
  <c r="M95" i="97"/>
  <c r="M96" i="97" s="1"/>
  <c r="L95" i="82"/>
  <c r="L96" i="82" s="1"/>
  <c r="L95" i="84"/>
  <c r="L96" i="84" s="1"/>
  <c r="G95" i="82"/>
  <c r="G96" i="82" s="1"/>
  <c r="O94" i="82"/>
  <c r="H95" i="82"/>
  <c r="H96" i="82" s="1"/>
  <c r="O92" i="82"/>
  <c r="O89" i="82"/>
  <c r="L95" i="94"/>
  <c r="I95" i="78"/>
  <c r="I96" i="78" s="1"/>
  <c r="P85" i="78"/>
  <c r="P93" i="78"/>
  <c r="N95" i="78"/>
  <c r="N96" i="78" s="1"/>
  <c r="O91" i="78"/>
  <c r="P93" i="76"/>
  <c r="G95" i="76"/>
  <c r="G96" i="76" s="1"/>
  <c r="O90" i="76"/>
  <c r="H95" i="76"/>
  <c r="H96" i="76" s="1"/>
  <c r="J95" i="76"/>
  <c r="J96" i="76" s="1"/>
  <c r="K95" i="76"/>
  <c r="K96" i="76" s="1"/>
  <c r="O94" i="76"/>
  <c r="P88" i="93"/>
  <c r="O87" i="95"/>
  <c r="O95" i="95" s="1"/>
  <c r="K95" i="80"/>
  <c r="K96" i="80" s="1"/>
  <c r="O94" i="80"/>
  <c r="P87" i="80"/>
  <c r="O89" i="80"/>
  <c r="P92" i="80"/>
  <c r="O90" i="80"/>
  <c r="O85" i="80"/>
  <c r="F95" i="80"/>
  <c r="F96" i="80" s="1"/>
  <c r="N95" i="80"/>
  <c r="N96" i="80" s="1"/>
  <c r="O94" i="85"/>
  <c r="O86" i="85"/>
  <c r="G95" i="85"/>
  <c r="G96" i="85" s="1"/>
  <c r="O93" i="85"/>
  <c r="J95" i="74"/>
  <c r="J96" i="74" s="1"/>
  <c r="O94" i="74"/>
  <c r="P90" i="74"/>
  <c r="O89" i="74"/>
  <c r="O88" i="74"/>
  <c r="P92" i="74"/>
  <c r="O93" i="74"/>
  <c r="H95" i="74"/>
  <c r="H96" i="74" s="1"/>
  <c r="I95" i="89"/>
  <c r="P85" i="89"/>
  <c r="E9" i="111"/>
  <c r="N95" i="89"/>
  <c r="J9" i="111"/>
  <c r="O91" i="89"/>
  <c r="C21" i="111"/>
  <c r="N21" i="111" s="1"/>
  <c r="N43" i="111" s="1"/>
  <c r="F12" i="111"/>
  <c r="Q12" i="111" s="1"/>
  <c r="Q34" i="111" s="1"/>
  <c r="G21" i="111"/>
  <c r="R21" i="111" s="1"/>
  <c r="R43" i="111" s="1"/>
  <c r="P93" i="89"/>
  <c r="E21" i="111"/>
  <c r="F11" i="111"/>
  <c r="Q11" i="111" s="1"/>
  <c r="Q33" i="111" s="1"/>
  <c r="O87" i="89"/>
  <c r="F95" i="89"/>
  <c r="F96" i="89" s="1"/>
  <c r="O85" i="89"/>
  <c r="G15" i="111"/>
  <c r="R15" i="111" s="1"/>
  <c r="R37" i="111" s="1"/>
  <c r="O90" i="89"/>
  <c r="P89" i="89"/>
  <c r="E13" i="111"/>
  <c r="D14" i="111"/>
  <c r="O14" i="111" s="1"/>
  <c r="O36" i="111" s="1"/>
  <c r="O91" i="97"/>
  <c r="O87" i="93"/>
  <c r="M95" i="75"/>
  <c r="M96" i="75" s="1"/>
  <c r="F95" i="86"/>
  <c r="F96" i="86" s="1"/>
  <c r="O85" i="86"/>
  <c r="O88" i="86"/>
  <c r="P91" i="86"/>
  <c r="P88" i="86"/>
  <c r="N95" i="86"/>
  <c r="N96" i="86" s="1"/>
  <c r="O92" i="86"/>
  <c r="O89" i="94"/>
  <c r="O85" i="94"/>
  <c r="F95" i="94"/>
  <c r="F96" i="94" s="1"/>
  <c r="O94" i="94"/>
  <c r="P88" i="94"/>
  <c r="P86" i="94"/>
  <c r="O89" i="77"/>
  <c r="P85" i="77"/>
  <c r="I95" i="77"/>
  <c r="I96" i="77" s="1"/>
  <c r="O89" i="84"/>
  <c r="O94" i="84"/>
  <c r="M95" i="96"/>
  <c r="M96" i="96" s="1"/>
  <c r="P88" i="96"/>
  <c r="O93" i="96"/>
  <c r="O90" i="96"/>
  <c r="H95" i="96"/>
  <c r="H96" i="96" s="1"/>
  <c r="I11" i="111"/>
  <c r="T11" i="111" s="1"/>
  <c r="T33" i="111" s="1"/>
  <c r="I13" i="111"/>
  <c r="T13" i="111" s="1"/>
  <c r="T35" i="111" s="1"/>
  <c r="I12" i="111"/>
  <c r="T12" i="111" s="1"/>
  <c r="T34" i="111" s="1"/>
  <c r="L95" i="86"/>
  <c r="L96" i="86" s="1"/>
  <c r="O90" i="93"/>
  <c r="P90" i="95"/>
  <c r="P94" i="92"/>
  <c r="N95" i="92"/>
  <c r="N96" i="92" s="1"/>
  <c r="P89" i="92"/>
  <c r="O94" i="92"/>
  <c r="F95" i="82"/>
  <c r="F96" i="82" s="1"/>
  <c r="O85" i="82"/>
  <c r="P94" i="82"/>
  <c r="P88" i="82"/>
  <c r="O90" i="82"/>
  <c r="P89" i="82"/>
  <c r="P93" i="82"/>
  <c r="O93" i="82"/>
  <c r="O91" i="82"/>
  <c r="P87" i="82"/>
  <c r="O87" i="78"/>
  <c r="P94" i="78"/>
  <c r="O90" i="78"/>
  <c r="P89" i="76"/>
  <c r="O88" i="76"/>
  <c r="F95" i="76"/>
  <c r="F96" i="76" s="1"/>
  <c r="O85" i="76"/>
  <c r="O86" i="76"/>
  <c r="P85" i="76"/>
  <c r="I95" i="76"/>
  <c r="I96" i="76" s="1"/>
  <c r="O89" i="93"/>
  <c r="O92" i="80"/>
  <c r="P90" i="80"/>
  <c r="G95" i="80"/>
  <c r="G96" i="80" s="1"/>
  <c r="J95" i="80"/>
  <c r="J96" i="80" s="1"/>
  <c r="O88" i="80"/>
  <c r="O92" i="85"/>
  <c r="P92" i="85"/>
  <c r="O85" i="85"/>
  <c r="F95" i="85"/>
  <c r="F96" i="85" s="1"/>
  <c r="P89" i="85"/>
  <c r="O89" i="85"/>
  <c r="P94" i="85"/>
  <c r="O92" i="74"/>
  <c r="P86" i="74"/>
  <c r="P88" i="74"/>
  <c r="O87" i="74"/>
  <c r="J11" i="111"/>
  <c r="U11" i="111" s="1"/>
  <c r="U33" i="111" s="1"/>
  <c r="J22" i="111"/>
  <c r="U22" i="111" s="1"/>
  <c r="U44" i="111" s="1"/>
  <c r="P86" i="89"/>
  <c r="E10" i="111"/>
  <c r="D13" i="111"/>
  <c r="O13" i="111" s="1"/>
  <c r="O35" i="111" s="1"/>
  <c r="G22" i="111"/>
  <c r="R22" i="111" s="1"/>
  <c r="R44" i="111" s="1"/>
  <c r="D15" i="111"/>
  <c r="O15" i="111" s="1"/>
  <c r="O37" i="111" s="1"/>
  <c r="O86" i="89"/>
  <c r="C10" i="111"/>
  <c r="N10" i="111" s="1"/>
  <c r="N32" i="111" s="1"/>
  <c r="G10" i="111"/>
  <c r="R10" i="111" s="1"/>
  <c r="R32" i="111" s="1"/>
  <c r="F15" i="111"/>
  <c r="Q15" i="111" s="1"/>
  <c r="Q37" i="111" s="1"/>
  <c r="J15" i="111"/>
  <c r="U15" i="111" s="1"/>
  <c r="U37" i="111" s="1"/>
  <c r="J13" i="111"/>
  <c r="U13" i="111" s="1"/>
  <c r="U35" i="111" s="1"/>
  <c r="D11" i="111"/>
  <c r="O11" i="111" s="1"/>
  <c r="O33" i="111" s="1"/>
  <c r="D21" i="111"/>
  <c r="O21" i="111" s="1"/>
  <c r="O43" i="111" s="1"/>
  <c r="J21" i="111"/>
  <c r="U21" i="111" s="1"/>
  <c r="U43" i="111" s="1"/>
  <c r="J12" i="111"/>
  <c r="U12" i="111" s="1"/>
  <c r="U34" i="111" s="1"/>
  <c r="C12" i="111"/>
  <c r="N12" i="111" s="1"/>
  <c r="N34" i="111" s="1"/>
  <c r="P91" i="93"/>
  <c r="M95" i="86"/>
  <c r="M96" i="86" s="1"/>
  <c r="O87" i="86"/>
  <c r="P89" i="86"/>
  <c r="P93" i="86"/>
  <c r="O94" i="86"/>
  <c r="I95" i="86"/>
  <c r="I96" i="86" s="1"/>
  <c r="P85" i="86"/>
  <c r="O86" i="94"/>
  <c r="P89" i="94"/>
  <c r="J95" i="94"/>
  <c r="J96" i="94" s="1"/>
  <c r="O93" i="94"/>
  <c r="N95" i="94"/>
  <c r="N96" i="94" s="1"/>
  <c r="O92" i="94"/>
  <c r="O87" i="94"/>
  <c r="H95" i="77"/>
  <c r="H96" i="77" s="1"/>
  <c r="M95" i="78"/>
  <c r="M96" i="78" s="1"/>
  <c r="O94" i="77"/>
  <c r="P94" i="77"/>
  <c r="O87" i="77"/>
  <c r="O88" i="84"/>
  <c r="O90" i="84"/>
  <c r="P89" i="84"/>
  <c r="G95" i="84"/>
  <c r="G96" i="84" s="1"/>
  <c r="P87" i="84"/>
  <c r="O91" i="84"/>
  <c r="P94" i="93"/>
  <c r="I95" i="96"/>
  <c r="I96" i="96" s="1"/>
  <c r="P85" i="96"/>
  <c r="F95" i="96"/>
  <c r="F96" i="96" s="1"/>
  <c r="O85" i="96"/>
  <c r="P89" i="96"/>
  <c r="P93" i="96"/>
  <c r="O94" i="96"/>
  <c r="O89" i="96"/>
  <c r="O92" i="96"/>
  <c r="M95" i="74"/>
  <c r="M96" i="74" s="1"/>
  <c r="I22" i="111"/>
  <c r="T22" i="111" s="1"/>
  <c r="T44" i="111" s="1"/>
  <c r="I14" i="111"/>
  <c r="T14" i="111" s="1"/>
  <c r="T36" i="111" s="1"/>
  <c r="M95" i="92"/>
  <c r="M96" i="92" s="1"/>
  <c r="L95" i="78"/>
  <c r="L96" i="78" s="1"/>
  <c r="M95" i="76"/>
  <c r="M96" i="76" s="1"/>
  <c r="P92" i="93"/>
  <c r="P95" i="87"/>
  <c r="P96" i="87" s="1"/>
  <c r="K95" i="92"/>
  <c r="K96" i="92" s="1"/>
  <c r="O90" i="92"/>
  <c r="O86" i="92"/>
  <c r="H95" i="92"/>
  <c r="H96" i="92" s="1"/>
  <c r="P93" i="92"/>
  <c r="G95" i="92"/>
  <c r="G96" i="92" s="1"/>
  <c r="P91" i="92"/>
  <c r="O87" i="82"/>
  <c r="P91" i="82"/>
  <c r="N95" i="82"/>
  <c r="N96" i="82" s="1"/>
  <c r="J95" i="82"/>
  <c r="J96" i="82" s="1"/>
  <c r="O86" i="82"/>
  <c r="O88" i="82"/>
  <c r="P92" i="78"/>
  <c r="O93" i="78"/>
  <c r="P90" i="78"/>
  <c r="O89" i="78"/>
  <c r="P89" i="78"/>
  <c r="K95" i="78"/>
  <c r="K96" i="78" s="1"/>
  <c r="P88" i="78"/>
  <c r="J95" i="78"/>
  <c r="J96" i="78" s="1"/>
  <c r="O88" i="78"/>
  <c r="O93" i="76"/>
  <c r="O89" i="76"/>
  <c r="P92" i="76"/>
  <c r="P91" i="76"/>
  <c r="N95" i="76"/>
  <c r="N96" i="76" s="1"/>
  <c r="O87" i="76"/>
  <c r="P86" i="76"/>
  <c r="O89" i="97"/>
  <c r="O85" i="93"/>
  <c r="P91" i="95"/>
  <c r="H95" i="80"/>
  <c r="H96" i="80" s="1"/>
  <c r="O86" i="80"/>
  <c r="O93" i="80"/>
  <c r="P91" i="80"/>
  <c r="I95" i="80"/>
  <c r="I96" i="80" s="1"/>
  <c r="P85" i="80"/>
  <c r="P88" i="80"/>
  <c r="P89" i="80"/>
  <c r="O87" i="80"/>
  <c r="K95" i="85"/>
  <c r="K96" i="85" s="1"/>
  <c r="P90" i="85"/>
  <c r="P88" i="85"/>
  <c r="J95" i="85"/>
  <c r="J96" i="85" s="1"/>
  <c r="P85" i="85"/>
  <c r="I95" i="85"/>
  <c r="I96" i="85" s="1"/>
  <c r="O87" i="85"/>
  <c r="O90" i="85"/>
  <c r="O91" i="74"/>
  <c r="P91" i="74"/>
  <c r="I95" i="74"/>
  <c r="I96" i="74" s="1"/>
  <c r="P85" i="74"/>
  <c r="P87" i="74"/>
  <c r="K95" i="74"/>
  <c r="K96" i="74" s="1"/>
  <c r="N95" i="74"/>
  <c r="N96" i="74" s="1"/>
  <c r="P93" i="74"/>
  <c r="O90" i="74"/>
  <c r="P89" i="74"/>
  <c r="F21" i="111"/>
  <c r="Q21" i="111" s="1"/>
  <c r="Q43" i="111" s="1"/>
  <c r="C22" i="111"/>
  <c r="N22" i="111" s="1"/>
  <c r="N44" i="111" s="1"/>
  <c r="F22" i="111"/>
  <c r="Q22" i="111" s="1"/>
  <c r="Q44" i="111" s="1"/>
  <c r="O88" i="89"/>
  <c r="D12" i="111"/>
  <c r="O12" i="111" s="1"/>
  <c r="O34" i="111" s="1"/>
  <c r="J10" i="111"/>
  <c r="U10" i="111" s="1"/>
  <c r="U32" i="111" s="1"/>
  <c r="G14" i="111"/>
  <c r="R14" i="111" s="1"/>
  <c r="R36" i="111" s="1"/>
  <c r="F13" i="111"/>
  <c r="Q13" i="111" s="1"/>
  <c r="Q35" i="111" s="1"/>
  <c r="D22" i="111"/>
  <c r="O22" i="111" s="1"/>
  <c r="O44" i="111" s="1"/>
  <c r="P94" i="89"/>
  <c r="E22" i="111"/>
  <c r="G11" i="111"/>
  <c r="R11" i="111" s="1"/>
  <c r="R33" i="111" s="1"/>
  <c r="P90" i="89"/>
  <c r="E14" i="111"/>
  <c r="G12" i="111"/>
  <c r="R12" i="111" s="1"/>
  <c r="R34" i="111" s="1"/>
  <c r="G13" i="111"/>
  <c r="R13" i="111" s="1"/>
  <c r="R35" i="111" s="1"/>
  <c r="G95" i="89"/>
  <c r="C9" i="111"/>
  <c r="O89" i="89"/>
  <c r="J95" i="89"/>
  <c r="F9" i="111"/>
  <c r="P85" i="97"/>
  <c r="O95" i="87"/>
  <c r="M95" i="94"/>
  <c r="M96" i="94" s="1"/>
  <c r="H95" i="86"/>
  <c r="H96" i="86" s="1"/>
  <c r="P87" i="86"/>
  <c r="O86" i="86"/>
  <c r="P94" i="86"/>
  <c r="G95" i="86"/>
  <c r="G96" i="86" s="1"/>
  <c r="O90" i="86"/>
  <c r="P85" i="94"/>
  <c r="I95" i="94"/>
  <c r="I96" i="94" s="1"/>
  <c r="P92" i="94"/>
  <c r="H95" i="94"/>
  <c r="H96" i="94" s="1"/>
  <c r="K95" i="94"/>
  <c r="K96" i="94" s="1"/>
  <c r="O90" i="94"/>
  <c r="P91" i="94"/>
  <c r="G95" i="94"/>
  <c r="G96" i="94" s="1"/>
  <c r="P90" i="77"/>
  <c r="O86" i="77"/>
  <c r="G95" i="77"/>
  <c r="G96" i="77" s="1"/>
  <c r="O92" i="77"/>
  <c r="J95" i="77"/>
  <c r="J96" i="77" s="1"/>
  <c r="N95" i="84"/>
  <c r="N96" i="84" s="1"/>
  <c r="H9" i="111"/>
  <c r="P86" i="96"/>
  <c r="G95" i="96"/>
  <c r="G96" i="96" s="1"/>
  <c r="O86" i="96"/>
  <c r="O91" i="96"/>
  <c r="I10" i="111"/>
  <c r="T10" i="111" s="1"/>
  <c r="T32" i="111" s="1"/>
  <c r="I15" i="111"/>
  <c r="T15" i="111" s="1"/>
  <c r="T37" i="111" s="1"/>
  <c r="L95" i="96"/>
  <c r="L96" i="96" s="1"/>
  <c r="M95" i="82"/>
  <c r="M96" i="82" s="1"/>
  <c r="M95" i="77"/>
  <c r="M96" i="77" s="1"/>
  <c r="P87" i="92"/>
  <c r="O91" i="92"/>
  <c r="F95" i="92"/>
  <c r="F96" i="92" s="1"/>
  <c r="O85" i="92"/>
  <c r="O89" i="92"/>
  <c r="O92" i="92"/>
  <c r="J95" i="92"/>
  <c r="J96" i="92" s="1"/>
  <c r="O87" i="92"/>
  <c r="P90" i="92"/>
  <c r="P90" i="82"/>
  <c r="P85" i="82"/>
  <c r="I95" i="82"/>
  <c r="I96" i="82" s="1"/>
  <c r="P92" i="82"/>
  <c r="P86" i="82"/>
  <c r="O92" i="78"/>
  <c r="P91" i="78"/>
  <c r="O94" i="78"/>
  <c r="P86" i="78"/>
  <c r="G95" i="78"/>
  <c r="G96" i="78" s="1"/>
  <c r="P87" i="78"/>
  <c r="O86" i="78"/>
  <c r="O85" i="78"/>
  <c r="F95" i="78"/>
  <c r="F96" i="78" s="1"/>
  <c r="P88" i="76"/>
  <c r="P90" i="76"/>
  <c r="O91" i="76"/>
  <c r="P94" i="76"/>
  <c r="O92" i="76"/>
  <c r="P87" i="76"/>
  <c r="O85" i="97"/>
  <c r="O92" i="97"/>
  <c r="P94" i="80"/>
  <c r="O91" i="80"/>
  <c r="P93" i="80"/>
  <c r="O88" i="85"/>
  <c r="O91" i="85"/>
  <c r="H95" i="85"/>
  <c r="H96" i="85" s="1"/>
  <c r="P86" i="85"/>
  <c r="P91" i="85"/>
  <c r="N95" i="85"/>
  <c r="N96" i="85" s="1"/>
  <c r="P93" i="85"/>
  <c r="P87" i="85"/>
  <c r="O86" i="74"/>
  <c r="P94" i="74"/>
  <c r="G95" i="74"/>
  <c r="G96" i="74" s="1"/>
  <c r="O85" i="74"/>
  <c r="F95" i="74"/>
  <c r="F96" i="74" s="1"/>
  <c r="F14" i="111"/>
  <c r="Q14" i="111" s="1"/>
  <c r="Q36" i="111" s="1"/>
  <c r="H95" i="89"/>
  <c r="D9" i="111"/>
  <c r="C13" i="111"/>
  <c r="N13" i="111" s="1"/>
  <c r="N35" i="111" s="1"/>
  <c r="J14" i="111"/>
  <c r="U14" i="111" s="1"/>
  <c r="U36" i="111" s="1"/>
  <c r="O94" i="89"/>
  <c r="C15" i="111"/>
  <c r="N15" i="111" s="1"/>
  <c r="N37" i="111" s="1"/>
  <c r="K95" i="89"/>
  <c r="G9" i="111"/>
  <c r="O93" i="89"/>
  <c r="O92" i="89"/>
  <c r="P87" i="89"/>
  <c r="E11" i="111"/>
  <c r="P88" i="89"/>
  <c r="E12" i="111"/>
  <c r="C14" i="111"/>
  <c r="N14" i="111" s="1"/>
  <c r="N36" i="111" s="1"/>
  <c r="C11" i="111"/>
  <c r="N11" i="111" s="1"/>
  <c r="N33" i="111" s="1"/>
  <c r="P92" i="89"/>
  <c r="F10" i="111"/>
  <c r="Q10" i="111" s="1"/>
  <c r="Q32" i="111" s="1"/>
  <c r="D10" i="111"/>
  <c r="O10" i="111" s="1"/>
  <c r="O32" i="111" s="1"/>
  <c r="P91" i="89"/>
  <c r="E15" i="111"/>
  <c r="O96" i="106"/>
  <c r="O97" i="106"/>
  <c r="P95" i="75"/>
  <c r="P96" i="75" s="1"/>
  <c r="P92" i="86"/>
  <c r="O91" i="86"/>
  <c r="O93" i="86"/>
  <c r="J95" i="86"/>
  <c r="J96" i="86" s="1"/>
  <c r="P90" i="86"/>
  <c r="K95" i="86"/>
  <c r="K96" i="86" s="1"/>
  <c r="O89" i="86"/>
  <c r="P86" i="86"/>
  <c r="O91" i="94"/>
  <c r="P90" i="94"/>
  <c r="P87" i="94"/>
  <c r="O88" i="94"/>
  <c r="P93" i="94"/>
  <c r="P94" i="94"/>
  <c r="P95" i="97" l="1"/>
  <c r="P96" i="97" s="1"/>
  <c r="O95" i="93"/>
  <c r="P95" i="82"/>
  <c r="P96" i="82" s="1"/>
  <c r="H9" i="112"/>
  <c r="S9" i="112" s="1"/>
  <c r="P95" i="93"/>
  <c r="P96" i="93" s="1"/>
  <c r="K96" i="89"/>
  <c r="G12" i="112"/>
  <c r="R12" i="112" s="1"/>
  <c r="R27" i="112" s="1"/>
  <c r="G11" i="112"/>
  <c r="R11" i="112" s="1"/>
  <c r="R26" i="112" s="1"/>
  <c r="G14" i="112"/>
  <c r="R14" i="112" s="1"/>
  <c r="R29" i="112" s="1"/>
  <c r="G9" i="112"/>
  <c r="G15" i="112"/>
  <c r="R15" i="112" s="1"/>
  <c r="R30" i="112" s="1"/>
  <c r="G16" i="112"/>
  <c r="R16" i="112" s="1"/>
  <c r="R31" i="112" s="1"/>
  <c r="G10" i="112"/>
  <c r="R10" i="112" s="1"/>
  <c r="R25" i="112" s="1"/>
  <c r="G13" i="112"/>
  <c r="R13" i="112" s="1"/>
  <c r="R28" i="112" s="1"/>
  <c r="P15" i="111"/>
  <c r="K15" i="111"/>
  <c r="P11" i="111"/>
  <c r="K11" i="111"/>
  <c r="R9" i="111"/>
  <c r="G23" i="111"/>
  <c r="O95" i="92"/>
  <c r="Q9" i="111"/>
  <c r="F23" i="111"/>
  <c r="G96" i="89"/>
  <c r="C11" i="112"/>
  <c r="N11" i="112" s="1"/>
  <c r="N26" i="112" s="1"/>
  <c r="C15" i="112"/>
  <c r="N15" i="112" s="1"/>
  <c r="N30" i="112" s="1"/>
  <c r="C9" i="112"/>
  <c r="C14" i="112"/>
  <c r="N14" i="112" s="1"/>
  <c r="N29" i="112" s="1"/>
  <c r="C16" i="112"/>
  <c r="N16" i="112" s="1"/>
  <c r="N31" i="112" s="1"/>
  <c r="C13" i="112"/>
  <c r="N13" i="112" s="1"/>
  <c r="N28" i="112" s="1"/>
  <c r="C10" i="112"/>
  <c r="N10" i="112" s="1"/>
  <c r="N25" i="112" s="1"/>
  <c r="C12" i="112"/>
  <c r="N12" i="112" s="1"/>
  <c r="N27" i="112" s="1"/>
  <c r="O95" i="96"/>
  <c r="O97" i="95"/>
  <c r="O96" i="95"/>
  <c r="P95" i="86"/>
  <c r="P96" i="86" s="1"/>
  <c r="O95" i="94"/>
  <c r="P95" i="89"/>
  <c r="P96" i="89" s="1"/>
  <c r="O95" i="80"/>
  <c r="M96" i="89"/>
  <c r="I15" i="112"/>
  <c r="T15" i="112" s="1"/>
  <c r="T30" i="112" s="1"/>
  <c r="I14" i="112"/>
  <c r="T14" i="112" s="1"/>
  <c r="T29" i="112" s="1"/>
  <c r="I10" i="112"/>
  <c r="T10" i="112" s="1"/>
  <c r="T25" i="112" s="1"/>
  <c r="I16" i="112"/>
  <c r="T16" i="112" s="1"/>
  <c r="T31" i="112" s="1"/>
  <c r="I11" i="112"/>
  <c r="T11" i="112" s="1"/>
  <c r="T26" i="112" s="1"/>
  <c r="I12" i="112"/>
  <c r="T12" i="112" s="1"/>
  <c r="T27" i="112" s="1"/>
  <c r="I9" i="112"/>
  <c r="I13" i="112"/>
  <c r="T13" i="112" s="1"/>
  <c r="T28" i="112" s="1"/>
  <c r="O95" i="84"/>
  <c r="O96" i="75"/>
  <c r="O97" i="75"/>
  <c r="J96" i="89"/>
  <c r="F10" i="112"/>
  <c r="Q10" i="112" s="1"/>
  <c r="Q25" i="112" s="1"/>
  <c r="F9" i="112"/>
  <c r="F16" i="112"/>
  <c r="Q16" i="112" s="1"/>
  <c r="Q31" i="112" s="1"/>
  <c r="F12" i="112"/>
  <c r="Q12" i="112" s="1"/>
  <c r="Q27" i="112" s="1"/>
  <c r="F11" i="112"/>
  <c r="Q11" i="112" s="1"/>
  <c r="Q26" i="112" s="1"/>
  <c r="F14" i="112"/>
  <c r="Q14" i="112" s="1"/>
  <c r="Q29" i="112" s="1"/>
  <c r="F15" i="112"/>
  <c r="Q15" i="112" s="1"/>
  <c r="Q30" i="112" s="1"/>
  <c r="F13" i="112"/>
  <c r="Q13" i="112" s="1"/>
  <c r="Q28" i="112" s="1"/>
  <c r="O97" i="93"/>
  <c r="O96" i="93"/>
  <c r="P95" i="76"/>
  <c r="P96" i="76" s="1"/>
  <c r="J23" i="111"/>
  <c r="U9" i="111"/>
  <c r="I96" i="89"/>
  <c r="E14" i="112"/>
  <c r="E13" i="112"/>
  <c r="E9" i="112"/>
  <c r="E15" i="112"/>
  <c r="E10" i="112"/>
  <c r="E16" i="112"/>
  <c r="E12" i="112"/>
  <c r="E11" i="112"/>
  <c r="L96" i="94"/>
  <c r="H10" i="112"/>
  <c r="S10" i="112" s="1"/>
  <c r="S25" i="112" s="1"/>
  <c r="H15" i="112"/>
  <c r="S15" i="112" s="1"/>
  <c r="S30" i="112" s="1"/>
  <c r="H11" i="112"/>
  <c r="S11" i="112" s="1"/>
  <c r="S26" i="112" s="1"/>
  <c r="O95" i="77"/>
  <c r="O9" i="111"/>
  <c r="D23" i="111"/>
  <c r="O95" i="74"/>
  <c r="O95" i="97"/>
  <c r="O95" i="78"/>
  <c r="H16" i="112"/>
  <c r="S16" i="112" s="1"/>
  <c r="S31" i="112" s="1"/>
  <c r="P95" i="94"/>
  <c r="P96" i="94" s="1"/>
  <c r="O97" i="87"/>
  <c r="O96" i="87"/>
  <c r="P22" i="111"/>
  <c r="K22" i="111"/>
  <c r="P95" i="85"/>
  <c r="P96" i="85" s="1"/>
  <c r="P95" i="80"/>
  <c r="P96" i="80" s="1"/>
  <c r="P95" i="96"/>
  <c r="P96" i="96" s="1"/>
  <c r="O95" i="82"/>
  <c r="H12" i="112"/>
  <c r="S12" i="112" s="1"/>
  <c r="S27" i="112" s="1"/>
  <c r="P95" i="77"/>
  <c r="P96" i="77" s="1"/>
  <c r="N96" i="89"/>
  <c r="J13" i="112"/>
  <c r="U13" i="112" s="1"/>
  <c r="J11" i="112"/>
  <c r="U11" i="112" s="1"/>
  <c r="J14" i="112"/>
  <c r="U14" i="112" s="1"/>
  <c r="J10" i="112"/>
  <c r="U10" i="112" s="1"/>
  <c r="J12" i="112"/>
  <c r="U12" i="112" s="1"/>
  <c r="J15" i="112"/>
  <c r="U15" i="112" s="1"/>
  <c r="J16" i="112"/>
  <c r="U16" i="112" s="1"/>
  <c r="J9" i="112"/>
  <c r="P95" i="92"/>
  <c r="P96" i="92" s="1"/>
  <c r="P95" i="95"/>
  <c r="P96" i="95" s="1"/>
  <c r="H13" i="112"/>
  <c r="S13" i="112" s="1"/>
  <c r="S28" i="112" s="1"/>
  <c r="P12" i="111"/>
  <c r="K12" i="111"/>
  <c r="H96" i="89"/>
  <c r="D12" i="112"/>
  <c r="O12" i="112" s="1"/>
  <c r="O27" i="112" s="1"/>
  <c r="D9" i="112"/>
  <c r="D13" i="112"/>
  <c r="O13" i="112" s="1"/>
  <c r="O28" i="112" s="1"/>
  <c r="D14" i="112"/>
  <c r="O14" i="112" s="1"/>
  <c r="O29" i="112" s="1"/>
  <c r="D11" i="112"/>
  <c r="O11" i="112" s="1"/>
  <c r="O26" i="112" s="1"/>
  <c r="D10" i="112"/>
  <c r="O10" i="112" s="1"/>
  <c r="O25" i="112" s="1"/>
  <c r="D16" i="112"/>
  <c r="O16" i="112" s="1"/>
  <c r="O31" i="112" s="1"/>
  <c r="D15" i="112"/>
  <c r="O15" i="112" s="1"/>
  <c r="O30" i="112" s="1"/>
  <c r="S9" i="111"/>
  <c r="H23" i="111"/>
  <c r="N9" i="111"/>
  <c r="C23" i="111"/>
  <c r="P14" i="111"/>
  <c r="K14" i="111"/>
  <c r="P95" i="74"/>
  <c r="P96" i="74" s="1"/>
  <c r="P10" i="111"/>
  <c r="K10" i="111"/>
  <c r="O95" i="85"/>
  <c r="O95" i="76"/>
  <c r="O95" i="86"/>
  <c r="K13" i="111"/>
  <c r="P13" i="111"/>
  <c r="O95" i="89"/>
  <c r="P21" i="111"/>
  <c r="K21" i="111"/>
  <c r="K9" i="111"/>
  <c r="E23" i="111"/>
  <c r="P9" i="111"/>
  <c r="P95" i="78"/>
  <c r="P96" i="78" s="1"/>
  <c r="T9" i="111"/>
  <c r="I23" i="111"/>
  <c r="H14" i="112"/>
  <c r="S14" i="112" s="1"/>
  <c r="S29" i="112" s="1"/>
  <c r="P95" i="84"/>
  <c r="P96" i="84" s="1"/>
  <c r="O97" i="89" l="1"/>
  <c r="O96" i="89"/>
  <c r="V10" i="111"/>
  <c r="P32" i="111"/>
  <c r="V32" i="111" s="1"/>
  <c r="O97" i="97"/>
  <c r="O96" i="97"/>
  <c r="O97" i="77"/>
  <c r="O96" i="77"/>
  <c r="P16" i="112"/>
  <c r="K16" i="112"/>
  <c r="K13" i="112"/>
  <c r="P13" i="112"/>
  <c r="O97" i="96"/>
  <c r="O96" i="96"/>
  <c r="Q23" i="111"/>
  <c r="Q31" i="111"/>
  <c r="Q45" i="111" s="1"/>
  <c r="R23" i="111"/>
  <c r="R31" i="111"/>
  <c r="R45" i="111" s="1"/>
  <c r="V15" i="111"/>
  <c r="P37" i="111"/>
  <c r="V37" i="111" s="1"/>
  <c r="T23" i="111"/>
  <c r="T31" i="111"/>
  <c r="T45" i="111" s="1"/>
  <c r="O97" i="82"/>
  <c r="O96" i="82"/>
  <c r="O97" i="74"/>
  <c r="O96" i="74"/>
  <c r="K10" i="112"/>
  <c r="P10" i="112"/>
  <c r="P14" i="112"/>
  <c r="K14" i="112"/>
  <c r="F17" i="112"/>
  <c r="F24" i="111" s="1"/>
  <c r="Q9" i="112"/>
  <c r="I17" i="112"/>
  <c r="I24" i="111" s="1"/>
  <c r="T9" i="112"/>
  <c r="O97" i="80"/>
  <c r="O96" i="80"/>
  <c r="G17" i="112"/>
  <c r="G24" i="111" s="1"/>
  <c r="R9" i="112"/>
  <c r="V9" i="111"/>
  <c r="P23" i="111"/>
  <c r="P31" i="111"/>
  <c r="K23" i="111"/>
  <c r="V13" i="111"/>
  <c r="P35" i="111"/>
  <c r="V35" i="111" s="1"/>
  <c r="O96" i="76"/>
  <c r="O97" i="76"/>
  <c r="N23" i="111"/>
  <c r="N31" i="111"/>
  <c r="N45" i="111" s="1"/>
  <c r="O96" i="85"/>
  <c r="O97" i="85"/>
  <c r="D17" i="112"/>
  <c r="D24" i="111" s="1"/>
  <c r="O9" i="112"/>
  <c r="V12" i="111"/>
  <c r="P34" i="111"/>
  <c r="V34" i="111" s="1"/>
  <c r="J17" i="112"/>
  <c r="J24" i="111" s="1"/>
  <c r="U9" i="112"/>
  <c r="U17" i="112" s="1"/>
  <c r="V22" i="111"/>
  <c r="P44" i="111"/>
  <c r="V44" i="111" s="1"/>
  <c r="P11" i="112"/>
  <c r="K11" i="112"/>
  <c r="P15" i="112"/>
  <c r="K15" i="112"/>
  <c r="O96" i="92"/>
  <c r="O97" i="92"/>
  <c r="V11" i="111"/>
  <c r="P33" i="111"/>
  <c r="V33" i="111" s="1"/>
  <c r="S17" i="112"/>
  <c r="S24" i="112"/>
  <c r="S32" i="112" s="1"/>
  <c r="V21" i="111"/>
  <c r="P43" i="111"/>
  <c r="V43" i="111" s="1"/>
  <c r="O97" i="86"/>
  <c r="O96" i="86"/>
  <c r="V14" i="111"/>
  <c r="P36" i="111"/>
  <c r="V36" i="111" s="1"/>
  <c r="S23" i="111"/>
  <c r="S31" i="111"/>
  <c r="S45" i="111" s="1"/>
  <c r="O97" i="78"/>
  <c r="O96" i="78"/>
  <c r="O23" i="111"/>
  <c r="O31" i="111"/>
  <c r="O45" i="111" s="1"/>
  <c r="P12" i="112"/>
  <c r="K12" i="112"/>
  <c r="E17" i="112"/>
  <c r="E24" i="111" s="1"/>
  <c r="P9" i="112"/>
  <c r="K9" i="112"/>
  <c r="U23" i="111"/>
  <c r="U31" i="111"/>
  <c r="U45" i="111" s="1"/>
  <c r="U33" i="112" s="1"/>
  <c r="O97" i="84"/>
  <c r="O96" i="84"/>
  <c r="O96" i="94"/>
  <c r="O97" i="94"/>
  <c r="N9" i="112"/>
  <c r="C17" i="112"/>
  <c r="C24" i="111" s="1"/>
  <c r="H17" i="112"/>
  <c r="H24" i="111" s="1"/>
  <c r="S33" i="112" l="1"/>
  <c r="S18" i="112"/>
  <c r="V15" i="112"/>
  <c r="P30" i="112"/>
  <c r="V30" i="112" s="1"/>
  <c r="P45" i="111"/>
  <c r="V31" i="111"/>
  <c r="V45" i="111" s="1"/>
  <c r="T17" i="112"/>
  <c r="T24" i="112"/>
  <c r="T32" i="112" s="1"/>
  <c r="T33" i="112" s="1"/>
  <c r="V13" i="112"/>
  <c r="P28" i="112"/>
  <c r="V28" i="112" s="1"/>
  <c r="N17" i="112"/>
  <c r="N18" i="112" s="1"/>
  <c r="N24" i="112"/>
  <c r="N32" i="112" s="1"/>
  <c r="N33" i="112" s="1"/>
  <c r="O17" i="112"/>
  <c r="O18" i="112" s="1"/>
  <c r="O24" i="112"/>
  <c r="O32" i="112" s="1"/>
  <c r="O33" i="112" s="1"/>
  <c r="V14" i="112"/>
  <c r="P29" i="112"/>
  <c r="V29" i="112" s="1"/>
  <c r="U18" i="112"/>
  <c r="K17" i="112"/>
  <c r="V12" i="112"/>
  <c r="P27" i="112"/>
  <c r="V27" i="112" s="1"/>
  <c r="V11" i="112"/>
  <c r="P26" i="112"/>
  <c r="V26" i="112" s="1"/>
  <c r="V23" i="111"/>
  <c r="Q17" i="112"/>
  <c r="Q24" i="112"/>
  <c r="Q32" i="112" s="1"/>
  <c r="Q33" i="112" s="1"/>
  <c r="V10" i="112"/>
  <c r="P25" i="112"/>
  <c r="V25" i="112" s="1"/>
  <c r="P17" i="112"/>
  <c r="V9" i="112"/>
  <c r="P24" i="112"/>
  <c r="R17" i="112"/>
  <c r="R24" i="112"/>
  <c r="R32" i="112" s="1"/>
  <c r="R33" i="112" s="1"/>
  <c r="V16" i="112"/>
  <c r="P31" i="112"/>
  <c r="V31" i="112" s="1"/>
  <c r="P18" i="112" l="1"/>
  <c r="R18" i="112"/>
  <c r="P32" i="112"/>
  <c r="P33" i="112" s="1"/>
  <c r="V24" i="112"/>
  <c r="V32" i="112" s="1"/>
  <c r="V33" i="112" s="1"/>
  <c r="V17" i="112"/>
  <c r="T18" i="112"/>
  <c r="Q18" i="112"/>
  <c r="V18" i="112" l="1"/>
</calcChain>
</file>

<file path=xl/sharedStrings.xml><?xml version="1.0" encoding="utf-8"?>
<sst xmlns="http://schemas.openxmlformats.org/spreadsheetml/2006/main" count="11549" uniqueCount="509">
  <si>
    <t>Labour - internal</t>
  </si>
  <si>
    <t>Labour - external</t>
  </si>
  <si>
    <t>Asset class</t>
  </si>
  <si>
    <t>Secondary</t>
  </si>
  <si>
    <t>Switchgear</t>
  </si>
  <si>
    <t>Transformers</t>
  </si>
  <si>
    <t>Reactive</t>
  </si>
  <si>
    <t>Lines and towers</t>
  </si>
  <si>
    <t>Establishment</t>
  </si>
  <si>
    <t>Communications</t>
  </si>
  <si>
    <t>Non System</t>
  </si>
  <si>
    <t>Land</t>
  </si>
  <si>
    <t>Easements</t>
  </si>
  <si>
    <t>Regulatory classification</t>
  </si>
  <si>
    <t>Prescribed</t>
  </si>
  <si>
    <t>Project name</t>
  </si>
  <si>
    <t>Total</t>
  </si>
  <si>
    <t>Total labour - internal</t>
  </si>
  <si>
    <t>Total materials</t>
  </si>
  <si>
    <t>Total labour - external</t>
  </si>
  <si>
    <t>Project category 1</t>
  </si>
  <si>
    <t>Project category 2</t>
  </si>
  <si>
    <t>Project timing</t>
  </si>
  <si>
    <t>Asset class breakdown</t>
  </si>
  <si>
    <t>(fully absorbed)</t>
  </si>
  <si>
    <t>(as incurred)</t>
  </si>
  <si>
    <t>(as commissioned)</t>
  </si>
  <si>
    <t>2014/15</t>
  </si>
  <si>
    <t>2015/16</t>
  </si>
  <si>
    <t>2016/17</t>
  </si>
  <si>
    <t>Inflation</t>
  </si>
  <si>
    <t>2012/13</t>
  </si>
  <si>
    <t>2013/14</t>
  </si>
  <si>
    <t>Internal labour index</t>
  </si>
  <si>
    <t>External labour index</t>
  </si>
  <si>
    <t>TOTAL</t>
  </si>
  <si>
    <t>IT</t>
  </si>
  <si>
    <t>TOTAL CAPEX</t>
  </si>
  <si>
    <t>Year 1</t>
  </si>
  <si>
    <t>Year 2</t>
  </si>
  <si>
    <t>Year 3</t>
  </si>
  <si>
    <t>Location</t>
  </si>
  <si>
    <t>Project Input Control Sheet</t>
  </si>
  <si>
    <t>RWTS</t>
  </si>
  <si>
    <t>SVTS</t>
  </si>
  <si>
    <t>FBTS</t>
  </si>
  <si>
    <t>HTS Rebuild</t>
  </si>
  <si>
    <t>HTS</t>
  </si>
  <si>
    <t xml:space="preserve">Proj No </t>
  </si>
  <si>
    <t xml:space="preserve"> </t>
  </si>
  <si>
    <t>Check</t>
  </si>
  <si>
    <t>HWPS</t>
  </si>
  <si>
    <t>Vehicles</t>
  </si>
  <si>
    <t>Premises</t>
  </si>
  <si>
    <t>RTS</t>
  </si>
  <si>
    <t>Year -1</t>
  </si>
  <si>
    <t>Year -2</t>
  </si>
  <si>
    <t>Materials</t>
  </si>
  <si>
    <t>Input costs %</t>
  </si>
  <si>
    <t>Material Escalation</t>
  </si>
  <si>
    <t>Total Escalation</t>
  </si>
  <si>
    <t>Total Material escalation</t>
  </si>
  <si>
    <t xml:space="preserve">Overall Forecast Total </t>
  </si>
  <si>
    <t>Business case?</t>
  </si>
  <si>
    <t>Prior</t>
  </si>
  <si>
    <t>Assumed year commissioned (no BC)</t>
  </si>
  <si>
    <t>Yes</t>
  </si>
  <si>
    <t>Replacement - Major Station</t>
  </si>
  <si>
    <t>Non Network</t>
  </si>
  <si>
    <t>Input Dollars stated in</t>
  </si>
  <si>
    <t>Output Table Dollars stated in</t>
  </si>
  <si>
    <t>Non System - Other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</si>
  <si>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</si>
  <si>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</si>
  <si>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</si>
  <si>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</si>
  <si>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</si>
  <si>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</si>
  <si>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</si>
  <si>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</si>
  <si>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FBTS Refurbishment</t>
  </si>
  <si>
    <t>HWPS 220kV Switchyard Redevelopment Stage 4</t>
  </si>
  <si>
    <t>RTS Redevelopment Project</t>
  </si>
  <si>
    <t>Other committed projects</t>
  </si>
  <si>
    <t>RWTS B4 220/66kV Transformer and 66kV CB Replacement</t>
  </si>
  <si>
    <t>TSTS B2 Transformer and 66kV CB Replacement</t>
  </si>
  <si>
    <t>SVTS Redevelopment Stage 1</t>
  </si>
  <si>
    <t>WMTS Redevelopment</t>
  </si>
  <si>
    <t>HYTS 500kV and 275kV CB Replacement</t>
  </si>
  <si>
    <t>2017/18</t>
  </si>
  <si>
    <t>2018/19</t>
  </si>
  <si>
    <t>2019/20</t>
  </si>
  <si>
    <t>2020/21</t>
  </si>
  <si>
    <t>2021/22</t>
  </si>
  <si>
    <t>2022/23</t>
  </si>
  <si>
    <t>Power transformers - Bushings replacement</t>
  </si>
  <si>
    <t>Power transformers - life extension</t>
  </si>
  <si>
    <t>Power transformers - improved safe access</t>
  </si>
  <si>
    <t>Circuit breakers</t>
  </si>
  <si>
    <t>Instrument transformers</t>
  </si>
  <si>
    <t>Disconnectors</t>
  </si>
  <si>
    <t>Syn Cons</t>
  </si>
  <si>
    <t>Fire protection systems</t>
  </si>
  <si>
    <t>Civils</t>
  </si>
  <si>
    <t>Infrastructure security</t>
  </si>
  <si>
    <t>Structure fall arrests</t>
  </si>
  <si>
    <t>Earth wires (incl. OPGW)</t>
  </si>
  <si>
    <t>Conductor</t>
  </si>
  <si>
    <t>Insulators</t>
  </si>
  <si>
    <t>Towers</t>
  </si>
  <si>
    <t>Tower fall arrests</t>
  </si>
  <si>
    <t>Secondary &amp; Protection program</t>
  </si>
  <si>
    <t>Comms program</t>
  </si>
  <si>
    <t>TSTS</t>
  </si>
  <si>
    <t>WMTS</t>
  </si>
  <si>
    <t>HYTS</t>
  </si>
  <si>
    <t>Network</t>
  </si>
  <si>
    <t>Replacement - Other</t>
  </si>
  <si>
    <t>Security and Compliance</t>
  </si>
  <si>
    <t>Buildings &amp; Property</t>
  </si>
  <si>
    <t>Motor Vehicles</t>
  </si>
  <si>
    <t>Non-network - Other</t>
  </si>
  <si>
    <t>IT Strategy</t>
  </si>
  <si>
    <t>Year 4</t>
  </si>
  <si>
    <t>Year 5</t>
  </si>
  <si>
    <t>Year 6</t>
  </si>
  <si>
    <t>Efficiency factor</t>
  </si>
  <si>
    <t>XC21</t>
  </si>
  <si>
    <t>XC15</t>
  </si>
  <si>
    <t>XB61</t>
  </si>
  <si>
    <t>XA14</t>
  </si>
  <si>
    <t>X834, XC72</t>
  </si>
  <si>
    <t>x</t>
  </si>
  <si>
    <t>XC17</t>
  </si>
  <si>
    <t>XC28</t>
  </si>
  <si>
    <t>XA09</t>
  </si>
  <si>
    <t>XB59</t>
  </si>
  <si>
    <t>284A</t>
  </si>
  <si>
    <t>FBTS Transformer and Circuit Breaker Replacement</t>
  </si>
  <si>
    <t>285A</t>
  </si>
  <si>
    <t>XC19</t>
  </si>
  <si>
    <t>SMTS H2 Transformer Replacement</t>
  </si>
  <si>
    <t>SMTS</t>
  </si>
  <si>
    <t>Non Network - Other</t>
  </si>
  <si>
    <t>Non Network - Vehicles</t>
  </si>
  <si>
    <t>Non Network - Premises</t>
  </si>
  <si>
    <t>Towers and Conductor</t>
  </si>
  <si>
    <t>Inventory</t>
  </si>
  <si>
    <t>Other (non-network)</t>
  </si>
  <si>
    <t>Comms program - safety and security</t>
  </si>
  <si>
    <t>Lines</t>
  </si>
  <si>
    <t>Stations</t>
  </si>
  <si>
    <t>Secondary and Protection</t>
  </si>
  <si>
    <t>Tower fall arrest</t>
  </si>
  <si>
    <t>Instrument transformer replacement</t>
  </si>
  <si>
    <t>Insulator replacement</t>
  </si>
  <si>
    <t>Fire protection and infrastructure</t>
  </si>
  <si>
    <t>Infrastructure security systems</t>
  </si>
  <si>
    <t>Comms - safety and security</t>
  </si>
  <si>
    <t>Station structure fall arrests</t>
  </si>
  <si>
    <t>TRR Capex Forecast Model (2017-18 to 2021-22)</t>
  </si>
  <si>
    <t>Actual</t>
  </si>
  <si>
    <t>Forecast</t>
  </si>
  <si>
    <t>Annual inflation (Sept to Sept)</t>
  </si>
  <si>
    <t>Real cost escalation index</t>
  </si>
  <si>
    <t>Labour Escalation</t>
  </si>
  <si>
    <t>Materials Escalation</t>
  </si>
  <si>
    <t>Non Network Overheads - General</t>
  </si>
  <si>
    <t>Non Network Overheads - IT</t>
  </si>
  <si>
    <r>
      <t xml:space="preserve">CPI - 8 Capital cities </t>
    </r>
    <r>
      <rPr>
        <sz val="11"/>
        <color theme="1"/>
        <rFont val="Calibri"/>
        <family val="2"/>
      </rPr>
      <t>(Prior Sept qtr, Re-based in Sep-12)</t>
    </r>
  </si>
  <si>
    <t>Asset Category type</t>
  </si>
  <si>
    <t>Base year for escalation - 2015/16</t>
  </si>
  <si>
    <t>AusNet Services - Transmission</t>
  </si>
  <si>
    <t>Calendar format - Regulatory Years</t>
  </si>
  <si>
    <t>1 Apr - 31 Mar</t>
  </si>
  <si>
    <t>Model start date (year)</t>
  </si>
  <si>
    <t>Project Category 2</t>
  </si>
  <si>
    <t>Asset Category 1</t>
  </si>
  <si>
    <t>Project Category 1</t>
  </si>
  <si>
    <t>Non Network - IT</t>
  </si>
  <si>
    <t>Target compl</t>
  </si>
  <si>
    <t>Prior (Actual)</t>
  </si>
  <si>
    <t>2014-15 (Actual)</t>
  </si>
  <si>
    <t>2015-16 (Forecast)</t>
  </si>
  <si>
    <t>2016-17 (Forecast)</t>
  </si>
  <si>
    <t>2017-18 (Forecast)</t>
  </si>
  <si>
    <t>2018-19 (Forecast)</t>
  </si>
  <si>
    <t>2019-20 (Forecast)</t>
  </si>
  <si>
    <t>2020-21 (Forecast)</t>
  </si>
  <si>
    <t>2021-22 (Forecast)</t>
  </si>
  <si>
    <t>2022-23 (Forecast)</t>
  </si>
  <si>
    <t>Forecast Period Total</t>
  </si>
  <si>
    <t>Output for PTRM model</t>
  </si>
  <si>
    <t>(positive values have the effect of reducing Capex)</t>
  </si>
  <si>
    <t>Efficiency factor --&gt;</t>
  </si>
  <si>
    <t>Outputs Section</t>
  </si>
  <si>
    <t>Bus Case - Y/N</t>
  </si>
  <si>
    <t>Escalation Assumptions</t>
  </si>
  <si>
    <t>Timing Assumptions</t>
  </si>
  <si>
    <t>Capitalised Overhead Assumptions</t>
  </si>
  <si>
    <t>Reactive plant</t>
  </si>
  <si>
    <t>On-line monitoring</t>
  </si>
  <si>
    <t>Project Driver</t>
  </si>
  <si>
    <t>Thousands</t>
  </si>
  <si>
    <t>Millions</t>
  </si>
  <si>
    <t>Denominations</t>
  </si>
  <si>
    <t>XC69</t>
  </si>
  <si>
    <t>Oracle ID</t>
  </si>
  <si>
    <t>SAP ID</t>
  </si>
  <si>
    <t>TD-0003509</t>
  </si>
  <si>
    <t>TD-0003317</t>
  </si>
  <si>
    <t>TD-0003319</t>
  </si>
  <si>
    <t>TD-0003414</t>
  </si>
  <si>
    <t>TD-0004189</t>
  </si>
  <si>
    <t>TD-0004190</t>
  </si>
  <si>
    <t>Various</t>
  </si>
  <si>
    <t>TD-0003273, TD-0003522</t>
  </si>
  <si>
    <t>TD-0003437</t>
  </si>
  <si>
    <t>TD-0003451</t>
  </si>
  <si>
    <t>TD-0003435</t>
  </si>
  <si>
    <t>TD-0003439</t>
  </si>
  <si>
    <t>TD-0003456</t>
  </si>
  <si>
    <t>TD-0003415</t>
  </si>
  <si>
    <t>As Incurred - $m, Mar 2017</t>
  </si>
  <si>
    <t>As Incurred - $000's, $ Mar 2017</t>
  </si>
  <si>
    <t>As Commissioned - $000's, $ Mar 2017</t>
  </si>
  <si>
    <t>As Commissioned - $m, $ Mar 2017</t>
  </si>
  <si>
    <t>$ 2015/16</t>
  </si>
  <si>
    <t>$ Mar 2017</t>
  </si>
  <si>
    <t>Total Direct - $Mar 2017</t>
  </si>
  <si>
    <t>Total - All Categories</t>
  </si>
  <si>
    <t>2017-22</t>
  </si>
  <si>
    <t>IT &amp; Non System</t>
  </si>
  <si>
    <t>Applies to year</t>
  </si>
  <si>
    <t>End '17</t>
  </si>
  <si>
    <t>Total OHDs from above - $2015/16</t>
  </si>
  <si>
    <t>Total OHDs - $ Nominal</t>
  </si>
  <si>
    <t>IT Capitalised overheads - $m, nominal</t>
  </si>
  <si>
    <t>Repex Overheads - $m, nomimal</t>
  </si>
  <si>
    <t>Repex Overhead rate</t>
  </si>
  <si>
    <t>Network Overheads - Replacement Capex only</t>
  </si>
  <si>
    <t>Inflation index - $2015/16 to nominal</t>
  </si>
  <si>
    <t>Inflation index - nominal to $ March 2017</t>
  </si>
  <si>
    <t>Inflation index - nominal to $ 2015/16</t>
  </si>
  <si>
    <t>Network Replacement</t>
  </si>
  <si>
    <t>(Before Efficiency factors are applied)</t>
  </si>
  <si>
    <t>Y1</t>
  </si>
  <si>
    <t>Y2</t>
  </si>
  <si>
    <t>Y3</t>
  </si>
  <si>
    <t>Y4</t>
  </si>
  <si>
    <t>Y5</t>
  </si>
  <si>
    <t>Repex Overheads - $m, real $2015/16</t>
  </si>
  <si>
    <t>Direct Replacement Capex (As Incurred) - $m,  real $2015/16</t>
  </si>
  <si>
    <t>IT Capitalised overheads - $m, real $2015/16</t>
  </si>
  <si>
    <t>Direct IT Capex (As Incurred) - $m,  real $2015/16</t>
  </si>
  <si>
    <t>IT Capex OH rate</t>
  </si>
  <si>
    <t>$000's</t>
  </si>
  <si>
    <t>Direct Expenditure Forecast Summary - As Incurred</t>
  </si>
  <si>
    <t>Total Expenditure Forecast - Summary by Replacement Driver (As Incurred)</t>
  </si>
  <si>
    <t>Total Expenditure Forecast - Summary by Replacement Driver (As Commissioned)</t>
  </si>
  <si>
    <t>Total Expenditure Forecast - Summary by Asset Class (As Incurred)</t>
  </si>
  <si>
    <t>Total Expenditure Forecast - Summary by Asset Class (As Commissioned)</t>
  </si>
  <si>
    <t xml:space="preserve">As Commissioned Capex %'s </t>
  </si>
  <si>
    <t>Total overheads (As incurred) - Cumulative</t>
  </si>
  <si>
    <t>Total overheads (As Commissioned)</t>
  </si>
  <si>
    <t>Project</t>
  </si>
  <si>
    <t>(By Asset Class)</t>
  </si>
  <si>
    <t>Total overhead (as incurred)</t>
  </si>
  <si>
    <t>As Commissioned Capex</t>
  </si>
  <si>
    <t>Shaded cells = Inputs</t>
  </si>
  <si>
    <t>Internal Labour</t>
  </si>
  <si>
    <t>External Labour</t>
  </si>
  <si>
    <t>Overhead rate (applied to direct expenditure)</t>
  </si>
  <si>
    <t>Total Labour Escalation</t>
  </si>
  <si>
    <t>Capitalised Overheads</t>
  </si>
  <si>
    <t>Expenditure By Asset Class - As Incurred</t>
  </si>
  <si>
    <t>Expenditure By Asset Class - As Commissioned</t>
  </si>
  <si>
    <t>Direct Expenditure (Escalated)</t>
  </si>
  <si>
    <t>Overhead Category</t>
  </si>
  <si>
    <t>IT_OHD</t>
  </si>
  <si>
    <t>Non_IT_OHD</t>
  </si>
  <si>
    <t>Repex_OHD</t>
  </si>
  <si>
    <t>OH Summary Tbl</t>
  </si>
  <si>
    <t>Escalation factors</t>
  </si>
  <si>
    <t>(excluding real cost escalators)</t>
  </si>
  <si>
    <t>Escalation factors (applied to $2015/16 Capex)</t>
  </si>
  <si>
    <t>Total overheads (As Comm) - Cumulative</t>
  </si>
  <si>
    <t>Total real cost escalation (As Comm) - Cumulative</t>
  </si>
  <si>
    <t>Labour &amp; Material Escalation - Cumulative</t>
  </si>
  <si>
    <t>Other station works</t>
  </si>
  <si>
    <t>Table of Contents</t>
  </si>
  <si>
    <t>Prior Capex</t>
  </si>
  <si>
    <t>Replacement - Major Station CBD</t>
  </si>
  <si>
    <t>Master Inputs</t>
  </si>
  <si>
    <t>Go To:</t>
  </si>
  <si>
    <t>XB12</t>
  </si>
  <si>
    <t>XB54</t>
  </si>
  <si>
    <t>XB56</t>
  </si>
  <si>
    <t>XB64</t>
  </si>
  <si>
    <t>XC16</t>
  </si>
  <si>
    <t>XC18</t>
  </si>
  <si>
    <t>Glenrowan Terminal Station Redevelopment Project</t>
  </si>
  <si>
    <t>Ringwood Terminal Station (RWTS) 220kV Circuit Breaker Replacements</t>
  </si>
  <si>
    <t>HWPS CB Replacement Stage 3</t>
  </si>
  <si>
    <t>MWTS B2 Transformer Replacement</t>
  </si>
  <si>
    <t>TTS Bus Tie CB Replacement</t>
  </si>
  <si>
    <t>YPS 220kV CB Replacement</t>
  </si>
  <si>
    <t>GNTS</t>
  </si>
  <si>
    <t>MWTS</t>
  </si>
  <si>
    <t>TTS</t>
  </si>
  <si>
    <t>YPS</t>
  </si>
  <si>
    <t>TD-0003375</t>
  </si>
  <si>
    <t>TD-0003400</t>
  </si>
  <si>
    <t>TD-0003412</t>
  </si>
  <si>
    <t>TD-0003416</t>
  </si>
  <si>
    <t>TD-0003436</t>
  </si>
  <si>
    <t>TD-0003438</t>
  </si>
  <si>
    <t>Other station transformer replacement</t>
  </si>
  <si>
    <t>As Incurred - $m, Nominal</t>
  </si>
  <si>
    <t>Output for RFM model</t>
  </si>
  <si>
    <t>Other Non System</t>
  </si>
  <si>
    <t>As Commissioned - $m, Nominal</t>
  </si>
  <si>
    <t>Project Description</t>
  </si>
  <si>
    <t>No</t>
  </si>
  <si>
    <t>Internal labour escalation rates - Average of CIE (Vic) and DAE (National) utilities forecasts</t>
  </si>
  <si>
    <t>External labour escalation rates - Average of CIE (Vic) and DAE (National) construction forecasts</t>
  </si>
  <si>
    <t>Real cost escalation rates</t>
  </si>
  <si>
    <t>Escalation Check</t>
  </si>
  <si>
    <t>As-Comm Forecast</t>
  </si>
  <si>
    <t>Project Inputs</t>
  </si>
  <si>
    <t>Error Checks Summary</t>
  </si>
  <si>
    <t>Selected As Incurred Forecasts</t>
  </si>
  <si>
    <t>As Incurred - $m, $ Mar 2017</t>
  </si>
  <si>
    <t>Table 2.1.1 - Prescribed transmission services capex (as incurred)</t>
  </si>
  <si>
    <t>Replacement expenditure</t>
  </si>
  <si>
    <t>Connections</t>
  </si>
  <si>
    <t>Augmentation Expenditure</t>
  </si>
  <si>
    <t>Non-network</t>
  </si>
  <si>
    <t>capitalised network overheads</t>
  </si>
  <si>
    <t>capitalised corporate overheads</t>
  </si>
  <si>
    <t>balancing item</t>
  </si>
  <si>
    <t>TOTAL  CAPEX</t>
  </si>
  <si>
    <t>Forecast 
($0's. real March 2017)</t>
  </si>
  <si>
    <t>2.6.1 NON-NETWORK EXPENDITURE</t>
  </si>
  <si>
    <t>EXPENDITURE
Forecast 
($0's. real March 2017)</t>
  </si>
  <si>
    <t>SERVICE SUBCATEGORY</t>
  </si>
  <si>
    <t>ASSET CATEGORY</t>
  </si>
  <si>
    <t>ASSET REPORTING CATEGORY</t>
  </si>
  <si>
    <t>IT &amp; COMMUNICATIONS</t>
  </si>
  <si>
    <t>Client device expenditure</t>
  </si>
  <si>
    <t xml:space="preserve">Opex </t>
  </si>
  <si>
    <t xml:space="preserve">Capex </t>
  </si>
  <si>
    <t>Recurrent expenditure</t>
  </si>
  <si>
    <t>Non-recurrent expenditure</t>
  </si>
  <si>
    <t>MOTOR VEHICLES</t>
  </si>
  <si>
    <t>Car</t>
  </si>
  <si>
    <t>Light commercial vehicle</t>
  </si>
  <si>
    <t xml:space="preserve">Elevated work platform (LCV)  </t>
  </si>
  <si>
    <t>Elevated work platform (HCV)</t>
  </si>
  <si>
    <t>Heavy commercial vehicle</t>
  </si>
  <si>
    <t>BUILDINGS AND PROPERTY</t>
  </si>
  <si>
    <t>Total buildings and property expenditure</t>
  </si>
  <si>
    <t>OTHER</t>
  </si>
  <si>
    <t>Other expenditure</t>
  </si>
  <si>
    <t>OTHER - TNSP nominated</t>
  </si>
  <si>
    <t>DIRECT MATERIAL EXPENDITURE
Forecast 
($0's. real March 2017)</t>
  </si>
  <si>
    <t>DIRECT LABOUR EXPENDITURE
Forecast 
($0's. real March 2017)</t>
  </si>
  <si>
    <t>CONTRACT EXPENDITURE
Forecast 
($0's. real March 2017)</t>
  </si>
  <si>
    <t>OTHER EXPENDITURE
Forecast 
($0's. real March 2017)</t>
  </si>
  <si>
    <t>RELATED PARTY CONTRACT MARGIN EXPENDITURE
Forecast 
($0's. real March 2017)</t>
  </si>
  <si>
    <t>RELATED PARTY CONTRACT MARGIN 
Forecast 
($0's. real March 2017)</t>
  </si>
  <si>
    <t>AUGMENTATION</t>
  </si>
  <si>
    <t>Subtransmission Substations, Switching Stations , Zone Substations</t>
  </si>
  <si>
    <t>Subtransmission Lines</t>
  </si>
  <si>
    <t>HV Feeders</t>
  </si>
  <si>
    <t>Other Assets</t>
  </si>
  <si>
    <t>CONNECTIONS</t>
  </si>
  <si>
    <t>All New Customer Connections</t>
  </si>
  <si>
    <t>REPLACEMENT</t>
  </si>
  <si>
    <t>Transmission Towers</t>
  </si>
  <si>
    <t>Transmission Tower Support Structures</t>
  </si>
  <si>
    <t>Conductors</t>
  </si>
  <si>
    <t>Transmission Cables</t>
  </si>
  <si>
    <t>Substation Switchbays</t>
  </si>
  <si>
    <t>Substation Power Transformers</t>
  </si>
  <si>
    <t>Substation Reactive Plant</t>
  </si>
  <si>
    <t>Scada Network Control And Protection Systems</t>
  </si>
  <si>
    <t xml:space="preserve">Other </t>
  </si>
  <si>
    <t>NON-NETWORK EXPENDITURE</t>
  </si>
  <si>
    <t>It And Communications</t>
  </si>
  <si>
    <t>Buildings And Property</t>
  </si>
  <si>
    <t>Other</t>
  </si>
  <si>
    <t>2.12 Input Tables</t>
  </si>
  <si>
    <t>2.1 Expenditure Summary</t>
  </si>
  <si>
    <t>2011/12</t>
  </si>
  <si>
    <t>Historical splits</t>
  </si>
  <si>
    <t>Avg</t>
  </si>
  <si>
    <t>Total Overheads</t>
  </si>
  <si>
    <t>Capitalised Network Overheads</t>
  </si>
  <si>
    <t>Total Overheads - Nominal</t>
  </si>
  <si>
    <t>Total Overheads - $2015/16</t>
  </si>
  <si>
    <t>Capitalised Corporate Overheads</t>
  </si>
  <si>
    <t>Historicals per Category Analysis RIN's</t>
  </si>
  <si>
    <t>Capitalised Overheads - Prescribed Transmission Services</t>
  </si>
  <si>
    <t>$Nominal</t>
  </si>
  <si>
    <t>Forecast Capitalised Overheads (excl Efficiency)</t>
  </si>
  <si>
    <t>Real $2015/16</t>
  </si>
  <si>
    <t>Forecast Capitalised Overheads (Incl Efficiency)</t>
  </si>
  <si>
    <t>Efficiency factor (applies to 2017-22)</t>
  </si>
  <si>
    <t>Direct Costs only</t>
  </si>
  <si>
    <t>Real $ Mar 2017</t>
  </si>
  <si>
    <t>Total Overheads - $ Mar 2017</t>
  </si>
  <si>
    <t>Tools and Equipment</t>
  </si>
  <si>
    <t>Efficiency</t>
  </si>
  <si>
    <t>Allocators</t>
  </si>
  <si>
    <t>Capex As Incurred</t>
  </si>
  <si>
    <t>TABLE 2.10.2 - CORPORATE OVERHEADS EXPENDITURE</t>
  </si>
  <si>
    <t>CORPORATE OVERHEADS</t>
  </si>
  <si>
    <t>Total Overhead Expenditure - Prescribed Services</t>
  </si>
  <si>
    <t>TABLE 2.10.1 - NETWORK OVERHEADS EXPENDITURE</t>
  </si>
  <si>
    <t>MAINTENANCE SUPPORT</t>
  </si>
  <si>
    <t>ASSET MANAGEMENT SUPPORT</t>
  </si>
  <si>
    <t>NETWORK MONITORING &amp; CONTROL</t>
  </si>
  <si>
    <t>OPERATIONS</t>
  </si>
  <si>
    <t>MAINTENANCE</t>
  </si>
  <si>
    <t>ASSET WORKS PROGRAM</t>
  </si>
  <si>
    <t>OH&amp;S</t>
  </si>
  <si>
    <t>FINANCE</t>
  </si>
  <si>
    <t>HR</t>
  </si>
  <si>
    <t>IT SUPPORT</t>
  </si>
  <si>
    <t xml:space="preserve">OTHER </t>
  </si>
  <si>
    <t>Based on FY14/15 Actual splits</t>
  </si>
  <si>
    <t>RIN Exp Category</t>
  </si>
  <si>
    <t>Replacement</t>
  </si>
  <si>
    <t>Other - Replacement</t>
  </si>
  <si>
    <t>Other - Non Network</t>
  </si>
  <si>
    <t>TOTAL EXPENDITURE
Forecast 
($0's. real March 2017)</t>
  </si>
  <si>
    <t>NON-NETWORK</t>
  </si>
  <si>
    <t>(Including Efficiency factors)</t>
  </si>
  <si>
    <t>Security &amp; Compliance Expenditure</t>
  </si>
  <si>
    <t>Total Materials</t>
  </si>
  <si>
    <t>Total Internal Labour</t>
  </si>
  <si>
    <t>Total External Labour</t>
  </si>
  <si>
    <t>Direct Expenditures</t>
  </si>
  <si>
    <t>(As Incurred)</t>
  </si>
  <si>
    <t>Materials - $ Mar 2017</t>
  </si>
  <si>
    <t>Labour (Internal) - $ Mar 2017</t>
  </si>
  <si>
    <t>Labour (External) - $ Mar 2017</t>
  </si>
  <si>
    <t>Total Repex (from above)</t>
  </si>
  <si>
    <t>Total Non Network (from above)</t>
  </si>
  <si>
    <t>Total Repex Direct - $2015/16</t>
  </si>
  <si>
    <t>Repex Category</t>
  </si>
  <si>
    <t>Expenditure splits for RIN</t>
  </si>
  <si>
    <t>2017-22 Total</t>
  </si>
  <si>
    <t>Total Direct - $ Mar 2017</t>
  </si>
  <si>
    <t>Check - Total Expenditure ($0's, real March 2017)</t>
  </si>
  <si>
    <t>Excluding Major Stations</t>
  </si>
  <si>
    <t>Asset Replacement Expenditure -</t>
  </si>
  <si>
    <t>RIN Outputs</t>
  </si>
  <si>
    <t>1. Key Assumptions</t>
  </si>
  <si>
    <t>2. Lookups</t>
  </si>
  <si>
    <t>3. Project Inputs - Master sheet</t>
  </si>
  <si>
    <t>4. Individual project sheets (46 in total)</t>
  </si>
  <si>
    <t>5. Outputs:-</t>
  </si>
  <si>
    <t>a.</t>
  </si>
  <si>
    <t>b.</t>
  </si>
  <si>
    <t>c.</t>
  </si>
  <si>
    <t>d.</t>
  </si>
  <si>
    <t>5.1 - Forecast Capex As Incurred</t>
  </si>
  <si>
    <t>5.2 - Forecast Capex As Commissioned</t>
  </si>
  <si>
    <t>5.3 - Reset RIN outputs:</t>
  </si>
  <si>
    <t>6. Error Checks:-</t>
  </si>
  <si>
    <t>(Including real costs escalators, excluding Efficiency factors)</t>
  </si>
  <si>
    <t>(Including real cost escalators and Efficiency factors)</t>
  </si>
  <si>
    <t>As Incurred Capex - Direct Cost Forecast Summary (Real March 2017)</t>
  </si>
  <si>
    <t>Forecast Capex by Asset Class - As Incurred Capex (Total incl Overhead)</t>
  </si>
  <si>
    <t>Forecast Capex by Driver - As Incurred Capex (Total incl Overhead)</t>
  </si>
  <si>
    <t>Asset Replacement - As Incurred (Total incl Overhead)</t>
  </si>
  <si>
    <t>Forecast Capex by Asset Class - As Commissioned Capex (Total incl Overhead)</t>
  </si>
  <si>
    <t>Forecast Capex by Driver - As Commissioned Capex (Total incl Overhead)</t>
  </si>
  <si>
    <t>Security &amp; Compliance - As Incurred (Total incl Overhead)</t>
  </si>
  <si>
    <t>Forecast Period (Nominal)</t>
  </si>
  <si>
    <t>Forecast Period (Real Mar 2017)</t>
  </si>
  <si>
    <t>FY16</t>
  </si>
  <si>
    <t>FY17</t>
  </si>
  <si>
    <t>FY18-22</t>
  </si>
  <si>
    <t xml:space="preserve">As Incurred Direct Capital Expenditure ($000's) - All values in Real $2015/16 </t>
  </si>
  <si>
    <t xml:space="preserve">As Commissioned Direct Capex ($000's) - Real $2015/16  </t>
  </si>
  <si>
    <t>Other station works - security &amp; compliance</t>
  </si>
  <si>
    <t>Capital Efficiency Factor - to apply to regulatory years 2018-22</t>
  </si>
  <si>
    <t>Capital Efficiency</t>
  </si>
  <si>
    <t>Historical Direct Capex and Overheads per Historical CA RIN data</t>
  </si>
  <si>
    <t>capitalised network overheads %</t>
  </si>
  <si>
    <t>capitalised corporate overheads %</t>
  </si>
  <si>
    <t>Overheads</t>
  </si>
  <si>
    <t>$m,  real $2015/16</t>
  </si>
  <si>
    <t>Submission Overheads</t>
  </si>
  <si>
    <t>Repex Overheads</t>
  </si>
  <si>
    <t>Direct Replacement Capex (As Incurred)</t>
  </si>
  <si>
    <t>IT Capitalised overheads</t>
  </si>
  <si>
    <t>Direct IT Capex (As Incurred)</t>
  </si>
  <si>
    <t>Fixed Overheads</t>
  </si>
  <si>
    <t>Variable Overheads</t>
  </si>
  <si>
    <t>AER Overheads</t>
  </si>
  <si>
    <t>AER direct cost reduction</t>
  </si>
  <si>
    <t>Total Repex Overheads</t>
  </si>
  <si>
    <t>Total IT Capitalised overheads</t>
  </si>
  <si>
    <t>2.10 Overheads</t>
  </si>
  <si>
    <t>2.6 Non Network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</si>
</sst>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6" formatCode="&quot;$&quot;#,##0;[Red]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.0%_);_(* \(#,##0.0%\);_(* &quot;-&quot;??_);_(@_)"/>
    <numFmt numFmtId="167" formatCode="_(* #,##0%_);_(* \(#,##0%\);_(* &quot;-&quot;??_);_(@_)"/>
    <numFmt numFmtId="168" formatCode="0.0%"/>
    <numFmt numFmtId="169" formatCode="#,##0.000_);[Red]\(#,##0.000\)"/>
    <numFmt numFmtId="170" formatCode="#,##0.0000_);[Red]\(#,##0.0000\)"/>
    <numFmt numFmtId="171" formatCode="_(* #,##0.000_);_(* \(#,##0.000\);_(* &quot;-&quot;??_);_(@_)"/>
    <numFmt numFmtId="172" formatCode="_(#,##0.0_);\(#,##0.0\);_(&quot;-&quot;_)"/>
    <numFmt numFmtId="173" formatCode="_(&quot;$&quot;#,##0.0_);\(&quot;$&quot;#,##0.0\);_(&quot;-&quot;_)"/>
    <numFmt numFmtId="174" formatCode="_(#,##0.0\x_);\(#,##0.0\x\);_(&quot;-&quot;_)"/>
    <numFmt numFmtId="175" formatCode="_(#,##0.0%_);\(#,##0.0%\);_(&quot;-&quot;_)"/>
    <numFmt numFmtId="176" formatCode="_(###0_);\(###0\);_(###0_)"/>
    <numFmt numFmtId="177" formatCode="_)d\-mmm\-yy_)"/>
    <numFmt numFmtId="178" formatCode="#,##0.0_);[Red]\(#,##0.0\)"/>
    <numFmt numFmtId="179" formatCode="_(#,##0_);\(#,##0\);_(&quot;-&quot;_)"/>
    <numFmt numFmtId="180" formatCode="_-* #,##0_-;\-* #,##0_-;_-* &quot;-&quot;??_-;_-@_-"/>
    <numFmt numFmtId="181" formatCode="_(* #,##0_);_(* \(#,##0\);_(* &quot;-&quot;_);_(@_)"/>
    <numFmt numFmtId="182" formatCode="_(* #,##0_);_(* \(#,##0\);_(* &quot;-&quot;?_);_(@_)"/>
    <numFmt numFmtId="183" formatCode="_(* #,##0.0_);_(* \(#,##0.0\);_(* &quot;-&quot;?_);_(@_)"/>
    <numFmt numFmtId="184" formatCode="0.00_)"/>
    <numFmt numFmtId="185" formatCode="_-* 0.000;\(\ 0.000\)"/>
    <numFmt numFmtId="186" formatCode="d\-mmm\-yyyy"/>
    <numFmt numFmtId="187" formatCode="_(#,##0_);\(#,##0\);_(#,##0_)"/>
    <numFmt numFmtId="188" formatCode="_(###0_);\(###0\);_(&quot;-&quot;_)"/>
    <numFmt numFmtId="189" formatCode="_)d\-mmm\-yy_);_)d\-mmm\-yy_);_)&quot;-&quot;_)"/>
    <numFmt numFmtId="190" formatCode="&quot;$&quot;#,##0_);\(&quot;$&quot;#,##0\);&quot;$&quot;#,##0_)"/>
    <numFmt numFmtId="191" formatCode="dd/mm/yy"/>
    <numFmt numFmtId="192" formatCode="#,##0\x_);\(#,##0\x\);#,##0\x_)"/>
    <numFmt numFmtId="193" formatCode="#,##0_);\(#,##0\);#,##0_)"/>
    <numFmt numFmtId="194" formatCode="#,##0%_);\(#,##0%\);#,##0%_)"/>
    <numFmt numFmtId="195" formatCode="###0_);\(###0\);###0_)"/>
    <numFmt numFmtId="196" formatCode="d/m/yy"/>
    <numFmt numFmtId="197" formatCode="_(* &quot;$&quot;#,##0_)_;;_(* \(&quot;$&quot;#,##0\)_;;_(* &quot;$&quot;#,##0_)_;"/>
    <numFmt numFmtId="198" formatCode="dd/mm/yy__;"/>
    <numFmt numFmtId="199" formatCode="_(* #,##0\x_)_;;_(* \(#,##0\x\)_;;_(* #,##0\x_)_;"/>
    <numFmt numFmtId="200" formatCode="_(* #,##0_)_;;_(* \(#,##0\)_;;_(* #,##0_)_;"/>
    <numFmt numFmtId="201" formatCode="_(* #,##0%_)_;;_(* \(#,##0%\)_;;_(* #,##0%_)_;"/>
    <numFmt numFmtId="202" formatCode="###0_)_;;\(###0\)_;;###0_)_;"/>
    <numFmt numFmtId="203" formatCode="#"/>
    <numFmt numFmtId="204" formatCode="_(* &quot;$&quot;#,##0_)_;;[Blue]_(* \(&quot;$&quot;#,##0\)_;;_(* &quot;$&quot;#,##0_)_;"/>
    <numFmt numFmtId="205" formatCode="_(* #,##0\x_)_;;[Blue]_(* \(#,##0\x\)_;;_(* #,##0\x_)_;"/>
    <numFmt numFmtId="206" formatCode="_(* #,##0_)_;;[Blue]_(* \(#,##0\)_;;_(* #,##0_)_;"/>
    <numFmt numFmtId="207" formatCode="_(* #,##0%_)_;;[Blue]_(* \(#,##0%\)_;;_(* #,##0%_)_;"/>
    <numFmt numFmtId="208" formatCode="_(* #,##0_);_(* \(#,##0\);_(* &quot; - &quot;??_);_(@_)"/>
    <numFmt numFmtId="209" formatCode="#,##0_);[Blue]\(#,##0\);#,##0_)"/>
    <numFmt numFmtId="210" formatCode="_(* #,##0_);[Red]_(* \(#,##0\);_(* &quot; - &quot;??_);_(@_)"/>
    <numFmt numFmtId="211" formatCode="#,##0_);\(#,##0\);\-;"/>
    <numFmt numFmtId="212" formatCode="#,##0.00;[Red]\(#,##0.00\)"/>
    <numFmt numFmtId="213" formatCode="_)d/m/yy_)"/>
    <numFmt numFmtId="214" formatCode="_(&quot;$&quot;* #,##0_);_(&quot;$&quot;* \(#,##0\);_(&quot;$&quot;* &quot;-&quot;_);_(@_)"/>
    <numFmt numFmtId="215" formatCode="_-* #,##0.0_-;\-* #,##0.0_-;_-* &quot;-&quot;??_-;_-@_-"/>
    <numFmt numFmtId="216" formatCode="0.000"/>
    <numFmt numFmtId="217" formatCode="_-* #,##0.0_-;\-* #,##0.0_-;_-* &quot;-&quot;?_-;_-@_-"/>
    <numFmt numFmtId="218" formatCode="_-&quot;$&quot;* #,##0_-;\-&quot;$&quot;* #,##0_-;_-&quot;$&quot;* &quot;-&quot;??_-;_-@_-"/>
    <numFmt numFmtId="219" formatCode="&quot;$&quot;#,##0"/>
    <numFmt numFmtId="220" formatCode="#,##0.000000_);[Red]\(#,##0.000000\)"/>
    <numFmt numFmtId="221" formatCode="0.0000%"/>
  </numFmts>
  <fonts count="19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30"/>
      <name val="Calibri"/>
      <family val="2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4"/>
      <color indexed="30"/>
      <name val="Calibri"/>
      <family val="2"/>
    </font>
    <font>
      <b/>
      <sz val="14"/>
      <color indexed="8"/>
      <name val="Calibri"/>
      <family val="2"/>
    </font>
    <font>
      <u/>
      <sz val="10"/>
      <color indexed="12"/>
      <name val="MS Sans Serif"/>
      <family val="2"/>
    </font>
    <font>
      <b/>
      <sz val="11"/>
      <color indexed="30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4"/>
      <color indexed="8"/>
      <name val="Calibri"/>
      <family val="2"/>
    </font>
    <font>
      <sz val="8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b/>
      <sz val="8"/>
      <name val="Tahoma"/>
      <family val="2"/>
    </font>
    <font>
      <b/>
      <u/>
      <sz val="8"/>
      <color indexed="56"/>
      <name val="Tahoma"/>
      <family val="2"/>
    </font>
    <font>
      <b/>
      <sz val="12"/>
      <name val="Tahoma"/>
      <family val="2"/>
    </font>
    <font>
      <b/>
      <sz val="13"/>
      <name val="Tahoma"/>
      <family val="2"/>
    </font>
    <font>
      <b/>
      <sz val="14"/>
      <name val="Tahoma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3"/>
      <name val="Arial"/>
      <family val="2"/>
    </font>
    <font>
      <b/>
      <sz val="14"/>
      <name val="Arial"/>
      <family val="2"/>
    </font>
    <font>
      <b/>
      <u/>
      <sz val="9.5"/>
      <color indexed="56"/>
      <name val="Arial"/>
      <family val="2"/>
    </font>
    <font>
      <b/>
      <u/>
      <sz val="9"/>
      <color indexed="56"/>
      <name val="Arial"/>
      <family val="2"/>
    </font>
    <font>
      <u/>
      <sz val="8"/>
      <color indexed="56"/>
      <name val="Arial"/>
      <family val="2"/>
    </font>
    <font>
      <u/>
      <sz val="7.5"/>
      <color indexed="56"/>
      <name val="Arial"/>
      <family val="2"/>
    </font>
    <font>
      <b/>
      <sz val="9"/>
      <name val="Arial"/>
      <family val="2"/>
    </font>
    <font>
      <sz val="12"/>
      <name val="Tms Rmn"/>
    </font>
    <font>
      <b/>
      <i/>
      <sz val="9"/>
      <color indexed="10"/>
      <name val="Times New Roman"/>
      <family val="1"/>
    </font>
    <font>
      <sz val="9"/>
      <name val="Arial"/>
      <family val="2"/>
    </font>
    <font>
      <b/>
      <sz val="9"/>
      <color indexed="9"/>
      <name val="Arial"/>
      <family val="2"/>
    </font>
    <font>
      <sz val="7"/>
      <name val="Small Fonts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b/>
      <sz val="9"/>
      <name val="Cambria"/>
      <family val="2"/>
    </font>
    <font>
      <b/>
      <sz val="8"/>
      <name val="Cambria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sz val="8"/>
      <color indexed="56"/>
      <name val="Arial"/>
      <family val="2"/>
    </font>
    <font>
      <sz val="7.5"/>
      <color indexed="56"/>
      <name val="Arial"/>
      <family val="2"/>
    </font>
    <font>
      <u/>
      <sz val="8"/>
      <color indexed="12"/>
      <name val="Arial"/>
      <family val="2"/>
    </font>
    <font>
      <b/>
      <u/>
      <sz val="10"/>
      <color indexed="56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sz val="10"/>
      <color theme="0"/>
      <name val="Arial"/>
      <family val="2"/>
    </font>
    <font>
      <sz val="11"/>
      <color indexed="17"/>
      <name val="Calibri"/>
      <family val="2"/>
    </font>
    <font>
      <sz val="8"/>
      <color indexed="60"/>
      <name val="Arial"/>
      <family val="2"/>
    </font>
    <font>
      <sz val="11"/>
      <color indexed="20"/>
      <name val="Calibri"/>
      <family val="2"/>
    </font>
    <font>
      <sz val="8"/>
      <name val="Palatino"/>
      <family val="1"/>
    </font>
    <font>
      <b/>
      <sz val="14"/>
      <color indexed="60"/>
      <name val="Arial"/>
      <family val="2"/>
    </font>
    <font>
      <b/>
      <sz val="8"/>
      <color indexed="29"/>
      <name val="Arial"/>
      <family val="2"/>
    </font>
    <font>
      <sz val="7"/>
      <name val="Palatino"/>
      <family val="1"/>
    </font>
    <font>
      <b/>
      <sz val="8"/>
      <color indexed="60"/>
      <name val="Arial"/>
      <family val="2"/>
    </font>
    <font>
      <sz val="6"/>
      <color indexed="16"/>
      <name val="Palatino"/>
      <family val="1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8"/>
      <color indexed="8"/>
      <name val="Arial"/>
      <family val="2"/>
    </font>
    <font>
      <sz val="11"/>
      <color indexed="60"/>
      <name val="Calibri"/>
      <family val="2"/>
    </font>
    <font>
      <sz val="10"/>
      <color theme="1"/>
      <name val="Tahoma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16"/>
      <name val="Helvetica-Black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4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1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72"/>
      <name val="MS Sans Serif"/>
      <family val="2"/>
    </font>
    <font>
      <sz val="11"/>
      <name val="Century Gothic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2"/>
      <name val="Cambria"/>
      <family val="2"/>
      <scheme val="major"/>
    </font>
    <font>
      <b/>
      <u/>
      <sz val="8"/>
      <color indexed="56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b/>
      <sz val="11"/>
      <color rgb="FF0066CC"/>
      <name val="Calibri"/>
      <family val="2"/>
    </font>
    <font>
      <b/>
      <sz val="12"/>
      <color rgb="FF0066CC"/>
      <name val="Calibri"/>
      <family val="2"/>
    </font>
    <font>
      <sz val="11"/>
      <color rgb="FF0066CC"/>
      <name val="Calibri"/>
      <family val="2"/>
      <scheme val="minor"/>
    </font>
    <font>
      <b/>
      <sz val="11"/>
      <color rgb="FF0066CC"/>
      <name val="Calibri"/>
      <family val="2"/>
      <scheme val="minor"/>
    </font>
    <font>
      <sz val="10"/>
      <color indexed="12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color rgb="FF0066CC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name val="Calibri"/>
      <family val="2"/>
    </font>
    <font>
      <u/>
      <sz val="9"/>
      <color indexed="12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theme="0"/>
      <name val="Arial"/>
      <family val="2"/>
    </font>
    <font>
      <sz val="16"/>
      <name val="Arial Black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3"/>
      <name val="Arial"/>
      <family val="2"/>
    </font>
    <font>
      <b/>
      <sz val="11"/>
      <color theme="1"/>
      <name val="Arial"/>
      <family val="2"/>
    </font>
    <font>
      <i/>
      <sz val="11"/>
      <color theme="3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u/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2"/>
      <color theme="1"/>
      <name val="Arial"/>
      <family val="2"/>
    </font>
    <font>
      <sz val="11"/>
      <color rgb="FF0000FF"/>
      <name val="Calibri"/>
      <family val="2"/>
      <scheme val="minor"/>
    </font>
    <font>
      <sz val="10"/>
      <color rgb="FFFF0000"/>
      <name val="Arial"/>
      <family val="2"/>
    </font>
    <font>
      <b/>
      <i/>
      <u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0"/>
      <color theme="1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indexed="11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203">
    <border>
      <left/>
      <right/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auto="1"/>
      </right>
      <top style="thin">
        <color indexed="64"/>
      </top>
      <bottom/>
      <diagonal/>
    </border>
    <border>
      <left style="hair">
        <color indexed="64"/>
      </left>
      <right style="thin">
        <color auto="1"/>
      </right>
      <top/>
      <bottom/>
      <diagonal/>
    </border>
    <border>
      <left style="hair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9"/>
      </top>
      <bottom style="thin">
        <color indexed="64"/>
      </bottom>
      <diagonal/>
    </border>
    <border>
      <left style="thick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ck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9"/>
      </right>
      <top style="thin">
        <color indexed="64"/>
      </top>
      <bottom/>
      <diagonal/>
    </border>
    <border>
      <left style="thick">
        <color indexed="64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ck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theme="0" tint="-0.34998626667073579"/>
      </right>
      <top style="medium">
        <color auto="1"/>
      </top>
      <bottom style="medium">
        <color auto="1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24994659260841701"/>
      </top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24994659260841701"/>
      </bottom>
      <diagonal/>
    </border>
    <border>
      <left style="medium">
        <color auto="1"/>
      </left>
      <right/>
      <top style="thin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/>
      <top/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45475">
    <xf numFmtId="0" fontId="0" fillId="0" borderId="0"/>
    <xf numFmtId="0" fontId="60" fillId="2" borderId="0" applyNumberFormat="0" applyBorder="0" applyAlignment="0" applyProtection="0"/>
    <xf numFmtId="0" fontId="61" fillId="15" borderId="0" applyNumberFormat="0" applyBorder="0" applyAlignment="0" applyProtection="0"/>
    <xf numFmtId="173" fontId="18" fillId="0" borderId="1">
      <alignment horizontal="center" vertical="center"/>
      <protection locked="0"/>
    </xf>
    <xf numFmtId="15" fontId="18" fillId="0" borderId="1">
      <alignment horizontal="center" vertical="center"/>
      <protection locked="0"/>
    </xf>
    <xf numFmtId="174" fontId="18" fillId="0" borderId="1">
      <alignment horizontal="center" vertical="center"/>
      <protection locked="0"/>
    </xf>
    <xf numFmtId="172" fontId="18" fillId="0" borderId="1">
      <alignment horizontal="center" vertical="center"/>
      <protection locked="0"/>
    </xf>
    <xf numFmtId="175" fontId="18" fillId="0" borderId="1">
      <alignment horizontal="center" vertical="center"/>
      <protection locked="0"/>
    </xf>
    <xf numFmtId="176" fontId="18" fillId="0" borderId="1">
      <alignment horizontal="center" vertical="center"/>
      <protection locked="0"/>
    </xf>
    <xf numFmtId="0" fontId="18" fillId="0" borderId="1">
      <alignment vertical="center"/>
      <protection locked="0"/>
    </xf>
    <xf numFmtId="173" fontId="18" fillId="0" borderId="1">
      <alignment horizontal="right" vertical="center"/>
      <protection locked="0"/>
    </xf>
    <xf numFmtId="177" fontId="18" fillId="0" borderId="1">
      <alignment horizontal="right" vertical="center"/>
      <protection locked="0"/>
    </xf>
    <xf numFmtId="174" fontId="18" fillId="0" borderId="1">
      <alignment horizontal="right" vertical="center"/>
      <protection locked="0"/>
    </xf>
    <xf numFmtId="172" fontId="18" fillId="0" borderId="1">
      <alignment horizontal="right" vertical="center"/>
      <protection locked="0"/>
    </xf>
    <xf numFmtId="175" fontId="18" fillId="0" borderId="1">
      <alignment horizontal="right" vertical="center"/>
      <protection locked="0"/>
    </xf>
    <xf numFmtId="176" fontId="18" fillId="0" borderId="1">
      <alignment horizontal="right" vertical="center"/>
      <protection locked="0"/>
    </xf>
    <xf numFmtId="0" fontId="62" fillId="16" borderId="0" applyNumberFormat="0" applyBorder="0" applyAlignment="0" applyProtection="0"/>
    <xf numFmtId="178" fontId="19" fillId="0" borderId="2"/>
    <xf numFmtId="181" fontId="14" fillId="3" borderId="0" applyNumberFormat="0" applyFont="0" applyBorder="0" applyAlignment="0">
      <alignment horizontal="right"/>
    </xf>
    <xf numFmtId="0" fontId="46" fillId="0" borderId="0" applyNumberFormat="0" applyFill="0" applyBorder="0" applyAlignment="0" applyProtection="0"/>
    <xf numFmtId="38" fontId="19" fillId="0" borderId="2"/>
    <xf numFmtId="0" fontId="14" fillId="0" borderId="0" applyNumberFormat="0" applyFont="0" applyFill="0" applyBorder="0">
      <alignment horizontal="center" vertical="center"/>
      <protection locked="0"/>
    </xf>
    <xf numFmtId="0" fontId="14" fillId="0" borderId="0" applyNumberFormat="0" applyFont="0" applyFill="0" applyBorder="0">
      <alignment horizontal="center" vertical="center"/>
      <protection locked="0"/>
    </xf>
    <xf numFmtId="173" fontId="18" fillId="0" borderId="0" applyFill="0" applyBorder="0">
      <alignment horizontal="center" vertical="center"/>
    </xf>
    <xf numFmtId="15" fontId="18" fillId="0" borderId="0" applyFill="0" applyBorder="0">
      <alignment horizontal="center" vertical="center"/>
    </xf>
    <xf numFmtId="174" fontId="18" fillId="0" borderId="0" applyFill="0" applyBorder="0">
      <alignment horizontal="center" vertical="center"/>
    </xf>
    <xf numFmtId="172" fontId="18" fillId="0" borderId="0" applyFill="0" applyBorder="0">
      <alignment horizontal="center" vertical="center"/>
    </xf>
    <xf numFmtId="175" fontId="18" fillId="0" borderId="0" applyFill="0" applyBorder="0">
      <alignment horizontal="center" vertical="center"/>
    </xf>
    <xf numFmtId="176" fontId="18" fillId="0" borderId="0" applyFill="0" applyBorder="0">
      <alignment horizontal="center" vertical="center"/>
    </xf>
    <xf numFmtId="43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9" fontId="47" fillId="0" borderId="0">
      <alignment horizontal="center"/>
    </xf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86" fontId="14" fillId="0" borderId="0" applyFill="0" applyBorder="0"/>
    <xf numFmtId="4" fontId="14" fillId="4" borderId="0"/>
    <xf numFmtId="0" fontId="63" fillId="17" borderId="0" applyNumberFormat="0" applyBorder="0" applyAlignment="0" applyProtection="0"/>
    <xf numFmtId="38" fontId="18" fillId="3" borderId="0" applyNumberFormat="0" applyBorder="0" applyAlignment="0" applyProtection="0"/>
    <xf numFmtId="0" fontId="24" fillId="0" borderId="3" applyNumberFormat="0" applyAlignment="0" applyProtection="0">
      <alignment horizontal="left" vertical="center"/>
    </xf>
    <xf numFmtId="0" fontId="24" fillId="0" borderId="4">
      <alignment horizontal="left" vertical="center"/>
    </xf>
    <xf numFmtId="0" fontId="54" fillId="0" borderId="0" applyFill="0" applyBorder="0">
      <alignment vertical="center"/>
    </xf>
    <xf numFmtId="0" fontId="55" fillId="0" borderId="0" applyFill="0" applyBorder="0">
      <alignment vertical="center"/>
    </xf>
    <xf numFmtId="0" fontId="18" fillId="0" borderId="0" applyFill="0" applyBorder="0">
      <alignment vertical="center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horizontal="left" vertical="center"/>
      <protection locked="0"/>
    </xf>
    <xf numFmtId="0" fontId="22" fillId="0" borderId="0" applyFill="0" applyBorder="0">
      <alignment vertical="center"/>
    </xf>
    <xf numFmtId="41" fontId="48" fillId="3" borderId="0" applyFont="0" applyBorder="0" applyAlignment="0"/>
    <xf numFmtId="168" fontId="48" fillId="3" borderId="0" applyFont="0" applyBorder="0" applyAlignment="0"/>
    <xf numFmtId="183" fontId="14" fillId="5" borderId="0" applyFont="0" applyBorder="0">
      <alignment horizontal="right"/>
    </xf>
    <xf numFmtId="10" fontId="18" fillId="5" borderId="5" applyNumberFormat="0" applyBorder="0" applyAlignment="0" applyProtection="0"/>
    <xf numFmtId="181" fontId="14" fillId="6" borderId="0" applyFont="0" applyBorder="0" applyAlignment="0">
      <alignment horizontal="right"/>
      <protection locked="0"/>
    </xf>
    <xf numFmtId="10" fontId="14" fillId="6" borderId="0" applyFont="0" applyBorder="0">
      <alignment horizontal="right"/>
      <protection locked="0"/>
    </xf>
    <xf numFmtId="181" fontId="14" fillId="7" borderId="0" applyFont="0" applyBorder="0" applyAlignment="0">
      <alignment horizontal="right"/>
      <protection locked="0"/>
    </xf>
    <xf numFmtId="3" fontId="14" fillId="8" borderId="0" applyFont="0" applyBorder="0">
      <protection locked="0"/>
    </xf>
    <xf numFmtId="10" fontId="48" fillId="8" borderId="0" applyBorder="0" applyAlignment="0">
      <protection locked="0"/>
    </xf>
    <xf numFmtId="182" fontId="14" fillId="9" borderId="0" applyFont="0" applyBorder="0">
      <alignment horizontal="right"/>
      <protection locked="0"/>
    </xf>
    <xf numFmtId="10" fontId="8" fillId="9" borderId="0" applyFont="0" applyBorder="0" applyAlignment="0">
      <alignment horizontal="left"/>
      <protection locked="0"/>
    </xf>
    <xf numFmtId="181" fontId="14" fillId="5" borderId="0" applyFont="0" applyBorder="0">
      <alignment horizontal="right"/>
      <protection locked="0"/>
    </xf>
    <xf numFmtId="9" fontId="8" fillId="5" borderId="0" applyFont="0" applyBorder="0">
      <alignment horizontal="right"/>
      <protection locked="0"/>
    </xf>
    <xf numFmtId="168" fontId="49" fillId="10" borderId="0" applyBorder="0" applyAlignment="0"/>
    <xf numFmtId="183" fontId="48" fillId="3" borderId="6" applyFont="0" applyBorder="0" applyAlignment="0"/>
    <xf numFmtId="168" fontId="45" fillId="3" borderId="0" applyFont="0" applyBorder="0" applyAlignment="0"/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79" fontId="18" fillId="0" borderId="5" applyFill="0">
      <alignment horizontal="center" vertical="center"/>
    </xf>
    <xf numFmtId="0" fontId="24" fillId="0" borderId="0" applyFill="0" applyBorder="0">
      <alignment horizontal="left" vertical="center"/>
    </xf>
    <xf numFmtId="0" fontId="64" fillId="18" borderId="0" applyNumberFormat="0" applyBorder="0" applyAlignment="0" applyProtection="0"/>
    <xf numFmtId="37" fontId="50" fillId="0" borderId="0"/>
    <xf numFmtId="185" fontId="51" fillId="0" borderId="7">
      <alignment horizontal="right"/>
      <protection locked="0"/>
    </xf>
    <xf numFmtId="184" fontId="5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4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58" fillId="19" borderId="23" applyNumberFormat="0" applyFont="0" applyAlignment="0" applyProtection="0"/>
    <xf numFmtId="0" fontId="65" fillId="19" borderId="23" applyNumberFormat="0" applyFont="0" applyAlignment="0" applyProtection="0"/>
    <xf numFmtId="40" fontId="25" fillId="11" borderId="0">
      <alignment horizontal="right"/>
    </xf>
    <xf numFmtId="0" fontId="26" fillId="11" borderId="0">
      <alignment horizontal="right"/>
    </xf>
    <xf numFmtId="0" fontId="27" fillId="11" borderId="6"/>
    <xf numFmtId="0" fontId="27" fillId="0" borderId="0" applyBorder="0">
      <alignment horizontal="centerContinuous"/>
    </xf>
    <xf numFmtId="0" fontId="28" fillId="0" borderId="0" applyBorder="0">
      <alignment horizontal="centerContinuous"/>
    </xf>
    <xf numFmtId="9" fontId="5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 applyFill="0" applyBorder="0">
      <alignment vertical="center"/>
    </xf>
    <xf numFmtId="173" fontId="29" fillId="0" borderId="0" applyFill="0" applyBorder="0">
      <alignment horizontal="right" vertical="center"/>
    </xf>
    <xf numFmtId="177" fontId="29" fillId="0" borderId="0" applyFill="0" applyBorder="0">
      <alignment horizontal="right" vertical="center"/>
    </xf>
    <xf numFmtId="0" fontId="30" fillId="0" borderId="0" applyFill="0" applyBorder="0">
      <alignment vertical="center"/>
    </xf>
    <xf numFmtId="0" fontId="31" fillId="0" borderId="0" applyFill="0" applyBorder="0">
      <alignment vertical="center"/>
    </xf>
    <xf numFmtId="0" fontId="32" fillId="0" borderId="0" applyFill="0" applyBorder="0">
      <alignment vertical="center"/>
    </xf>
    <xf numFmtId="0" fontId="29" fillId="0" borderId="0" applyFill="0" applyBorder="0">
      <alignment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  <protection locked="0"/>
    </xf>
    <xf numFmtId="0" fontId="33" fillId="0" borderId="0" applyFill="0" applyBorder="0">
      <alignment horizontal="left" vertical="center"/>
      <protection locked="0"/>
    </xf>
    <xf numFmtId="0" fontId="34" fillId="0" borderId="0" applyFill="0" applyBorder="0">
      <alignment horizontal="left" vertical="center"/>
    </xf>
    <xf numFmtId="174" fontId="29" fillId="0" borderId="0" applyFill="0" applyBorder="0">
      <alignment horizontal="right" vertical="center"/>
    </xf>
    <xf numFmtId="0" fontId="29" fillId="0" borderId="0" applyFill="0" applyBorder="0">
      <alignment vertical="center"/>
    </xf>
    <xf numFmtId="172" fontId="29" fillId="0" borderId="0" applyFill="0" applyBorder="0">
      <alignment horizontal="right" vertical="center"/>
    </xf>
    <xf numFmtId="175" fontId="29" fillId="0" borderId="0" applyFill="0" applyBorder="0">
      <alignment horizontal="right" vertical="center"/>
    </xf>
    <xf numFmtId="0" fontId="32" fillId="0" borderId="0" applyFill="0" applyBorder="0">
      <alignment vertical="center"/>
    </xf>
    <xf numFmtId="172" fontId="35" fillId="0" borderId="0" applyFill="0" applyBorder="0">
      <alignment horizontal="left" vertical="center"/>
    </xf>
    <xf numFmtId="0" fontId="36" fillId="0" borderId="0" applyFill="0" applyBorder="0">
      <alignment horizontal="left" vertical="center"/>
    </xf>
    <xf numFmtId="176" fontId="29" fillId="0" borderId="0" applyFill="0" applyBorder="0">
      <alignment horizontal="right" vertical="center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8">
      <alignment horizontal="center"/>
    </xf>
    <xf numFmtId="3" fontId="37" fillId="0" borderId="0" applyFont="0" applyFill="0" applyBorder="0" applyAlignment="0" applyProtection="0"/>
    <xf numFmtId="0" fontId="37" fillId="12" borderId="0" applyNumberFormat="0" applyFont="0" applyBorder="0" applyAlignment="0" applyProtection="0"/>
    <xf numFmtId="173" fontId="18" fillId="0" borderId="0" applyFill="0" applyBorder="0">
      <alignment horizontal="right" vertical="center"/>
    </xf>
    <xf numFmtId="177" fontId="18" fillId="0" borderId="0" applyFill="0" applyBorder="0">
      <alignment horizontal="right" vertical="center"/>
    </xf>
    <xf numFmtId="174" fontId="18" fillId="0" borderId="0" applyFill="0" applyBorder="0">
      <alignment horizontal="right" vertical="center"/>
    </xf>
    <xf numFmtId="172" fontId="18" fillId="0" borderId="0" applyFill="0" applyBorder="0">
      <alignment horizontal="right" vertical="center"/>
    </xf>
    <xf numFmtId="175" fontId="18" fillId="0" borderId="0" applyFill="0" applyBorder="0">
      <alignment horizontal="right" vertical="center"/>
    </xf>
    <xf numFmtId="176" fontId="18" fillId="0" borderId="0" applyFill="0" applyBorder="0">
      <alignment horizontal="right" vertical="center"/>
    </xf>
    <xf numFmtId="0" fontId="39" fillId="0" borderId="0" applyFill="0" applyBorder="0">
      <alignment horizontal="left" vertical="center"/>
    </xf>
    <xf numFmtId="0" fontId="40" fillId="0" borderId="0" applyFill="0" applyBorder="0">
      <alignment horizontal="left" vertical="center"/>
    </xf>
    <xf numFmtId="40" fontId="53" fillId="0" borderId="0"/>
    <xf numFmtId="0" fontId="41" fillId="0" borderId="0" applyFill="0" applyBorder="0">
      <alignment horizontal="left" vertical="center"/>
      <protection locked="0"/>
    </xf>
    <xf numFmtId="0" fontId="42" fillId="0" borderId="0" applyFill="0" applyBorder="0">
      <alignment horizontal="left" vertical="center"/>
      <protection locked="0"/>
    </xf>
    <xf numFmtId="0" fontId="43" fillId="0" borderId="0" applyFill="0" applyBorder="0">
      <alignment horizontal="left" vertical="center"/>
      <protection locked="0"/>
    </xf>
    <xf numFmtId="0" fontId="44" fillId="0" borderId="0" applyFill="0" applyBorder="0">
      <alignment horizontal="left" vertical="center"/>
      <protection locked="0"/>
    </xf>
    <xf numFmtId="0" fontId="65" fillId="0" borderId="0"/>
    <xf numFmtId="0" fontId="80" fillId="0" borderId="0" applyNumberFormat="0" applyFill="0" applyBorder="0" applyAlignment="0" applyProtection="0"/>
    <xf numFmtId="0" fontId="18" fillId="0" borderId="32">
      <alignment vertical="center"/>
      <protection locked="0"/>
    </xf>
    <xf numFmtId="0" fontId="18" fillId="0" borderId="0" applyFill="0" applyBorder="0">
      <alignment vertical="center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0" fontId="18" fillId="0" borderId="0" applyNumberFormat="0" applyFont="0" applyFill="0" applyBorder="0">
      <alignment horizontal="center" vertical="center"/>
      <protection locked="0"/>
    </xf>
    <xf numFmtId="0" fontId="29" fillId="0" borderId="0" applyNumberFormat="0" applyFont="0" applyFill="0" applyBorder="0">
      <alignment horizontal="center" vertical="center"/>
      <protection locked="0"/>
    </xf>
    <xf numFmtId="164" fontId="18" fillId="0" borderId="0" applyFont="0" applyFill="0" applyBorder="0" applyAlignment="0" applyProtection="0"/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83" fillId="0" borderId="0" applyNumberFormat="0" applyFill="0" applyBorder="0" applyAlignment="0" applyProtection="0">
      <alignment vertical="top"/>
      <protection locked="0"/>
    </xf>
    <xf numFmtId="0" fontId="21" fillId="0" borderId="0" applyFill="0" applyBorder="0">
      <alignment horizontal="center" vertical="center"/>
    </xf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9" fontId="18" fillId="0" borderId="0" applyFont="0" applyFill="0" applyBorder="0" applyAlignment="0" applyProtection="0"/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</xf>
    <xf numFmtId="0" fontId="22" fillId="0" borderId="0" applyFill="0" applyBorder="0">
      <alignment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0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81" fillId="0" borderId="0" applyFill="0" applyBorder="0">
      <alignment horizontal="left" vertical="center"/>
      <protection locked="0"/>
    </xf>
    <xf numFmtId="0" fontId="82" fillId="0" borderId="0" applyFill="0" applyBorder="0">
      <alignment horizontal="left" vertical="center"/>
      <protection locked="0"/>
    </xf>
    <xf numFmtId="188" fontId="18" fillId="0" borderId="0" applyFill="0" applyBorder="0">
      <alignment vertical="center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2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2" fillId="0" borderId="0" applyFill="0" applyBorder="0">
      <alignment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0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188" fontId="18" fillId="0" borderId="0" applyFill="0" applyBorder="0">
      <alignment vertical="center"/>
    </xf>
    <xf numFmtId="44" fontId="65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0" fillId="0" borderId="0"/>
    <xf numFmtId="0" fontId="14" fillId="0" borderId="0"/>
    <xf numFmtId="9" fontId="60" fillId="0" borderId="0" applyFon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0" fillId="0" borderId="0"/>
    <xf numFmtId="0" fontId="14" fillId="0" borderId="0"/>
    <xf numFmtId="0" fontId="63" fillId="17" borderId="0" applyNumberFormat="0" applyBorder="0" applyAlignment="0" applyProtection="0"/>
    <xf numFmtId="0" fontId="14" fillId="19" borderId="23" applyNumberFormat="0" applyFont="0" applyAlignment="0" applyProtection="0"/>
    <xf numFmtId="0" fontId="65" fillId="0" borderId="0"/>
    <xf numFmtId="165" fontId="65" fillId="0" borderId="0" applyFont="0" applyFill="0" applyBorder="0" applyAlignment="0" applyProtection="0"/>
    <xf numFmtId="165" fontId="60" fillId="0" borderId="0" applyFont="0" applyFill="0" applyBorder="0" applyAlignment="0" applyProtection="0"/>
    <xf numFmtId="172" fontId="18" fillId="0" borderId="32">
      <alignment vertical="center"/>
      <protection locked="0"/>
    </xf>
    <xf numFmtId="0" fontId="14" fillId="0" borderId="0"/>
    <xf numFmtId="0" fontId="89" fillId="46" borderId="0" applyNumberFormat="0" applyBorder="0" applyAlignment="0" applyProtection="0"/>
    <xf numFmtId="0" fontId="88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23" borderId="0" applyNumberFormat="0" applyBorder="0" applyAlignment="0" applyProtection="0"/>
    <xf numFmtId="0" fontId="61" fillId="27" borderId="0" applyNumberFormat="0" applyBorder="0" applyAlignment="0" applyProtection="0"/>
    <xf numFmtId="0" fontId="88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8" borderId="0" applyNumberFormat="0" applyBorder="0" applyAlignment="0" applyProtection="0"/>
    <xf numFmtId="0" fontId="88" fillId="41" borderId="0" applyNumberFormat="0" applyBorder="0" applyAlignment="0" applyProtection="0"/>
    <xf numFmtId="0" fontId="61" fillId="41" borderId="0" applyNumberFormat="0" applyBorder="0" applyAlignment="0" applyProtection="0"/>
    <xf numFmtId="190" fontId="90" fillId="0" borderId="33">
      <alignment horizontal="center" vertical="center"/>
      <protection locked="0"/>
    </xf>
    <xf numFmtId="191" fontId="90" fillId="0" borderId="33">
      <alignment horizontal="center" vertical="center"/>
      <protection locked="0"/>
    </xf>
    <xf numFmtId="192" fontId="90" fillId="0" borderId="33">
      <alignment horizontal="center" vertical="center"/>
      <protection locked="0"/>
    </xf>
    <xf numFmtId="193" fontId="90" fillId="0" borderId="33">
      <alignment horizontal="center" vertical="center"/>
      <protection locked="0"/>
    </xf>
    <xf numFmtId="194" fontId="90" fillId="0" borderId="33">
      <alignment horizontal="center" vertical="center"/>
      <protection locked="0"/>
    </xf>
    <xf numFmtId="0" fontId="90" fillId="0" borderId="33">
      <alignment horizontal="center" vertical="center"/>
      <protection locked="0"/>
    </xf>
    <xf numFmtId="195" fontId="90" fillId="0" borderId="33">
      <alignment horizontal="center"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96" fontId="18" fillId="0" borderId="1">
      <alignment horizontal="center" vertical="center"/>
      <protection locked="0"/>
    </xf>
    <xf numFmtId="179" fontId="18" fillId="0" borderId="1">
      <alignment horizontal="center" vertical="center"/>
      <protection locked="0"/>
    </xf>
    <xf numFmtId="197" fontId="90" fillId="0" borderId="33">
      <alignment horizontal="center" vertical="center"/>
      <protection locked="0"/>
    </xf>
    <xf numFmtId="198" fontId="90" fillId="0" borderId="33">
      <alignment horizontal="right" vertical="center"/>
      <protection locked="0"/>
    </xf>
    <xf numFmtId="199" fontId="90" fillId="0" borderId="33">
      <alignment horizontal="center" vertical="center"/>
      <protection locked="0"/>
    </xf>
    <xf numFmtId="200" fontId="90" fillId="0" borderId="33">
      <alignment horizontal="center" vertical="center"/>
      <protection locked="0"/>
    </xf>
    <xf numFmtId="201" fontId="90" fillId="0" borderId="33">
      <alignment horizontal="center" vertical="center"/>
      <protection locked="0"/>
    </xf>
    <xf numFmtId="0" fontId="90" fillId="0" borderId="33">
      <alignment vertical="center"/>
      <protection locked="0"/>
    </xf>
    <xf numFmtId="202" fontId="90" fillId="0" borderId="33">
      <alignment horizontal="right" vertical="center"/>
      <protection locked="0"/>
    </xf>
    <xf numFmtId="0" fontId="18" fillId="0" borderId="32">
      <alignment vertical="center"/>
      <protection locked="0"/>
    </xf>
    <xf numFmtId="190" fontId="90" fillId="0" borderId="33">
      <alignment horizontal="center" vertical="center"/>
      <protection locked="0"/>
    </xf>
    <xf numFmtId="191" fontId="90" fillId="0" borderId="33">
      <alignment horizontal="center" vertical="center"/>
      <protection locked="0"/>
    </xf>
    <xf numFmtId="192" fontId="90" fillId="0" borderId="33">
      <alignment horizontal="center" vertical="center"/>
      <protection locked="0"/>
    </xf>
    <xf numFmtId="193" fontId="90" fillId="0" borderId="33">
      <alignment horizontal="center" vertical="center"/>
      <protection locked="0"/>
    </xf>
    <xf numFmtId="194" fontId="90" fillId="0" borderId="33">
      <alignment horizontal="center" vertical="center"/>
      <protection locked="0"/>
    </xf>
    <xf numFmtId="0" fontId="90" fillId="0" borderId="33">
      <alignment horizontal="center" vertical="center"/>
      <protection locked="0"/>
    </xf>
    <xf numFmtId="195" fontId="90" fillId="0" borderId="33">
      <alignment horizontal="center"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38" fontId="14" fillId="11" borderId="0" applyNumberFormat="0" applyFont="0" applyAlignment="0"/>
    <xf numFmtId="0" fontId="91" fillId="47" borderId="0" applyNumberFormat="0" applyBorder="0" applyAlignment="0" applyProtection="0"/>
    <xf numFmtId="0" fontId="86" fillId="16" borderId="0" applyNumberFormat="0" applyBorder="0" applyAlignment="0" applyProtection="0"/>
    <xf numFmtId="196" fontId="18" fillId="0" borderId="0" applyFill="0" applyBorder="0">
      <alignment horizontal="center" vertical="center"/>
    </xf>
    <xf numFmtId="179" fontId="18" fillId="0" borderId="0" applyFill="0" applyBorder="0">
      <alignment horizontal="center" vertical="center"/>
    </xf>
    <xf numFmtId="38" fontId="23" fillId="11" borderId="11" applyNumberFormat="0">
      <alignment horizontal="centerContinuous" wrapText="1"/>
    </xf>
    <xf numFmtId="38" fontId="23" fillId="14" borderId="11">
      <alignment horizontal="center"/>
      <protection locked="0"/>
    </xf>
    <xf numFmtId="0" fontId="92" fillId="0" borderId="0" applyFont="0" applyFill="0" applyBorder="0" applyAlignment="0" applyProtection="0">
      <alignment horizontal="right"/>
    </xf>
    <xf numFmtId="165" fontId="65" fillId="0" borderId="0" applyFont="0" applyFill="0" applyBorder="0" applyAlignment="0" applyProtection="0"/>
    <xf numFmtId="0" fontId="93" fillId="0" borderId="0" applyFill="0" applyBorder="0">
      <alignment vertical="center"/>
    </xf>
    <xf numFmtId="0" fontId="94" fillId="0" borderId="0" applyFill="0" applyBorder="0">
      <alignment vertical="center"/>
    </xf>
    <xf numFmtId="0" fontId="92" fillId="0" borderId="0" applyFont="0" applyFill="0" applyBorder="0" applyAlignment="0" applyProtection="0">
      <alignment horizontal="right"/>
    </xf>
    <xf numFmtId="0" fontId="92" fillId="0" borderId="0" applyFont="0" applyFill="0" applyBorder="0" applyAlignment="0" applyProtection="0">
      <alignment horizontal="right"/>
    </xf>
    <xf numFmtId="14" fontId="14" fillId="0" borderId="0" applyFont="0" applyFill="0" applyBorder="0" applyAlignment="0">
      <alignment horizontal="center" vertical="center" wrapText="1"/>
    </xf>
    <xf numFmtId="0" fontId="9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2" fillId="0" borderId="34" applyNumberFormat="0" applyFont="0" applyFill="0" applyAlignment="0" applyProtection="0"/>
    <xf numFmtId="197" fontId="90" fillId="0" borderId="33">
      <alignment horizontal="center" vertical="center"/>
      <protection locked="0"/>
    </xf>
    <xf numFmtId="198" fontId="90" fillId="0" borderId="33">
      <alignment horizontal="right" vertical="center"/>
      <protection locked="0"/>
    </xf>
    <xf numFmtId="199" fontId="90" fillId="0" borderId="33">
      <alignment horizontal="center" vertical="center"/>
      <protection locked="0"/>
    </xf>
    <xf numFmtId="200" fontId="90" fillId="0" borderId="33">
      <alignment horizontal="center" vertical="center"/>
      <protection locked="0"/>
    </xf>
    <xf numFmtId="201" fontId="90" fillId="0" borderId="33">
      <alignment horizontal="center" vertical="center"/>
      <protection locked="0"/>
    </xf>
    <xf numFmtId="0" fontId="90" fillId="0" borderId="33">
      <alignment vertical="center"/>
      <protection locked="0"/>
    </xf>
    <xf numFmtId="202" fontId="90" fillId="0" borderId="33">
      <alignment horizontal="right" vertical="center"/>
      <protection locked="0"/>
    </xf>
    <xf numFmtId="0" fontId="95" fillId="0" borderId="0" applyFill="0" applyBorder="0" applyProtection="0">
      <alignment horizontal="left"/>
    </xf>
    <xf numFmtId="197" fontId="90" fillId="0" borderId="0" applyFill="0" applyBorder="0">
      <alignment horizontal="center" vertical="center"/>
    </xf>
    <xf numFmtId="198" fontId="90" fillId="0" borderId="0" applyFill="0" applyBorder="0">
      <alignment horizontal="right" vertical="center"/>
    </xf>
    <xf numFmtId="199" fontId="90" fillId="0" borderId="0" applyFill="0" applyBorder="0">
      <alignment horizontal="center" vertical="center"/>
    </xf>
    <xf numFmtId="200" fontId="90" fillId="0" borderId="0" applyFill="0" applyBorder="0">
      <alignment horizontal="center" vertical="center"/>
    </xf>
    <xf numFmtId="201" fontId="90" fillId="0" borderId="0" applyFill="0" applyBorder="0">
      <alignment horizontal="center" vertical="center"/>
    </xf>
    <xf numFmtId="0" fontId="96" fillId="0" borderId="0" applyFill="0" applyBorder="0">
      <alignment horizontal="right" vertical="center"/>
    </xf>
    <xf numFmtId="202" fontId="90" fillId="0" borderId="0" applyFill="0" applyBorder="0">
      <alignment horizontal="right" vertical="center"/>
    </xf>
    <xf numFmtId="0" fontId="92" fillId="0" borderId="0" applyFont="0" applyFill="0" applyBorder="0" applyAlignment="0" applyProtection="0">
      <alignment horizontal="right"/>
    </xf>
    <xf numFmtId="0" fontId="97" fillId="0" borderId="0" applyProtection="0">
      <alignment horizontal="right"/>
    </xf>
    <xf numFmtId="203" fontId="8" fillId="7" borderId="5" applyNumberFormat="0">
      <alignment horizontal="centerContinuous" vertical="center" wrapText="1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vertical="center"/>
    </xf>
    <xf numFmtId="0" fontId="22" fillId="0" borderId="0" applyFill="0" applyBorder="0">
      <alignment horizontal="left" vertical="center"/>
      <protection locked="0"/>
    </xf>
    <xf numFmtId="0" fontId="93" fillId="0" borderId="0" applyFill="0" applyBorder="0">
      <alignment vertical="center"/>
    </xf>
    <xf numFmtId="204" fontId="90" fillId="0" borderId="0" applyFill="0" applyBorder="0">
      <alignment horizontal="center" vertical="center"/>
    </xf>
    <xf numFmtId="198" fontId="90" fillId="0" borderId="0" applyFill="0" applyBorder="0">
      <alignment horizontal="right" vertical="center"/>
    </xf>
    <xf numFmtId="205" fontId="90" fillId="0" borderId="0" applyFill="0" applyBorder="0">
      <alignment horizontal="center" vertical="center"/>
    </xf>
    <xf numFmtId="206" fontId="90" fillId="0" borderId="0" applyFill="0" applyBorder="0">
      <alignment horizontal="center" vertical="center"/>
    </xf>
    <xf numFmtId="207" fontId="90" fillId="0" borderId="0" applyFill="0" applyBorder="0">
      <alignment horizontal="center" vertical="center"/>
    </xf>
    <xf numFmtId="202" fontId="90" fillId="0" borderId="0" applyFill="0" applyBorder="0">
      <alignment horizontal="right" vertical="center"/>
    </xf>
    <xf numFmtId="0" fontId="98" fillId="0" borderId="0" applyFill="0" applyBorder="0">
      <alignment vertical="center"/>
    </xf>
    <xf numFmtId="0" fontId="99" fillId="0" borderId="0" applyFill="0" applyBorder="0">
      <alignment vertical="center"/>
    </xf>
    <xf numFmtId="0" fontId="96" fillId="0" borderId="0" applyFill="0" applyBorder="0">
      <alignment vertical="center"/>
    </xf>
    <xf numFmtId="0" fontId="90" fillId="0" borderId="0" applyFill="0" applyBorder="0">
      <alignment vertical="center"/>
    </xf>
    <xf numFmtId="190" fontId="90" fillId="0" borderId="0" applyFill="0" applyBorder="0">
      <alignment horizontal="center" vertical="center"/>
    </xf>
    <xf numFmtId="191" fontId="90" fillId="0" borderId="0" applyFill="0" applyBorder="0">
      <alignment horizontal="center" vertical="center"/>
    </xf>
    <xf numFmtId="192" fontId="90" fillId="0" borderId="0" applyFill="0" applyBorder="0">
      <alignment horizontal="center" vertical="center"/>
    </xf>
    <xf numFmtId="193" fontId="90" fillId="0" borderId="0" applyFill="0" applyBorder="0">
      <alignment horizontal="center" vertical="center"/>
    </xf>
    <xf numFmtId="194" fontId="90" fillId="0" borderId="0" applyFill="0" applyBorder="0">
      <alignment horizontal="center" vertical="center"/>
    </xf>
    <xf numFmtId="0" fontId="90" fillId="0" borderId="0" applyFill="0" applyBorder="0">
      <alignment horizontal="center" vertical="center"/>
    </xf>
    <xf numFmtId="195" fontId="90" fillId="0" borderId="0" applyFill="0" applyBorder="0">
      <alignment horizontal="center" vertical="center"/>
    </xf>
    <xf numFmtId="0" fontId="100" fillId="0" borderId="0" applyFill="0" applyBorder="0">
      <alignment vertical="center"/>
    </xf>
    <xf numFmtId="208" fontId="7" fillId="0" borderId="0" applyNumberFormat="0" applyFill="0" applyBorder="0" applyAlignment="0"/>
    <xf numFmtId="38" fontId="18" fillId="11" borderId="0">
      <alignment vertical="top"/>
    </xf>
    <xf numFmtId="38" fontId="18" fillId="14" borderId="7">
      <alignment wrapText="1"/>
      <protection locked="0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179" fontId="18" fillId="0" borderId="5" applyFill="0">
      <alignment horizontal="center" vertical="center"/>
    </xf>
    <xf numFmtId="0" fontId="90" fillId="0" borderId="35" applyFill="0">
      <alignment horizontal="center" vertical="center"/>
    </xf>
    <xf numFmtId="0" fontId="96" fillId="0" borderId="35" applyFill="0">
      <alignment horizontal="center" vertical="center"/>
    </xf>
    <xf numFmtId="209" fontId="90" fillId="0" borderId="35" applyFill="0">
      <alignment horizontal="center" vertical="center"/>
    </xf>
    <xf numFmtId="193" fontId="101" fillId="0" borderId="35" applyFill="0">
      <alignment horizontal="center" vertical="center"/>
    </xf>
    <xf numFmtId="190" fontId="90" fillId="0" borderId="0" applyFill="0" applyBorder="0">
      <alignment horizontal="center" vertical="center"/>
    </xf>
    <xf numFmtId="191" fontId="90" fillId="0" borderId="0" applyFill="0" applyBorder="0">
      <alignment horizontal="center" vertical="center"/>
    </xf>
    <xf numFmtId="192" fontId="90" fillId="0" borderId="0" applyFill="0" applyBorder="0">
      <alignment horizontal="center" vertical="center"/>
    </xf>
    <xf numFmtId="193" fontId="90" fillId="0" borderId="0" applyFill="0" applyBorder="0">
      <alignment horizontal="center" vertical="center"/>
    </xf>
    <xf numFmtId="194" fontId="90" fillId="0" borderId="0" applyFill="0" applyBorder="0">
      <alignment horizontal="center" vertical="center"/>
    </xf>
    <xf numFmtId="0" fontId="90" fillId="0" borderId="0" applyFill="0" applyBorder="0">
      <alignment horizontal="center" vertical="center"/>
    </xf>
    <xf numFmtId="195" fontId="90" fillId="0" borderId="0" applyFill="0" applyBorder="0">
      <alignment horizontal="center" vertical="center"/>
    </xf>
    <xf numFmtId="0" fontId="24" fillId="0" borderId="0" applyFill="0" applyBorder="0">
      <alignment vertical="center"/>
    </xf>
    <xf numFmtId="0" fontId="24" fillId="0" borderId="0" applyFill="0" applyBorder="0">
      <alignment horizontal="left" vertical="center"/>
    </xf>
    <xf numFmtId="0" fontId="92" fillId="0" borderId="0" applyFont="0" applyFill="0" applyBorder="0" applyAlignment="0" applyProtection="0">
      <alignment horizontal="right"/>
    </xf>
    <xf numFmtId="0" fontId="102" fillId="48" borderId="0" applyNumberFormat="0" applyBorder="0" applyAlignment="0" applyProtection="0"/>
    <xf numFmtId="0" fontId="64" fillId="18" borderId="0" applyNumberFormat="0" applyBorder="0" applyAlignment="0" applyProtection="0"/>
    <xf numFmtId="0" fontId="14" fillId="0" borderId="0"/>
    <xf numFmtId="0" fontId="103" fillId="0" borderId="0"/>
    <xf numFmtId="0" fontId="14" fillId="0" borderId="0"/>
    <xf numFmtId="0" fontId="65" fillId="0" borderId="0"/>
    <xf numFmtId="0" fontId="18" fillId="0" borderId="0" applyFill="0" applyBorder="0">
      <alignment vertical="center"/>
    </xf>
    <xf numFmtId="210" fontId="18" fillId="11" borderId="0"/>
    <xf numFmtId="210" fontId="18" fillId="14" borderId="7"/>
    <xf numFmtId="210" fontId="23" fillId="11" borderId="36"/>
    <xf numFmtId="211" fontId="7" fillId="0" borderId="0" applyBorder="0" applyAlignment="0">
      <protection locked="0"/>
    </xf>
    <xf numFmtId="212" fontId="58" fillId="49" borderId="0">
      <alignment horizontal="right"/>
    </xf>
    <xf numFmtId="0" fontId="104" fillId="0" borderId="0" applyFill="0" applyBorder="0">
      <alignment vertical="center"/>
    </xf>
    <xf numFmtId="197" fontId="101" fillId="0" borderId="0" applyFill="0" applyBorder="0">
      <alignment horizontal="center" vertical="center"/>
    </xf>
    <xf numFmtId="198" fontId="101" fillId="0" borderId="0" applyFill="0" applyBorder="0">
      <alignment horizontal="right" vertical="center"/>
    </xf>
    <xf numFmtId="199" fontId="101" fillId="0" borderId="0" applyFill="0" applyBorder="0">
      <alignment horizontal="center" vertical="center"/>
    </xf>
    <xf numFmtId="200" fontId="101" fillId="0" borderId="0" applyFill="0" applyBorder="0">
      <alignment horizontal="center" vertical="center"/>
    </xf>
    <xf numFmtId="201" fontId="101" fillId="0" borderId="0" applyFill="0" applyBorder="0">
      <alignment horizontal="center" vertical="center"/>
    </xf>
    <xf numFmtId="0" fontId="105" fillId="0" borderId="0" applyFill="0" applyBorder="0">
      <alignment horizontal="right" vertical="center"/>
    </xf>
    <xf numFmtId="202" fontId="101" fillId="0" borderId="0" applyFill="0" applyBorder="0">
      <alignment horizontal="right" vertical="center"/>
    </xf>
    <xf numFmtId="0" fontId="106" fillId="0" borderId="0" applyFill="0" applyBorder="0">
      <alignment vertical="center"/>
    </xf>
    <xf numFmtId="0" fontId="107" fillId="0" borderId="0" applyFill="0" applyBorder="0">
      <alignment vertical="center"/>
    </xf>
    <xf numFmtId="0" fontId="105" fillId="0" borderId="0" applyFill="0" applyBorder="0">
      <alignment vertical="center"/>
    </xf>
    <xf numFmtId="0" fontId="101" fillId="0" borderId="0" applyFill="0" applyBorder="0">
      <alignment vertical="center"/>
    </xf>
    <xf numFmtId="190" fontId="101" fillId="0" borderId="0" applyFill="0" applyBorder="0">
      <alignment horizontal="center" vertical="center"/>
    </xf>
    <xf numFmtId="191" fontId="101" fillId="0" borderId="0" applyFill="0" applyBorder="0">
      <alignment horizontal="center" vertical="center"/>
    </xf>
    <xf numFmtId="192" fontId="101" fillId="0" borderId="0" applyFill="0" applyBorder="0">
      <alignment horizontal="center" vertical="center"/>
    </xf>
    <xf numFmtId="193" fontId="101" fillId="0" borderId="0" applyFill="0" applyBorder="0">
      <alignment horizontal="center" vertical="center"/>
    </xf>
    <xf numFmtId="194" fontId="101" fillId="0" borderId="0" applyFill="0" applyBorder="0">
      <alignment horizontal="center" vertical="center"/>
    </xf>
    <xf numFmtId="0" fontId="101" fillId="0" borderId="0" applyFill="0" applyBorder="0">
      <alignment horizontal="center" vertical="center"/>
    </xf>
    <xf numFmtId="195" fontId="101" fillId="0" borderId="0" applyFill="0" applyBorder="0">
      <alignment horizontal="center" vertical="center"/>
    </xf>
    <xf numFmtId="0" fontId="108" fillId="0" borderId="0" applyFill="0" applyBorder="0">
      <alignment vertical="center"/>
    </xf>
    <xf numFmtId="1" fontId="109" fillId="0" borderId="0" applyProtection="0">
      <alignment horizontal="right" vertical="center"/>
    </xf>
    <xf numFmtId="9" fontId="65" fillId="0" borderId="0" applyFont="0" applyFill="0" applyBorder="0" applyAlignment="0" applyProtection="0"/>
    <xf numFmtId="9" fontId="18" fillId="14" borderId="7" applyAlignment="0">
      <protection locked="0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73" fontId="110" fillId="0" borderId="0" applyFill="0" applyBorder="0">
      <alignment horizontal="right" vertical="center"/>
    </xf>
    <xf numFmtId="189" fontId="18" fillId="0" borderId="0" applyFill="0" applyBorder="0">
      <alignment vertical="center"/>
    </xf>
    <xf numFmtId="213" fontId="110" fillId="0" borderId="0" applyFill="0" applyBorder="0">
      <alignment horizontal="right" vertical="center"/>
    </xf>
    <xf numFmtId="0" fontId="8" fillId="0" borderId="0" applyFill="0" applyBorder="0">
      <alignment vertical="center"/>
    </xf>
    <xf numFmtId="0" fontId="111" fillId="0" borderId="0" applyFill="0" applyBorder="0">
      <alignment vertical="center"/>
    </xf>
    <xf numFmtId="0" fontId="45" fillId="0" borderId="0" applyFill="0" applyBorder="0">
      <alignment vertical="center"/>
    </xf>
    <xf numFmtId="0" fontId="112" fillId="0" borderId="0" applyFill="0" applyBorder="0">
      <alignment vertical="center"/>
    </xf>
    <xf numFmtId="0" fontId="23" fillId="0" borderId="0" applyFill="0" applyBorder="0">
      <alignment vertical="center"/>
    </xf>
    <xf numFmtId="0" fontId="113" fillId="0" borderId="0" applyFill="0" applyBorder="0">
      <alignment vertical="center"/>
    </xf>
    <xf numFmtId="0" fontId="18" fillId="0" borderId="0" applyFill="0" applyBorder="0">
      <alignment vertical="center"/>
    </xf>
    <xf numFmtId="0" fontId="110" fillId="0" borderId="0" applyFill="0" applyBorder="0">
      <alignment vertical="center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vertical="center"/>
    </xf>
    <xf numFmtId="0" fontId="33" fillId="0" borderId="0" applyFill="0" applyBorder="0">
      <alignment horizontal="left" vertical="center"/>
      <protection locked="0"/>
    </xf>
    <xf numFmtId="0" fontId="24" fillId="0" borderId="0" applyFill="0" applyBorder="0">
      <alignment vertical="center"/>
    </xf>
    <xf numFmtId="0" fontId="114" fillId="0" borderId="0" applyFill="0" applyBorder="0">
      <alignment horizontal="left" vertical="center"/>
    </xf>
    <xf numFmtId="174" fontId="18" fillId="0" borderId="0" applyFill="0" applyBorder="0">
      <alignment vertical="center"/>
    </xf>
    <xf numFmtId="174" fontId="110" fillId="0" borderId="0" applyFill="0" applyBorder="0">
      <alignment horizontal="right" vertical="center"/>
    </xf>
    <xf numFmtId="0" fontId="18" fillId="0" borderId="0" applyFill="0" applyBorder="0">
      <alignment vertical="center"/>
    </xf>
    <xf numFmtId="0" fontId="110" fillId="0" borderId="0" applyFill="0" applyBorder="0">
      <alignment vertical="center"/>
    </xf>
    <xf numFmtId="172" fontId="18" fillId="0" borderId="0" applyFill="0" applyBorder="0">
      <alignment vertical="center"/>
    </xf>
    <xf numFmtId="179" fontId="110" fillId="0" borderId="0" applyFill="0" applyBorder="0">
      <alignment horizontal="right" vertical="center"/>
    </xf>
    <xf numFmtId="175" fontId="18" fillId="0" borderId="0" applyFill="0" applyBorder="0">
      <alignment vertical="center"/>
    </xf>
    <xf numFmtId="175" fontId="110" fillId="0" borderId="0" applyFill="0" applyBorder="0">
      <alignment horizontal="right" vertical="center"/>
    </xf>
    <xf numFmtId="0" fontId="23" fillId="0" borderId="0" applyFill="0" applyBorder="0">
      <alignment vertical="center"/>
    </xf>
    <xf numFmtId="0" fontId="113" fillId="0" borderId="0" applyFill="0" applyBorder="0">
      <alignment vertical="center"/>
    </xf>
    <xf numFmtId="0" fontId="39" fillId="0" borderId="0" applyFill="0" applyBorder="0">
      <alignment vertical="center"/>
    </xf>
    <xf numFmtId="179" fontId="115" fillId="0" borderId="0" applyFill="0" applyBorder="0">
      <alignment horizontal="left" vertical="center"/>
    </xf>
    <xf numFmtId="0" fontId="40" fillId="0" borderId="0" applyFill="0" applyBorder="0">
      <alignment vertical="center"/>
    </xf>
    <xf numFmtId="0" fontId="116" fillId="0" borderId="0" applyFill="0" applyBorder="0">
      <alignment horizontal="left" vertical="center"/>
    </xf>
    <xf numFmtId="188" fontId="18" fillId="0" borderId="0" applyFill="0" applyBorder="0">
      <alignment vertical="center"/>
    </xf>
    <xf numFmtId="176" fontId="110" fillId="0" borderId="0" applyFill="0" applyBorder="0">
      <alignment horizontal="right"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39" fillId="0" borderId="0" applyFill="0" applyBorder="0">
      <alignment horizontal="left" vertical="center"/>
    </xf>
    <xf numFmtId="0" fontId="40" fillId="0" borderId="0" applyFill="0" applyBorder="0">
      <alignment vertical="center"/>
    </xf>
    <xf numFmtId="0" fontId="40" fillId="0" borderId="0" applyFill="0" applyBorder="0">
      <alignment horizontal="left" vertical="center"/>
    </xf>
    <xf numFmtId="0" fontId="117" fillId="0" borderId="0" applyBorder="0" applyProtection="0">
      <alignment vertical="center"/>
    </xf>
    <xf numFmtId="0" fontId="117" fillId="0" borderId="11" applyBorder="0" applyProtection="0">
      <alignment horizontal="right" vertical="center"/>
    </xf>
    <xf numFmtId="0" fontId="118" fillId="50" borderId="0" applyBorder="0" applyProtection="0">
      <alignment horizontal="centerContinuous" vertical="center"/>
    </xf>
    <xf numFmtId="0" fontId="118" fillId="51" borderId="11" applyBorder="0" applyProtection="0">
      <alignment horizontal="centerContinuous" vertical="center"/>
    </xf>
    <xf numFmtId="0" fontId="119" fillId="0" borderId="0" applyFill="0" applyBorder="0" applyProtection="0">
      <alignment horizontal="left"/>
    </xf>
    <xf numFmtId="0" fontId="95" fillId="0" borderId="15" applyFill="0" applyBorder="0" applyProtection="0">
      <alignment horizontal="left" vertical="top"/>
    </xf>
    <xf numFmtId="38" fontId="9" fillId="0" borderId="0" applyNumberFormat="0" applyFill="0" applyBorder="0" applyAlignment="0" applyProtection="0"/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0" fillId="0" borderId="0" applyFont="0" applyFill="0" applyBorder="0" applyAlignment="0" applyProtection="0"/>
    <xf numFmtId="164" fontId="14" fillId="0" borderId="0" applyFont="0" applyFill="0" applyBorder="0" applyAlignment="0" applyProtection="0">
      <alignment vertical="top"/>
    </xf>
    <xf numFmtId="164" fontId="120" fillId="0" borderId="0" applyFont="0" applyFill="0" applyBorder="0" applyAlignment="0" applyProtection="0"/>
    <xf numFmtId="0" fontId="87" fillId="20" borderId="27" applyNumberFormat="0" applyAlignment="0" applyProtection="0"/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0" borderId="0"/>
    <xf numFmtId="0" fontId="60" fillId="0" borderId="0"/>
    <xf numFmtId="0" fontId="14" fillId="0" borderId="0" applyNumberFormat="0" applyFont="0" applyFill="0" applyBorder="0" applyProtection="0">
      <alignment vertical="top"/>
    </xf>
    <xf numFmtId="0" fontId="60" fillId="0" borderId="0"/>
    <xf numFmtId="0" fontId="120" fillId="0" borderId="0"/>
    <xf numFmtId="0" fontId="120" fillId="0" borderId="0"/>
    <xf numFmtId="0" fontId="60" fillId="0" borderId="0"/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9" fontId="14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65" fontId="6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1" fillId="5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56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1" fillId="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21" fillId="59" borderId="0" applyNumberFormat="0" applyBorder="0" applyAlignment="0" applyProtection="0"/>
    <xf numFmtId="0" fontId="61" fillId="26" borderId="0" applyNumberFormat="0" applyBorder="0" applyAlignment="0" applyProtection="0"/>
    <xf numFmtId="0" fontId="121" fillId="59" borderId="0" applyNumberFormat="0" applyBorder="0" applyAlignment="0" applyProtection="0"/>
    <xf numFmtId="0" fontId="121" fillId="59" borderId="0" applyNumberFormat="0" applyBorder="0" applyAlignment="0" applyProtection="0"/>
    <xf numFmtId="0" fontId="121" fillId="57" borderId="0" applyNumberFormat="0" applyBorder="0" applyAlignment="0" applyProtection="0"/>
    <xf numFmtId="0" fontId="61" fillId="30" borderId="0" applyNumberFormat="0" applyBorder="0" applyAlignment="0" applyProtection="0"/>
    <xf numFmtId="0" fontId="121" fillId="57" borderId="0" applyNumberFormat="0" applyBorder="0" applyAlignment="0" applyProtection="0"/>
    <xf numFmtId="0" fontId="121" fillId="57" borderId="0" applyNumberFormat="0" applyBorder="0" applyAlignment="0" applyProtection="0"/>
    <xf numFmtId="0" fontId="121" fillId="2" borderId="0" applyNumberFormat="0" applyBorder="0" applyAlignment="0" applyProtection="0"/>
    <xf numFmtId="0" fontId="61" fillId="33" borderId="0" applyNumberFormat="0" applyBorder="0" applyAlignment="0" applyProtection="0"/>
    <xf numFmtId="0" fontId="121" fillId="2" borderId="0" applyNumberFormat="0" applyBorder="0" applyAlignment="0" applyProtection="0"/>
    <xf numFmtId="0" fontId="121" fillId="2" borderId="0" applyNumberFormat="0" applyBorder="0" applyAlignment="0" applyProtection="0"/>
    <xf numFmtId="0" fontId="121" fillId="60" borderId="0" applyNumberFormat="0" applyBorder="0" applyAlignment="0" applyProtection="0"/>
    <xf numFmtId="0" fontId="61" fillId="37" borderId="0" applyNumberFormat="0" applyBorder="0" applyAlignment="0" applyProtection="0"/>
    <xf numFmtId="0" fontId="121" fillId="60" borderId="0" applyNumberFormat="0" applyBorder="0" applyAlignment="0" applyProtection="0"/>
    <xf numFmtId="0" fontId="121" fillId="60" borderId="0" applyNumberFormat="0" applyBorder="0" applyAlignment="0" applyProtection="0"/>
    <xf numFmtId="0" fontId="121" fillId="61" borderId="0" applyNumberFormat="0" applyBorder="0" applyAlignment="0" applyProtection="0"/>
    <xf numFmtId="0" fontId="61" fillId="15" borderId="0" applyNumberFormat="0" applyBorder="0" applyAlignment="0" applyProtection="0"/>
    <xf numFmtId="0" fontId="121" fillId="61" borderId="0" applyNumberFormat="0" applyBorder="0" applyAlignment="0" applyProtection="0"/>
    <xf numFmtId="0" fontId="121" fillId="61" borderId="0" applyNumberFormat="0" applyBorder="0" applyAlignment="0" applyProtection="0"/>
    <xf numFmtId="0" fontId="121" fillId="62" borderId="0" applyNumberFormat="0" applyBorder="0" applyAlignment="0" applyProtection="0"/>
    <xf numFmtId="0" fontId="121" fillId="62" borderId="0" applyNumberFormat="0" applyBorder="0" applyAlignment="0" applyProtection="0"/>
    <xf numFmtId="0" fontId="61" fillId="2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27" borderId="0" applyNumberFormat="0" applyBorder="0" applyAlignment="0" applyProtection="0"/>
    <xf numFmtId="0" fontId="121" fillId="64" borderId="0" applyNumberFormat="0" applyBorder="0" applyAlignment="0" applyProtection="0"/>
    <xf numFmtId="0" fontId="121" fillId="64" borderId="0" applyNumberFormat="0" applyBorder="0" applyAlignment="0" applyProtection="0"/>
    <xf numFmtId="0" fontId="121" fillId="65" borderId="0" applyNumberFormat="0" applyBorder="0" applyAlignment="0" applyProtection="0"/>
    <xf numFmtId="0" fontId="121" fillId="65" borderId="0" applyNumberFormat="0" applyBorder="0" applyAlignment="0" applyProtection="0"/>
    <xf numFmtId="0" fontId="121" fillId="60" borderId="0" applyNumberFormat="0" applyBorder="0" applyAlignment="0" applyProtection="0"/>
    <xf numFmtId="0" fontId="61" fillId="34" borderId="0" applyNumberFormat="0" applyBorder="0" applyAlignment="0" applyProtection="0"/>
    <xf numFmtId="0" fontId="121" fillId="60" borderId="0" applyNumberFormat="0" applyBorder="0" applyAlignment="0" applyProtection="0"/>
    <xf numFmtId="0" fontId="121" fillId="60" borderId="0" applyNumberFormat="0" applyBorder="0" applyAlignment="0" applyProtection="0"/>
    <xf numFmtId="0" fontId="61" fillId="38" borderId="0" applyNumberFormat="0" applyBorder="0" applyAlignment="0" applyProtection="0"/>
    <xf numFmtId="0" fontId="121" fillId="61" borderId="0" applyNumberFormat="0" applyBorder="0" applyAlignment="0" applyProtection="0"/>
    <xf numFmtId="0" fontId="121" fillId="61" borderId="0" applyNumberFormat="0" applyBorder="0" applyAlignment="0" applyProtection="0"/>
    <xf numFmtId="0" fontId="121" fillId="66" borderId="0" applyNumberFormat="0" applyBorder="0" applyAlignment="0" applyProtection="0"/>
    <xf numFmtId="0" fontId="121" fillId="66" borderId="0" applyNumberFormat="0" applyBorder="0" applyAlignment="0" applyProtection="0"/>
    <xf numFmtId="196" fontId="18" fillId="0" borderId="1">
      <alignment horizontal="center" vertical="center"/>
      <protection locked="0"/>
    </xf>
    <xf numFmtId="179" fontId="18" fillId="0" borderId="1">
      <alignment horizontal="center" vertical="center"/>
      <protection locked="0"/>
    </xf>
    <xf numFmtId="0" fontId="18" fillId="0" borderId="32">
      <alignment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0" fontId="62" fillId="16" borderId="0" applyNumberFormat="0" applyBorder="0" applyAlignment="0" applyProtection="0"/>
    <xf numFmtId="0" fontId="91" fillId="47" borderId="0" applyNumberFormat="0" applyBorder="0" applyAlignment="0" applyProtection="0"/>
    <xf numFmtId="0" fontId="62" fillId="16" borderId="0" applyNumberFormat="0" applyBorder="0" applyAlignment="0" applyProtection="0"/>
    <xf numFmtId="0" fontId="122" fillId="67" borderId="37" applyNumberFormat="0" applyAlignment="0" applyProtection="0"/>
    <xf numFmtId="0" fontId="73" fillId="21" borderId="27" applyNumberFormat="0" applyAlignment="0" applyProtection="0"/>
    <xf numFmtId="0" fontId="122" fillId="67" borderId="37" applyNumberFormat="0" applyAlignment="0" applyProtection="0"/>
    <xf numFmtId="0" fontId="122" fillId="67" borderId="37" applyNumberFormat="0" applyAlignment="0" applyProtection="0"/>
    <xf numFmtId="196" fontId="18" fillId="0" borderId="0" applyFill="0" applyBorder="0">
      <alignment horizontal="center" vertical="center"/>
    </xf>
    <xf numFmtId="179" fontId="18" fillId="0" borderId="0" applyFill="0" applyBorder="0">
      <alignment horizontal="center" vertical="center"/>
    </xf>
    <xf numFmtId="0" fontId="123" fillId="68" borderId="38" applyNumberFormat="0" applyAlignment="0" applyProtection="0"/>
    <xf numFmtId="0" fontId="75" fillId="22" borderId="30" applyNumberFormat="0" applyAlignment="0" applyProtection="0"/>
    <xf numFmtId="0" fontId="123" fillId="68" borderId="38" applyNumberFormat="0" applyAlignment="0" applyProtection="0"/>
    <xf numFmtId="0" fontId="123" fillId="68" borderId="38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2" fillId="0" borderId="0" applyFont="0" applyFill="0" applyBorder="0" applyAlignment="0" applyProtection="0">
      <alignment horizontal="right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2" fillId="0" borderId="0" applyFont="0" applyFill="0" applyBorder="0" applyAlignment="0" applyProtection="0">
      <alignment horizontal="right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125" fillId="0" borderId="39" applyNumberFormat="0" applyFill="0" applyAlignment="0" applyProtection="0"/>
    <xf numFmtId="0" fontId="8" fillId="0" borderId="0" applyFill="0" applyBorder="0">
      <alignment vertical="center"/>
    </xf>
    <xf numFmtId="0" fontId="125" fillId="0" borderId="39" applyNumberFormat="0" applyFill="0" applyAlignment="0" applyProtection="0"/>
    <xf numFmtId="0" fontId="68" fillId="0" borderId="24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6" fillId="0" borderId="40" applyNumberFormat="0" applyFill="0" applyAlignment="0" applyProtection="0"/>
    <xf numFmtId="0" fontId="45" fillId="0" borderId="0" applyFill="0" applyBorder="0">
      <alignment vertical="center"/>
    </xf>
    <xf numFmtId="0" fontId="126" fillId="0" borderId="40" applyNumberFormat="0" applyFill="0" applyAlignment="0" applyProtection="0"/>
    <xf numFmtId="0" fontId="69" fillId="0" borderId="25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59" fillId="0" borderId="41" applyNumberFormat="0" applyFill="0" applyAlignment="0" applyProtection="0"/>
    <xf numFmtId="0" fontId="23" fillId="0" borderId="0" applyFill="0" applyBorder="0">
      <alignment vertical="center"/>
    </xf>
    <xf numFmtId="0" fontId="59" fillId="0" borderId="41" applyNumberFormat="0" applyFill="0" applyAlignment="0" applyProtection="0"/>
    <xf numFmtId="0" fontId="70" fillId="0" borderId="26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7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8" fillId="0" borderId="0" applyFill="0" applyBorder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</xf>
    <xf numFmtId="0" fontId="22" fillId="0" borderId="0" applyFill="0" applyBorder="0">
      <alignment vertical="center"/>
    </xf>
    <xf numFmtId="0" fontId="71" fillId="20" borderId="27" applyNumberFormat="0" applyAlignment="0" applyProtection="0"/>
    <xf numFmtId="0" fontId="128" fillId="55" borderId="37" applyNumberFormat="0" applyAlignment="0" applyProtection="0"/>
    <xf numFmtId="0" fontId="128" fillId="55" borderId="37" applyNumberFormat="0" applyAlignment="0" applyProtection="0"/>
    <xf numFmtId="0" fontId="129" fillId="0" borderId="42" applyNumberFormat="0" applyFill="0" applyAlignment="0" applyProtection="0"/>
    <xf numFmtId="0" fontId="74" fillId="0" borderId="29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24" fillId="0" borderId="0" applyFill="0" applyBorder="0">
      <alignment vertical="center"/>
    </xf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4" fillId="0" borderId="0"/>
    <xf numFmtId="0" fontId="14" fillId="0" borderId="0" applyNumberFormat="0" applyFont="0" applyFill="0" applyBorder="0" applyProtection="0">
      <alignment vertical="top"/>
    </xf>
    <xf numFmtId="0" fontId="78" fillId="0" borderId="0"/>
    <xf numFmtId="0" fontId="14" fillId="0" borderId="0" applyNumberFormat="0" applyFont="0" applyFill="0" applyBorder="0" applyProtection="0">
      <alignment vertical="top"/>
    </xf>
    <xf numFmtId="0" fontId="60" fillId="0" borderId="0"/>
    <xf numFmtId="0" fontId="60" fillId="0" borderId="0"/>
    <xf numFmtId="0" fontId="1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30" fillId="0" borderId="0"/>
    <xf numFmtId="0" fontId="37" fillId="0" borderId="0"/>
    <xf numFmtId="0" fontId="130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14" fillId="0" borderId="0"/>
    <xf numFmtId="0" fontId="58" fillId="0" borderId="0"/>
    <xf numFmtId="0" fontId="14" fillId="0" borderId="0"/>
    <xf numFmtId="0" fontId="1" fillId="0" borderId="0"/>
    <xf numFmtId="0" fontId="14" fillId="0" borderId="0"/>
    <xf numFmtId="0" fontId="58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4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8" fillId="0" borderId="0" applyFill="0" applyBorder="0">
      <alignment vertical="center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" fillId="0" borderId="0"/>
    <xf numFmtId="0" fontId="58" fillId="0" borderId="0"/>
    <xf numFmtId="0" fontId="79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31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4" fillId="0" borderId="0"/>
    <xf numFmtId="0" fontId="78" fillId="0" borderId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14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58" fillId="69" borderId="43" applyNumberFormat="0" applyFont="0" applyAlignment="0" applyProtection="0"/>
    <xf numFmtId="0" fontId="1" fillId="69" borderId="43" applyNumberFormat="0" applyFont="0" applyAlignment="0" applyProtection="0"/>
    <xf numFmtId="0" fontId="1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32" fillId="67" borderId="44" applyNumberFormat="0" applyAlignment="0" applyProtection="0"/>
    <xf numFmtId="0" fontId="72" fillId="21" borderId="28" applyNumberFormat="0" applyAlignment="0" applyProtection="0"/>
    <xf numFmtId="0" fontId="132" fillId="67" borderId="44" applyNumberFormat="0" applyAlignment="0" applyProtection="0"/>
    <xf numFmtId="0" fontId="132" fillId="67" borderId="44" applyNumberFormat="0" applyAlignment="0" applyProtection="0"/>
    <xf numFmtId="9" fontId="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3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" fillId="0" borderId="45" applyNumberFormat="0" applyFill="0" applyAlignment="0" applyProtection="0"/>
    <xf numFmtId="0" fontId="66" fillId="0" borderId="31" applyNumberFormat="0" applyFill="0" applyAlignment="0" applyProtection="0"/>
    <xf numFmtId="0" fontId="2" fillId="0" borderId="45" applyNumberFormat="0" applyFill="0" applyAlignment="0" applyProtection="0"/>
    <xf numFmtId="0" fontId="2" fillId="0" borderId="45" applyNumberFormat="0" applyFill="0" applyAlignment="0" applyProtection="0"/>
    <xf numFmtId="0" fontId="13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0" fontId="65" fillId="0" borderId="0"/>
    <xf numFmtId="165" fontId="65" fillId="0" borderId="0" applyFont="0" applyFill="0" applyBorder="0" applyAlignment="0" applyProtection="0"/>
    <xf numFmtId="0" fontId="85" fillId="17" borderId="0" applyNumberFormat="0" applyBorder="0" applyAlignment="0" applyProtection="0"/>
    <xf numFmtId="9" fontId="65" fillId="0" borderId="0" applyFont="0" applyFill="0" applyBorder="0" applyAlignment="0" applyProtection="0"/>
    <xf numFmtId="0" fontId="40" fillId="0" borderId="0" applyFill="0" applyBorder="0">
      <alignment horizontal="left" vertical="center"/>
    </xf>
    <xf numFmtId="0" fontId="135" fillId="0" borderId="0" applyFill="0" applyBorder="0">
      <alignment vertical="center"/>
    </xf>
    <xf numFmtId="0" fontId="136" fillId="0" borderId="0" applyFill="0" applyBorder="0">
      <alignment vertical="center"/>
    </xf>
    <xf numFmtId="0" fontId="22" fillId="0" borderId="0" applyFill="0" applyBorder="0">
      <alignment horizontal="left" vertical="center"/>
      <protection locked="0"/>
    </xf>
    <xf numFmtId="0" fontId="21" fillId="0" borderId="0" applyFill="0" applyBorder="0">
      <alignment horizontal="center" vertical="center"/>
      <protection locked="0"/>
    </xf>
    <xf numFmtId="0" fontId="137" fillId="0" borderId="0" applyFill="0" applyBorder="0">
      <alignment vertical="center"/>
    </xf>
    <xf numFmtId="173" fontId="18" fillId="0" borderId="32">
      <alignment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88" fontId="18" fillId="0" borderId="32">
      <alignment vertical="center"/>
      <protection locked="0"/>
    </xf>
    <xf numFmtId="165" fontId="14" fillId="0" borderId="0" applyFont="0" applyFill="0" applyBorder="0" applyAlignment="0" applyProtection="0"/>
    <xf numFmtId="0" fontId="90" fillId="0" borderId="35" applyFill="0">
      <alignment horizontal="center" vertical="center"/>
    </xf>
    <xf numFmtId="0" fontId="96" fillId="0" borderId="35" applyFill="0">
      <alignment horizontal="center" vertical="center"/>
    </xf>
    <xf numFmtId="209" fontId="90" fillId="0" borderId="35" applyFill="0">
      <alignment horizontal="center" vertical="center"/>
    </xf>
    <xf numFmtId="193" fontId="101" fillId="0" borderId="35" applyFill="0">
      <alignment horizontal="center" vertical="center"/>
    </xf>
    <xf numFmtId="9" fontId="14" fillId="0" borderId="0" applyFont="0" applyFill="0" applyBorder="0" applyAlignment="0" applyProtection="0"/>
    <xf numFmtId="0" fontId="42" fillId="0" borderId="0" applyFill="0" applyBorder="0">
      <alignment horizontal="left" vertical="center"/>
      <protection locked="0"/>
    </xf>
    <xf numFmtId="0" fontId="65" fillId="0" borderId="0"/>
    <xf numFmtId="0" fontId="137" fillId="0" borderId="0" applyFill="0" applyBorder="0">
      <alignment vertical="center"/>
    </xf>
    <xf numFmtId="164" fontId="60" fillId="0" borderId="0" applyFont="0" applyFill="0" applyBorder="0" applyAlignment="0" applyProtection="0"/>
    <xf numFmtId="0" fontId="60" fillId="0" borderId="0"/>
    <xf numFmtId="0" fontId="60" fillId="0" borderId="0"/>
    <xf numFmtId="0" fontId="65" fillId="0" borderId="0"/>
    <xf numFmtId="9" fontId="65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4" fillId="0" borderId="0" applyFill="0"/>
    <xf numFmtId="0" fontId="14" fillId="0" borderId="0"/>
    <xf numFmtId="0" fontId="123" fillId="68" borderId="38" applyNumberFormat="0" applyAlignment="0" applyProtection="0"/>
  </cellStyleXfs>
  <cellXfs count="1044">
    <xf numFmtId="0" fontId="0" fillId="0" borderId="0" xfId="0"/>
    <xf numFmtId="0" fontId="0" fillId="0" borderId="0" xfId="0" applyAlignment="1">
      <alignment horizontal="left"/>
    </xf>
    <xf numFmtId="9" fontId="0" fillId="0" borderId="0" xfId="0" applyNumberFormat="1"/>
    <xf numFmtId="9" fontId="2" fillId="0" borderId="0" xfId="0" applyNumberFormat="1" applyFont="1"/>
    <xf numFmtId="165" fontId="0" fillId="0" borderId="0" xfId="0" applyNumberFormat="1"/>
    <xf numFmtId="165" fontId="2" fillId="0" borderId="4" xfId="0" applyNumberFormat="1" applyFont="1" applyBorder="1"/>
    <xf numFmtId="0" fontId="0" fillId="0" borderId="0" xfId="0" applyBorder="1"/>
    <xf numFmtId="0" fontId="0" fillId="0" borderId="0" xfId="0" applyFill="1"/>
    <xf numFmtId="0" fontId="2" fillId="0" borderId="11" xfId="0" applyFont="1" applyBorder="1" applyAlignment="1">
      <alignment horizontal="right"/>
    </xf>
    <xf numFmtId="9" fontId="3" fillId="0" borderId="0" xfId="0" applyNumberFormat="1" applyFont="1" applyFill="1" applyBorder="1"/>
    <xf numFmtId="37" fontId="3" fillId="9" borderId="9" xfId="0" applyNumberFormat="1" applyFont="1" applyFill="1" applyBorder="1" applyAlignment="1">
      <alignment horizontal="right"/>
    </xf>
    <xf numFmtId="0" fontId="0" fillId="0" borderId="0" xfId="0" applyFill="1" applyBorder="1"/>
    <xf numFmtId="165" fontId="2" fillId="0" borderId="0" xfId="0" applyNumberFormat="1" applyFont="1" applyFill="1"/>
    <xf numFmtId="0" fontId="11" fillId="0" borderId="0" xfId="0" applyFont="1"/>
    <xf numFmtId="0" fontId="16" fillId="0" borderId="0" xfId="0" applyFont="1"/>
    <xf numFmtId="0" fontId="15" fillId="0" borderId="0" xfId="0" applyFont="1"/>
    <xf numFmtId="0" fontId="0" fillId="11" borderId="0" xfId="0" applyFill="1" applyBorder="1"/>
    <xf numFmtId="0" fontId="0" fillId="11" borderId="0" xfId="0" applyFill="1"/>
    <xf numFmtId="166" fontId="3" fillId="11" borderId="21" xfId="0" applyNumberFormat="1" applyFont="1" applyFill="1" applyBorder="1"/>
    <xf numFmtId="166" fontId="3" fillId="11" borderId="10" xfId="0" applyNumberFormat="1" applyFont="1" applyFill="1" applyBorder="1"/>
    <xf numFmtId="43" fontId="17" fillId="0" borderId="0" xfId="29" applyFont="1"/>
    <xf numFmtId="0" fontId="15" fillId="0" borderId="0" xfId="0" applyFont="1" applyBorder="1"/>
    <xf numFmtId="165" fontId="2" fillId="0" borderId="0" xfId="0" applyNumberFormat="1" applyFont="1" applyBorder="1"/>
    <xf numFmtId="0" fontId="0" fillId="0" borderId="0" xfId="0" applyFill="1" applyAlignment="1">
      <alignment wrapText="1"/>
    </xf>
    <xf numFmtId="165" fontId="15" fillId="0" borderId="0" xfId="0" applyNumberFormat="1" applyFont="1"/>
    <xf numFmtId="0" fontId="15" fillId="0" borderId="0" xfId="0" applyFont="1" applyAlignment="1">
      <alignment horizontal="center"/>
    </xf>
    <xf numFmtId="2" fontId="0" fillId="0" borderId="0" xfId="0" applyNumberFormat="1"/>
    <xf numFmtId="0" fontId="0" fillId="0" borderId="0" xfId="0" applyAlignment="1">
      <alignment horizontal="right"/>
    </xf>
    <xf numFmtId="0" fontId="17" fillId="0" borderId="0" xfId="0" applyFont="1" applyFill="1"/>
    <xf numFmtId="43" fontId="17" fillId="0" borderId="0" xfId="29" applyFont="1" applyFill="1"/>
    <xf numFmtId="2" fontId="0" fillId="0" borderId="0" xfId="0" applyNumberFormat="1" applyFill="1"/>
    <xf numFmtId="9" fontId="58" fillId="0" borderId="0" xfId="160" applyFont="1"/>
    <xf numFmtId="180" fontId="0" fillId="0" borderId="0" xfId="0" applyNumberFormat="1" applyFill="1"/>
    <xf numFmtId="180" fontId="0" fillId="0" borderId="0" xfId="0" applyNumberFormat="1"/>
    <xf numFmtId="0" fontId="0" fillId="0" borderId="0" xfId="0" applyAlignment="1">
      <alignment horizontal="center"/>
    </xf>
    <xf numFmtId="0" fontId="66" fillId="0" borderId="0" xfId="0" applyFont="1"/>
    <xf numFmtId="0" fontId="15" fillId="0" borderId="0" xfId="0" applyFont="1" applyAlignment="1">
      <alignment horizontal="center"/>
    </xf>
    <xf numFmtId="0" fontId="0" fillId="0" borderId="0" xfId="0" applyFont="1"/>
    <xf numFmtId="0" fontId="138" fillId="13" borderId="0" xfId="0" applyFont="1" applyFill="1"/>
    <xf numFmtId="0" fontId="139" fillId="0" borderId="0" xfId="0" applyFont="1"/>
    <xf numFmtId="0" fontId="140" fillId="0" borderId="0" xfId="0" applyFont="1"/>
    <xf numFmtId="0" fontId="138" fillId="0" borderId="0" xfId="0" applyFont="1" applyFill="1"/>
    <xf numFmtId="0" fontId="0" fillId="0" borderId="0" xfId="0" applyFont="1" applyAlignment="1">
      <alignment horizontal="center"/>
    </xf>
    <xf numFmtId="0" fontId="0" fillId="0" borderId="0" xfId="0" applyFont="1" applyFill="1" applyBorder="1"/>
    <xf numFmtId="10" fontId="0" fillId="0" borderId="0" xfId="0" applyNumberFormat="1" applyFont="1"/>
    <xf numFmtId="170" fontId="142" fillId="0" borderId="0" xfId="0" applyNumberFormat="1" applyFont="1" applyFill="1"/>
    <xf numFmtId="170" fontId="142" fillId="0" borderId="0" xfId="0" applyNumberFormat="1" applyFont="1"/>
    <xf numFmtId="0" fontId="0" fillId="0" borderId="0" xfId="0" applyFont="1" applyFill="1"/>
    <xf numFmtId="0" fontId="143" fillId="0" borderId="0" xfId="0" applyFont="1" applyFill="1" applyBorder="1" applyAlignment="1">
      <alignment horizontal="center"/>
    </xf>
    <xf numFmtId="10" fontId="0" fillId="0" borderId="0" xfId="0" applyNumberFormat="1" applyFont="1" applyFill="1"/>
    <xf numFmtId="10" fontId="62" fillId="0" borderId="0" xfId="16" applyNumberFormat="1" applyFont="1" applyFill="1"/>
    <xf numFmtId="10" fontId="63" fillId="0" borderId="0" xfId="66" applyNumberFormat="1" applyFont="1" applyFill="1"/>
    <xf numFmtId="10" fontId="64" fillId="0" borderId="0" xfId="104" applyNumberFormat="1" applyFont="1" applyFill="1"/>
    <xf numFmtId="168" fontId="0" fillId="0" borderId="0" xfId="0" applyNumberFormat="1" applyFont="1"/>
    <xf numFmtId="10" fontId="145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/>
    <xf numFmtId="169" fontId="141" fillId="0" borderId="0" xfId="0" applyNumberFormat="1" applyFont="1" applyFill="1" applyBorder="1" applyAlignment="1">
      <alignment horizontal="right"/>
    </xf>
    <xf numFmtId="0" fontId="146" fillId="13" borderId="0" xfId="0" applyFont="1" applyFill="1"/>
    <xf numFmtId="0" fontId="0" fillId="0" borderId="5" xfId="0" applyFont="1" applyBorder="1"/>
    <xf numFmtId="0" fontId="0" fillId="0" borderId="5" xfId="0" applyFont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10" fontId="0" fillId="0" borderId="5" xfId="0" applyNumberFormat="1" applyFont="1" applyBorder="1"/>
    <xf numFmtId="0" fontId="0" fillId="0" borderId="19" xfId="0" applyFont="1" applyBorder="1"/>
    <xf numFmtId="0" fontId="0" fillId="0" borderId="20" xfId="0" applyFont="1" applyBorder="1"/>
    <xf numFmtId="0" fontId="144" fillId="0" borderId="5" xfId="0" applyFont="1" applyFill="1" applyBorder="1" applyAlignment="1">
      <alignment horizontal="center"/>
    </xf>
    <xf numFmtId="10" fontId="0" fillId="0" borderId="5" xfId="0" applyNumberFormat="1" applyFont="1" applyFill="1" applyBorder="1" applyAlignment="1">
      <alignment horizontal="center"/>
    </xf>
    <xf numFmtId="10" fontId="0" fillId="0" borderId="5" xfId="0" applyNumberFormat="1" applyFont="1" applyFill="1" applyBorder="1"/>
    <xf numFmtId="0" fontId="142" fillId="0" borderId="5" xfId="0" applyFont="1" applyBorder="1"/>
    <xf numFmtId="10" fontId="147" fillId="0" borderId="5" xfId="0" applyNumberFormat="1" applyFont="1" applyFill="1" applyBorder="1"/>
    <xf numFmtId="169" fontId="147" fillId="0" borderId="5" xfId="0" applyNumberFormat="1" applyFont="1" applyFill="1" applyBorder="1" applyAlignment="1">
      <alignment horizontal="right"/>
    </xf>
    <xf numFmtId="0" fontId="147" fillId="0" borderId="17" xfId="0" applyFont="1" applyBorder="1"/>
    <xf numFmtId="0" fontId="0" fillId="0" borderId="14" xfId="0" applyFont="1" applyBorder="1"/>
    <xf numFmtId="0" fontId="147" fillId="0" borderId="22" xfId="0" applyFont="1" applyBorder="1"/>
    <xf numFmtId="0" fontId="142" fillId="0" borderId="46" xfId="0" applyFont="1" applyBorder="1"/>
    <xf numFmtId="0" fontId="147" fillId="0" borderId="19" xfId="0" applyFont="1" applyBorder="1"/>
    <xf numFmtId="0" fontId="142" fillId="0" borderId="20" xfId="0" applyFont="1" applyBorder="1"/>
    <xf numFmtId="0" fontId="0" fillId="0" borderId="5" xfId="0" applyFont="1" applyFill="1" applyBorder="1" applyAlignment="1">
      <alignment horizontal="center" wrapText="1"/>
    </xf>
    <xf numFmtId="0" fontId="0" fillId="0" borderId="5" xfId="0" applyFont="1" applyFill="1" applyBorder="1"/>
    <xf numFmtId="168" fontId="147" fillId="0" borderId="5" xfId="150" applyNumberFormat="1" applyFont="1" applyFill="1" applyBorder="1" applyAlignment="1">
      <alignment horizontal="right"/>
    </xf>
    <xf numFmtId="169" fontId="147" fillId="0" borderId="0" xfId="0" applyNumberFormat="1" applyFont="1" applyFill="1" applyBorder="1" applyAlignment="1">
      <alignment horizontal="right"/>
    </xf>
    <xf numFmtId="0" fontId="0" fillId="0" borderId="19" xfId="0" applyFont="1" applyFill="1" applyBorder="1"/>
    <xf numFmtId="43" fontId="147" fillId="0" borderId="5" xfId="141" applyNumberFormat="1" applyFont="1" applyFill="1" applyBorder="1" applyAlignment="1">
      <alignment horizontal="right"/>
    </xf>
    <xf numFmtId="0" fontId="144" fillId="0" borderId="19" xfId="0" applyFont="1" applyFill="1" applyBorder="1"/>
    <xf numFmtId="10" fontId="0" fillId="0" borderId="0" xfId="0" applyNumberFormat="1" applyFont="1" applyBorder="1"/>
    <xf numFmtId="0" fontId="148" fillId="0" borderId="18" xfId="0" applyFont="1" applyFill="1" applyBorder="1"/>
    <xf numFmtId="169" fontId="147" fillId="0" borderId="5" xfId="0" applyNumberFormat="1" applyFont="1" applyBorder="1"/>
    <xf numFmtId="0" fontId="148" fillId="0" borderId="0" xfId="0" applyFont="1" applyFill="1" applyBorder="1"/>
    <xf numFmtId="216" fontId="147" fillId="0" borderId="5" xfId="0" applyNumberFormat="1" applyFont="1" applyBorder="1" applyAlignment="1">
      <alignment horizontal="center"/>
    </xf>
    <xf numFmtId="216" fontId="0" fillId="0" borderId="5" xfId="0" applyNumberFormat="1" applyFont="1" applyBorder="1" applyAlignment="1">
      <alignment horizontal="center"/>
    </xf>
    <xf numFmtId="0" fontId="0" fillId="0" borderId="4" xfId="0" applyFont="1" applyFill="1" applyBorder="1"/>
    <xf numFmtId="0" fontId="0" fillId="0" borderId="0" xfId="0" applyFill="1" applyAlignment="1">
      <alignment horizontal="center"/>
    </xf>
    <xf numFmtId="0" fontId="0" fillId="0" borderId="0" xfId="0" applyFill="1" applyAlignment="1"/>
    <xf numFmtId="0" fontId="15" fillId="0" borderId="0" xfId="0" applyFont="1" applyFill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wrapText="1" readingOrder="1"/>
    </xf>
    <xf numFmtId="0" fontId="151" fillId="0" borderId="0" xfId="0" applyFont="1"/>
    <xf numFmtId="0" fontId="151" fillId="0" borderId="19" xfId="0" applyFont="1" applyBorder="1"/>
    <xf numFmtId="0" fontId="151" fillId="0" borderId="4" xfId="0" applyFont="1" applyBorder="1"/>
    <xf numFmtId="0" fontId="151" fillId="0" borderId="4" xfId="0" applyFont="1" applyFill="1" applyBorder="1" applyAlignment="1">
      <alignment horizontal="center" wrapText="1"/>
    </xf>
    <xf numFmtId="0" fontId="151" fillId="0" borderId="4" xfId="0" applyFont="1" applyBorder="1" applyAlignment="1">
      <alignment horizontal="center" wrapText="1"/>
    </xf>
    <xf numFmtId="0" fontId="151" fillId="0" borderId="4" xfId="0" applyFont="1" applyBorder="1" applyAlignment="1">
      <alignment horizontal="center"/>
    </xf>
    <xf numFmtId="0" fontId="150" fillId="0" borderId="5" xfId="0" applyFont="1" applyFill="1" applyBorder="1" applyAlignment="1">
      <alignment horizontal="center" wrapText="1"/>
    </xf>
    <xf numFmtId="2" fontId="150" fillId="0" borderId="5" xfId="150" applyNumberFormat="1" applyFont="1" applyFill="1" applyBorder="1" applyAlignment="1">
      <alignment horizontal="center" wrapText="1"/>
    </xf>
    <xf numFmtId="167" fontId="150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vertical="center"/>
    </xf>
    <xf numFmtId="0" fontId="154" fillId="70" borderId="12" xfId="0" applyNumberFormat="1" applyFont="1" applyFill="1" applyBorder="1" applyAlignment="1">
      <alignment horizontal="center"/>
    </xf>
    <xf numFmtId="167" fontId="13" fillId="70" borderId="19" xfId="0" applyNumberFormat="1" applyFont="1" applyFill="1" applyBorder="1" applyAlignment="1">
      <alignment horizontal="center" wrapText="1"/>
    </xf>
    <xf numFmtId="180" fontId="60" fillId="0" borderId="49" xfId="31" applyNumberFormat="1" applyFont="1" applyFill="1" applyBorder="1"/>
    <xf numFmtId="180" fontId="60" fillId="0" borderId="50" xfId="31" applyNumberFormat="1" applyFont="1" applyFill="1" applyBorder="1"/>
    <xf numFmtId="180" fontId="60" fillId="0" borderId="50" xfId="31" applyNumberFormat="1" applyFont="1" applyFill="1" applyBorder="1" applyAlignment="1">
      <alignment wrapText="1"/>
    </xf>
    <xf numFmtId="167" fontId="13" fillId="70" borderId="5" xfId="0" applyNumberFormat="1" applyFont="1" applyFill="1" applyBorder="1" applyAlignment="1">
      <alignment horizontal="center" wrapText="1"/>
    </xf>
    <xf numFmtId="180" fontId="57" fillId="0" borderId="15" xfId="29" applyNumberFormat="1" applyFont="1" applyFill="1" applyBorder="1"/>
    <xf numFmtId="180" fontId="57" fillId="0" borderId="50" xfId="29" applyNumberFormat="1" applyFont="1" applyFill="1" applyBorder="1"/>
    <xf numFmtId="167" fontId="150" fillId="0" borderId="5" xfId="0" applyNumberFormat="1" applyFont="1" applyFill="1" applyBorder="1" applyAlignment="1">
      <alignment horizontal="center"/>
    </xf>
    <xf numFmtId="2" fontId="150" fillId="0" borderId="5" xfId="150" applyNumberFormat="1" applyFont="1" applyFill="1" applyBorder="1" applyAlignment="1">
      <alignment horizontal="center"/>
    </xf>
    <xf numFmtId="9" fontId="150" fillId="0" borderId="5" xfId="150" applyFont="1" applyFill="1" applyBorder="1" applyAlignment="1">
      <alignment horizontal="center"/>
    </xf>
    <xf numFmtId="180" fontId="13" fillId="70" borderId="15" xfId="29" applyNumberFormat="1" applyFont="1" applyFill="1" applyBorder="1"/>
    <xf numFmtId="180" fontId="152" fillId="70" borderId="15" xfId="29" applyNumberFormat="1" applyFont="1" applyFill="1" applyBorder="1"/>
    <xf numFmtId="180" fontId="13" fillId="70" borderId="19" xfId="29" applyNumberFormat="1" applyFont="1" applyFill="1" applyBorder="1"/>
    <xf numFmtId="180" fontId="155" fillId="70" borderId="16" xfId="29" applyNumberFormat="1" applyFont="1" applyFill="1" applyBorder="1"/>
    <xf numFmtId="180" fontId="152" fillId="70" borderId="5" xfId="29" applyNumberFormat="1" applyFont="1" applyFill="1" applyBorder="1"/>
    <xf numFmtId="180" fontId="2" fillId="0" borderId="47" xfId="29" applyNumberFormat="1" applyFont="1" applyFill="1" applyBorder="1"/>
    <xf numFmtId="0" fontId="0" fillId="0" borderId="0" xfId="0" applyFont="1" applyFill="1" applyAlignment="1"/>
    <xf numFmtId="180" fontId="0" fillId="0" borderId="0" xfId="0" applyNumberFormat="1" applyFont="1" applyFill="1" applyBorder="1"/>
    <xf numFmtId="180" fontId="0" fillId="0" borderId="0" xfId="0" applyNumberFormat="1" applyFont="1" applyFill="1"/>
    <xf numFmtId="0" fontId="156" fillId="0" borderId="0" xfId="73" applyFont="1" applyFill="1" applyBorder="1" applyAlignment="1"/>
    <xf numFmtId="0" fontId="142" fillId="0" borderId="0" xfId="0" applyFont="1" applyFill="1"/>
    <xf numFmtId="0" fontId="141" fillId="0" borderId="0" xfId="142" applyFont="1" applyFill="1"/>
    <xf numFmtId="0" fontId="142" fillId="0" borderId="0" xfId="142" applyFont="1" applyFill="1" applyAlignment="1">
      <alignment horizontal="center"/>
    </xf>
    <xf numFmtId="0" fontId="157" fillId="0" borderId="16" xfId="0" applyFont="1" applyFill="1" applyBorder="1"/>
    <xf numFmtId="0" fontId="147" fillId="0" borderId="5" xfId="2" applyFont="1" applyFill="1" applyBorder="1" applyAlignment="1">
      <alignment horizontal="left"/>
    </xf>
    <xf numFmtId="180" fontId="144" fillId="0" borderId="5" xfId="29" applyNumberFormat="1" applyFont="1" applyFill="1" applyBorder="1" applyAlignment="1">
      <alignment vertical="center"/>
    </xf>
    <xf numFmtId="0" fontId="147" fillId="0" borderId="5" xfId="2" applyFont="1" applyFill="1" applyBorder="1"/>
    <xf numFmtId="180" fontId="144" fillId="0" borderId="0" xfId="29" applyNumberFormat="1" applyFont="1" applyFill="1"/>
    <xf numFmtId="180" fontId="144" fillId="0" borderId="0" xfId="29" applyNumberFormat="1" applyFont="1" applyFill="1" applyBorder="1"/>
    <xf numFmtId="0" fontId="147" fillId="0" borderId="0" xfId="2" applyFont="1" applyFill="1" applyBorder="1"/>
    <xf numFmtId="0" fontId="143" fillId="0" borderId="0" xfId="0" applyFont="1" applyFill="1" applyAlignment="1">
      <alignment horizontal="left"/>
    </xf>
    <xf numFmtId="180" fontId="144" fillId="0" borderId="13" xfId="29" applyNumberFormat="1" applyFont="1" applyFill="1" applyBorder="1" applyAlignment="1">
      <alignment vertical="center"/>
    </xf>
    <xf numFmtId="215" fontId="144" fillId="0" borderId="13" xfId="29" applyNumberFormat="1" applyFont="1" applyFill="1" applyBorder="1" applyAlignment="1">
      <alignment vertical="center"/>
    </xf>
    <xf numFmtId="0" fontId="147" fillId="0" borderId="0" xfId="142" applyFont="1" applyFill="1"/>
    <xf numFmtId="0" fontId="151" fillId="0" borderId="13" xfId="0" applyFont="1" applyFill="1" applyBorder="1" applyAlignment="1">
      <alignment horizontal="center"/>
    </xf>
    <xf numFmtId="0" fontId="151" fillId="0" borderId="52" xfId="142" applyFont="1" applyFill="1" applyBorder="1" applyAlignment="1">
      <alignment horizontal="center"/>
    </xf>
    <xf numFmtId="0" fontId="151" fillId="0" borderId="48" xfId="0" applyFont="1" applyFill="1" applyBorder="1" applyAlignment="1">
      <alignment horizontal="center"/>
    </xf>
    <xf numFmtId="0" fontId="151" fillId="0" borderId="0" xfId="0" applyFont="1" applyFill="1"/>
    <xf numFmtId="215" fontId="144" fillId="0" borderId="5" xfId="29" applyNumberFormat="1" applyFont="1" applyFill="1" applyBorder="1" applyAlignment="1">
      <alignment vertical="center"/>
    </xf>
    <xf numFmtId="180" fontId="143" fillId="0" borderId="5" xfId="29" applyNumberFormat="1" applyFont="1" applyFill="1" applyBorder="1"/>
    <xf numFmtId="215" fontId="143" fillId="0" borderId="5" xfId="29" applyNumberFormat="1" applyFont="1" applyFill="1" applyBorder="1"/>
    <xf numFmtId="0" fontId="151" fillId="0" borderId="0" xfId="0" applyFont="1" applyFill="1" applyAlignment="1">
      <alignment horizontal="left"/>
    </xf>
    <xf numFmtId="43" fontId="144" fillId="0" borderId="0" xfId="29" applyFont="1" applyFill="1" applyBorder="1"/>
    <xf numFmtId="43" fontId="0" fillId="0" borderId="0" xfId="0" applyNumberFormat="1" applyFont="1" applyFill="1"/>
    <xf numFmtId="0" fontId="158" fillId="0" borderId="16" xfId="0" applyFont="1" applyFill="1" applyBorder="1"/>
    <xf numFmtId="0" fontId="147" fillId="0" borderId="52" xfId="2" applyFont="1" applyFill="1" applyBorder="1"/>
    <xf numFmtId="180" fontId="144" fillId="0" borderId="52" xfId="29" applyNumberFormat="1" applyFont="1" applyFill="1" applyBorder="1" applyAlignment="1">
      <alignment vertical="center"/>
    </xf>
    <xf numFmtId="215" fontId="144" fillId="0" borderId="52" xfId="29" applyNumberFormat="1" applyFont="1" applyFill="1" applyBorder="1" applyAlignment="1">
      <alignment vertical="center"/>
    </xf>
    <xf numFmtId="0" fontId="0" fillId="71" borderId="0" xfId="0" applyFill="1"/>
    <xf numFmtId="0" fontId="151" fillId="0" borderId="5" xfId="0" applyFont="1" applyFill="1" applyBorder="1"/>
    <xf numFmtId="0" fontId="2" fillId="0" borderId="0" xfId="0" applyFont="1" applyFill="1"/>
    <xf numFmtId="215" fontId="144" fillId="72" borderId="13" xfId="29" applyNumberFormat="1" applyFont="1" applyFill="1" applyBorder="1" applyAlignment="1">
      <alignment vertical="center"/>
    </xf>
    <xf numFmtId="215" fontId="144" fillId="72" borderId="5" xfId="29" applyNumberFormat="1" applyFont="1" applyFill="1" applyBorder="1" applyAlignment="1">
      <alignment vertical="center"/>
    </xf>
    <xf numFmtId="215" fontId="144" fillId="72" borderId="52" xfId="29" applyNumberFormat="1" applyFont="1" applyFill="1" applyBorder="1" applyAlignment="1">
      <alignment vertical="center"/>
    </xf>
    <xf numFmtId="215" fontId="151" fillId="72" borderId="5" xfId="29" applyNumberFormat="1" applyFont="1" applyFill="1" applyBorder="1"/>
    <xf numFmtId="215" fontId="143" fillId="72" borderId="5" xfId="29" applyNumberFormat="1" applyFont="1" applyFill="1" applyBorder="1"/>
    <xf numFmtId="9" fontId="150" fillId="0" borderId="19" xfId="150" applyFont="1" applyFill="1" applyBorder="1" applyAlignment="1">
      <alignment horizontal="center" wrapText="1"/>
    </xf>
    <xf numFmtId="180" fontId="2" fillId="0" borderId="19" xfId="29" applyNumberFormat="1" applyFont="1" applyFill="1" applyBorder="1"/>
    <xf numFmtId="167" fontId="150" fillId="0" borderId="53" xfId="0" applyNumberFormat="1" applyFont="1" applyFill="1" applyBorder="1" applyAlignment="1">
      <alignment horizontal="center" wrapText="1"/>
    </xf>
    <xf numFmtId="180" fontId="60" fillId="0" borderId="54" xfId="31" applyNumberFormat="1" applyFont="1" applyFill="1" applyBorder="1"/>
    <xf numFmtId="180" fontId="60" fillId="0" borderId="54" xfId="31" applyNumberFormat="1" applyFont="1" applyFill="1" applyBorder="1" applyAlignment="1">
      <alignment wrapText="1"/>
    </xf>
    <xf numFmtId="180" fontId="2" fillId="0" borderId="53" xfId="29" applyNumberFormat="1" applyFont="1" applyFill="1" applyBorder="1"/>
    <xf numFmtId="10" fontId="0" fillId="0" borderId="22" xfId="0" applyNumberFormat="1" applyFill="1" applyBorder="1"/>
    <xf numFmtId="180" fontId="57" fillId="0" borderId="55" xfId="29" applyNumberFormat="1" applyFont="1" applyFill="1" applyBorder="1"/>
    <xf numFmtId="180" fontId="57" fillId="0" borderId="50" xfId="29" applyNumberFormat="1" applyFont="1" applyFill="1" applyBorder="1" applyAlignment="1">
      <alignment wrapText="1"/>
    </xf>
    <xf numFmtId="180" fontId="57" fillId="0" borderId="51" xfId="29" applyNumberFormat="1" applyFont="1" applyFill="1" applyBorder="1"/>
    <xf numFmtId="180" fontId="60" fillId="0" borderId="0" xfId="31" applyNumberFormat="1" applyFont="1" applyFill="1" applyBorder="1"/>
    <xf numFmtId="180" fontId="60" fillId="0" borderId="0" xfId="31" applyNumberFormat="1" applyFont="1" applyFill="1" applyBorder="1" applyAlignment="1">
      <alignment wrapText="1"/>
    </xf>
    <xf numFmtId="180" fontId="57" fillId="0" borderId="56" xfId="29" applyNumberFormat="1" applyFont="1" applyFill="1" applyBorder="1"/>
    <xf numFmtId="180" fontId="57" fillId="0" borderId="57" xfId="29" applyNumberFormat="1" applyFont="1" applyFill="1" applyBorder="1"/>
    <xf numFmtId="180" fontId="57" fillId="0" borderId="57" xfId="29" applyNumberFormat="1" applyFont="1" applyFill="1" applyBorder="1" applyAlignment="1">
      <alignment wrapText="1"/>
    </xf>
    <xf numFmtId="180" fontId="57" fillId="0" borderId="57" xfId="29" applyNumberFormat="1" applyFont="1" applyBorder="1"/>
    <xf numFmtId="180" fontId="57" fillId="0" borderId="58" xfId="29" applyNumberFormat="1" applyFont="1" applyFill="1" applyBorder="1" applyAlignment="1">
      <alignment wrapText="1"/>
    </xf>
    <xf numFmtId="0" fontId="141" fillId="0" borderId="0" xfId="73" applyFont="1" applyFill="1" applyBorder="1" applyAlignment="1">
      <alignment vertical="center"/>
    </xf>
    <xf numFmtId="0" fontId="141" fillId="0" borderId="0" xfId="73" applyFont="1" applyFill="1" applyBorder="1" applyAlignment="1">
      <alignment horizontal="center" vertical="center"/>
    </xf>
    <xf numFmtId="0" fontId="143" fillId="0" borderId="0" xfId="0" applyFont="1" applyFill="1" applyBorder="1" applyAlignment="1"/>
    <xf numFmtId="0" fontId="0" fillId="0" borderId="17" xfId="0" applyFont="1" applyFill="1" applyBorder="1"/>
    <xf numFmtId="180" fontId="144" fillId="0" borderId="0" xfId="29" applyNumberFormat="1" applyFont="1" applyFill="1" applyBorder="1" applyAlignment="1">
      <alignment vertical="center"/>
    </xf>
    <xf numFmtId="0" fontId="151" fillId="0" borderId="13" xfId="142" applyFont="1" applyFill="1" applyBorder="1" applyAlignment="1">
      <alignment horizontal="center"/>
    </xf>
    <xf numFmtId="0" fontId="158" fillId="0" borderId="48" xfId="0" applyFont="1" applyFill="1" applyBorder="1"/>
    <xf numFmtId="215" fontId="66" fillId="0" borderId="5" xfId="0" applyNumberFormat="1" applyFont="1" applyFill="1" applyBorder="1"/>
    <xf numFmtId="180" fontId="66" fillId="0" borderId="5" xfId="0" applyNumberFormat="1" applyFont="1" applyFill="1" applyBorder="1"/>
    <xf numFmtId="215" fontId="66" fillId="72" borderId="5" xfId="0" applyNumberFormat="1" applyFont="1" applyFill="1" applyBorder="1"/>
    <xf numFmtId="43" fontId="144" fillId="0" borderId="0" xfId="29" applyFont="1" applyFill="1" applyBorder="1" applyAlignment="1">
      <alignment vertical="center"/>
    </xf>
    <xf numFmtId="0" fontId="156" fillId="0" borderId="0" xfId="73" applyFont="1" applyFill="1" applyBorder="1" applyAlignment="1"/>
    <xf numFmtId="43" fontId="0" fillId="0" borderId="0" xfId="0" applyNumberFormat="1"/>
    <xf numFmtId="0" fontId="156" fillId="0" borderId="0" xfId="73" applyFont="1" applyFill="1" applyBorder="1" applyAlignment="1"/>
    <xf numFmtId="180" fontId="144" fillId="72" borderId="5" xfId="29" applyNumberFormat="1" applyFont="1" applyFill="1" applyBorder="1" applyAlignment="1">
      <alignment vertical="center"/>
    </xf>
    <xf numFmtId="180" fontId="143" fillId="72" borderId="5" xfId="29" applyNumberFormat="1" applyFont="1" applyFill="1" applyBorder="1"/>
    <xf numFmtId="180" fontId="144" fillId="72" borderId="13" xfId="29" applyNumberFormat="1" applyFont="1" applyFill="1" applyBorder="1" applyAlignment="1">
      <alignment vertical="center"/>
    </xf>
    <xf numFmtId="180" fontId="66" fillId="72" borderId="5" xfId="0" applyNumberFormat="1" applyFont="1" applyFill="1" applyBorder="1"/>
    <xf numFmtId="180" fontId="144" fillId="72" borderId="52" xfId="29" applyNumberFormat="1" applyFont="1" applyFill="1" applyBorder="1" applyAlignment="1">
      <alignment vertical="center"/>
    </xf>
    <xf numFmtId="180" fontId="147" fillId="0" borderId="0" xfId="0" applyNumberFormat="1" applyFont="1" applyFill="1"/>
    <xf numFmtId="0" fontId="156" fillId="0" borderId="11" xfId="73" applyFont="1" applyFill="1" applyBorder="1" applyAlignment="1"/>
    <xf numFmtId="180" fontId="0" fillId="0" borderId="0" xfId="29" applyNumberFormat="1" applyFont="1"/>
    <xf numFmtId="0" fontId="151" fillId="0" borderId="60" xfId="0" applyFont="1" applyBorder="1"/>
    <xf numFmtId="0" fontId="66" fillId="0" borderId="0" xfId="0" applyFont="1" applyAlignment="1">
      <alignment horizontal="center"/>
    </xf>
    <xf numFmtId="180" fontId="0" fillId="0" borderId="0" xfId="29" applyNumberFormat="1" applyFont="1" applyBorder="1"/>
    <xf numFmtId="1" fontId="0" fillId="0" borderId="0" xfId="0" applyNumberFormat="1" applyFont="1" applyFill="1" applyBorder="1"/>
    <xf numFmtId="0" fontId="0" fillId="0" borderId="47" xfId="0" applyFont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17" fontId="0" fillId="0" borderId="47" xfId="0" applyNumberFormat="1" applyFont="1" applyBorder="1" applyAlignment="1">
      <alignment horizontal="center"/>
    </xf>
    <xf numFmtId="0" fontId="0" fillId="0" borderId="59" xfId="0" applyFont="1" applyFill="1" applyBorder="1" applyAlignment="1">
      <alignment horizontal="center"/>
    </xf>
    <xf numFmtId="0" fontId="0" fillId="0" borderId="59" xfId="0" applyFont="1" applyBorder="1"/>
    <xf numFmtId="0" fontId="0" fillId="0" borderId="60" xfId="0" applyFont="1" applyFill="1" applyBorder="1"/>
    <xf numFmtId="168" fontId="147" fillId="0" borderId="47" xfId="150" applyNumberFormat="1" applyFont="1" applyFill="1" applyBorder="1" applyAlignment="1">
      <alignment horizontal="right"/>
    </xf>
    <xf numFmtId="215" fontId="0" fillId="0" borderId="47" xfId="29" applyNumberFormat="1" applyFont="1" applyFill="1" applyBorder="1" applyAlignment="1">
      <alignment horizontal="center"/>
    </xf>
    <xf numFmtId="0" fontId="160" fillId="0" borderId="0" xfId="0" applyFont="1"/>
    <xf numFmtId="180" fontId="66" fillId="0" borderId="60" xfId="29" applyNumberFormat="1" applyFont="1" applyBorder="1"/>
    <xf numFmtId="180" fontId="0" fillId="72" borderId="0" xfId="29" applyNumberFormat="1" applyFont="1" applyFill="1"/>
    <xf numFmtId="180" fontId="66" fillId="72" borderId="60" xfId="29" applyNumberFormat="1" applyFont="1" applyFill="1" applyBorder="1"/>
    <xf numFmtId="180" fontId="0" fillId="72" borderId="0" xfId="29" applyNumberFormat="1" applyFont="1" applyFill="1" applyBorder="1"/>
    <xf numFmtId="180" fontId="0" fillId="72" borderId="0" xfId="0" applyNumberFormat="1" applyFill="1"/>
    <xf numFmtId="0" fontId="161" fillId="0" borderId="0" xfId="0" applyFont="1"/>
    <xf numFmtId="0" fontId="159" fillId="0" borderId="47" xfId="0" applyFont="1" applyFill="1" applyBorder="1" applyAlignment="1">
      <alignment horizontal="center"/>
    </xf>
    <xf numFmtId="0" fontId="0" fillId="0" borderId="47" xfId="0" applyFont="1" applyFill="1" applyBorder="1"/>
    <xf numFmtId="168" fontId="0" fillId="0" borderId="47" xfId="150" applyNumberFormat="1" applyFont="1" applyFill="1" applyBorder="1"/>
    <xf numFmtId="215" fontId="0" fillId="72" borderId="47" xfId="29" applyNumberFormat="1" applyFont="1" applyFill="1" applyBorder="1" applyAlignment="1">
      <alignment horizontal="center"/>
    </xf>
    <xf numFmtId="215" fontId="0" fillId="0" borderId="0" xfId="29" applyNumberFormat="1" applyFont="1"/>
    <xf numFmtId="215" fontId="0" fillId="0" borderId="0" xfId="29" applyNumberFormat="1" applyFont="1" applyFill="1"/>
    <xf numFmtId="0" fontId="0" fillId="0" borderId="61" xfId="0" applyFont="1" applyBorder="1"/>
    <xf numFmtId="0" fontId="0" fillId="0" borderId="62" xfId="0" applyFont="1" applyBorder="1"/>
    <xf numFmtId="0" fontId="142" fillId="0" borderId="61" xfId="0" applyFont="1" applyBorder="1"/>
    <xf numFmtId="215" fontId="0" fillId="0" borderId="47" xfId="29" applyNumberFormat="1" applyFont="1" applyFill="1" applyBorder="1"/>
    <xf numFmtId="0" fontId="0" fillId="0" borderId="61" xfId="0" applyFont="1" applyBorder="1" applyAlignment="1">
      <alignment horizontal="center"/>
    </xf>
    <xf numFmtId="0" fontId="154" fillId="0" borderId="0" xfId="0" applyNumberFormat="1" applyFont="1" applyFill="1" applyBorder="1" applyAlignment="1">
      <alignment horizontal="center"/>
    </xf>
    <xf numFmtId="0" fontId="0" fillId="0" borderId="0" xfId="0" quotePrefix="1" applyFont="1" applyFill="1"/>
    <xf numFmtId="43" fontId="0" fillId="0" borderId="0" xfId="29" applyFont="1" applyFill="1"/>
    <xf numFmtId="215" fontId="0" fillId="0" borderId="47" xfId="0" applyNumberFormat="1" applyFont="1" applyFill="1" applyBorder="1" applyAlignment="1">
      <alignment horizontal="center"/>
    </xf>
    <xf numFmtId="0" fontId="149" fillId="73" borderId="0" xfId="0" applyFont="1" applyFill="1"/>
    <xf numFmtId="0" fontId="0" fillId="73" borderId="0" xfId="0" applyFill="1"/>
    <xf numFmtId="0" fontId="0" fillId="73" borderId="0" xfId="0" applyFont="1" applyFill="1"/>
    <xf numFmtId="0" fontId="162" fillId="73" borderId="0" xfId="73" applyFont="1" applyFill="1"/>
    <xf numFmtId="0" fontId="162" fillId="73" borderId="0" xfId="0" applyFont="1" applyFill="1"/>
    <xf numFmtId="0" fontId="0" fillId="0" borderId="47" xfId="0" applyBorder="1" applyAlignment="1">
      <alignment horizontal="center"/>
    </xf>
    <xf numFmtId="0" fontId="0" fillId="0" borderId="47" xfId="0" applyFill="1" applyBorder="1"/>
    <xf numFmtId="9" fontId="0" fillId="0" borderId="47" xfId="0" applyNumberFormat="1" applyFill="1" applyBorder="1"/>
    <xf numFmtId="9" fontId="0" fillId="0" borderId="0" xfId="0" applyNumberFormat="1" applyFill="1"/>
    <xf numFmtId="180" fontId="0" fillId="0" borderId="0" xfId="29" applyNumberFormat="1" applyFont="1" applyFill="1" applyBorder="1"/>
    <xf numFmtId="167" fontId="150" fillId="0" borderId="47" xfId="0" applyNumberFormat="1" applyFont="1" applyFill="1" applyBorder="1" applyAlignment="1">
      <alignment horizontal="center"/>
    </xf>
    <xf numFmtId="167" fontId="163" fillId="0" borderId="0" xfId="0" applyNumberFormat="1" applyFont="1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0" borderId="0" xfId="0"/>
    <xf numFmtId="0" fontId="0" fillId="70" borderId="0" xfId="0" applyFill="1"/>
    <xf numFmtId="0" fontId="0" fillId="73" borderId="0" xfId="0" applyFill="1" applyBorder="1"/>
    <xf numFmtId="0" fontId="0" fillId="73" borderId="0" xfId="0" applyFill="1" applyAlignment="1">
      <alignment horizontal="left"/>
    </xf>
    <xf numFmtId="165" fontId="0" fillId="73" borderId="0" xfId="0" applyNumberFormat="1" applyFill="1"/>
    <xf numFmtId="165" fontId="2" fillId="73" borderId="4" xfId="0" applyNumberFormat="1" applyFont="1" applyFill="1" applyBorder="1"/>
    <xf numFmtId="0" fontId="0" fillId="0" borderId="52" xfId="0" applyBorder="1"/>
    <xf numFmtId="0" fontId="0" fillId="0" borderId="16" xfId="0" applyBorder="1"/>
    <xf numFmtId="0" fontId="0" fillId="0" borderId="48" xfId="0" applyBorder="1"/>
    <xf numFmtId="0" fontId="0" fillId="73" borderId="52" xfId="0" applyFill="1" applyBorder="1"/>
    <xf numFmtId="0" fontId="0" fillId="73" borderId="16" xfId="0" applyFill="1" applyBorder="1"/>
    <xf numFmtId="0" fontId="0" fillId="73" borderId="48" xfId="0" applyFill="1" applyBorder="1"/>
    <xf numFmtId="0" fontId="15" fillId="73" borderId="48" xfId="0" applyFont="1" applyFill="1" applyBorder="1"/>
    <xf numFmtId="0" fontId="0" fillId="0" borderId="52" xfId="0" applyFont="1" applyBorder="1" applyAlignment="1">
      <alignment horizontal="left"/>
    </xf>
    <xf numFmtId="165" fontId="66" fillId="0" borderId="0" xfId="0" applyNumberFormat="1" applyFont="1"/>
    <xf numFmtId="0" fontId="66" fillId="0" borderId="0" xfId="0" applyFont="1" applyFill="1"/>
    <xf numFmtId="0" fontId="0" fillId="0" borderId="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46" xfId="0" applyBorder="1"/>
    <xf numFmtId="0" fontId="0" fillId="0" borderId="64" xfId="0" applyBorder="1" applyAlignment="1">
      <alignment horizontal="left"/>
    </xf>
    <xf numFmtId="0" fontId="0" fillId="0" borderId="62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73" borderId="15" xfId="0" applyFill="1" applyBorder="1" applyAlignment="1">
      <alignment horizontal="left"/>
    </xf>
    <xf numFmtId="0" fontId="0" fillId="0" borderId="52" xfId="0" quotePrefix="1" applyBorder="1" applyAlignment="1">
      <alignment horizontal="center"/>
    </xf>
    <xf numFmtId="167" fontId="13" fillId="0" borderId="72" xfId="0" applyNumberFormat="1" applyFont="1" applyFill="1" applyBorder="1" applyAlignment="1">
      <alignment horizontal="center"/>
    </xf>
    <xf numFmtId="0" fontId="0" fillId="0" borderId="63" xfId="0" quotePrefix="1" applyBorder="1" applyAlignment="1">
      <alignment horizontal="center"/>
    </xf>
    <xf numFmtId="0" fontId="0" fillId="0" borderId="62" xfId="0" quotePrefix="1" applyBorder="1" applyAlignment="1">
      <alignment horizontal="center"/>
    </xf>
    <xf numFmtId="167" fontId="13" fillId="0" borderId="69" xfId="0" applyNumberFormat="1" applyFont="1" applyFill="1" applyBorder="1" applyAlignment="1">
      <alignment horizontal="center"/>
    </xf>
    <xf numFmtId="2" fontId="13" fillId="0" borderId="73" xfId="150" applyNumberFormat="1" applyFont="1" applyFill="1" applyBorder="1" applyAlignment="1">
      <alignment horizontal="center"/>
    </xf>
    <xf numFmtId="9" fontId="13" fillId="0" borderId="73" xfId="150" applyFont="1" applyFill="1" applyBorder="1" applyAlignment="1">
      <alignment horizontal="center"/>
    </xf>
    <xf numFmtId="167" fontId="13" fillId="0" borderId="73" xfId="0" applyNumberFormat="1" applyFont="1" applyFill="1" applyBorder="1" applyAlignment="1">
      <alignment horizontal="center"/>
    </xf>
    <xf numFmtId="165" fontId="0" fillId="0" borderId="64" xfId="0" applyNumberFormat="1" applyBorder="1"/>
    <xf numFmtId="165" fontId="0" fillId="0" borderId="62" xfId="0" applyNumberFormat="1" applyBorder="1"/>
    <xf numFmtId="165" fontId="0" fillId="0" borderId="0" xfId="0" applyNumberFormat="1" applyBorder="1"/>
    <xf numFmtId="165" fontId="0" fillId="0" borderId="6" xfId="0" applyNumberFormat="1" applyBorder="1"/>
    <xf numFmtId="0" fontId="1" fillId="73" borderId="15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165" fontId="2" fillId="0" borderId="20" xfId="0" applyNumberFormat="1" applyFont="1" applyBorder="1"/>
    <xf numFmtId="0" fontId="4" fillId="73" borderId="0" xfId="0" applyFont="1" applyFill="1" applyBorder="1" applyAlignment="1">
      <alignment horizontal="right"/>
    </xf>
    <xf numFmtId="168" fontId="4" fillId="0" borderId="0" xfId="0" applyNumberFormat="1" applyFont="1" applyBorder="1"/>
    <xf numFmtId="168" fontId="4" fillId="0" borderId="6" xfId="0" applyNumberFormat="1" applyFont="1" applyBorder="1"/>
    <xf numFmtId="165" fontId="0" fillId="73" borderId="0" xfId="0" applyNumberFormat="1" applyFill="1" applyBorder="1"/>
    <xf numFmtId="171" fontId="0" fillId="73" borderId="15" xfId="0" applyNumberFormat="1" applyFill="1" applyBorder="1"/>
    <xf numFmtId="165" fontId="2" fillId="73" borderId="19" xfId="0" applyNumberFormat="1" applyFont="1" applyFill="1" applyBorder="1"/>
    <xf numFmtId="0" fontId="4" fillId="73" borderId="15" xfId="0" applyFont="1" applyFill="1" applyBorder="1" applyAlignment="1">
      <alignment horizontal="right"/>
    </xf>
    <xf numFmtId="165" fontId="0" fillId="73" borderId="15" xfId="0" applyNumberFormat="1" applyFill="1" applyBorder="1"/>
    <xf numFmtId="0" fontId="0" fillId="0" borderId="6" xfId="0" applyBorder="1"/>
    <xf numFmtId="166" fontId="3" fillId="73" borderId="70" xfId="0" applyNumberFormat="1" applyFont="1" applyFill="1" applyBorder="1"/>
    <xf numFmtId="166" fontId="3" fillId="73" borderId="71" xfId="0" applyNumberFormat="1" applyFont="1" applyFill="1" applyBorder="1"/>
    <xf numFmtId="0" fontId="0" fillId="0" borderId="15" xfId="0" applyBorder="1"/>
    <xf numFmtId="165" fontId="2" fillId="0" borderId="19" xfId="0" applyNumberFormat="1" applyFont="1" applyBorder="1"/>
    <xf numFmtId="165" fontId="0" fillId="0" borderId="16" xfId="0" applyNumberFormat="1" applyBorder="1"/>
    <xf numFmtId="0" fontId="160" fillId="0" borderId="15" xfId="0" applyFont="1" applyBorder="1" applyAlignment="1">
      <alignment horizontal="left"/>
    </xf>
    <xf numFmtId="0" fontId="160" fillId="73" borderId="63" xfId="0" applyFont="1" applyFill="1" applyBorder="1" applyAlignment="1">
      <alignment horizontal="left"/>
    </xf>
    <xf numFmtId="167" fontId="3" fillId="73" borderId="71" xfId="0" applyNumberFormat="1" applyFont="1" applyFill="1" applyBorder="1"/>
    <xf numFmtId="167" fontId="3" fillId="73" borderId="62" xfId="0" applyNumberFormat="1" applyFont="1" applyFill="1" applyBorder="1"/>
    <xf numFmtId="0" fontId="0" fillId="73" borderId="22" xfId="0" applyFill="1" applyBorder="1"/>
    <xf numFmtId="43" fontId="66" fillId="0" borderId="19" xfId="0" applyNumberFormat="1" applyFont="1" applyBorder="1"/>
    <xf numFmtId="43" fontId="66" fillId="0" borderId="4" xfId="0" applyNumberFormat="1" applyFont="1" applyBorder="1"/>
    <xf numFmtId="165" fontId="0" fillId="0" borderId="63" xfId="0" applyNumberFormat="1" applyBorder="1"/>
    <xf numFmtId="165" fontId="0" fillId="0" borderId="15" xfId="0" applyNumberFormat="1" applyBorder="1"/>
    <xf numFmtId="0" fontId="0" fillId="73" borderId="52" xfId="0" applyFont="1" applyFill="1" applyBorder="1" applyAlignment="1">
      <alignment horizontal="left"/>
    </xf>
    <xf numFmtId="0" fontId="0" fillId="73" borderId="62" xfId="0" applyFill="1" applyBorder="1"/>
    <xf numFmtId="0" fontId="0" fillId="73" borderId="46" xfId="0" applyFill="1" applyBorder="1"/>
    <xf numFmtId="0" fontId="0" fillId="73" borderId="0" xfId="0" applyFill="1" applyBorder="1" applyAlignment="1">
      <alignment horizontal="left"/>
    </xf>
    <xf numFmtId="166" fontId="163" fillId="73" borderId="76" xfId="0" applyNumberFormat="1" applyFont="1" applyFill="1" applyBorder="1"/>
    <xf numFmtId="166" fontId="163" fillId="73" borderId="21" xfId="0" applyNumberFormat="1" applyFont="1" applyFill="1" applyBorder="1"/>
    <xf numFmtId="167" fontId="163" fillId="73" borderId="21" xfId="0" applyNumberFormat="1" applyFont="1" applyFill="1" applyBorder="1"/>
    <xf numFmtId="167" fontId="163" fillId="73" borderId="6" xfId="0" applyNumberFormat="1" applyFont="1" applyFill="1" applyBorder="1"/>
    <xf numFmtId="165" fontId="163" fillId="73" borderId="75" xfId="0" applyNumberFormat="1" applyFont="1" applyFill="1" applyBorder="1"/>
    <xf numFmtId="165" fontId="163" fillId="73" borderId="65" xfId="0" applyNumberFormat="1" applyFont="1" applyFill="1" applyBorder="1"/>
    <xf numFmtId="165" fontId="147" fillId="73" borderId="65" xfId="66" applyNumberFormat="1" applyFont="1" applyFill="1" applyBorder="1"/>
    <xf numFmtId="165" fontId="147" fillId="73" borderId="66" xfId="66" applyNumberFormat="1" applyFont="1" applyFill="1" applyBorder="1"/>
    <xf numFmtId="165" fontId="163" fillId="73" borderId="67" xfId="0" applyNumberFormat="1" applyFont="1" applyFill="1" applyBorder="1"/>
    <xf numFmtId="165" fontId="147" fillId="73" borderId="67" xfId="66" applyNumberFormat="1" applyFont="1" applyFill="1" applyBorder="1"/>
    <xf numFmtId="165" fontId="147" fillId="73" borderId="68" xfId="66" applyNumberFormat="1" applyFont="1" applyFill="1" applyBorder="1"/>
    <xf numFmtId="0" fontId="147" fillId="73" borderId="15" xfId="0" applyFont="1" applyFill="1" applyBorder="1" applyAlignment="1">
      <alignment horizontal="left"/>
    </xf>
    <xf numFmtId="0" fontId="147" fillId="73" borderId="0" xfId="0" applyFont="1" applyFill="1" applyBorder="1" applyAlignment="1">
      <alignment horizontal="left"/>
    </xf>
    <xf numFmtId="165" fontId="147" fillId="73" borderId="22" xfId="0" applyNumberFormat="1" applyFont="1" applyFill="1" applyBorder="1"/>
    <xf numFmtId="165" fontId="147" fillId="73" borderId="11" xfId="0" applyNumberFormat="1" applyFont="1" applyFill="1" applyBorder="1"/>
    <xf numFmtId="165" fontId="147" fillId="73" borderId="46" xfId="0" applyNumberFormat="1" applyFont="1" applyFill="1" applyBorder="1"/>
    <xf numFmtId="0" fontId="147" fillId="73" borderId="0" xfId="0" applyFont="1" applyFill="1" applyBorder="1"/>
    <xf numFmtId="0" fontId="147" fillId="73" borderId="6" xfId="0" applyFont="1" applyFill="1" applyBorder="1"/>
    <xf numFmtId="9" fontId="150" fillId="73" borderId="5" xfId="0" applyNumberFormat="1" applyFont="1" applyFill="1" applyBorder="1"/>
    <xf numFmtId="167" fontId="163" fillId="73" borderId="70" xfId="0" applyNumberFormat="1" applyFont="1" applyFill="1" applyBorder="1"/>
    <xf numFmtId="167" fontId="163" fillId="73" borderId="71" xfId="0" applyNumberFormat="1" applyFont="1" applyFill="1" applyBorder="1"/>
    <xf numFmtId="167" fontId="163" fillId="73" borderId="62" xfId="0" applyNumberFormat="1" applyFont="1" applyFill="1" applyBorder="1"/>
    <xf numFmtId="37" fontId="3" fillId="9" borderId="74" xfId="0" applyNumberFormat="1" applyFont="1" applyFill="1" applyBorder="1" applyAlignment="1">
      <alignment horizontal="right"/>
    </xf>
    <xf numFmtId="37" fontId="3" fillId="9" borderId="77" xfId="0" applyNumberFormat="1" applyFont="1" applyFill="1" applyBorder="1" applyAlignment="1">
      <alignment horizontal="right"/>
    </xf>
    <xf numFmtId="9" fontId="3" fillId="70" borderId="9" xfId="0" applyNumberFormat="1" applyFont="1" applyFill="1" applyBorder="1"/>
    <xf numFmtId="9" fontId="10" fillId="70" borderId="9" xfId="0" applyNumberFormat="1" applyFont="1" applyFill="1" applyBorder="1"/>
    <xf numFmtId="9" fontId="3" fillId="9" borderId="74" xfId="150" applyFont="1" applyFill="1" applyBorder="1" applyAlignment="1">
      <alignment horizontal="right"/>
    </xf>
    <xf numFmtId="9" fontId="3" fillId="9" borderId="9" xfId="150" applyFont="1" applyFill="1" applyBorder="1" applyAlignment="1">
      <alignment horizontal="right"/>
    </xf>
    <xf numFmtId="9" fontId="3" fillId="9" borderId="77" xfId="150" applyFont="1" applyFill="1" applyBorder="1" applyAlignment="1">
      <alignment horizontal="right"/>
    </xf>
    <xf numFmtId="165" fontId="0" fillId="73" borderId="63" xfId="0" applyNumberFormat="1" applyFill="1" applyBorder="1"/>
    <xf numFmtId="165" fontId="0" fillId="73" borderId="64" xfId="0" applyNumberFormat="1" applyFill="1" applyBorder="1"/>
    <xf numFmtId="165" fontId="0" fillId="73" borderId="62" xfId="0" applyNumberFormat="1" applyFill="1" applyBorder="1"/>
    <xf numFmtId="165" fontId="0" fillId="73" borderId="6" xfId="0" applyNumberFormat="1" applyFill="1" applyBorder="1"/>
    <xf numFmtId="6" fontId="0" fillId="73" borderId="64" xfId="0" quotePrefix="1" applyNumberFormat="1" applyFill="1" applyBorder="1" applyAlignment="1">
      <alignment horizontal="left"/>
    </xf>
    <xf numFmtId="0" fontId="0" fillId="0" borderId="15" xfId="0" applyBorder="1" applyAlignment="1">
      <alignment horizontal="left" indent="1"/>
    </xf>
    <xf numFmtId="0" fontId="0" fillId="0" borderId="63" xfId="0" applyBorder="1" applyAlignment="1">
      <alignment horizontal="left" indent="1"/>
    </xf>
    <xf numFmtId="0" fontId="0" fillId="73" borderId="15" xfId="0" applyFill="1" applyBorder="1" applyAlignment="1">
      <alignment horizontal="left" indent="1"/>
    </xf>
    <xf numFmtId="0" fontId="0" fillId="0" borderId="22" xfId="0" applyBorder="1" applyAlignment="1">
      <alignment horizontal="left" indent="1"/>
    </xf>
    <xf numFmtId="0" fontId="1" fillId="73" borderId="15" xfId="0" applyFont="1" applyFill="1" applyBorder="1" applyAlignment="1">
      <alignment horizontal="left" indent="1"/>
    </xf>
    <xf numFmtId="0" fontId="0" fillId="73" borderId="63" xfId="0" applyFill="1" applyBorder="1" applyAlignment="1">
      <alignment horizontal="left" indent="1"/>
    </xf>
    <xf numFmtId="0" fontId="0" fillId="73" borderId="22" xfId="0" applyFill="1" applyBorder="1" applyAlignment="1">
      <alignment horizontal="left" indent="1"/>
    </xf>
    <xf numFmtId="0" fontId="66" fillId="0" borderId="63" xfId="0" applyFont="1" applyFill="1" applyBorder="1" applyAlignment="1">
      <alignment horizontal="center"/>
    </xf>
    <xf numFmtId="0" fontId="2" fillId="0" borderId="22" xfId="0" applyFont="1" applyBorder="1" applyAlignment="1">
      <alignment horizontal="center"/>
    </xf>
    <xf numFmtId="165" fontId="163" fillId="0" borderId="15" xfId="0" applyNumberFormat="1" applyFont="1" applyFill="1" applyBorder="1"/>
    <xf numFmtId="37" fontId="163" fillId="0" borderId="15" xfId="0" applyNumberFormat="1" applyFont="1" applyFill="1" applyBorder="1"/>
    <xf numFmtId="0" fontId="147" fillId="0" borderId="15" xfId="0" applyFont="1" applyFill="1" applyBorder="1"/>
    <xf numFmtId="0" fontId="147" fillId="0" borderId="15" xfId="0" applyFont="1" applyBorder="1"/>
    <xf numFmtId="0" fontId="0" fillId="0" borderId="15" xfId="0" applyFill="1" applyBorder="1"/>
    <xf numFmtId="165" fontId="0" fillId="0" borderId="15" xfId="0" applyNumberFormat="1" applyFill="1" applyBorder="1"/>
    <xf numFmtId="0" fontId="0" fillId="0" borderId="22" xfId="0" applyBorder="1"/>
    <xf numFmtId="0" fontId="66" fillId="0" borderId="52" xfId="0" applyNumberFormat="1" applyFont="1" applyFill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0" fillId="0" borderId="16" xfId="0" applyFill="1" applyBorder="1"/>
    <xf numFmtId="0" fontId="0" fillId="0" borderId="16" xfId="0" quotePrefix="1" applyBorder="1"/>
    <xf numFmtId="165" fontId="163" fillId="0" borderId="22" xfId="0" applyNumberFormat="1" applyFont="1" applyFill="1" applyBorder="1"/>
    <xf numFmtId="165" fontId="0" fillId="0" borderId="48" xfId="0" applyNumberFormat="1" applyBorder="1"/>
    <xf numFmtId="165" fontId="66" fillId="0" borderId="19" xfId="0" applyNumberFormat="1" applyFont="1" applyFill="1" applyBorder="1"/>
    <xf numFmtId="165" fontId="66" fillId="0" borderId="5" xfId="0" applyNumberFormat="1" applyFont="1" applyBorder="1"/>
    <xf numFmtId="165" fontId="2" fillId="0" borderId="19" xfId="0" applyNumberFormat="1" applyFont="1" applyFill="1" applyBorder="1"/>
    <xf numFmtId="43" fontId="0" fillId="0" borderId="63" xfId="29" applyFont="1" applyBorder="1"/>
    <xf numFmtId="43" fontId="0" fillId="0" borderId="15" xfId="29" applyFont="1" applyBorder="1"/>
    <xf numFmtId="43" fontId="0" fillId="0" borderId="52" xfId="29" applyFont="1" applyBorder="1"/>
    <xf numFmtId="43" fontId="0" fillId="0" borderId="16" xfId="29" applyFont="1" applyBorder="1"/>
    <xf numFmtId="43" fontId="0" fillId="0" borderId="63" xfId="0" applyNumberFormat="1" applyBorder="1"/>
    <xf numFmtId="165" fontId="0" fillId="0" borderId="52" xfId="0" applyNumberFormat="1" applyBorder="1"/>
    <xf numFmtId="43" fontId="0" fillId="0" borderId="15" xfId="0" applyNumberFormat="1" applyBorder="1"/>
    <xf numFmtId="165" fontId="0" fillId="72" borderId="64" xfId="0" applyNumberFormat="1" applyFill="1" applyBorder="1"/>
    <xf numFmtId="165" fontId="0" fillId="72" borderId="0" xfId="0" applyNumberFormat="1" applyFill="1" applyBorder="1"/>
    <xf numFmtId="165" fontId="2" fillId="72" borderId="4" xfId="0" applyNumberFormat="1" applyFont="1" applyFill="1" applyBorder="1"/>
    <xf numFmtId="0" fontId="2" fillId="0" borderId="0" xfId="0" applyFont="1" applyBorder="1" applyAlignment="1">
      <alignment horizontal="right"/>
    </xf>
    <xf numFmtId="0" fontId="66" fillId="0" borderId="0" xfId="0" applyFont="1" applyBorder="1"/>
    <xf numFmtId="217" fontId="0" fillId="0" borderId="0" xfId="0" applyNumberFormat="1" applyFont="1" applyFill="1"/>
    <xf numFmtId="0" fontId="2" fillId="73" borderId="22" xfId="0" applyFont="1" applyFill="1" applyBorder="1" applyAlignment="1">
      <alignment horizontal="left" indent="3"/>
    </xf>
    <xf numFmtId="43" fontId="66" fillId="72" borderId="4" xfId="0" applyNumberFormat="1" applyFont="1" applyFill="1" applyBorder="1"/>
    <xf numFmtId="165" fontId="151" fillId="0" borderId="5" xfId="0" applyNumberFormat="1" applyFont="1" applyBorder="1"/>
    <xf numFmtId="165" fontId="163" fillId="73" borderId="79" xfId="0" applyNumberFormat="1" applyFont="1" applyFill="1" applyBorder="1"/>
    <xf numFmtId="165" fontId="163" fillId="73" borderId="80" xfId="0" applyNumberFormat="1" applyFont="1" applyFill="1" applyBorder="1"/>
    <xf numFmtId="37" fontId="3" fillId="9" borderId="80" xfId="0" applyNumberFormat="1" applyFont="1" applyFill="1" applyBorder="1" applyAlignment="1">
      <alignment horizontal="right"/>
    </xf>
    <xf numFmtId="9" fontId="3" fillId="9" borderId="80" xfId="150" applyFont="1" applyFill="1" applyBorder="1" applyAlignment="1">
      <alignment horizontal="right"/>
    </xf>
    <xf numFmtId="9" fontId="150" fillId="73" borderId="19" xfId="0" applyNumberFormat="1" applyFont="1" applyFill="1" applyBorder="1"/>
    <xf numFmtId="167" fontId="163" fillId="73" borderId="64" xfId="0" applyNumberFormat="1" applyFont="1" applyFill="1" applyBorder="1"/>
    <xf numFmtId="166" fontId="3" fillId="73" borderId="64" xfId="0" applyNumberFormat="1" applyFont="1" applyFill="1" applyBorder="1"/>
    <xf numFmtId="166" fontId="163" fillId="73" borderId="0" xfId="0" applyNumberFormat="1" applyFont="1" applyFill="1" applyBorder="1"/>
    <xf numFmtId="0" fontId="0" fillId="0" borderId="81" xfId="0" quotePrefix="1" applyBorder="1" applyAlignment="1">
      <alignment horizontal="center"/>
    </xf>
    <xf numFmtId="167" fontId="13" fillId="0" borderId="82" xfId="0" applyNumberFormat="1" applyFont="1" applyFill="1" applyBorder="1" applyAlignment="1">
      <alignment horizontal="center"/>
    </xf>
    <xf numFmtId="165" fontId="147" fillId="73" borderId="83" xfId="66" applyNumberFormat="1" applyFont="1" applyFill="1" applyBorder="1"/>
    <xf numFmtId="165" fontId="147" fillId="73" borderId="84" xfId="66" applyNumberFormat="1" applyFont="1" applyFill="1" applyBorder="1"/>
    <xf numFmtId="37" fontId="3" fillId="9" borderId="84" xfId="0" applyNumberFormat="1" applyFont="1" applyFill="1" applyBorder="1" applyAlignment="1">
      <alignment horizontal="right"/>
    </xf>
    <xf numFmtId="165" fontId="147" fillId="73" borderId="85" xfId="0" applyNumberFormat="1" applyFont="1" applyFill="1" applyBorder="1"/>
    <xf numFmtId="0" fontId="147" fillId="73" borderId="54" xfId="0" applyFont="1" applyFill="1" applyBorder="1"/>
    <xf numFmtId="9" fontId="3" fillId="9" borderId="84" xfId="150" applyFont="1" applyFill="1" applyBorder="1" applyAlignment="1">
      <alignment horizontal="right"/>
    </xf>
    <xf numFmtId="9" fontId="150" fillId="73" borderId="53" xfId="0" applyNumberFormat="1" applyFont="1" applyFill="1" applyBorder="1"/>
    <xf numFmtId="167" fontId="163" fillId="73" borderId="86" xfId="0" applyNumberFormat="1" applyFont="1" applyFill="1" applyBorder="1"/>
    <xf numFmtId="165" fontId="0" fillId="0" borderId="54" xfId="0" applyNumberFormat="1" applyBorder="1"/>
    <xf numFmtId="165" fontId="2" fillId="0" borderId="78" xfId="0" applyNumberFormat="1" applyFont="1" applyBorder="1"/>
    <xf numFmtId="168" fontId="4" fillId="0" borderId="54" xfId="0" applyNumberFormat="1" applyFont="1" applyBorder="1"/>
    <xf numFmtId="165" fontId="0" fillId="0" borderId="81" xfId="0" applyNumberFormat="1" applyBorder="1"/>
    <xf numFmtId="165" fontId="2" fillId="72" borderId="78" xfId="0" applyNumberFormat="1" applyFont="1" applyFill="1" applyBorder="1"/>
    <xf numFmtId="166" fontId="3" fillId="73" borderId="86" xfId="0" applyNumberFormat="1" applyFont="1" applyFill="1" applyBorder="1"/>
    <xf numFmtId="166" fontId="163" fillId="73" borderId="87" xfId="0" applyNumberFormat="1" applyFont="1" applyFill="1" applyBorder="1"/>
    <xf numFmtId="0" fontId="0" fillId="0" borderId="54" xfId="0" applyBorder="1"/>
    <xf numFmtId="165" fontId="0" fillId="72" borderId="81" xfId="0" applyNumberFormat="1" applyFill="1" applyBorder="1"/>
    <xf numFmtId="165" fontId="0" fillId="72" borderId="54" xfId="0" applyNumberFormat="1" applyFill="1" applyBorder="1"/>
    <xf numFmtId="43" fontId="66" fillId="72" borderId="78" xfId="0" applyNumberFormat="1" applyFont="1" applyFill="1" applyBorder="1"/>
    <xf numFmtId="165" fontId="2" fillId="0" borderId="60" xfId="0" applyNumberFormat="1" applyFont="1" applyBorder="1"/>
    <xf numFmtId="165" fontId="2" fillId="0" borderId="47" xfId="0" applyNumberFormat="1" applyFont="1" applyFill="1" applyBorder="1"/>
    <xf numFmtId="43" fontId="66" fillId="0" borderId="60" xfId="0" applyNumberFormat="1" applyFont="1" applyBorder="1"/>
    <xf numFmtId="43" fontId="66" fillId="0" borderId="47" xfId="0" applyNumberFormat="1" applyFont="1" applyBorder="1"/>
    <xf numFmtId="43" fontId="150" fillId="0" borderId="0" xfId="29" applyFont="1" applyBorder="1"/>
    <xf numFmtId="43" fontId="0" fillId="0" borderId="0" xfId="29" applyFont="1"/>
    <xf numFmtId="165" fontId="163" fillId="73" borderId="74" xfId="0" applyNumberFormat="1" applyFont="1" applyFill="1" applyBorder="1"/>
    <xf numFmtId="180" fontId="0" fillId="74" borderId="5" xfId="29" applyNumberFormat="1" applyFont="1" applyFill="1" applyBorder="1" applyAlignment="1"/>
    <xf numFmtId="180" fontId="0" fillId="74" borderId="47" xfId="29" applyNumberFormat="1" applyFont="1" applyFill="1" applyBorder="1"/>
    <xf numFmtId="180" fontId="0" fillId="74" borderId="5" xfId="29" applyNumberFormat="1" applyFont="1" applyFill="1" applyBorder="1" applyAlignment="1">
      <alignment wrapText="1"/>
    </xf>
    <xf numFmtId="165" fontId="66" fillId="72" borderId="5" xfId="0" applyNumberFormat="1" applyFont="1" applyFill="1" applyBorder="1"/>
    <xf numFmtId="43" fontId="150" fillId="72" borderId="5" xfId="0" applyNumberFormat="1" applyFont="1" applyFill="1" applyBorder="1"/>
    <xf numFmtId="165" fontId="0" fillId="72" borderId="52" xfId="0" applyNumberFormat="1" applyFill="1" applyBorder="1"/>
    <xf numFmtId="165" fontId="0" fillId="72" borderId="16" xfId="0" applyNumberFormat="1" applyFill="1" applyBorder="1"/>
    <xf numFmtId="43" fontId="147" fillId="0" borderId="15" xfId="29" applyFont="1" applyFill="1" applyBorder="1"/>
    <xf numFmtId="165" fontId="66" fillId="0" borderId="19" xfId="0" applyNumberFormat="1" applyFont="1" applyBorder="1"/>
    <xf numFmtId="43" fontId="66" fillId="0" borderId="5" xfId="29" applyFont="1" applyBorder="1"/>
    <xf numFmtId="43" fontId="163" fillId="11" borderId="16" xfId="29" applyFont="1" applyFill="1" applyBorder="1"/>
    <xf numFmtId="0" fontId="151" fillId="0" borderId="60" xfId="0" applyFont="1" applyBorder="1" applyAlignment="1">
      <alignment horizontal="center" wrapText="1"/>
    </xf>
    <xf numFmtId="168" fontId="0" fillId="0" borderId="47" xfId="0" applyNumberFormat="1" applyFont="1" applyFill="1" applyBorder="1"/>
    <xf numFmtId="43" fontId="0" fillId="0" borderId="47" xfId="0" applyNumberFormat="1" applyFont="1" applyFill="1" applyBorder="1" applyAlignment="1">
      <alignment horizontal="center"/>
    </xf>
    <xf numFmtId="0" fontId="15" fillId="73" borderId="88" xfId="0" applyFont="1" applyFill="1" applyBorder="1"/>
    <xf numFmtId="165" fontId="2" fillId="73" borderId="63" xfId="0" applyNumberFormat="1" applyFont="1" applyFill="1" applyBorder="1"/>
    <xf numFmtId="165" fontId="2" fillId="73" borderId="64" xfId="0" applyNumberFormat="1" applyFont="1" applyFill="1" applyBorder="1"/>
    <xf numFmtId="165" fontId="2" fillId="0" borderId="81" xfId="0" applyNumberFormat="1" applyFont="1" applyBorder="1"/>
    <xf numFmtId="165" fontId="2" fillId="0" borderId="64" xfId="0" applyNumberFormat="1" applyFont="1" applyBorder="1"/>
    <xf numFmtId="165" fontId="2" fillId="0" borderId="62" xfId="0" applyNumberFormat="1" applyFont="1" applyBorder="1"/>
    <xf numFmtId="0" fontId="66" fillId="0" borderId="46" xfId="0" applyFont="1" applyBorder="1"/>
    <xf numFmtId="43" fontId="163" fillId="73" borderId="15" xfId="29" applyFont="1" applyFill="1" applyBorder="1" applyAlignment="1">
      <alignment horizontal="right"/>
    </xf>
    <xf numFmtId="43" fontId="163" fillId="73" borderId="0" xfId="29" applyFont="1" applyFill="1" applyBorder="1" applyAlignment="1">
      <alignment horizontal="right"/>
    </xf>
    <xf numFmtId="43" fontId="163" fillId="73" borderId="54" xfId="29" applyFont="1" applyFill="1" applyBorder="1" applyAlignment="1">
      <alignment horizontal="right"/>
    </xf>
    <xf numFmtId="43" fontId="163" fillId="73" borderId="6" xfId="29" applyFont="1" applyFill="1" applyBorder="1" applyAlignment="1">
      <alignment horizontal="right"/>
    </xf>
    <xf numFmtId="43" fontId="163" fillId="0" borderId="15" xfId="29" applyFont="1" applyFill="1" applyBorder="1"/>
    <xf numFmtId="43" fontId="0" fillId="0" borderId="88" xfId="29" applyFont="1" applyBorder="1"/>
    <xf numFmtId="43" fontId="0" fillId="73" borderId="0" xfId="0" applyNumberFormat="1" applyFill="1"/>
    <xf numFmtId="0" fontId="0" fillId="73" borderId="88" xfId="0" applyFont="1" applyFill="1" applyBorder="1" applyAlignment="1">
      <alignment horizontal="left"/>
    </xf>
    <xf numFmtId="0" fontId="0" fillId="73" borderId="6" xfId="0" applyFill="1" applyBorder="1"/>
    <xf numFmtId="165" fontId="0" fillId="0" borderId="88" xfId="0" applyNumberFormat="1" applyBorder="1"/>
    <xf numFmtId="165" fontId="0" fillId="0" borderId="59" xfId="0" applyNumberFormat="1" applyBorder="1"/>
    <xf numFmtId="165" fontId="0" fillId="0" borderId="60" xfId="0" applyNumberFormat="1" applyBorder="1"/>
    <xf numFmtId="165" fontId="0" fillId="0" borderId="78" xfId="0" applyNumberFormat="1" applyBorder="1"/>
    <xf numFmtId="165" fontId="0" fillId="0" borderId="61" xfId="0" applyNumberFormat="1" applyBorder="1"/>
    <xf numFmtId="43" fontId="0" fillId="0" borderId="59" xfId="0" applyNumberFormat="1" applyBorder="1"/>
    <xf numFmtId="165" fontId="0" fillId="0" borderId="47" xfId="0" applyNumberFormat="1" applyBorder="1"/>
    <xf numFmtId="0" fontId="66" fillId="0" borderId="59" xfId="0" applyFont="1" applyBorder="1" applyAlignment="1">
      <alignment horizontal="left"/>
    </xf>
    <xf numFmtId="0" fontId="66" fillId="0" borderId="61" xfId="0" applyFont="1" applyBorder="1" applyAlignment="1">
      <alignment horizontal="right"/>
    </xf>
    <xf numFmtId="0" fontId="66" fillId="73" borderId="59" xfId="0" applyFont="1" applyFill="1" applyBorder="1" applyAlignment="1">
      <alignment horizontal="left"/>
    </xf>
    <xf numFmtId="0" fontId="2" fillId="73" borderId="59" xfId="0" applyFont="1" applyFill="1" applyBorder="1" applyAlignment="1">
      <alignment horizontal="left" indent="3"/>
    </xf>
    <xf numFmtId="0" fontId="2" fillId="0" borderId="61" xfId="0" applyFont="1" applyBorder="1" applyAlignment="1">
      <alignment horizontal="left"/>
    </xf>
    <xf numFmtId="0" fontId="66" fillId="0" borderId="61" xfId="0" applyFont="1" applyBorder="1"/>
    <xf numFmtId="0" fontId="0" fillId="0" borderId="59" xfId="0" applyBorder="1"/>
    <xf numFmtId="0" fontId="2" fillId="0" borderId="60" xfId="0" applyFont="1" applyBorder="1" applyAlignment="1">
      <alignment horizontal="left"/>
    </xf>
    <xf numFmtId="0" fontId="0" fillId="73" borderId="59" xfId="0" applyFill="1" applyBorder="1" applyAlignment="1">
      <alignment horizontal="left" indent="1"/>
    </xf>
    <xf numFmtId="0" fontId="0" fillId="73" borderId="61" xfId="0" applyFill="1" applyBorder="1"/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180" fontId="57" fillId="0" borderId="15" xfId="29" applyNumberFormat="1" applyFont="1" applyFill="1" applyBorder="1" applyAlignment="1">
      <alignment vertical="center"/>
    </xf>
    <xf numFmtId="180" fontId="57" fillId="0" borderId="50" xfId="29" applyNumberFormat="1" applyFont="1" applyFill="1" applyBorder="1" applyAlignment="1">
      <alignment vertical="center"/>
    </xf>
    <xf numFmtId="180" fontId="60" fillId="0" borderId="54" xfId="31" applyNumberFormat="1" applyFont="1" applyFill="1" applyBorder="1" applyAlignment="1">
      <alignment vertical="center"/>
    </xf>
    <xf numFmtId="180" fontId="60" fillId="0" borderId="50" xfId="31" applyNumberFormat="1" applyFont="1" applyFill="1" applyBorder="1" applyAlignment="1">
      <alignment vertical="center"/>
    </xf>
    <xf numFmtId="180" fontId="60" fillId="0" borderId="0" xfId="31" applyNumberFormat="1" applyFont="1" applyFill="1" applyBorder="1" applyAlignment="1">
      <alignment vertical="center"/>
    </xf>
    <xf numFmtId="180" fontId="57" fillId="0" borderId="57" xfId="29" applyNumberFormat="1" applyFont="1" applyFill="1" applyBorder="1" applyAlignment="1">
      <alignment vertical="center"/>
    </xf>
    <xf numFmtId="180" fontId="13" fillId="70" borderId="15" xfId="29" applyNumberFormat="1" applyFont="1" applyFill="1" applyBorder="1" applyAlignment="1">
      <alignment vertical="center"/>
    </xf>
    <xf numFmtId="180" fontId="155" fillId="70" borderId="16" xfId="29" applyNumberFormat="1" applyFont="1" applyFill="1" applyBorder="1" applyAlignment="1">
      <alignment vertical="center"/>
    </xf>
    <xf numFmtId="0" fontId="0" fillId="0" borderId="88" xfId="0" applyBorder="1" applyAlignment="1">
      <alignment wrapText="1"/>
    </xf>
    <xf numFmtId="0" fontId="164" fillId="0" borderId="0" xfId="73" applyFont="1"/>
    <xf numFmtId="0" fontId="164" fillId="73" borderId="0" xfId="73" applyFont="1" applyFill="1"/>
    <xf numFmtId="0" fontId="11" fillId="73" borderId="0" xfId="0" applyFont="1" applyFill="1"/>
    <xf numFmtId="9" fontId="3" fillId="73" borderId="0" xfId="0" applyNumberFormat="1" applyFont="1" applyFill="1" applyBorder="1"/>
    <xf numFmtId="9" fontId="0" fillId="73" borderId="0" xfId="0" applyNumberFormat="1" applyFill="1"/>
    <xf numFmtId="9" fontId="2" fillId="73" borderId="0" xfId="0" applyNumberFormat="1" applyFont="1" applyFill="1"/>
    <xf numFmtId="0" fontId="66" fillId="73" borderId="63" xfId="0" applyFont="1" applyFill="1" applyBorder="1" applyAlignment="1">
      <alignment horizontal="center"/>
    </xf>
    <xf numFmtId="0" fontId="66" fillId="73" borderId="52" xfId="0" applyNumberFormat="1" applyFont="1" applyFill="1" applyBorder="1" applyAlignment="1">
      <alignment horizontal="center"/>
    </xf>
    <xf numFmtId="0" fontId="66" fillId="73" borderId="0" xfId="0" applyFont="1" applyFill="1"/>
    <xf numFmtId="0" fontId="2" fillId="73" borderId="22" xfId="0" applyFont="1" applyFill="1" applyBorder="1" applyAlignment="1">
      <alignment horizontal="center"/>
    </xf>
    <xf numFmtId="0" fontId="2" fillId="73" borderId="48" xfId="0" applyFont="1" applyFill="1" applyBorder="1" applyAlignment="1">
      <alignment horizontal="center"/>
    </xf>
    <xf numFmtId="0" fontId="2" fillId="73" borderId="11" xfId="0" applyFont="1" applyFill="1" applyBorder="1" applyAlignment="1">
      <alignment horizontal="right"/>
    </xf>
    <xf numFmtId="0" fontId="2" fillId="73" borderId="0" xfId="0" applyFont="1" applyFill="1" applyBorder="1" applyAlignment="1">
      <alignment horizontal="right"/>
    </xf>
    <xf numFmtId="165" fontId="163" fillId="73" borderId="15" xfId="0" applyNumberFormat="1" applyFont="1" applyFill="1" applyBorder="1"/>
    <xf numFmtId="165" fontId="0" fillId="73" borderId="16" xfId="0" applyNumberFormat="1" applyFill="1" applyBorder="1"/>
    <xf numFmtId="37" fontId="163" fillId="73" borderId="15" xfId="0" applyNumberFormat="1" applyFont="1" applyFill="1" applyBorder="1"/>
    <xf numFmtId="43" fontId="163" fillId="73" borderId="15" xfId="29" applyFont="1" applyFill="1" applyBorder="1"/>
    <xf numFmtId="43" fontId="0" fillId="73" borderId="88" xfId="29" applyFont="1" applyFill="1" applyBorder="1"/>
    <xf numFmtId="0" fontId="0" fillId="73" borderId="11" xfId="0" applyFill="1" applyBorder="1" applyAlignment="1">
      <alignment horizontal="left"/>
    </xf>
    <xf numFmtId="165" fontId="163" fillId="73" borderId="22" xfId="0" applyNumberFormat="1" applyFont="1" applyFill="1" applyBorder="1"/>
    <xf numFmtId="165" fontId="0" fillId="73" borderId="48" xfId="0" applyNumberFormat="1" applyFill="1" applyBorder="1"/>
    <xf numFmtId="0" fontId="160" fillId="73" borderId="15" xfId="0" applyFont="1" applyFill="1" applyBorder="1" applyAlignment="1">
      <alignment horizontal="left"/>
    </xf>
    <xf numFmtId="0" fontId="147" fillId="73" borderId="15" xfId="0" applyFont="1" applyFill="1" applyBorder="1"/>
    <xf numFmtId="0" fontId="0" fillId="73" borderId="6" xfId="0" applyFill="1" applyBorder="1" applyAlignment="1">
      <alignment horizontal="left"/>
    </xf>
    <xf numFmtId="9" fontId="58" fillId="73" borderId="0" xfId="160" applyFont="1" applyFill="1"/>
    <xf numFmtId="0" fontId="66" fillId="73" borderId="61" xfId="0" applyFont="1" applyFill="1" applyBorder="1" applyAlignment="1">
      <alignment horizontal="right"/>
    </xf>
    <xf numFmtId="0" fontId="147" fillId="73" borderId="22" xfId="0" applyFont="1" applyFill="1" applyBorder="1"/>
    <xf numFmtId="0" fontId="0" fillId="73" borderId="62" xfId="0" applyFill="1" applyBorder="1" applyAlignment="1">
      <alignment horizontal="left"/>
    </xf>
    <xf numFmtId="0" fontId="0" fillId="73" borderId="15" xfId="0" applyFill="1" applyBorder="1"/>
    <xf numFmtId="165" fontId="0" fillId="73" borderId="54" xfId="0" applyNumberFormat="1" applyFill="1" applyBorder="1"/>
    <xf numFmtId="43" fontId="147" fillId="73" borderId="15" xfId="29" applyFont="1" applyFill="1" applyBorder="1"/>
    <xf numFmtId="43" fontId="163" fillId="73" borderId="16" xfId="29" applyFont="1" applyFill="1" applyBorder="1"/>
    <xf numFmtId="166" fontId="3" fillId="73" borderId="21" xfId="0" applyNumberFormat="1" applyFont="1" applyFill="1" applyBorder="1"/>
    <xf numFmtId="166" fontId="3" fillId="73" borderId="10" xfId="0" applyNumberFormat="1" applyFont="1" applyFill="1" applyBorder="1"/>
    <xf numFmtId="0" fontId="2" fillId="73" borderId="61" xfId="0" applyFont="1" applyFill="1" applyBorder="1" applyAlignment="1">
      <alignment horizontal="left"/>
    </xf>
    <xf numFmtId="165" fontId="2" fillId="73" borderId="78" xfId="0" applyNumberFormat="1" applyFont="1" applyFill="1" applyBorder="1"/>
    <xf numFmtId="165" fontId="2" fillId="73" borderId="20" xfId="0" applyNumberFormat="1" applyFont="1" applyFill="1" applyBorder="1"/>
    <xf numFmtId="165" fontId="66" fillId="73" borderId="19" xfId="0" applyNumberFormat="1" applyFont="1" applyFill="1" applyBorder="1"/>
    <xf numFmtId="165" fontId="66" fillId="73" borderId="5" xfId="0" applyNumberFormat="1" applyFont="1" applyFill="1" applyBorder="1"/>
    <xf numFmtId="168" fontId="4" fillId="73" borderId="54" xfId="0" applyNumberFormat="1" applyFont="1" applyFill="1" applyBorder="1"/>
    <xf numFmtId="168" fontId="4" fillId="73" borderId="0" xfId="0" applyNumberFormat="1" applyFont="1" applyFill="1" applyBorder="1"/>
    <xf numFmtId="168" fontId="4" fillId="73" borderId="6" xfId="0" applyNumberFormat="1" applyFont="1" applyFill="1" applyBorder="1"/>
    <xf numFmtId="0" fontId="66" fillId="73" borderId="61" xfId="0" applyFont="1" applyFill="1" applyBorder="1"/>
    <xf numFmtId="43" fontId="66" fillId="73" borderId="5" xfId="29" applyFont="1" applyFill="1" applyBorder="1"/>
    <xf numFmtId="0" fontId="66" fillId="73" borderId="46" xfId="0" applyFont="1" applyFill="1" applyBorder="1"/>
    <xf numFmtId="165" fontId="2" fillId="73" borderId="81" xfId="0" applyNumberFormat="1" applyFont="1" applyFill="1" applyBorder="1"/>
    <xf numFmtId="165" fontId="2" fillId="73" borderId="62" xfId="0" applyNumberFormat="1" applyFont="1" applyFill="1" applyBorder="1"/>
    <xf numFmtId="0" fontId="0" fillId="73" borderId="64" xfId="0" applyFill="1" applyBorder="1" applyAlignment="1">
      <alignment horizontal="left"/>
    </xf>
    <xf numFmtId="165" fontId="0" fillId="73" borderId="81" xfId="0" applyNumberFormat="1" applyFill="1" applyBorder="1"/>
    <xf numFmtId="43" fontId="0" fillId="73" borderId="63" xfId="29" applyFont="1" applyFill="1" applyBorder="1"/>
    <xf numFmtId="43" fontId="0" fillId="73" borderId="52" xfId="29" applyFont="1" applyFill="1" applyBorder="1"/>
    <xf numFmtId="43" fontId="0" fillId="73" borderId="15" xfId="29" applyFont="1" applyFill="1" applyBorder="1"/>
    <xf numFmtId="43" fontId="0" fillId="73" borderId="16" xfId="29" applyFont="1" applyFill="1" applyBorder="1"/>
    <xf numFmtId="0" fontId="0" fillId="73" borderId="59" xfId="0" applyFill="1" applyBorder="1"/>
    <xf numFmtId="0" fontId="2" fillId="73" borderId="60" xfId="0" applyFont="1" applyFill="1" applyBorder="1" applyAlignment="1">
      <alignment horizontal="left"/>
    </xf>
    <xf numFmtId="0" fontId="0" fillId="73" borderId="16" xfId="0" quotePrefix="1" applyFill="1" applyBorder="1"/>
    <xf numFmtId="0" fontId="0" fillId="73" borderId="54" xfId="0" applyFill="1" applyBorder="1"/>
    <xf numFmtId="0" fontId="66" fillId="73" borderId="0" xfId="0" applyFont="1" applyFill="1" applyBorder="1"/>
    <xf numFmtId="0" fontId="2" fillId="73" borderId="0" xfId="0" applyFont="1" applyFill="1" applyBorder="1" applyAlignment="1">
      <alignment horizontal="left"/>
    </xf>
    <xf numFmtId="165" fontId="2" fillId="73" borderId="0" xfId="0" applyNumberFormat="1" applyFont="1" applyFill="1" applyBorder="1"/>
    <xf numFmtId="165" fontId="2" fillId="73" borderId="0" xfId="0" applyNumberFormat="1" applyFont="1" applyFill="1"/>
    <xf numFmtId="165" fontId="66" fillId="73" borderId="0" xfId="0" applyNumberFormat="1" applyFont="1" applyFill="1"/>
    <xf numFmtId="165" fontId="0" fillId="73" borderId="52" xfId="0" applyNumberFormat="1" applyFill="1" applyBorder="1"/>
    <xf numFmtId="0" fontId="0" fillId="73" borderId="46" xfId="0" applyFill="1" applyBorder="1" applyAlignment="1">
      <alignment horizontal="left"/>
    </xf>
    <xf numFmtId="0" fontId="0" fillId="73" borderId="0" xfId="0" applyFill="1" applyAlignment="1">
      <alignment horizontal="right"/>
    </xf>
    <xf numFmtId="43" fontId="0" fillId="73" borderId="0" xfId="29" applyFont="1" applyFill="1"/>
    <xf numFmtId="43" fontId="0" fillId="73" borderId="63" xfId="0" applyNumberFormat="1" applyFill="1" applyBorder="1"/>
    <xf numFmtId="43" fontId="0" fillId="73" borderId="15" xfId="0" applyNumberFormat="1" applyFill="1" applyBorder="1"/>
    <xf numFmtId="165" fontId="0" fillId="73" borderId="88" xfId="0" applyNumberFormat="1" applyFill="1" applyBorder="1"/>
    <xf numFmtId="165" fontId="0" fillId="73" borderId="59" xfId="0" applyNumberFormat="1" applyFill="1" applyBorder="1"/>
    <xf numFmtId="165" fontId="0" fillId="73" borderId="60" xfId="0" applyNumberFormat="1" applyFill="1" applyBorder="1"/>
    <xf numFmtId="165" fontId="0" fillId="73" borderId="78" xfId="0" applyNumberFormat="1" applyFill="1" applyBorder="1"/>
    <xf numFmtId="165" fontId="0" fillId="73" borderId="61" xfId="0" applyNumberFormat="1" applyFill="1" applyBorder="1"/>
    <xf numFmtId="43" fontId="0" fillId="73" borderId="59" xfId="0" applyNumberFormat="1" applyFill="1" applyBorder="1"/>
    <xf numFmtId="165" fontId="0" fillId="73" borderId="47" xfId="0" applyNumberFormat="1" applyFill="1" applyBorder="1"/>
    <xf numFmtId="43" fontId="66" fillId="73" borderId="19" xfId="0" applyNumberFormat="1" applyFont="1" applyFill="1" applyBorder="1"/>
    <xf numFmtId="43" fontId="66" fillId="73" borderId="4" xfId="0" applyNumberFormat="1" applyFont="1" applyFill="1" applyBorder="1"/>
    <xf numFmtId="43" fontId="66" fillId="73" borderId="78" xfId="0" applyNumberFormat="1" applyFont="1" applyFill="1" applyBorder="1"/>
    <xf numFmtId="43" fontId="66" fillId="73" borderId="60" xfId="0" applyNumberFormat="1" applyFont="1" applyFill="1" applyBorder="1"/>
    <xf numFmtId="43" fontId="66" fillId="73" borderId="47" xfId="0" applyNumberFormat="1" applyFont="1" applyFill="1" applyBorder="1"/>
    <xf numFmtId="165" fontId="151" fillId="73" borderId="5" xfId="0" applyNumberFormat="1" applyFont="1" applyFill="1" applyBorder="1"/>
    <xf numFmtId="165" fontId="15" fillId="73" borderId="0" xfId="0" applyNumberFormat="1" applyFont="1" applyFill="1"/>
    <xf numFmtId="0" fontId="16" fillId="73" borderId="0" xfId="0" applyFont="1" applyFill="1"/>
    <xf numFmtId="43" fontId="150" fillId="73" borderId="0" xfId="29" applyFont="1" applyFill="1" applyBorder="1"/>
    <xf numFmtId="0" fontId="15" fillId="0" borderId="0" xfId="0" applyFont="1" applyFill="1" applyBorder="1"/>
    <xf numFmtId="167" fontId="13" fillId="0" borderId="0" xfId="0" applyNumberFormat="1" applyFont="1" applyFill="1" applyBorder="1" applyAlignment="1">
      <alignment horizontal="center" wrapText="1"/>
    </xf>
    <xf numFmtId="180" fontId="155" fillId="0" borderId="0" xfId="29" applyNumberFormat="1" applyFont="1" applyFill="1" applyBorder="1"/>
    <xf numFmtId="180" fontId="152" fillId="0" borderId="0" xfId="29" applyNumberFormat="1" applyFont="1" applyFill="1" applyBorder="1"/>
    <xf numFmtId="10" fontId="155" fillId="70" borderId="5" xfId="0" applyNumberFormat="1" applyFont="1" applyFill="1" applyBorder="1"/>
    <xf numFmtId="0" fontId="164" fillId="0" borderId="0" xfId="73" applyFont="1" applyAlignment="1">
      <alignment horizontal="left"/>
    </xf>
    <xf numFmtId="0" fontId="165" fillId="0" borderId="0" xfId="0" applyFont="1" applyAlignment="1">
      <alignment horizontal="center"/>
    </xf>
    <xf numFmtId="0" fontId="165" fillId="73" borderId="0" xfId="0" applyFont="1" applyFill="1" applyAlignment="1">
      <alignment horizontal="center"/>
    </xf>
    <xf numFmtId="0" fontId="0" fillId="0" borderId="0" xfId="0" applyFill="1" applyAlignment="1">
      <alignment vertical="center" wrapText="1"/>
    </xf>
    <xf numFmtId="180" fontId="57" fillId="0" borderId="57" xfId="29" applyNumberFormat="1" applyFont="1" applyFill="1" applyBorder="1" applyAlignment="1">
      <alignment vertical="center" wrapText="1"/>
    </xf>
    <xf numFmtId="9" fontId="3" fillId="9" borderId="74" xfId="150" applyNumberFormat="1" applyFont="1" applyFill="1" applyBorder="1" applyAlignment="1">
      <alignment horizontal="right"/>
    </xf>
    <xf numFmtId="167" fontId="163" fillId="73" borderId="70" xfId="0" applyNumberFormat="1" applyFont="1" applyFill="1" applyBorder="1" applyAlignment="1">
      <alignment horizontal="center"/>
    </xf>
    <xf numFmtId="167" fontId="163" fillId="73" borderId="71" xfId="0" applyNumberFormat="1" applyFont="1" applyFill="1" applyBorder="1" applyAlignment="1">
      <alignment horizontal="center"/>
    </xf>
    <xf numFmtId="167" fontId="163" fillId="73" borderId="64" xfId="0" applyNumberFormat="1" applyFont="1" applyFill="1" applyBorder="1" applyAlignment="1">
      <alignment horizontal="center"/>
    </xf>
    <xf numFmtId="167" fontId="163" fillId="73" borderId="86" xfId="0" applyNumberFormat="1" applyFont="1" applyFill="1" applyBorder="1" applyAlignment="1">
      <alignment horizontal="center"/>
    </xf>
    <xf numFmtId="167" fontId="163" fillId="73" borderId="62" xfId="0" applyNumberFormat="1" applyFont="1" applyFill="1" applyBorder="1" applyAlignment="1">
      <alignment horizontal="center"/>
    </xf>
    <xf numFmtId="0" fontId="147" fillId="73" borderId="15" xfId="0" applyFont="1" applyFill="1" applyBorder="1" applyAlignment="1">
      <alignment horizontal="center"/>
    </xf>
    <xf numFmtId="0" fontId="147" fillId="73" borderId="0" xfId="0" applyFont="1" applyFill="1" applyBorder="1" applyAlignment="1">
      <alignment horizontal="center"/>
    </xf>
    <xf numFmtId="165" fontId="147" fillId="73" borderId="54" xfId="0" applyNumberFormat="1" applyFont="1" applyFill="1" applyBorder="1" applyAlignment="1">
      <alignment horizontal="center"/>
    </xf>
    <xf numFmtId="165" fontId="147" fillId="73" borderId="0" xfId="0" applyNumberFormat="1" applyFont="1" applyFill="1" applyBorder="1" applyAlignment="1">
      <alignment horizontal="center"/>
    </xf>
    <xf numFmtId="165" fontId="147" fillId="73" borderId="6" xfId="0" applyNumberFormat="1" applyFont="1" applyFill="1" applyBorder="1" applyAlignment="1">
      <alignment horizontal="center"/>
    </xf>
    <xf numFmtId="0" fontId="166" fillId="0" borderId="0" xfId="73" applyFont="1" applyFill="1" applyAlignment="1">
      <alignment horizontal="center"/>
    </xf>
    <xf numFmtId="0" fontId="166" fillId="0" borderId="0" xfId="73" applyFont="1" applyAlignment="1">
      <alignment horizontal="center"/>
    </xf>
    <xf numFmtId="9" fontId="3" fillId="9" borderId="89" xfId="150" applyFont="1" applyFill="1" applyBorder="1" applyAlignment="1">
      <alignment horizontal="right"/>
    </xf>
    <xf numFmtId="9" fontId="3" fillId="9" borderId="10" xfId="150" applyFont="1" applyFill="1" applyBorder="1" applyAlignment="1">
      <alignment horizontal="right"/>
    </xf>
    <xf numFmtId="9" fontId="3" fillId="9" borderId="90" xfId="150" applyFont="1" applyFill="1" applyBorder="1" applyAlignment="1">
      <alignment horizontal="right"/>
    </xf>
    <xf numFmtId="9" fontId="3" fillId="9" borderId="91" xfId="150" applyFont="1" applyFill="1" applyBorder="1" applyAlignment="1">
      <alignment horizontal="right"/>
    </xf>
    <xf numFmtId="9" fontId="3" fillId="9" borderId="92" xfId="150" applyFont="1" applyFill="1" applyBorder="1" applyAlignment="1">
      <alignment horizontal="right"/>
    </xf>
    <xf numFmtId="9" fontId="2" fillId="0" borderId="5" xfId="0" applyNumberFormat="1" applyFont="1" applyBorder="1"/>
    <xf numFmtId="180" fontId="155" fillId="0" borderId="0" xfId="29" applyNumberFormat="1" applyFont="1" applyFill="1" applyBorder="1" applyAlignment="1">
      <alignment vertical="center"/>
    </xf>
    <xf numFmtId="9" fontId="0" fillId="0" borderId="47" xfId="0" applyNumberFormat="1" applyFill="1" applyBorder="1" applyAlignment="1">
      <alignment vertical="center"/>
    </xf>
    <xf numFmtId="180" fontId="0" fillId="74" borderId="5" xfId="29" applyNumberFormat="1" applyFont="1" applyFill="1" applyBorder="1" applyAlignment="1">
      <alignment vertical="center"/>
    </xf>
    <xf numFmtId="180" fontId="0" fillId="74" borderId="47" xfId="29" applyNumberFormat="1" applyFont="1" applyFill="1" applyBorder="1" applyAlignment="1">
      <alignment vertical="center"/>
    </xf>
    <xf numFmtId="180" fontId="0" fillId="0" borderId="0" xfId="29" applyNumberFormat="1" applyFont="1" applyFill="1" applyBorder="1" applyAlignment="1">
      <alignment vertical="center"/>
    </xf>
    <xf numFmtId="0" fontId="61" fillId="75" borderId="0" xfId="0" applyFont="1" applyFill="1" applyAlignment="1">
      <alignment horizontal="center"/>
    </xf>
    <xf numFmtId="0" fontId="61" fillId="75" borderId="0" xfId="0" applyFont="1" applyFill="1"/>
    <xf numFmtId="0" fontId="61" fillId="75" borderId="0" xfId="0" applyFont="1" applyFill="1" applyAlignment="1">
      <alignment horizontal="center" wrapText="1"/>
    </xf>
    <xf numFmtId="0" fontId="162" fillId="73" borderId="0" xfId="73" applyFont="1" applyFill="1" applyAlignment="1">
      <alignment horizontal="left"/>
    </xf>
    <xf numFmtId="170" fontId="142" fillId="0" borderId="0" xfId="0" applyNumberFormat="1" applyFont="1" applyBorder="1"/>
    <xf numFmtId="169" fontId="147" fillId="0" borderId="0" xfId="0" applyNumberFormat="1" applyFont="1" applyFill="1" applyBorder="1"/>
    <xf numFmtId="0" fontId="66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43" fontId="163" fillId="73" borderId="71" xfId="29" applyFont="1" applyFill="1" applyBorder="1"/>
    <xf numFmtId="43" fontId="163" fillId="73" borderId="70" xfId="29" applyFont="1" applyFill="1" applyBorder="1"/>
    <xf numFmtId="43" fontId="163" fillId="73" borderId="64" xfId="29" applyFont="1" applyFill="1" applyBorder="1"/>
    <xf numFmtId="43" fontId="163" fillId="73" borderId="86" xfId="29" applyFont="1" applyFill="1" applyBorder="1"/>
    <xf numFmtId="43" fontId="163" fillId="73" borderId="62" xfId="29" applyFont="1" applyFill="1" applyBorder="1"/>
    <xf numFmtId="43" fontId="147" fillId="0" borderId="15" xfId="29" applyFont="1" applyBorder="1"/>
    <xf numFmtId="43" fontId="147" fillId="0" borderId="16" xfId="29" applyFont="1" applyBorder="1"/>
    <xf numFmtId="43" fontId="66" fillId="0" borderId="0" xfId="0" applyNumberFormat="1" applyFont="1" applyAlignment="1">
      <alignment horizontal="right"/>
    </xf>
    <xf numFmtId="43" fontId="0" fillId="0" borderId="0" xfId="0" applyNumberFormat="1" applyAlignment="1">
      <alignment horizontal="center"/>
    </xf>
    <xf numFmtId="215" fontId="0" fillId="0" borderId="13" xfId="31" applyNumberFormat="1" applyFont="1" applyFill="1" applyBorder="1" applyAlignment="1">
      <alignment vertical="center"/>
    </xf>
    <xf numFmtId="180" fontId="0" fillId="0" borderId="13" xfId="31" applyNumberFormat="1" applyFont="1" applyFill="1" applyBorder="1" applyAlignment="1">
      <alignment vertical="center"/>
    </xf>
    <xf numFmtId="0" fontId="0" fillId="0" borderId="63" xfId="0" applyFont="1" applyFill="1" applyBorder="1"/>
    <xf numFmtId="180" fontId="0" fillId="0" borderId="52" xfId="31" applyNumberFormat="1" applyFont="1" applyFill="1" applyBorder="1" applyAlignment="1">
      <alignment vertical="center"/>
    </xf>
    <xf numFmtId="0" fontId="151" fillId="0" borderId="47" xfId="0" applyFont="1" applyFill="1" applyBorder="1"/>
    <xf numFmtId="215" fontId="0" fillId="0" borderId="47" xfId="31" applyNumberFormat="1" applyFont="1" applyFill="1" applyBorder="1" applyAlignment="1">
      <alignment vertical="center"/>
    </xf>
    <xf numFmtId="43" fontId="0" fillId="0" borderId="47" xfId="31" applyFont="1" applyFill="1" applyBorder="1" applyAlignment="1">
      <alignment vertical="center"/>
    </xf>
    <xf numFmtId="215" fontId="66" fillId="0" borderId="47" xfId="31" applyNumberFormat="1" applyFont="1" applyFill="1" applyBorder="1"/>
    <xf numFmtId="180" fontId="66" fillId="0" borderId="47" xfId="31" applyNumberFormat="1" applyFont="1" applyFill="1" applyBorder="1"/>
    <xf numFmtId="180" fontId="0" fillId="72" borderId="13" xfId="31" applyNumberFormat="1" applyFont="1" applyFill="1" applyBorder="1" applyAlignment="1">
      <alignment vertical="center"/>
    </xf>
    <xf numFmtId="180" fontId="0" fillId="72" borderId="52" xfId="31" applyNumberFormat="1" applyFont="1" applyFill="1" applyBorder="1" applyAlignment="1">
      <alignment vertical="center"/>
    </xf>
    <xf numFmtId="180" fontId="66" fillId="72" borderId="47" xfId="31" applyNumberFormat="1" applyFont="1" applyFill="1" applyBorder="1"/>
    <xf numFmtId="215" fontId="0" fillId="72" borderId="13" xfId="31" applyNumberFormat="1" applyFont="1" applyFill="1" applyBorder="1" applyAlignment="1">
      <alignment vertical="center"/>
    </xf>
    <xf numFmtId="215" fontId="0" fillId="72" borderId="47" xfId="31" applyNumberFormat="1" applyFont="1" applyFill="1" applyBorder="1" applyAlignment="1">
      <alignment vertical="center"/>
    </xf>
    <xf numFmtId="215" fontId="66" fillId="72" borderId="47" xfId="31" applyNumberFormat="1" applyFont="1" applyFill="1" applyBorder="1"/>
    <xf numFmtId="43" fontId="0" fillId="72" borderId="47" xfId="31" applyFont="1" applyFill="1" applyBorder="1" applyAlignment="1">
      <alignment vertical="center"/>
    </xf>
    <xf numFmtId="10" fontId="167" fillId="70" borderId="47" xfId="0" applyNumberFormat="1" applyFont="1" applyFill="1" applyBorder="1"/>
    <xf numFmtId="0" fontId="168" fillId="77" borderId="0" xfId="45472" applyFont="1" applyFill="1" applyBorder="1" applyAlignment="1" applyProtection="1"/>
    <xf numFmtId="0" fontId="168" fillId="77" borderId="0" xfId="45472" applyFont="1" applyFill="1" applyBorder="1" applyProtection="1"/>
    <xf numFmtId="0" fontId="0" fillId="0" borderId="0" xfId="0" applyFont="1" applyAlignment="1"/>
    <xf numFmtId="0" fontId="8" fillId="79" borderId="94" xfId="45473" applyFont="1" applyFill="1" applyBorder="1" applyAlignment="1" applyProtection="1">
      <alignment horizontal="center" vertical="center" wrapText="1"/>
    </xf>
    <xf numFmtId="0" fontId="8" fillId="79" borderId="95" xfId="45473" applyFont="1" applyFill="1" applyBorder="1" applyAlignment="1" applyProtection="1">
      <alignment horizontal="center" vertical="center" wrapText="1"/>
    </xf>
    <xf numFmtId="0" fontId="8" fillId="78" borderId="96" xfId="45473" applyFont="1" applyFill="1" applyBorder="1" applyAlignment="1" applyProtection="1">
      <alignment horizontal="center" vertical="center" wrapText="1"/>
    </xf>
    <xf numFmtId="0" fontId="8" fillId="78" borderId="97" xfId="45473" applyFont="1" applyFill="1" applyBorder="1" applyAlignment="1" applyProtection="1">
      <alignment horizontal="center" vertical="center" wrapText="1"/>
    </xf>
    <xf numFmtId="0" fontId="8" fillId="78" borderId="98" xfId="45473" applyFont="1" applyFill="1" applyBorder="1" applyAlignment="1" applyProtection="1">
      <alignment horizontal="center" vertical="center" wrapText="1"/>
    </xf>
    <xf numFmtId="0" fontId="14" fillId="0" borderId="99" xfId="45473" applyFont="1" applyFill="1" applyBorder="1" applyAlignment="1">
      <alignment horizontal="right" vertical="center" indent="1"/>
    </xf>
    <xf numFmtId="3" fontId="0" fillId="76" borderId="100" xfId="0" applyNumberFormat="1" applyFont="1" applyFill="1" applyBorder="1" applyAlignment="1" applyProtection="1">
      <alignment horizontal="right" wrapText="1"/>
      <protection locked="0"/>
    </xf>
    <xf numFmtId="3" fontId="0" fillId="76" borderId="101" xfId="0" applyNumberFormat="1" applyFont="1" applyFill="1" applyBorder="1" applyAlignment="1" applyProtection="1">
      <alignment horizontal="right" wrapText="1"/>
      <protection locked="0"/>
    </xf>
    <xf numFmtId="3" fontId="0" fillId="76" borderId="102" xfId="0" applyNumberFormat="1" applyFont="1" applyFill="1" applyBorder="1" applyAlignment="1" applyProtection="1">
      <alignment horizontal="right" wrapText="1"/>
      <protection locked="0"/>
    </xf>
    <xf numFmtId="3" fontId="0" fillId="76" borderId="103" xfId="0" applyNumberFormat="1" applyFont="1" applyFill="1" applyBorder="1" applyAlignment="1" applyProtection="1">
      <alignment horizontal="right" wrapText="1"/>
      <protection locked="0"/>
    </xf>
    <xf numFmtId="3" fontId="0" fillId="80" borderId="104" xfId="0" applyNumberFormat="1" applyFont="1" applyFill="1" applyBorder="1" applyAlignment="1" applyProtection="1">
      <alignment horizontal="right" wrapText="1"/>
      <protection locked="0"/>
    </xf>
    <xf numFmtId="3" fontId="0" fillId="80" borderId="105" xfId="0" applyNumberFormat="1" applyFont="1" applyFill="1" applyBorder="1" applyAlignment="1" applyProtection="1">
      <alignment horizontal="right" wrapText="1"/>
      <protection locked="0"/>
    </xf>
    <xf numFmtId="3" fontId="0" fillId="80" borderId="106" xfId="0" applyNumberFormat="1" applyFont="1" applyFill="1" applyBorder="1" applyAlignment="1" applyProtection="1">
      <alignment horizontal="right" wrapText="1"/>
      <protection locked="0"/>
    </xf>
    <xf numFmtId="3" fontId="0" fillId="80" borderId="107" xfId="0" applyNumberFormat="1" applyFont="1" applyFill="1" applyBorder="1" applyAlignment="1" applyProtection="1">
      <alignment horizontal="right" wrapText="1"/>
      <protection locked="0"/>
    </xf>
    <xf numFmtId="3" fontId="0" fillId="76" borderId="104" xfId="0" applyNumberFormat="1" applyFont="1" applyFill="1" applyBorder="1" applyAlignment="1" applyProtection="1">
      <alignment horizontal="right" wrapText="1"/>
      <protection locked="0"/>
    </xf>
    <xf numFmtId="3" fontId="0" fillId="76" borderId="105" xfId="0" applyNumberFormat="1" applyFont="1" applyFill="1" applyBorder="1" applyAlignment="1" applyProtection="1">
      <alignment horizontal="right" wrapText="1"/>
      <protection locked="0"/>
    </xf>
    <xf numFmtId="3" fontId="0" fillId="76" borderId="106" xfId="0" applyNumberFormat="1" applyFont="1" applyFill="1" applyBorder="1" applyAlignment="1" applyProtection="1">
      <alignment horizontal="right" wrapText="1"/>
      <protection locked="0"/>
    </xf>
    <xf numFmtId="3" fontId="0" fillId="76" borderId="107" xfId="0" applyNumberFormat="1" applyFont="1" applyFill="1" applyBorder="1" applyAlignment="1" applyProtection="1">
      <alignment horizontal="right" wrapText="1"/>
      <protection locked="0"/>
    </xf>
    <xf numFmtId="3" fontId="0" fillId="76" borderId="108" xfId="0" applyNumberFormat="1" applyFont="1" applyFill="1" applyBorder="1" applyAlignment="1" applyProtection="1">
      <alignment horizontal="right" wrapText="1"/>
      <protection locked="0"/>
    </xf>
    <xf numFmtId="3" fontId="0" fillId="76" borderId="109" xfId="0" applyNumberFormat="1" applyFont="1" applyFill="1" applyBorder="1" applyAlignment="1" applyProtection="1">
      <alignment horizontal="right" wrapText="1"/>
      <protection locked="0"/>
    </xf>
    <xf numFmtId="3" fontId="0" fillId="76" borderId="110" xfId="0" applyNumberFormat="1" applyFont="1" applyFill="1" applyBorder="1" applyAlignment="1" applyProtection="1">
      <alignment horizontal="right" wrapText="1"/>
      <protection locked="0"/>
    </xf>
    <xf numFmtId="3" fontId="0" fillId="76" borderId="111" xfId="0" applyNumberFormat="1" applyFont="1" applyFill="1" applyBorder="1" applyAlignment="1" applyProtection="1">
      <alignment horizontal="right" wrapText="1"/>
      <protection locked="0"/>
    </xf>
    <xf numFmtId="0" fontId="8" fillId="81" borderId="47" xfId="0" applyFont="1" applyFill="1" applyBorder="1" applyAlignment="1">
      <alignment horizontal="right" vertical="center" wrapText="1" indent="1"/>
    </xf>
    <xf numFmtId="0" fontId="168" fillId="77" borderId="2" xfId="0" applyFont="1" applyFill="1" applyBorder="1" applyProtection="1"/>
    <xf numFmtId="0" fontId="170" fillId="77" borderId="0" xfId="0" applyFont="1" applyFill="1" applyBorder="1" applyProtection="1"/>
    <xf numFmtId="0" fontId="170" fillId="77" borderId="0" xfId="0" applyFont="1" applyFill="1" applyAlignment="1" applyProtection="1">
      <alignment horizontal="left"/>
    </xf>
    <xf numFmtId="0" fontId="170" fillId="77" borderId="0" xfId="0" applyFont="1" applyFill="1" applyProtection="1"/>
    <xf numFmtId="0" fontId="0" fillId="73" borderId="2" xfId="0" applyFill="1" applyBorder="1" applyAlignment="1" applyProtection="1">
      <alignment vertical="center"/>
    </xf>
    <xf numFmtId="0" fontId="0" fillId="73" borderId="0" xfId="0" applyFill="1" applyBorder="1" applyAlignment="1" applyProtection="1">
      <alignment vertical="center"/>
    </xf>
    <xf numFmtId="0" fontId="66" fillId="73" borderId="116" xfId="0" applyFont="1" applyFill="1" applyBorder="1" applyAlignment="1" applyProtection="1">
      <alignment vertical="center"/>
    </xf>
    <xf numFmtId="0" fontId="66" fillId="73" borderId="116" xfId="0" applyFont="1" applyFill="1" applyBorder="1" applyAlignment="1" applyProtection="1">
      <alignment horizontal="center" vertical="center" wrapText="1"/>
    </xf>
    <xf numFmtId="0" fontId="8" fillId="79" borderId="117" xfId="45473" applyFont="1" applyFill="1" applyBorder="1" applyAlignment="1" applyProtection="1">
      <alignment horizontal="center" vertical="center" wrapText="1"/>
    </xf>
    <xf numFmtId="0" fontId="8" fillId="79" borderId="97" xfId="45473" applyFont="1" applyFill="1" applyBorder="1" applyAlignment="1" applyProtection="1">
      <alignment horizontal="center" vertical="center" wrapText="1"/>
    </xf>
    <xf numFmtId="0" fontId="8" fillId="78" borderId="118" xfId="45473" applyFont="1" applyFill="1" applyBorder="1" applyAlignment="1" applyProtection="1">
      <alignment horizontal="center" vertical="center" wrapText="1"/>
    </xf>
    <xf numFmtId="0" fontId="171" fillId="73" borderId="119" xfId="0" applyFont="1" applyFill="1" applyBorder="1" applyProtection="1"/>
    <xf numFmtId="0" fontId="120" fillId="73" borderId="120" xfId="0" applyFont="1" applyFill="1" applyBorder="1" applyAlignment="1" applyProtection="1">
      <alignment wrapText="1"/>
    </xf>
    <xf numFmtId="0" fontId="171" fillId="73" borderId="121" xfId="0" applyFont="1" applyFill="1" applyBorder="1" applyAlignment="1" applyProtection="1">
      <alignment horizontal="left"/>
    </xf>
    <xf numFmtId="0" fontId="171" fillId="73" borderId="2" xfId="0" applyFont="1" applyFill="1" applyBorder="1" applyProtection="1"/>
    <xf numFmtId="0" fontId="120" fillId="73" borderId="22" xfId="0" applyFont="1" applyFill="1" applyBorder="1" applyAlignment="1" applyProtection="1">
      <alignment wrapText="1"/>
    </xf>
    <xf numFmtId="0" fontId="171" fillId="73" borderId="122" xfId="0" applyFont="1" applyFill="1" applyBorder="1" applyAlignment="1" applyProtection="1">
      <alignment horizontal="left"/>
    </xf>
    <xf numFmtId="0" fontId="120" fillId="73" borderId="63" xfId="0" applyFont="1" applyFill="1" applyBorder="1" applyAlignment="1" applyProtection="1"/>
    <xf numFmtId="0" fontId="120" fillId="73" borderId="22" xfId="0" applyFont="1" applyFill="1" applyBorder="1" applyAlignment="1" applyProtection="1"/>
    <xf numFmtId="0" fontId="171" fillId="73" borderId="123" xfId="0" applyFont="1" applyFill="1" applyBorder="1" applyProtection="1"/>
    <xf numFmtId="0" fontId="120" fillId="73" borderId="124" xfId="0" applyFont="1" applyFill="1" applyBorder="1" applyAlignment="1" applyProtection="1"/>
    <xf numFmtId="0" fontId="171" fillId="73" borderId="125" xfId="0" applyFont="1" applyFill="1" applyBorder="1" applyAlignment="1" applyProtection="1">
      <alignment horizontal="left"/>
    </xf>
    <xf numFmtId="0" fontId="120" fillId="73" borderId="120" xfId="0" applyFont="1" applyFill="1" applyBorder="1" applyAlignment="1" applyProtection="1"/>
    <xf numFmtId="49" fontId="0" fillId="76" borderId="116" xfId="0" applyNumberFormat="1" applyFill="1" applyBorder="1" applyProtection="1"/>
    <xf numFmtId="49" fontId="120" fillId="76" borderId="119" xfId="0" applyNumberFormat="1" applyFont="1" applyFill="1" applyBorder="1" applyAlignment="1" applyProtection="1">
      <protection locked="0"/>
    </xf>
    <xf numFmtId="0" fontId="171" fillId="0" borderId="121" xfId="0" applyFont="1" applyFill="1" applyBorder="1" applyAlignment="1" applyProtection="1">
      <alignment horizontal="left"/>
    </xf>
    <xf numFmtId="49" fontId="0" fillId="76" borderId="130" xfId="0" applyNumberFormat="1" applyFill="1" applyBorder="1" applyProtection="1"/>
    <xf numFmtId="49" fontId="120" fillId="76" borderId="11" xfId="0" applyNumberFormat="1" applyFont="1" applyFill="1" applyBorder="1" applyAlignment="1" applyProtection="1"/>
    <xf numFmtId="0" fontId="171" fillId="0" borderId="122" xfId="0" applyFont="1" applyFill="1" applyBorder="1" applyAlignment="1" applyProtection="1">
      <alignment horizontal="left"/>
    </xf>
    <xf numFmtId="49" fontId="120" fillId="76" borderId="131" xfId="0" applyNumberFormat="1" applyFont="1" applyFill="1" applyBorder="1" applyAlignment="1" applyProtection="1">
      <protection locked="0"/>
    </xf>
    <xf numFmtId="49" fontId="0" fillId="76" borderId="132" xfId="0" applyNumberFormat="1" applyFill="1" applyBorder="1" applyProtection="1"/>
    <xf numFmtId="49" fontId="120" fillId="76" borderId="133" xfId="0" applyNumberFormat="1" applyFont="1" applyFill="1" applyBorder="1" applyAlignment="1" applyProtection="1"/>
    <xf numFmtId="0" fontId="171" fillId="0" borderId="125" xfId="0" applyFont="1" applyFill="1" applyBorder="1" applyAlignment="1" applyProtection="1">
      <alignment horizontal="left"/>
    </xf>
    <xf numFmtId="0" fontId="0" fillId="0" borderId="119" xfId="0" applyBorder="1" applyProtection="1"/>
    <xf numFmtId="0" fontId="172" fillId="0" borderId="134" xfId="45474" applyFont="1" applyFill="1" applyBorder="1" applyAlignment="1" applyProtection="1">
      <alignment horizontal="left" vertical="center" indent="1"/>
    </xf>
    <xf numFmtId="0" fontId="0" fillId="0" borderId="133" xfId="0" applyBorder="1" applyProtection="1"/>
    <xf numFmtId="0" fontId="0" fillId="0" borderId="8" xfId="0" applyBorder="1" applyProtection="1"/>
    <xf numFmtId="0" fontId="174" fillId="78" borderId="94" xfId="477" applyFont="1" applyFill="1" applyBorder="1" applyAlignment="1" applyProtection="1">
      <alignment horizontal="center" vertical="center"/>
    </xf>
    <xf numFmtId="0" fontId="174" fillId="79" borderId="136" xfId="115" applyFont="1" applyFill="1" applyBorder="1" applyAlignment="1" applyProtection="1">
      <alignment horizontal="center"/>
    </xf>
    <xf numFmtId="0" fontId="174" fillId="79" borderId="137" xfId="115" applyFont="1" applyFill="1" applyBorder="1" applyAlignment="1" applyProtection="1">
      <alignment horizontal="center"/>
    </xf>
    <xf numFmtId="0" fontId="174" fillId="79" borderId="94" xfId="477" applyFont="1" applyFill="1" applyBorder="1" applyAlignment="1" applyProtection="1">
      <alignment horizontal="center" vertical="center"/>
    </xf>
    <xf numFmtId="0" fontId="174" fillId="83" borderId="136" xfId="115" applyFont="1" applyFill="1" applyBorder="1" applyAlignment="1" applyProtection="1">
      <alignment horizontal="center"/>
    </xf>
    <xf numFmtId="0" fontId="174" fillId="83" borderId="95" xfId="115" applyFont="1" applyFill="1" applyBorder="1" applyAlignment="1" applyProtection="1">
      <alignment horizontal="center"/>
    </xf>
    <xf numFmtId="0" fontId="174" fillId="78" borderId="138" xfId="115" applyFont="1" applyFill="1" applyBorder="1" applyAlignment="1" applyProtection="1">
      <alignment horizontal="center"/>
    </xf>
    <xf numFmtId="0" fontId="174" fillId="78" borderId="136" xfId="115" applyFont="1" applyFill="1" applyBorder="1" applyAlignment="1" applyProtection="1">
      <alignment horizontal="center"/>
    </xf>
    <xf numFmtId="0" fontId="174" fillId="83" borderId="137" xfId="115" applyFont="1" applyFill="1" applyBorder="1" applyAlignment="1" applyProtection="1">
      <alignment horizontal="center"/>
    </xf>
    <xf numFmtId="0" fontId="174" fillId="78" borderId="94" xfId="115" applyFont="1" applyFill="1" applyBorder="1" applyAlignment="1" applyProtection="1">
      <alignment horizontal="center"/>
    </xf>
    <xf numFmtId="0" fontId="141" fillId="73" borderId="119" xfId="130" applyFont="1" applyFill="1" applyBorder="1" applyAlignment="1">
      <alignment vertical="center" wrapText="1"/>
    </xf>
    <xf numFmtId="0" fontId="0" fillId="73" borderId="139" xfId="0" applyFill="1" applyBorder="1" applyAlignment="1">
      <alignment horizontal="left" vertical="center" indent="1"/>
    </xf>
    <xf numFmtId="180" fontId="0" fillId="80" borderId="100" xfId="338" applyNumberFormat="1" applyFont="1" applyFill="1" applyBorder="1" applyAlignment="1" applyProtection="1">
      <alignment vertical="center"/>
      <protection locked="0"/>
    </xf>
    <xf numFmtId="180" fontId="0" fillId="80" borderId="103" xfId="338" applyNumberFormat="1" applyFont="1" applyFill="1" applyBorder="1" applyAlignment="1" applyProtection="1">
      <alignment vertical="center"/>
      <protection locked="0"/>
    </xf>
    <xf numFmtId="180" fontId="0" fillId="80" borderId="140" xfId="338" applyNumberFormat="1" applyFont="1" applyFill="1" applyBorder="1" applyAlignment="1" applyProtection="1">
      <alignment vertical="center"/>
      <protection locked="0"/>
    </xf>
    <xf numFmtId="180" fontId="0" fillId="80" borderId="141" xfId="338" applyNumberFormat="1" applyFont="1" applyFill="1" applyBorder="1" applyAlignment="1" applyProtection="1">
      <alignment vertical="center"/>
      <protection locked="0"/>
    </xf>
    <xf numFmtId="180" fontId="0" fillId="80" borderId="142" xfId="338" applyNumberFormat="1" applyFont="1" applyFill="1" applyBorder="1" applyAlignment="1" applyProtection="1">
      <alignment vertical="center"/>
      <protection locked="0"/>
    </xf>
    <xf numFmtId="180" fontId="0" fillId="80" borderId="143" xfId="338" applyNumberFormat="1" applyFont="1" applyFill="1" applyBorder="1" applyAlignment="1" applyProtection="1">
      <alignment vertical="center"/>
      <protection locked="0"/>
    </xf>
    <xf numFmtId="180" fontId="0" fillId="80" borderId="144" xfId="338" applyNumberFormat="1" applyFont="1" applyFill="1" applyBorder="1" applyAlignment="1" applyProtection="1">
      <alignment vertical="center"/>
      <protection locked="0"/>
    </xf>
    <xf numFmtId="180" fontId="0" fillId="80" borderId="145" xfId="338" applyNumberFormat="1" applyFont="1" applyFill="1" applyBorder="1" applyAlignment="1" applyProtection="1">
      <alignment vertical="center"/>
      <protection locked="0"/>
    </xf>
    <xf numFmtId="0" fontId="141" fillId="73" borderId="2" xfId="130" applyFont="1" applyFill="1" applyBorder="1" applyAlignment="1">
      <alignment vertical="center" wrapText="1"/>
    </xf>
    <xf numFmtId="0" fontId="0" fillId="73" borderId="146" xfId="0" applyFill="1" applyBorder="1" applyAlignment="1">
      <alignment horizontal="left" vertical="center" indent="1"/>
    </xf>
    <xf numFmtId="180" fontId="0" fillId="80" borderId="104" xfId="338" applyNumberFormat="1" applyFont="1" applyFill="1" applyBorder="1" applyAlignment="1" applyProtection="1">
      <alignment vertical="center"/>
      <protection locked="0"/>
    </xf>
    <xf numFmtId="180" fontId="0" fillId="80" borderId="107" xfId="338" applyNumberFormat="1" applyFont="1" applyFill="1" applyBorder="1" applyAlignment="1" applyProtection="1">
      <alignment vertical="center"/>
      <protection locked="0"/>
    </xf>
    <xf numFmtId="180" fontId="0" fillId="80" borderId="147" xfId="338" applyNumberFormat="1" applyFont="1" applyFill="1" applyBorder="1" applyAlignment="1" applyProtection="1">
      <alignment vertical="center"/>
      <protection locked="0"/>
    </xf>
    <xf numFmtId="180" fontId="0" fillId="80" borderId="148" xfId="338" applyNumberFormat="1" applyFont="1" applyFill="1" applyBorder="1" applyAlignment="1" applyProtection="1">
      <alignment vertical="center"/>
      <protection locked="0"/>
    </xf>
    <xf numFmtId="0" fontId="0" fillId="73" borderId="149" xfId="0" applyFill="1" applyBorder="1" applyAlignment="1">
      <alignment horizontal="left" vertical="center" indent="1"/>
    </xf>
    <xf numFmtId="180" fontId="0" fillId="80" borderId="126" xfId="338" applyNumberFormat="1" applyFont="1" applyFill="1" applyBorder="1" applyAlignment="1" applyProtection="1">
      <alignment vertical="center"/>
      <protection locked="0"/>
    </xf>
    <xf numFmtId="180" fontId="0" fillId="80" borderId="129" xfId="338" applyNumberFormat="1" applyFont="1" applyFill="1" applyBorder="1" applyAlignment="1" applyProtection="1">
      <alignment vertical="center"/>
      <protection locked="0"/>
    </xf>
    <xf numFmtId="180" fontId="0" fillId="80" borderId="150" xfId="338" applyNumberFormat="1" applyFont="1" applyFill="1" applyBorder="1" applyAlignment="1" applyProtection="1">
      <alignment vertical="center"/>
      <protection locked="0"/>
    </xf>
    <xf numFmtId="180" fontId="0" fillId="80" borderId="151" xfId="338" applyNumberFormat="1" applyFont="1" applyFill="1" applyBorder="1" applyAlignment="1" applyProtection="1">
      <alignment vertical="center"/>
      <protection locked="0"/>
    </xf>
    <xf numFmtId="0" fontId="141" fillId="73" borderId="152" xfId="130" applyFont="1" applyFill="1" applyBorder="1" applyAlignment="1">
      <alignment vertical="center" wrapText="1"/>
    </xf>
    <xf numFmtId="0" fontId="0" fillId="73" borderId="2" xfId="0" applyFill="1" applyBorder="1" applyAlignment="1">
      <alignment horizontal="left" vertical="center" indent="1"/>
    </xf>
    <xf numFmtId="180" fontId="0" fillId="80" borderId="94" xfId="338" applyNumberFormat="1" applyFont="1" applyFill="1" applyBorder="1" applyAlignment="1" applyProtection="1">
      <alignment vertical="center"/>
      <protection locked="0"/>
    </xf>
    <xf numFmtId="180" fontId="0" fillId="80" borderId="136" xfId="338" applyNumberFormat="1" applyFont="1" applyFill="1" applyBorder="1" applyAlignment="1" applyProtection="1">
      <alignment vertical="center"/>
      <protection locked="0"/>
    </xf>
    <xf numFmtId="180" fontId="0" fillId="80" borderId="137" xfId="338" applyNumberFormat="1" applyFont="1" applyFill="1" applyBorder="1" applyAlignment="1" applyProtection="1">
      <alignment vertical="center"/>
      <protection locked="0"/>
    </xf>
    <xf numFmtId="180" fontId="0" fillId="80" borderId="153" xfId="338" applyNumberFormat="1" applyFont="1" applyFill="1" applyBorder="1" applyAlignment="1" applyProtection="1">
      <alignment vertical="center"/>
      <protection locked="0"/>
    </xf>
    <xf numFmtId="0" fontId="141" fillId="73" borderId="2" xfId="115" applyFont="1" applyFill="1" applyBorder="1"/>
    <xf numFmtId="180" fontId="0" fillId="76" borderId="142" xfId="338" applyNumberFormat="1" applyFont="1" applyFill="1" applyBorder="1" applyAlignment="1" applyProtection="1">
      <alignment vertical="center"/>
      <protection locked="0"/>
    </xf>
    <xf numFmtId="180" fontId="0" fillId="76" borderId="143" xfId="338" applyNumberFormat="1" applyFont="1" applyFill="1" applyBorder="1" applyAlignment="1" applyProtection="1">
      <alignment vertical="center"/>
      <protection locked="0"/>
    </xf>
    <xf numFmtId="180" fontId="0" fillId="76" borderId="144" xfId="338" applyNumberFormat="1" applyFont="1" applyFill="1" applyBorder="1" applyAlignment="1" applyProtection="1">
      <alignment vertical="center"/>
      <protection locked="0"/>
    </xf>
    <xf numFmtId="180" fontId="0" fillId="76" borderId="154" xfId="338" applyNumberFormat="1" applyFont="1" applyFill="1" applyBorder="1" applyAlignment="1" applyProtection="1">
      <alignment vertical="center"/>
      <protection locked="0"/>
    </xf>
    <xf numFmtId="180" fontId="0" fillId="76" borderId="155" xfId="338" applyNumberFormat="1" applyFont="1" applyFill="1" applyBorder="1" applyAlignment="1" applyProtection="1">
      <alignment vertical="center"/>
      <protection locked="0"/>
    </xf>
    <xf numFmtId="180" fontId="0" fillId="76" borderId="156" xfId="338" applyNumberFormat="1" applyFont="1" applyFill="1" applyBorder="1" applyAlignment="1" applyProtection="1">
      <alignment vertical="center"/>
      <protection locked="0"/>
    </xf>
    <xf numFmtId="180" fontId="0" fillId="76" borderId="157" xfId="338" applyNumberFormat="1" applyFont="1" applyFill="1" applyBorder="1" applyAlignment="1" applyProtection="1">
      <alignment vertical="center"/>
      <protection locked="0"/>
    </xf>
    <xf numFmtId="180" fontId="0" fillId="76" borderId="104" xfId="338" applyNumberFormat="1" applyFont="1" applyFill="1" applyBorder="1" applyAlignment="1" applyProtection="1">
      <alignment vertical="center"/>
      <protection locked="0"/>
    </xf>
    <xf numFmtId="180" fontId="0" fillId="76" borderId="107" xfId="338" applyNumberFormat="1" applyFont="1" applyFill="1" applyBorder="1" applyAlignment="1" applyProtection="1">
      <alignment vertical="center"/>
      <protection locked="0"/>
    </xf>
    <xf numFmtId="180" fontId="0" fillId="76" borderId="147" xfId="338" applyNumberFormat="1" applyFont="1" applyFill="1" applyBorder="1" applyAlignment="1" applyProtection="1">
      <alignment vertical="center"/>
      <protection locked="0"/>
    </xf>
    <xf numFmtId="180" fontId="0" fillId="76" borderId="145" xfId="338" applyNumberFormat="1" applyFont="1" applyFill="1" applyBorder="1" applyAlignment="1" applyProtection="1">
      <alignment vertical="center"/>
      <protection locked="0"/>
    </xf>
    <xf numFmtId="180" fontId="0" fillId="76" borderId="148" xfId="338" applyNumberFormat="1" applyFont="1" applyFill="1" applyBorder="1" applyAlignment="1" applyProtection="1">
      <alignment vertical="center"/>
      <protection locked="0"/>
    </xf>
    <xf numFmtId="0" fontId="141" fillId="73" borderId="133" xfId="115" applyFont="1" applyFill="1" applyBorder="1"/>
    <xf numFmtId="0" fontId="0" fillId="73" borderId="158" xfId="0" applyFill="1" applyBorder="1" applyAlignment="1">
      <alignment horizontal="left" vertical="center" indent="1"/>
    </xf>
    <xf numFmtId="180" fontId="0" fillId="76" borderId="108" xfId="338" applyNumberFormat="1" applyFont="1" applyFill="1" applyBorder="1" applyAlignment="1" applyProtection="1">
      <alignment vertical="center"/>
      <protection locked="0"/>
    </xf>
    <xf numFmtId="180" fontId="0" fillId="76" borderId="111" xfId="338" applyNumberFormat="1" applyFont="1" applyFill="1" applyBorder="1" applyAlignment="1" applyProtection="1">
      <alignment vertical="center"/>
      <protection locked="0"/>
    </xf>
    <xf numFmtId="180" fontId="0" fillId="76" borderId="159" xfId="338" applyNumberFormat="1" applyFont="1" applyFill="1" applyBorder="1" applyAlignment="1" applyProtection="1">
      <alignment vertical="center"/>
      <protection locked="0"/>
    </xf>
    <xf numFmtId="180" fontId="0" fillId="76" borderId="160" xfId="338" applyNumberFormat="1" applyFont="1" applyFill="1" applyBorder="1" applyAlignment="1" applyProtection="1">
      <alignment vertical="center"/>
      <protection locked="0"/>
    </xf>
    <xf numFmtId="0" fontId="141" fillId="73" borderId="133" xfId="130" applyFont="1" applyFill="1" applyBorder="1" applyAlignment="1">
      <alignment vertical="center" wrapText="1"/>
    </xf>
    <xf numFmtId="218" fontId="66" fillId="81" borderId="112" xfId="45471" applyNumberFormat="1" applyFont="1" applyFill="1" applyBorder="1" applyAlignment="1">
      <alignment vertical="center"/>
    </xf>
    <xf numFmtId="0" fontId="171" fillId="73" borderId="0" xfId="0" applyFont="1" applyFill="1"/>
    <xf numFmtId="0" fontId="65" fillId="73" borderId="0" xfId="0" applyFont="1" applyFill="1"/>
    <xf numFmtId="0" fontId="65" fillId="73" borderId="0" xfId="0" applyFont="1" applyFill="1" applyAlignment="1">
      <alignment horizontal="center"/>
    </xf>
    <xf numFmtId="180" fontId="65" fillId="73" borderId="0" xfId="29" applyNumberFormat="1" applyFont="1" applyFill="1"/>
    <xf numFmtId="180" fontId="65" fillId="73" borderId="161" xfId="29" applyNumberFormat="1" applyFont="1" applyFill="1" applyBorder="1"/>
    <xf numFmtId="9" fontId="65" fillId="73" borderId="0" xfId="150" applyFont="1" applyFill="1"/>
    <xf numFmtId="9" fontId="65" fillId="84" borderId="0" xfId="150" applyFont="1" applyFill="1"/>
    <xf numFmtId="43" fontId="65" fillId="73" borderId="0" xfId="0" applyNumberFormat="1" applyFont="1" applyFill="1"/>
    <xf numFmtId="0" fontId="173" fillId="73" borderId="0" xfId="0" applyFont="1" applyFill="1"/>
    <xf numFmtId="9" fontId="65" fillId="73" borderId="0" xfId="0" applyNumberFormat="1" applyFont="1" applyFill="1"/>
    <xf numFmtId="9" fontId="65" fillId="73" borderId="11" xfId="150" applyFont="1" applyFill="1" applyBorder="1"/>
    <xf numFmtId="180" fontId="65" fillId="73" borderId="0" xfId="29" applyNumberFormat="1" applyFont="1" applyFill="1" applyBorder="1"/>
    <xf numFmtId="180" fontId="65" fillId="73" borderId="11" xfId="29" applyNumberFormat="1" applyFont="1" applyFill="1" applyBorder="1"/>
    <xf numFmtId="180" fontId="120" fillId="76" borderId="100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1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2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3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4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5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6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7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4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5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6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7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6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7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8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9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8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9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10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11" xfId="29" applyNumberFormat="1" applyFont="1" applyFill="1" applyBorder="1" applyAlignment="1" applyProtection="1">
      <alignment horizontal="right" vertical="center" indent="1"/>
      <protection locked="0"/>
    </xf>
    <xf numFmtId="10" fontId="65" fillId="73" borderId="0" xfId="0" applyNumberFormat="1" applyFont="1" applyFill="1" applyAlignment="1">
      <alignment horizontal="center"/>
    </xf>
    <xf numFmtId="10" fontId="65" fillId="73" borderId="47" xfId="0" applyNumberFormat="1" applyFont="1" applyFill="1" applyBorder="1" applyAlignment="1">
      <alignment horizontal="center"/>
    </xf>
    <xf numFmtId="0" fontId="65" fillId="85" borderId="63" xfId="0" applyFont="1" applyFill="1" applyBorder="1" applyAlignment="1">
      <alignment horizontal="center"/>
    </xf>
    <xf numFmtId="0" fontId="65" fillId="85" borderId="93" xfId="0" applyFont="1" applyFill="1" applyBorder="1" applyAlignment="1">
      <alignment horizontal="center"/>
    </xf>
    <xf numFmtId="0" fontId="65" fillId="85" borderId="62" xfId="0" applyFont="1" applyFill="1" applyBorder="1" applyAlignment="1">
      <alignment horizontal="center"/>
    </xf>
    <xf numFmtId="0" fontId="65" fillId="85" borderId="15" xfId="0" applyFont="1" applyFill="1" applyBorder="1" applyAlignment="1">
      <alignment horizontal="center"/>
    </xf>
    <xf numFmtId="0" fontId="65" fillId="85" borderId="0" xfId="0" applyFont="1" applyFill="1" applyBorder="1" applyAlignment="1">
      <alignment horizontal="center"/>
    </xf>
    <xf numFmtId="0" fontId="65" fillId="85" borderId="6" xfId="0" applyFont="1" applyFill="1" applyBorder="1" applyAlignment="1">
      <alignment horizontal="center"/>
    </xf>
    <xf numFmtId="180" fontId="65" fillId="85" borderId="15" xfId="29" applyNumberFormat="1" applyFont="1" applyFill="1" applyBorder="1"/>
    <xf numFmtId="180" fontId="65" fillId="85" borderId="0" xfId="29" applyNumberFormat="1" applyFont="1" applyFill="1" applyBorder="1"/>
    <xf numFmtId="180" fontId="65" fillId="85" borderId="6" xfId="29" applyNumberFormat="1" applyFont="1" applyFill="1" applyBorder="1"/>
    <xf numFmtId="180" fontId="173" fillId="85" borderId="99" xfId="29" applyNumberFormat="1" applyFont="1" applyFill="1" applyBorder="1"/>
    <xf numFmtId="180" fontId="173" fillId="85" borderId="161" xfId="29" applyNumberFormat="1" applyFont="1" applyFill="1" applyBorder="1"/>
    <xf numFmtId="180" fontId="173" fillId="85" borderId="162" xfId="29" applyNumberFormat="1" applyFont="1" applyFill="1" applyBorder="1"/>
    <xf numFmtId="180" fontId="173" fillId="73" borderId="161" xfId="29" applyNumberFormat="1" applyFont="1" applyFill="1" applyBorder="1"/>
    <xf numFmtId="9" fontId="65" fillId="84" borderId="11" xfId="150" applyFont="1" applyFill="1" applyBorder="1"/>
    <xf numFmtId="0" fontId="0" fillId="73" borderId="0" xfId="0" applyFill="1" applyAlignment="1">
      <alignment horizontal="center" wrapText="1"/>
    </xf>
    <xf numFmtId="9" fontId="0" fillId="73" borderId="0" xfId="0" applyNumberFormat="1" applyFill="1" applyAlignment="1">
      <alignment horizontal="center"/>
    </xf>
    <xf numFmtId="0" fontId="0" fillId="73" borderId="0" xfId="0" applyFill="1" applyAlignment="1">
      <alignment horizontal="center"/>
    </xf>
    <xf numFmtId="0" fontId="175" fillId="85" borderId="0" xfId="0" applyFont="1" applyFill="1"/>
    <xf numFmtId="9" fontId="0" fillId="73" borderId="0" xfId="150" applyFont="1" applyFill="1" applyAlignment="1">
      <alignment horizontal="center"/>
    </xf>
    <xf numFmtId="10" fontId="171" fillId="73" borderId="0" xfId="0" applyNumberFormat="1" applyFont="1" applyFill="1" applyAlignment="1">
      <alignment horizontal="center"/>
    </xf>
    <xf numFmtId="219" fontId="147" fillId="73" borderId="0" xfId="29" applyNumberFormat="1" applyFont="1" applyFill="1"/>
    <xf numFmtId="0" fontId="168" fillId="77" borderId="0" xfId="45472" applyFont="1" applyFill="1" applyBorder="1" applyAlignment="1" applyProtection="1">
      <alignment vertical="center"/>
    </xf>
    <xf numFmtId="0" fontId="40" fillId="77" borderId="0" xfId="45472" applyFont="1" applyFill="1" applyBorder="1" applyAlignment="1" applyProtection="1">
      <alignment vertical="center"/>
    </xf>
    <xf numFmtId="0" fontId="171" fillId="73" borderId="22" xfId="0" applyFont="1" applyFill="1" applyBorder="1"/>
    <xf numFmtId="0" fontId="171" fillId="73" borderId="11" xfId="0" applyFont="1" applyFill="1" applyBorder="1"/>
    <xf numFmtId="0" fontId="14" fillId="73" borderId="119" xfId="115" applyFont="1" applyFill="1" applyBorder="1" applyAlignment="1" applyProtection="1">
      <alignment horizontal="center" vertical="center" wrapText="1"/>
    </xf>
    <xf numFmtId="0" fontId="14" fillId="73" borderId="135" xfId="477" applyFill="1" applyBorder="1" applyProtection="1"/>
    <xf numFmtId="0" fontId="14" fillId="73" borderId="134" xfId="477" applyFont="1" applyFill="1" applyBorder="1" applyProtection="1"/>
    <xf numFmtId="0" fontId="8" fillId="73" borderId="2" xfId="115" applyFont="1" applyFill="1" applyBorder="1" applyAlignment="1" applyProtection="1">
      <alignment horizontal="center" vertical="center"/>
    </xf>
    <xf numFmtId="0" fontId="14" fillId="73" borderId="163" xfId="477" applyFill="1" applyBorder="1" applyAlignment="1" applyProtection="1">
      <alignment horizontal="center" vertical="center"/>
    </xf>
    <xf numFmtId="0" fontId="14" fillId="73" borderId="163" xfId="477" applyFont="1" applyFill="1" applyBorder="1" applyAlignment="1" applyProtection="1">
      <alignment horizontal="center" vertical="center"/>
    </xf>
    <xf numFmtId="0" fontId="8" fillId="73" borderId="177" xfId="115" applyFont="1" applyFill="1" applyBorder="1" applyAlignment="1" applyProtection="1">
      <alignment horizontal="center" vertical="center"/>
    </xf>
    <xf numFmtId="1" fontId="14" fillId="76" borderId="179" xfId="477" applyNumberFormat="1" applyFill="1" applyBorder="1" applyAlignment="1" applyProtection="1">
      <alignment vertical="center"/>
      <protection locked="0"/>
    </xf>
    <xf numFmtId="0" fontId="171" fillId="73" borderId="16" xfId="0" applyFont="1" applyFill="1" applyBorder="1"/>
    <xf numFmtId="0" fontId="171" fillId="73" borderId="5" xfId="0" applyFont="1" applyFill="1" applyBorder="1"/>
    <xf numFmtId="0" fontId="171" fillId="73" borderId="161" xfId="0" applyFont="1" applyFill="1" applyBorder="1"/>
    <xf numFmtId="1" fontId="14" fillId="76" borderId="174" xfId="29898" applyNumberFormat="1" applyFont="1" applyFill="1" applyBorder="1" applyAlignment="1" applyProtection="1">
      <alignment vertical="center"/>
      <protection locked="0"/>
    </xf>
    <xf numFmtId="1" fontId="14" fillId="76" borderId="183" xfId="477" applyNumberFormat="1" applyFill="1" applyBorder="1" applyAlignment="1" applyProtection="1">
      <alignment vertical="center"/>
      <protection locked="0"/>
    </xf>
    <xf numFmtId="1" fontId="14" fillId="76" borderId="184" xfId="477" applyNumberFormat="1" applyFill="1" applyBorder="1" applyAlignment="1" applyProtection="1">
      <alignment horizontal="right" vertical="center"/>
      <protection locked="0"/>
    </xf>
    <xf numFmtId="1" fontId="14" fillId="76" borderId="186" xfId="29898" applyNumberFormat="1" applyFont="1" applyFill="1" applyBorder="1" applyAlignment="1" applyProtection="1">
      <alignment vertical="center"/>
      <protection locked="0"/>
    </xf>
    <xf numFmtId="1" fontId="14" fillId="76" borderId="187" xfId="29898" applyNumberFormat="1" applyFont="1" applyFill="1" applyBorder="1" applyAlignment="1" applyProtection="1">
      <alignment horizontal="right" vertical="center"/>
      <protection locked="0"/>
    </xf>
    <xf numFmtId="1" fontId="14" fillId="76" borderId="189" xfId="477" applyNumberFormat="1" applyFill="1" applyBorder="1" applyAlignment="1" applyProtection="1">
      <alignment horizontal="right" vertical="center"/>
      <protection locked="0"/>
    </xf>
    <xf numFmtId="1" fontId="14" fillId="76" borderId="190" xfId="29898" applyNumberFormat="1" applyFont="1" applyFill="1" applyBorder="1" applyAlignment="1" applyProtection="1">
      <alignment horizontal="right" vertical="center"/>
      <protection locked="0"/>
    </xf>
    <xf numFmtId="1" fontId="14" fillId="76" borderId="178" xfId="477" applyNumberFormat="1" applyFill="1" applyBorder="1" applyAlignment="1" applyProtection="1">
      <alignment horizontal="right" vertical="center"/>
      <protection locked="0"/>
    </xf>
    <xf numFmtId="1" fontId="14" fillId="76" borderId="162" xfId="29898" applyNumberFormat="1" applyFont="1" applyFill="1" applyBorder="1" applyAlignment="1" applyProtection="1">
      <alignment horizontal="right" vertical="center"/>
      <protection locked="0"/>
    </xf>
    <xf numFmtId="0" fontId="79" fillId="73" borderId="0" xfId="0" applyFont="1" applyFill="1"/>
    <xf numFmtId="0" fontId="176" fillId="73" borderId="0" xfId="0" applyFont="1" applyFill="1"/>
    <xf numFmtId="180" fontId="14" fillId="76" borderId="179" xfId="29" applyNumberFormat="1" applyFont="1" applyFill="1" applyBorder="1" applyAlignment="1" applyProtection="1">
      <alignment horizontal="right" vertical="center"/>
      <protection locked="0"/>
    </xf>
    <xf numFmtId="180" fontId="14" fillId="76" borderId="180" xfId="29" applyNumberFormat="1" applyFont="1" applyFill="1" applyBorder="1" applyAlignment="1" applyProtection="1">
      <alignment horizontal="right" vertical="center"/>
      <protection locked="0"/>
    </xf>
    <xf numFmtId="180" fontId="14" fillId="76" borderId="181" xfId="29" applyNumberFormat="1" applyFont="1" applyFill="1" applyBorder="1" applyAlignment="1" applyProtection="1">
      <alignment horizontal="right" vertical="center"/>
      <protection locked="0"/>
    </xf>
    <xf numFmtId="180" fontId="14" fillId="76" borderId="182" xfId="29" applyNumberFormat="1" applyFont="1" applyFill="1" applyBorder="1" applyAlignment="1" applyProtection="1">
      <alignment horizontal="right" vertical="center"/>
      <protection locked="0"/>
    </xf>
    <xf numFmtId="180" fontId="14" fillId="76" borderId="174" xfId="29" applyNumberFormat="1" applyFont="1" applyFill="1" applyBorder="1" applyAlignment="1" applyProtection="1">
      <alignment horizontal="right" vertical="center"/>
      <protection locked="0"/>
    </xf>
    <xf numFmtId="180" fontId="14" fillId="76" borderId="175" xfId="29" applyNumberFormat="1" applyFont="1" applyFill="1" applyBorder="1" applyAlignment="1" applyProtection="1">
      <alignment horizontal="right" vertical="center"/>
      <protection locked="0"/>
    </xf>
    <xf numFmtId="180" fontId="14" fillId="76" borderId="176" xfId="29" applyNumberFormat="1" applyFont="1" applyFill="1" applyBorder="1" applyAlignment="1" applyProtection="1">
      <alignment horizontal="right" vertical="center"/>
      <protection locked="0"/>
    </xf>
    <xf numFmtId="180" fontId="14" fillId="76" borderId="183" xfId="29" applyNumberFormat="1" applyFont="1" applyFill="1" applyBorder="1" applyAlignment="1" applyProtection="1">
      <alignment horizontal="right" vertical="center"/>
      <protection locked="0"/>
    </xf>
    <xf numFmtId="180" fontId="14" fillId="76" borderId="184" xfId="29" applyNumberFormat="1" applyFont="1" applyFill="1" applyBorder="1" applyAlignment="1" applyProtection="1">
      <alignment horizontal="right" vertical="center"/>
      <protection locked="0"/>
    </xf>
    <xf numFmtId="180" fontId="14" fillId="76" borderId="185" xfId="29" applyNumberFormat="1" applyFont="1" applyFill="1" applyBorder="1" applyAlignment="1" applyProtection="1">
      <alignment horizontal="right" vertical="center"/>
      <protection locked="0"/>
    </xf>
    <xf numFmtId="180" fontId="14" fillId="76" borderId="186" xfId="29" applyNumberFormat="1" applyFont="1" applyFill="1" applyBorder="1" applyAlignment="1" applyProtection="1">
      <alignment horizontal="right" vertical="center"/>
      <protection locked="0"/>
    </xf>
    <xf numFmtId="180" fontId="14" fillId="76" borderId="187" xfId="29" applyNumberFormat="1" applyFont="1" applyFill="1" applyBorder="1" applyAlignment="1" applyProtection="1">
      <alignment horizontal="right" vertical="center"/>
      <protection locked="0"/>
    </xf>
    <xf numFmtId="180" fontId="14" fillId="76" borderId="188" xfId="29" applyNumberFormat="1" applyFont="1" applyFill="1" applyBorder="1" applyAlignment="1" applyProtection="1">
      <alignment horizontal="right" vertical="center"/>
      <protection locked="0"/>
    </xf>
    <xf numFmtId="180" fontId="173" fillId="73" borderId="0" xfId="29" applyNumberFormat="1" applyFont="1" applyFill="1"/>
    <xf numFmtId="180" fontId="171" fillId="73" borderId="0" xfId="29" applyNumberFormat="1" applyFont="1" applyFill="1"/>
    <xf numFmtId="180" fontId="14" fillId="76" borderId="164" xfId="29" applyNumberFormat="1" applyFont="1" applyFill="1" applyBorder="1" applyAlignment="1" applyProtection="1">
      <alignment horizontal="right" vertical="center"/>
      <protection locked="0"/>
    </xf>
    <xf numFmtId="180" fontId="14" fillId="76" borderId="165" xfId="29" applyNumberFormat="1" applyFont="1" applyFill="1" applyBorder="1" applyAlignment="1" applyProtection="1">
      <alignment horizontal="right" vertical="center"/>
      <protection locked="0"/>
    </xf>
    <xf numFmtId="180" fontId="14" fillId="76" borderId="166" xfId="29" applyNumberFormat="1" applyFont="1" applyFill="1" applyBorder="1" applyAlignment="1" applyProtection="1">
      <alignment horizontal="right" vertical="center"/>
      <protection locked="0"/>
    </xf>
    <xf numFmtId="180" fontId="14" fillId="76" borderId="167" xfId="29" applyNumberFormat="1" applyFont="1" applyFill="1" applyBorder="1" applyAlignment="1" applyProtection="1">
      <alignment horizontal="right" vertical="center"/>
      <protection locked="0"/>
    </xf>
    <xf numFmtId="180" fontId="14" fillId="76" borderId="169" xfId="29" applyNumberFormat="1" applyFont="1" applyFill="1" applyBorder="1" applyAlignment="1" applyProtection="1">
      <alignment horizontal="right" vertical="center"/>
      <protection locked="0"/>
    </xf>
    <xf numFmtId="180" fontId="14" fillId="76" borderId="170" xfId="29" applyNumberFormat="1" applyFont="1" applyFill="1" applyBorder="1" applyAlignment="1" applyProtection="1">
      <alignment horizontal="right" vertical="center"/>
      <protection locked="0"/>
    </xf>
    <xf numFmtId="180" fontId="14" fillId="76" borderId="171" xfId="29" applyNumberFormat="1" applyFont="1" applyFill="1" applyBorder="1" applyAlignment="1" applyProtection="1">
      <alignment horizontal="right" vertical="center"/>
      <protection locked="0"/>
    </xf>
    <xf numFmtId="180" fontId="14" fillId="76" borderId="172" xfId="29" applyNumberFormat="1" applyFont="1" applyFill="1" applyBorder="1" applyAlignment="1" applyProtection="1">
      <alignment horizontal="right" vertical="center"/>
      <protection locked="0"/>
    </xf>
    <xf numFmtId="180" fontId="14" fillId="76" borderId="191" xfId="29" applyNumberFormat="1" applyFont="1" applyFill="1" applyBorder="1" applyAlignment="1" applyProtection="1">
      <alignment horizontal="right" vertical="center"/>
      <protection locked="0"/>
    </xf>
    <xf numFmtId="180" fontId="0" fillId="73" borderId="0" xfId="29" applyNumberFormat="1" applyFont="1" applyFill="1"/>
    <xf numFmtId="180" fontId="0" fillId="73" borderId="0" xfId="0" applyNumberFormat="1" applyFill="1"/>
    <xf numFmtId="0" fontId="14" fillId="73" borderId="0" xfId="477" applyFill="1" applyBorder="1" applyAlignment="1" applyProtection="1">
      <alignment horizontal="center" vertical="center"/>
    </xf>
    <xf numFmtId="1" fontId="14" fillId="76" borderId="192" xfId="477" applyNumberFormat="1" applyFill="1" applyBorder="1" applyAlignment="1" applyProtection="1">
      <alignment horizontal="right" vertical="center"/>
      <protection locked="0"/>
    </xf>
    <xf numFmtId="1" fontId="14" fillId="76" borderId="193" xfId="29898" applyNumberFormat="1" applyFont="1" applyFill="1" applyBorder="1" applyAlignment="1" applyProtection="1">
      <alignment horizontal="right" vertical="center"/>
      <protection locked="0"/>
    </xf>
    <xf numFmtId="1" fontId="14" fillId="76" borderId="193" xfId="477" applyNumberFormat="1" applyFill="1" applyBorder="1" applyAlignment="1" applyProtection="1">
      <alignment horizontal="right" vertical="center"/>
      <protection locked="0"/>
    </xf>
    <xf numFmtId="1" fontId="14" fillId="76" borderId="194" xfId="477" applyNumberFormat="1" applyFill="1" applyBorder="1" applyAlignment="1" applyProtection="1">
      <alignment horizontal="right" vertical="center"/>
      <protection locked="0"/>
    </xf>
    <xf numFmtId="1" fontId="14" fillId="76" borderId="195" xfId="477" applyNumberFormat="1" applyFill="1" applyBorder="1" applyAlignment="1" applyProtection="1">
      <alignment vertical="center"/>
      <protection locked="0"/>
    </xf>
    <xf numFmtId="1" fontId="14" fillId="76" borderId="168" xfId="29898" applyNumberFormat="1" applyFont="1" applyFill="1" applyBorder="1" applyAlignment="1" applyProtection="1">
      <alignment vertical="center"/>
      <protection locked="0"/>
    </xf>
    <xf numFmtId="1" fontId="14" fillId="76" borderId="168" xfId="477" applyNumberFormat="1" applyFill="1" applyBorder="1" applyAlignment="1" applyProtection="1">
      <alignment vertical="center"/>
      <protection locked="0"/>
    </xf>
    <xf numFmtId="1" fontId="14" fillId="76" borderId="168" xfId="29898" applyNumberFormat="1" applyFont="1" applyFill="1" applyBorder="1" applyAlignment="1" applyProtection="1">
      <alignment horizontal="right" vertical="center"/>
      <protection locked="0"/>
    </xf>
    <xf numFmtId="1" fontId="14" fillId="76" borderId="168" xfId="477" applyNumberFormat="1" applyFill="1" applyBorder="1" applyAlignment="1" applyProtection="1">
      <alignment horizontal="right" vertical="center"/>
      <protection locked="0"/>
    </xf>
    <xf numFmtId="1" fontId="14" fillId="76" borderId="173" xfId="477" applyNumberFormat="1" applyFill="1" applyBorder="1" applyAlignment="1" applyProtection="1">
      <alignment horizontal="right" vertical="center"/>
      <protection locked="0"/>
    </xf>
    <xf numFmtId="1" fontId="14" fillId="76" borderId="196" xfId="477" applyNumberFormat="1" applyFill="1" applyBorder="1" applyAlignment="1" applyProtection="1">
      <alignment horizontal="right" vertical="center"/>
      <protection locked="0"/>
    </xf>
    <xf numFmtId="1" fontId="14" fillId="76" borderId="197" xfId="29898" applyNumberFormat="1" applyFont="1" applyFill="1" applyBorder="1" applyAlignment="1" applyProtection="1">
      <alignment horizontal="right" vertical="center"/>
      <protection locked="0"/>
    </xf>
    <xf numFmtId="1" fontId="14" fillId="76" borderId="197" xfId="477" applyNumberFormat="1" applyFill="1" applyBorder="1" applyAlignment="1" applyProtection="1">
      <alignment horizontal="right" vertical="center"/>
      <protection locked="0"/>
    </xf>
    <xf numFmtId="1" fontId="14" fillId="76" borderId="198" xfId="477" applyNumberFormat="1" applyFill="1" applyBorder="1" applyAlignment="1" applyProtection="1">
      <alignment horizontal="right" vertical="center"/>
      <protection locked="0"/>
    </xf>
    <xf numFmtId="0" fontId="171" fillId="73" borderId="0" xfId="0" applyFont="1" applyFill="1" applyAlignment="1">
      <alignment horizontal="right"/>
    </xf>
    <xf numFmtId="0" fontId="171" fillId="73" borderId="199" xfId="0" applyFont="1" applyFill="1" applyBorder="1"/>
    <xf numFmtId="0" fontId="176" fillId="73" borderId="0" xfId="0" applyFont="1" applyFill="1" applyAlignment="1">
      <alignment horizontal="left" indent="5"/>
    </xf>
    <xf numFmtId="9" fontId="65" fillId="73" borderId="0" xfId="0" applyNumberFormat="1" applyFont="1" applyFill="1" applyAlignment="1">
      <alignment horizontal="center"/>
    </xf>
    <xf numFmtId="0" fontId="171" fillId="73" borderId="0" xfId="0" applyFont="1" applyFill="1" applyAlignment="1">
      <alignment horizontal="center"/>
    </xf>
    <xf numFmtId="9" fontId="65" fillId="73" borderId="0" xfId="150" applyFont="1" applyFill="1" applyAlignment="1">
      <alignment horizontal="center"/>
    </xf>
    <xf numFmtId="0" fontId="166" fillId="0" borderId="0" xfId="73" applyFont="1" applyAlignment="1">
      <alignment horizontal="center" vertical="center"/>
    </xf>
    <xf numFmtId="0" fontId="172" fillId="0" borderId="135" xfId="45474" applyFont="1" applyFill="1" applyBorder="1" applyAlignment="1" applyProtection="1">
      <alignment horizontal="left" vertical="center" indent="1"/>
    </xf>
    <xf numFmtId="0" fontId="0" fillId="0" borderId="163" xfId="0" applyBorder="1" applyProtection="1"/>
    <xf numFmtId="0" fontId="0" fillId="73" borderId="119" xfId="0" applyFill="1" applyBorder="1" applyAlignment="1">
      <alignment horizontal="left" vertical="center" indent="1"/>
    </xf>
    <xf numFmtId="0" fontId="0" fillId="73" borderId="177" xfId="0" applyFill="1" applyBorder="1" applyAlignment="1">
      <alignment horizontal="left" vertical="center" indent="1"/>
    </xf>
    <xf numFmtId="10" fontId="0" fillId="73" borderId="0" xfId="0" applyNumberFormat="1" applyFill="1"/>
    <xf numFmtId="180" fontId="0" fillId="73" borderId="47" xfId="0" applyNumberFormat="1" applyFill="1" applyBorder="1" applyAlignment="1">
      <alignment vertical="center"/>
    </xf>
    <xf numFmtId="0" fontId="66" fillId="73" borderId="47" xfId="0" applyFont="1" applyFill="1" applyBorder="1" applyAlignment="1">
      <alignment horizontal="center"/>
    </xf>
    <xf numFmtId="0" fontId="177" fillId="85" borderId="0" xfId="0" applyFont="1" applyFill="1"/>
    <xf numFmtId="180" fontId="0" fillId="0" borderId="0" xfId="31" applyNumberFormat="1" applyFont="1"/>
    <xf numFmtId="180" fontId="0" fillId="72" borderId="0" xfId="31" applyNumberFormat="1" applyFont="1" applyFill="1"/>
    <xf numFmtId="180" fontId="66" fillId="0" borderId="161" xfId="31" applyNumberFormat="1" applyFont="1" applyBorder="1"/>
    <xf numFmtId="180" fontId="66" fillId="72" borderId="161" xfId="31" applyNumberFormat="1" applyFont="1" applyFill="1" applyBorder="1"/>
    <xf numFmtId="180" fontId="0" fillId="0" borderId="0" xfId="31" applyNumberFormat="1" applyFont="1" applyBorder="1"/>
    <xf numFmtId="180" fontId="0" fillId="72" borderId="0" xfId="31" applyNumberFormat="1" applyFont="1" applyFill="1" applyBorder="1"/>
    <xf numFmtId="0" fontId="0" fillId="0" borderId="52" xfId="0" applyFont="1" applyFill="1" applyBorder="1"/>
    <xf numFmtId="0" fontId="151" fillId="0" borderId="48" xfId="0" applyFont="1" applyFill="1" applyBorder="1" applyAlignment="1">
      <alignment horizontal="left"/>
    </xf>
    <xf numFmtId="0" fontId="178" fillId="0" borderId="52" xfId="0" applyFont="1" applyFill="1" applyBorder="1"/>
    <xf numFmtId="0" fontId="178" fillId="85" borderId="0" xfId="0" applyFont="1" applyFill="1"/>
    <xf numFmtId="0" fontId="66" fillId="0" borderId="48" xfId="0" applyFont="1" applyFill="1" applyBorder="1"/>
    <xf numFmtId="10" fontId="167" fillId="0" borderId="0" xfId="0" applyNumberFormat="1" applyFont="1" applyFill="1" applyBorder="1"/>
    <xf numFmtId="0" fontId="66" fillId="0" borderId="52" xfId="0" applyFont="1" applyFill="1" applyBorder="1"/>
    <xf numFmtId="43" fontId="0" fillId="73" borderId="0" xfId="0" applyNumberFormat="1" applyFill="1" applyAlignment="1">
      <alignment horizontal="center"/>
    </xf>
    <xf numFmtId="0" fontId="178" fillId="86" borderId="0" xfId="0" applyFont="1" applyFill="1"/>
    <xf numFmtId="0" fontId="155" fillId="0" borderId="0" xfId="0" applyFont="1" applyFill="1"/>
    <xf numFmtId="0" fontId="148" fillId="86" borderId="0" xfId="0" applyFont="1" applyFill="1"/>
    <xf numFmtId="9" fontId="0" fillId="0" borderId="7" xfId="0" applyNumberFormat="1" applyBorder="1"/>
    <xf numFmtId="43" fontId="0" fillId="0" borderId="7" xfId="0" applyNumberFormat="1" applyBorder="1"/>
    <xf numFmtId="43" fontId="0" fillId="73" borderId="7" xfId="0" applyNumberFormat="1" applyFill="1" applyBorder="1"/>
    <xf numFmtId="0" fontId="164" fillId="71" borderId="0" xfId="73" applyFont="1" applyFill="1"/>
    <xf numFmtId="0" fontId="179" fillId="71" borderId="0" xfId="0" applyFont="1" applyFill="1"/>
    <xf numFmtId="0" fontId="180" fillId="73" borderId="0" xfId="0" applyFont="1" applyFill="1"/>
    <xf numFmtId="0" fontId="181" fillId="73" borderId="0" xfId="0" applyFont="1" applyFill="1"/>
    <xf numFmtId="0" fontId="182" fillId="73" borderId="0" xfId="0" applyFont="1" applyFill="1" applyAlignment="1">
      <alignment horizontal="left"/>
    </xf>
    <xf numFmtId="0" fontId="180" fillId="73" borderId="0" xfId="0" applyFont="1" applyFill="1" applyAlignment="1">
      <alignment horizontal="right"/>
    </xf>
    <xf numFmtId="0" fontId="182" fillId="73" borderId="0" xfId="0" applyFont="1" applyFill="1"/>
    <xf numFmtId="0" fontId="0" fillId="86" borderId="0" xfId="0" applyFill="1"/>
    <xf numFmtId="0" fontId="0" fillId="85" borderId="0" xfId="0" applyFill="1"/>
    <xf numFmtId="180" fontId="57" fillId="0" borderId="49" xfId="29" applyNumberFormat="1" applyFont="1" applyFill="1" applyBorder="1"/>
    <xf numFmtId="180" fontId="57" fillId="0" borderId="0" xfId="29" applyNumberFormat="1" applyFont="1" applyFill="1" applyBorder="1"/>
    <xf numFmtId="180" fontId="57" fillId="0" borderId="0" xfId="29" applyNumberFormat="1" applyFont="1" applyFill="1" applyBorder="1" applyAlignment="1">
      <alignment vertical="center"/>
    </xf>
    <xf numFmtId="180" fontId="57" fillId="0" borderId="0" xfId="29" applyNumberFormat="1" applyFont="1" applyFill="1" applyBorder="1" applyAlignment="1">
      <alignment wrapText="1"/>
    </xf>
    <xf numFmtId="0" fontId="147" fillId="0" borderId="0" xfId="0" applyFont="1" applyFill="1" applyAlignment="1">
      <alignment wrapText="1"/>
    </xf>
    <xf numFmtId="0" fontId="147" fillId="0" borderId="0" xfId="0" applyFont="1" applyFill="1" applyAlignment="1"/>
    <xf numFmtId="0" fontId="147" fillId="0" borderId="0" xfId="0" applyFont="1" applyFill="1" applyAlignment="1">
      <alignment horizontal="center"/>
    </xf>
    <xf numFmtId="0" fontId="147" fillId="0" borderId="0" xfId="0" applyFont="1" applyFill="1"/>
    <xf numFmtId="180" fontId="163" fillId="0" borderId="50" xfId="29" applyNumberFormat="1" applyFont="1" applyFill="1" applyBorder="1"/>
    <xf numFmtId="180" fontId="163" fillId="0" borderId="0" xfId="29" applyNumberFormat="1" applyFont="1" applyFill="1" applyBorder="1"/>
    <xf numFmtId="180" fontId="163" fillId="0" borderId="15" xfId="29" applyNumberFormat="1" applyFont="1" applyFill="1" applyBorder="1"/>
    <xf numFmtId="215" fontId="0" fillId="72" borderId="47" xfId="0" applyNumberFormat="1" applyFont="1" applyFill="1" applyBorder="1"/>
    <xf numFmtId="215" fontId="0" fillId="72" borderId="47" xfId="29" applyNumberFormat="1" applyFont="1" applyFill="1" applyBorder="1"/>
    <xf numFmtId="0" fontId="148" fillId="0" borderId="93" xfId="0" applyFont="1" applyFill="1" applyBorder="1"/>
    <xf numFmtId="0" fontId="0" fillId="73" borderId="200" xfId="0" applyFill="1" applyBorder="1"/>
    <xf numFmtId="0" fontId="183" fillId="0" borderId="0" xfId="0" applyFont="1"/>
    <xf numFmtId="0" fontId="183" fillId="0" borderId="0" xfId="0" applyFont="1" applyFill="1"/>
    <xf numFmtId="0" fontId="104" fillId="0" borderId="0" xfId="0" applyFont="1"/>
    <xf numFmtId="10" fontId="155" fillId="85" borderId="5" xfId="0" applyNumberFormat="1" applyFont="1" applyFill="1" applyBorder="1"/>
    <xf numFmtId="169" fontId="147" fillId="0" borderId="0" xfId="0" applyNumberFormat="1" applyFont="1" applyFill="1" applyBorder="1" applyAlignment="1">
      <alignment horizontal="left" indent="1"/>
    </xf>
    <xf numFmtId="0" fontId="0" fillId="0" borderId="93" xfId="0" applyFont="1" applyFill="1" applyBorder="1"/>
    <xf numFmtId="10" fontId="147" fillId="87" borderId="5" xfId="150" applyNumberFormat="1" applyFont="1" applyFill="1" applyBorder="1" applyAlignment="1">
      <alignment horizontal="right"/>
    </xf>
    <xf numFmtId="215" fontId="0" fillId="87" borderId="47" xfId="29" applyNumberFormat="1" applyFont="1" applyFill="1" applyBorder="1" applyAlignment="1">
      <alignment horizontal="center"/>
    </xf>
    <xf numFmtId="168" fontId="147" fillId="87" borderId="5" xfId="150" applyNumberFormat="1" applyFont="1" applyFill="1" applyBorder="1" applyAlignment="1">
      <alignment horizontal="right"/>
    </xf>
    <xf numFmtId="180" fontId="60" fillId="87" borderId="54" xfId="31" applyNumberFormat="1" applyFont="1" applyFill="1" applyBorder="1"/>
    <xf numFmtId="180" fontId="60" fillId="87" borderId="50" xfId="31" applyNumberFormat="1" applyFont="1" applyFill="1" applyBorder="1"/>
    <xf numFmtId="180" fontId="60" fillId="87" borderId="0" xfId="31" applyNumberFormat="1" applyFont="1" applyFill="1" applyBorder="1"/>
    <xf numFmtId="180" fontId="0" fillId="87" borderId="54" xfId="0" applyNumberFormat="1" applyFill="1" applyBorder="1"/>
    <xf numFmtId="180" fontId="0" fillId="87" borderId="50" xfId="0" applyNumberFormat="1" applyFill="1" applyBorder="1"/>
    <xf numFmtId="180" fontId="60" fillId="87" borderId="54" xfId="31" applyNumberFormat="1" applyFont="1" applyFill="1" applyBorder="1" applyAlignment="1">
      <alignment wrapText="1"/>
    </xf>
    <xf numFmtId="180" fontId="60" fillId="87" borderId="50" xfId="31" applyNumberFormat="1" applyFont="1" applyFill="1" applyBorder="1" applyAlignment="1">
      <alignment wrapText="1"/>
    </xf>
    <xf numFmtId="180" fontId="60" fillId="87" borderId="0" xfId="31" applyNumberFormat="1" applyFont="1" applyFill="1" applyBorder="1" applyAlignment="1">
      <alignment wrapText="1"/>
    </xf>
    <xf numFmtId="180" fontId="60" fillId="87" borderId="54" xfId="29" applyNumberFormat="1" applyFont="1" applyFill="1" applyBorder="1"/>
    <xf numFmtId="180" fontId="60" fillId="87" borderId="50" xfId="29" applyNumberFormat="1" applyFont="1" applyFill="1" applyBorder="1"/>
    <xf numFmtId="180" fontId="60" fillId="87" borderId="0" xfId="29" applyNumberFormat="1" applyFont="1" applyFill="1" applyBorder="1"/>
    <xf numFmtId="0" fontId="0" fillId="87" borderId="0" xfId="0" applyFill="1" applyAlignment="1"/>
    <xf numFmtId="220" fontId="0" fillId="0" borderId="0" xfId="0" applyNumberFormat="1" applyFont="1"/>
    <xf numFmtId="3" fontId="0" fillId="87" borderId="106" xfId="0" applyNumberFormat="1" applyFont="1" applyFill="1" applyBorder="1" applyAlignment="1" applyProtection="1">
      <alignment horizontal="right" wrapText="1"/>
      <protection locked="0"/>
    </xf>
    <xf numFmtId="3" fontId="0" fillId="87" borderId="107" xfId="0" applyNumberFormat="1" applyFont="1" applyFill="1" applyBorder="1" applyAlignment="1" applyProtection="1">
      <alignment horizontal="right" wrapText="1"/>
      <protection locked="0"/>
    </xf>
    <xf numFmtId="3" fontId="0" fillId="87" borderId="105" xfId="0" applyNumberFormat="1" applyFont="1" applyFill="1" applyBorder="1" applyAlignment="1" applyProtection="1">
      <alignment horizontal="right" wrapText="1"/>
      <protection locked="0"/>
    </xf>
    <xf numFmtId="0" fontId="14" fillId="87" borderId="5" xfId="45473" applyFont="1" applyFill="1" applyBorder="1" applyAlignment="1">
      <alignment horizontal="right" vertical="center" indent="1"/>
    </xf>
    <xf numFmtId="10" fontId="0" fillId="87" borderId="99" xfId="150" applyNumberFormat="1" applyFont="1" applyFill="1" applyBorder="1"/>
    <xf numFmtId="10" fontId="0" fillId="87" borderId="161" xfId="150" applyNumberFormat="1" applyFont="1" applyFill="1" applyBorder="1"/>
    <xf numFmtId="10" fontId="0" fillId="87" borderId="162" xfId="150" applyNumberFormat="1" applyFont="1" applyFill="1" applyBorder="1"/>
    <xf numFmtId="10" fontId="0" fillId="87" borderId="11" xfId="150" applyNumberFormat="1" applyFont="1" applyFill="1" applyBorder="1"/>
    <xf numFmtId="10" fontId="0" fillId="87" borderId="22" xfId="150" applyNumberFormat="1" applyFont="1" applyFill="1" applyBorder="1"/>
    <xf numFmtId="10" fontId="0" fillId="87" borderId="46" xfId="150" applyNumberFormat="1" applyFont="1" applyFill="1" applyBorder="1"/>
    <xf numFmtId="43" fontId="147" fillId="0" borderId="202" xfId="141" applyNumberFormat="1" applyFont="1" applyFill="1" applyBorder="1" applyAlignment="1">
      <alignment horizontal="right"/>
    </xf>
    <xf numFmtId="40" fontId="147" fillId="0" borderId="202" xfId="0" applyNumberFormat="1" applyFont="1" applyFill="1" applyBorder="1" applyAlignment="1">
      <alignment horizontal="right"/>
    </xf>
    <xf numFmtId="10" fontId="0" fillId="0" borderId="202" xfId="0" applyNumberFormat="1" applyFont="1" applyFill="1" applyBorder="1"/>
    <xf numFmtId="0" fontId="8" fillId="88" borderId="0" xfId="0" applyFont="1" applyFill="1"/>
    <xf numFmtId="0" fontId="173" fillId="0" borderId="0" xfId="0" applyFont="1"/>
    <xf numFmtId="0" fontId="8" fillId="86" borderId="0" xfId="0" applyFont="1" applyFill="1"/>
    <xf numFmtId="0" fontId="173" fillId="0" borderId="161" xfId="0" applyFont="1" applyBorder="1" applyAlignment="1">
      <alignment horizontal="right"/>
    </xf>
    <xf numFmtId="0" fontId="186" fillId="0" borderId="0" xfId="0" applyFont="1"/>
    <xf numFmtId="168" fontId="0" fillId="0" borderId="0" xfId="150" applyNumberFormat="1" applyFont="1"/>
    <xf numFmtId="0" fontId="187" fillId="0" borderId="0" xfId="0" applyFont="1"/>
    <xf numFmtId="2" fontId="0" fillId="0" borderId="161" xfId="0" applyNumberFormat="1" applyBorder="1"/>
    <xf numFmtId="221" fontId="0" fillId="0" borderId="0" xfId="0" applyNumberFormat="1"/>
    <xf numFmtId="0" fontId="188" fillId="0" borderId="0" xfId="0" applyFont="1"/>
    <xf numFmtId="216" fontId="185" fillId="0" borderId="0" xfId="0" applyNumberFormat="1" applyFont="1"/>
    <xf numFmtId="2" fontId="0" fillId="0" borderId="0" xfId="0" applyNumberFormat="1" applyFont="1" applyFill="1"/>
    <xf numFmtId="2" fontId="184" fillId="76" borderId="0" xfId="0" applyNumberFormat="1" applyFont="1" applyFill="1"/>
    <xf numFmtId="0" fontId="189" fillId="0" borderId="0" xfId="0" applyFont="1"/>
    <xf numFmtId="168" fontId="184" fillId="76" borderId="0" xfId="0" applyNumberFormat="1" applyFont="1" applyFill="1"/>
    <xf numFmtId="0" fontId="188" fillId="88" borderId="0" xfId="0" applyFont="1" applyFill="1"/>
    <xf numFmtId="2" fontId="0" fillId="0" borderId="0" xfId="0" applyNumberFormat="1" applyFont="1"/>
    <xf numFmtId="2" fontId="0" fillId="0" borderId="161" xfId="0" applyNumberFormat="1" applyFont="1" applyBorder="1"/>
    <xf numFmtId="2" fontId="66" fillId="0" borderId="201" xfId="0" applyNumberFormat="1" applyFont="1" applyBorder="1"/>
    <xf numFmtId="2" fontId="66" fillId="0" borderId="201" xfId="0" applyNumberFormat="1" applyFont="1" applyFill="1" applyBorder="1"/>
    <xf numFmtId="40" fontId="147" fillId="87" borderId="202" xfId="0" applyNumberFormat="1" applyFont="1" applyFill="1" applyBorder="1" applyAlignment="1">
      <alignment horizontal="right"/>
    </xf>
    <xf numFmtId="10" fontId="0" fillId="87" borderId="202" xfId="0" applyNumberFormat="1" applyFont="1" applyFill="1" applyBorder="1"/>
    <xf numFmtId="9" fontId="0" fillId="0" borderId="202" xfId="0" applyNumberFormat="1" applyFill="1" applyBorder="1"/>
    <xf numFmtId="170" fontId="147" fillId="0" borderId="5" xfId="0" applyNumberFormat="1" applyFont="1" applyBorder="1"/>
    <xf numFmtId="216" fontId="0" fillId="0" borderId="0" xfId="0" applyNumberFormat="1" applyFont="1"/>
    <xf numFmtId="180" fontId="0" fillId="0" borderId="54" xfId="29" applyNumberFormat="1" applyFont="1" applyFill="1" applyBorder="1"/>
    <xf numFmtId="180" fontId="0" fillId="0" borderId="50" xfId="29" applyNumberFormat="1" applyFont="1" applyFill="1" applyBorder="1"/>
    <xf numFmtId="180" fontId="0" fillId="0" borderId="51" xfId="29" applyNumberFormat="1" applyFont="1" applyFill="1" applyBorder="1"/>
    <xf numFmtId="0" fontId="15" fillId="0" borderId="0" xfId="0" applyFont="1" applyAlignment="1">
      <alignment horizontal="center"/>
    </xf>
    <xf numFmtId="0" fontId="153" fillId="70" borderId="47" xfId="0" applyFont="1" applyFill="1" applyBorder="1" applyAlignment="1">
      <alignment horizontal="center" vertical="center"/>
    </xf>
    <xf numFmtId="0" fontId="153" fillId="70" borderId="19" xfId="0" applyFont="1" applyFill="1" applyBorder="1" applyAlignment="1">
      <alignment horizontal="center" vertical="center"/>
    </xf>
    <xf numFmtId="0" fontId="153" fillId="70" borderId="4" xfId="0" applyFont="1" applyFill="1" applyBorder="1" applyAlignment="1">
      <alignment horizontal="center" vertical="center"/>
    </xf>
    <xf numFmtId="0" fontId="153" fillId="70" borderId="20" xfId="0" applyFont="1" applyFill="1" applyBorder="1" applyAlignment="1">
      <alignment horizontal="center" vertical="center"/>
    </xf>
    <xf numFmtId="0" fontId="0" fillId="0" borderId="88" xfId="0" applyBorder="1" applyAlignment="1">
      <alignment horizontal="left" vertical="center" wrapText="1"/>
    </xf>
    <xf numFmtId="0" fontId="151" fillId="72" borderId="99" xfId="0" applyFont="1" applyFill="1" applyBorder="1" applyAlignment="1">
      <alignment horizontal="center"/>
    </xf>
    <xf numFmtId="0" fontId="151" fillId="72" borderId="161" xfId="0" applyFont="1" applyFill="1" applyBorder="1" applyAlignment="1">
      <alignment horizontal="center"/>
    </xf>
    <xf numFmtId="0" fontId="151" fillId="72" borderId="162" xfId="0" applyFont="1" applyFill="1" applyBorder="1" applyAlignment="1">
      <alignment horizontal="center"/>
    </xf>
    <xf numFmtId="0" fontId="151" fillId="72" borderId="19" xfId="0" applyFont="1" applyFill="1" applyBorder="1" applyAlignment="1">
      <alignment horizontal="center"/>
    </xf>
    <xf numFmtId="0" fontId="151" fillId="72" borderId="4" xfId="0" applyFont="1" applyFill="1" applyBorder="1" applyAlignment="1">
      <alignment horizontal="center"/>
    </xf>
    <xf numFmtId="0" fontId="151" fillId="72" borderId="20" xfId="0" applyFont="1" applyFill="1" applyBorder="1" applyAlignment="1">
      <alignment horizontal="center"/>
    </xf>
    <xf numFmtId="0" fontId="66" fillId="72" borderId="59" xfId="0" applyFont="1" applyFill="1" applyBorder="1" applyAlignment="1">
      <alignment horizontal="center"/>
    </xf>
    <xf numFmtId="0" fontId="66" fillId="72" borderId="60" xfId="0" applyFont="1" applyFill="1" applyBorder="1" applyAlignment="1">
      <alignment horizontal="center"/>
    </xf>
    <xf numFmtId="0" fontId="66" fillId="72" borderId="61" xfId="0" applyFont="1" applyFill="1" applyBorder="1" applyAlignment="1">
      <alignment horizontal="center"/>
    </xf>
    <xf numFmtId="0" fontId="66" fillId="72" borderId="19" xfId="0" applyFont="1" applyFill="1" applyBorder="1" applyAlignment="1">
      <alignment horizontal="center"/>
    </xf>
    <xf numFmtId="0" fontId="66" fillId="72" borderId="4" xfId="0" applyFont="1" applyFill="1" applyBorder="1" applyAlignment="1">
      <alignment horizontal="center"/>
    </xf>
    <xf numFmtId="0" fontId="66" fillId="72" borderId="20" xfId="0" applyFont="1" applyFill="1" applyBorder="1" applyAlignment="1">
      <alignment horizontal="center"/>
    </xf>
    <xf numFmtId="0" fontId="169" fillId="0" borderId="52" xfId="45473" applyFont="1" applyFill="1" applyBorder="1" applyAlignment="1">
      <alignment horizontal="right" vertical="center" wrapText="1" indent="1"/>
    </xf>
    <xf numFmtId="0" fontId="169" fillId="0" borderId="22" xfId="45473" applyFont="1" applyFill="1" applyBorder="1" applyAlignment="1">
      <alignment horizontal="right" vertical="center" wrapText="1" indent="1"/>
    </xf>
    <xf numFmtId="0" fontId="8" fillId="78" borderId="63" xfId="45473" applyFont="1" applyFill="1" applyBorder="1" applyAlignment="1" applyProtection="1">
      <alignment horizontal="center" vertical="center" wrapText="1"/>
    </xf>
    <xf numFmtId="0" fontId="8" fillId="78" borderId="93" xfId="45473" applyFont="1" applyFill="1" applyBorder="1" applyAlignment="1" applyProtection="1">
      <alignment horizontal="center" vertical="center" wrapText="1"/>
    </xf>
    <xf numFmtId="0" fontId="8" fillId="78" borderId="113" xfId="31770" applyFont="1" applyFill="1" applyBorder="1" applyAlignment="1" applyProtection="1">
      <alignment horizontal="center" vertical="center" wrapText="1"/>
    </xf>
    <xf numFmtId="0" fontId="8" fillId="78" borderId="114" xfId="31770" applyFont="1" applyFill="1" applyBorder="1" applyAlignment="1" applyProtection="1">
      <alignment horizontal="center" vertical="center" wrapText="1"/>
    </xf>
    <xf numFmtId="0" fontId="8" fillId="78" borderId="115" xfId="31770" applyFont="1" applyFill="1" applyBorder="1" applyAlignment="1" applyProtection="1">
      <alignment horizontal="center" vertical="center" wrapText="1"/>
    </xf>
    <xf numFmtId="0" fontId="120" fillId="0" borderId="63" xfId="115" applyFont="1" applyFill="1" applyBorder="1" applyAlignment="1" applyProtection="1">
      <alignment vertical="top"/>
    </xf>
    <xf numFmtId="0" fontId="120" fillId="0" borderId="62" xfId="115" applyFont="1" applyFill="1" applyBorder="1" applyAlignment="1" applyProtection="1">
      <alignment vertical="top"/>
    </xf>
    <xf numFmtId="0" fontId="120" fillId="0" borderId="15" xfId="115" applyFont="1" applyFill="1" applyBorder="1" applyAlignment="1" applyProtection="1">
      <alignment vertical="top"/>
    </xf>
    <xf numFmtId="0" fontId="120" fillId="0" borderId="6" xfId="115" applyFont="1" applyFill="1" applyBorder="1" applyAlignment="1" applyProtection="1">
      <alignment vertical="top"/>
    </xf>
    <xf numFmtId="0" fontId="120" fillId="0" borderId="22" xfId="115" applyFont="1" applyFill="1" applyBorder="1" applyAlignment="1" applyProtection="1">
      <alignment vertical="top"/>
    </xf>
    <xf numFmtId="0" fontId="120" fillId="0" borderId="46" xfId="115" applyFont="1" applyFill="1" applyBorder="1" applyAlignment="1" applyProtection="1">
      <alignment vertical="top"/>
    </xf>
    <xf numFmtId="0" fontId="8" fillId="78" borderId="131" xfId="115" applyFont="1" applyFill="1" applyBorder="1" applyAlignment="1" applyProtection="1">
      <alignment horizontal="center" vertical="center" wrapText="1"/>
    </xf>
    <xf numFmtId="0" fontId="8" fillId="78" borderId="93" xfId="115" applyFont="1" applyFill="1" applyBorder="1" applyAlignment="1" applyProtection="1">
      <alignment horizontal="center" vertical="center" wrapText="1"/>
    </xf>
    <xf numFmtId="0" fontId="8" fillId="78" borderId="62" xfId="115" applyFont="1" applyFill="1" applyBorder="1" applyAlignment="1" applyProtection="1">
      <alignment horizontal="center" vertical="center" wrapText="1"/>
    </xf>
    <xf numFmtId="0" fontId="0" fillId="73" borderId="0" xfId="0" applyFill="1" applyAlignment="1">
      <alignment horizontal="center" vertical="center"/>
    </xf>
    <xf numFmtId="0" fontId="66" fillId="73" borderId="47" xfId="0" applyFont="1" applyFill="1" applyBorder="1" applyAlignment="1">
      <alignment horizontal="center" vertical="center" wrapText="1"/>
    </xf>
    <xf numFmtId="0" fontId="66" fillId="73" borderId="47" xfId="0" applyFont="1" applyFill="1" applyBorder="1" applyAlignment="1">
      <alignment horizontal="center" vertical="center"/>
    </xf>
    <xf numFmtId="0" fontId="173" fillId="83" borderId="119" xfId="0" applyFont="1" applyFill="1" applyBorder="1" applyAlignment="1" applyProtection="1">
      <alignment horizontal="center" vertical="center" wrapText="1"/>
    </xf>
    <xf numFmtId="0" fontId="173" fillId="83" borderId="135" xfId="0" applyFont="1" applyFill="1" applyBorder="1" applyAlignment="1" applyProtection="1">
      <alignment horizontal="center" vertical="center" wrapText="1"/>
    </xf>
    <xf numFmtId="0" fontId="173" fillId="83" borderId="134" xfId="0" applyFont="1" applyFill="1" applyBorder="1" applyAlignment="1" applyProtection="1">
      <alignment horizontal="center" vertical="center" wrapText="1"/>
    </xf>
    <xf numFmtId="0" fontId="173" fillId="79" borderId="119" xfId="0" applyFont="1" applyFill="1" applyBorder="1" applyAlignment="1" applyProtection="1">
      <alignment horizontal="center" vertical="center" wrapText="1"/>
    </xf>
    <xf numFmtId="0" fontId="173" fillId="79" borderId="135" xfId="0" applyFont="1" applyFill="1" applyBorder="1" applyAlignment="1" applyProtection="1">
      <alignment horizontal="center" vertical="center" wrapText="1"/>
    </xf>
    <xf numFmtId="0" fontId="173" fillId="79" borderId="134" xfId="0" applyFont="1" applyFill="1" applyBorder="1" applyAlignment="1" applyProtection="1">
      <alignment horizontal="center" vertical="center" wrapText="1"/>
    </xf>
  </cellXfs>
  <cellStyles count="45475">
    <cellStyle name="20% - Accent1 10" xfId="631"/>
    <cellStyle name="20% - Accent1 10 2" xfId="632"/>
    <cellStyle name="20% - Accent1 10 2 2" xfId="633"/>
    <cellStyle name="20% - Accent1 10 2 2 2" xfId="634"/>
    <cellStyle name="20% - Accent1 10 2 2 2 2" xfId="635"/>
    <cellStyle name="20% - Accent1 10 2 2 3" xfId="636"/>
    <cellStyle name="20% - Accent1 10 2 3" xfId="637"/>
    <cellStyle name="20% - Accent1 10 2 3 2" xfId="638"/>
    <cellStyle name="20% - Accent1 10 2 4" xfId="639"/>
    <cellStyle name="20% - Accent1 10 3" xfId="640"/>
    <cellStyle name="20% - Accent1 10 3 2" xfId="641"/>
    <cellStyle name="20% - Accent1 10 3 2 2" xfId="642"/>
    <cellStyle name="20% - Accent1 10 3 3" xfId="643"/>
    <cellStyle name="20% - Accent1 10 4" xfId="644"/>
    <cellStyle name="20% - Accent1 10 4 2" xfId="645"/>
    <cellStyle name="20% - Accent1 10 5" xfId="646"/>
    <cellStyle name="20% - Accent1 10 5 2" xfId="647"/>
    <cellStyle name="20% - Accent1 10 6" xfId="648"/>
    <cellStyle name="20% - Accent1 11" xfId="649"/>
    <cellStyle name="20% - Accent1 11 2" xfId="650"/>
    <cellStyle name="20% - Accent1 11 2 2" xfId="651"/>
    <cellStyle name="20% - Accent1 11 2 2 2" xfId="652"/>
    <cellStyle name="20% - Accent1 11 2 2 2 2" xfId="653"/>
    <cellStyle name="20% - Accent1 11 2 2 3" xfId="654"/>
    <cellStyle name="20% - Accent1 11 2 3" xfId="655"/>
    <cellStyle name="20% - Accent1 11 2 3 2" xfId="656"/>
    <cellStyle name="20% - Accent1 11 2 4" xfId="657"/>
    <cellStyle name="20% - Accent1 11 3" xfId="658"/>
    <cellStyle name="20% - Accent1 11 3 2" xfId="659"/>
    <cellStyle name="20% - Accent1 11 3 2 2" xfId="660"/>
    <cellStyle name="20% - Accent1 11 3 3" xfId="661"/>
    <cellStyle name="20% - Accent1 11 4" xfId="662"/>
    <cellStyle name="20% - Accent1 11 4 2" xfId="663"/>
    <cellStyle name="20% - Accent1 11 5" xfId="664"/>
    <cellStyle name="20% - Accent1 11 5 2" xfId="665"/>
    <cellStyle name="20% - Accent1 11 6" xfId="666"/>
    <cellStyle name="20% - Accent1 12" xfId="667"/>
    <cellStyle name="20% - Accent1 12 2" xfId="668"/>
    <cellStyle name="20% - Accent1 12 2 2" xfId="669"/>
    <cellStyle name="20% - Accent1 12 2 2 2" xfId="670"/>
    <cellStyle name="20% - Accent1 12 2 2 2 2" xfId="671"/>
    <cellStyle name="20% - Accent1 12 2 2 3" xfId="672"/>
    <cellStyle name="20% - Accent1 12 2 3" xfId="673"/>
    <cellStyle name="20% - Accent1 12 2 3 2" xfId="674"/>
    <cellStyle name="20% - Accent1 12 2 4" xfId="675"/>
    <cellStyle name="20% - Accent1 12 3" xfId="676"/>
    <cellStyle name="20% - Accent1 12 3 2" xfId="677"/>
    <cellStyle name="20% - Accent1 12 3 2 2" xfId="678"/>
    <cellStyle name="20% - Accent1 12 3 3" xfId="679"/>
    <cellStyle name="20% - Accent1 12 4" xfId="680"/>
    <cellStyle name="20% - Accent1 12 4 2" xfId="681"/>
    <cellStyle name="20% - Accent1 12 5" xfId="682"/>
    <cellStyle name="20% - Accent1 12 5 2" xfId="683"/>
    <cellStyle name="20% - Accent1 12 6" xfId="684"/>
    <cellStyle name="20% - Accent1 13" xfId="685"/>
    <cellStyle name="20% - Accent1 13 2" xfId="686"/>
    <cellStyle name="20% - Accent1 13 2 2" xfId="687"/>
    <cellStyle name="20% - Accent1 13 2 2 2" xfId="688"/>
    <cellStyle name="20% - Accent1 13 2 2 2 2" xfId="689"/>
    <cellStyle name="20% - Accent1 13 2 2 3" xfId="690"/>
    <cellStyle name="20% - Accent1 13 2 3" xfId="691"/>
    <cellStyle name="20% - Accent1 13 2 3 2" xfId="692"/>
    <cellStyle name="20% - Accent1 13 2 4" xfId="693"/>
    <cellStyle name="20% - Accent1 13 3" xfId="694"/>
    <cellStyle name="20% - Accent1 13 3 2" xfId="695"/>
    <cellStyle name="20% - Accent1 13 3 2 2" xfId="696"/>
    <cellStyle name="20% - Accent1 13 3 3" xfId="697"/>
    <cellStyle name="20% - Accent1 13 4" xfId="698"/>
    <cellStyle name="20% - Accent1 13 4 2" xfId="699"/>
    <cellStyle name="20% - Accent1 13 5" xfId="700"/>
    <cellStyle name="20% - Accent1 13 5 2" xfId="701"/>
    <cellStyle name="20% - Accent1 13 6" xfId="702"/>
    <cellStyle name="20% - Accent1 14" xfId="703"/>
    <cellStyle name="20% - Accent1 14 2" xfId="704"/>
    <cellStyle name="20% - Accent1 14 2 2" xfId="705"/>
    <cellStyle name="20% - Accent1 14 2 2 2" xfId="706"/>
    <cellStyle name="20% - Accent1 14 2 3" xfId="707"/>
    <cellStyle name="20% - Accent1 14 3" xfId="708"/>
    <cellStyle name="20% - Accent1 14 3 2" xfId="709"/>
    <cellStyle name="20% - Accent1 14 4" xfId="710"/>
    <cellStyle name="20% - Accent1 15" xfId="711"/>
    <cellStyle name="20% - Accent1 15 2" xfId="712"/>
    <cellStyle name="20% - Accent1 15 2 2" xfId="713"/>
    <cellStyle name="20% - Accent1 15 3" xfId="714"/>
    <cellStyle name="20% - Accent1 16" xfId="715"/>
    <cellStyle name="20% - Accent1 16 2" xfId="716"/>
    <cellStyle name="20% - Accent1 17" xfId="717"/>
    <cellStyle name="20% - Accent1 17 2" xfId="718"/>
    <cellStyle name="20% - Accent1 18" xfId="719"/>
    <cellStyle name="20% - Accent1 2" xfId="720"/>
    <cellStyle name="20% - Accent1 2 2" xfId="721"/>
    <cellStyle name="20% - Accent1 3" xfId="722"/>
    <cellStyle name="20% - Accent1 3 10" xfId="723"/>
    <cellStyle name="20% - Accent1 3 10 2" xfId="724"/>
    <cellStyle name="20% - Accent1 3 10 2 2" xfId="725"/>
    <cellStyle name="20% - Accent1 3 10 2 2 2" xfId="726"/>
    <cellStyle name="20% - Accent1 3 10 2 2 2 2" xfId="727"/>
    <cellStyle name="20% - Accent1 3 10 2 2 3" xfId="728"/>
    <cellStyle name="20% - Accent1 3 10 2 3" xfId="729"/>
    <cellStyle name="20% - Accent1 3 10 2 3 2" xfId="730"/>
    <cellStyle name="20% - Accent1 3 10 2 4" xfId="731"/>
    <cellStyle name="20% - Accent1 3 10 3" xfId="732"/>
    <cellStyle name="20% - Accent1 3 10 3 2" xfId="733"/>
    <cellStyle name="20% - Accent1 3 10 3 2 2" xfId="734"/>
    <cellStyle name="20% - Accent1 3 10 3 3" xfId="735"/>
    <cellStyle name="20% - Accent1 3 10 4" xfId="736"/>
    <cellStyle name="20% - Accent1 3 10 4 2" xfId="737"/>
    <cellStyle name="20% - Accent1 3 10 5" xfId="738"/>
    <cellStyle name="20% - Accent1 3 10 5 2" xfId="739"/>
    <cellStyle name="20% - Accent1 3 10 6" xfId="740"/>
    <cellStyle name="20% - Accent1 3 11" xfId="741"/>
    <cellStyle name="20% - Accent1 3 11 2" xfId="742"/>
    <cellStyle name="20% - Accent1 3 11 2 2" xfId="743"/>
    <cellStyle name="20% - Accent1 3 11 2 2 2" xfId="744"/>
    <cellStyle name="20% - Accent1 3 11 2 2 2 2" xfId="745"/>
    <cellStyle name="20% - Accent1 3 11 2 2 3" xfId="746"/>
    <cellStyle name="20% - Accent1 3 11 2 3" xfId="747"/>
    <cellStyle name="20% - Accent1 3 11 2 3 2" xfId="748"/>
    <cellStyle name="20% - Accent1 3 11 2 4" xfId="749"/>
    <cellStyle name="20% - Accent1 3 11 3" xfId="750"/>
    <cellStyle name="20% - Accent1 3 11 3 2" xfId="751"/>
    <cellStyle name="20% - Accent1 3 11 3 2 2" xfId="752"/>
    <cellStyle name="20% - Accent1 3 11 3 3" xfId="753"/>
    <cellStyle name="20% - Accent1 3 11 4" xfId="754"/>
    <cellStyle name="20% - Accent1 3 11 4 2" xfId="755"/>
    <cellStyle name="20% - Accent1 3 11 5" xfId="756"/>
    <cellStyle name="20% - Accent1 3 11 5 2" xfId="757"/>
    <cellStyle name="20% - Accent1 3 11 6" xfId="758"/>
    <cellStyle name="20% - Accent1 3 12" xfId="759"/>
    <cellStyle name="20% - Accent1 3 12 2" xfId="760"/>
    <cellStyle name="20% - Accent1 3 12 2 2" xfId="761"/>
    <cellStyle name="20% - Accent1 3 12 2 2 2" xfId="762"/>
    <cellStyle name="20% - Accent1 3 12 2 3" xfId="763"/>
    <cellStyle name="20% - Accent1 3 12 3" xfId="764"/>
    <cellStyle name="20% - Accent1 3 12 3 2" xfId="765"/>
    <cellStyle name="20% - Accent1 3 12 4" xfId="766"/>
    <cellStyle name="20% - Accent1 3 13" xfId="767"/>
    <cellStyle name="20% - Accent1 3 13 2" xfId="768"/>
    <cellStyle name="20% - Accent1 3 13 2 2" xfId="769"/>
    <cellStyle name="20% - Accent1 3 13 3" xfId="770"/>
    <cellStyle name="20% - Accent1 3 13 4" xfId="771"/>
    <cellStyle name="20% - Accent1 3 14" xfId="772"/>
    <cellStyle name="20% - Accent1 3 14 2" xfId="773"/>
    <cellStyle name="20% - Accent1 3 15" xfId="774"/>
    <cellStyle name="20% - Accent1 3 15 2" xfId="775"/>
    <cellStyle name="20% - Accent1 3 16" xfId="776"/>
    <cellStyle name="20% - Accent1 3 2" xfId="777"/>
    <cellStyle name="20% - Accent1 3 2 10" xfId="778"/>
    <cellStyle name="20% - Accent1 3 2 10 2" xfId="779"/>
    <cellStyle name="20% - Accent1 3 2 10 2 2" xfId="780"/>
    <cellStyle name="20% - Accent1 3 2 10 2 2 2" xfId="781"/>
    <cellStyle name="20% - Accent1 3 2 10 2 2 2 2" xfId="782"/>
    <cellStyle name="20% - Accent1 3 2 10 2 2 3" xfId="783"/>
    <cellStyle name="20% - Accent1 3 2 10 2 3" xfId="784"/>
    <cellStyle name="20% - Accent1 3 2 10 2 3 2" xfId="785"/>
    <cellStyle name="20% - Accent1 3 2 10 2 4" xfId="786"/>
    <cellStyle name="20% - Accent1 3 2 10 3" xfId="787"/>
    <cellStyle name="20% - Accent1 3 2 10 3 2" xfId="788"/>
    <cellStyle name="20% - Accent1 3 2 10 3 2 2" xfId="789"/>
    <cellStyle name="20% - Accent1 3 2 10 3 3" xfId="790"/>
    <cellStyle name="20% - Accent1 3 2 10 4" xfId="791"/>
    <cellStyle name="20% - Accent1 3 2 10 4 2" xfId="792"/>
    <cellStyle name="20% - Accent1 3 2 10 5" xfId="793"/>
    <cellStyle name="20% - Accent1 3 2 10 5 2" xfId="794"/>
    <cellStyle name="20% - Accent1 3 2 10 6" xfId="795"/>
    <cellStyle name="20% - Accent1 3 2 11" xfId="796"/>
    <cellStyle name="20% - Accent1 3 2 11 2" xfId="797"/>
    <cellStyle name="20% - Accent1 3 2 11 2 2" xfId="798"/>
    <cellStyle name="20% - Accent1 3 2 11 2 2 2" xfId="799"/>
    <cellStyle name="20% - Accent1 3 2 11 2 3" xfId="800"/>
    <cellStyle name="20% - Accent1 3 2 11 3" xfId="801"/>
    <cellStyle name="20% - Accent1 3 2 11 3 2" xfId="802"/>
    <cellStyle name="20% - Accent1 3 2 11 4" xfId="803"/>
    <cellStyle name="20% - Accent1 3 2 12" xfId="804"/>
    <cellStyle name="20% - Accent1 3 2 12 2" xfId="805"/>
    <cellStyle name="20% - Accent1 3 2 12 2 2" xfId="806"/>
    <cellStyle name="20% - Accent1 3 2 12 3" xfId="807"/>
    <cellStyle name="20% - Accent1 3 2 13" xfId="808"/>
    <cellStyle name="20% - Accent1 3 2 13 2" xfId="809"/>
    <cellStyle name="20% - Accent1 3 2 14" xfId="810"/>
    <cellStyle name="20% - Accent1 3 2 14 2" xfId="811"/>
    <cellStyle name="20% - Accent1 3 2 15" xfId="812"/>
    <cellStyle name="20% - Accent1 3 2 2" xfId="813"/>
    <cellStyle name="20% - Accent1 3 2 2 10" xfId="814"/>
    <cellStyle name="20% - Accent1 3 2 2 10 2" xfId="815"/>
    <cellStyle name="20% - Accent1 3 2 2 11" xfId="816"/>
    <cellStyle name="20% - Accent1 3 2 2 2" xfId="817"/>
    <cellStyle name="20% - Accent1 3 2 2 2 2" xfId="818"/>
    <cellStyle name="20% - Accent1 3 2 2 2 2 2" xfId="819"/>
    <cellStyle name="20% - Accent1 3 2 2 2 2 2 2" xfId="820"/>
    <cellStyle name="20% - Accent1 3 2 2 2 2 2 2 2" xfId="821"/>
    <cellStyle name="20% - Accent1 3 2 2 2 2 2 2 2 2" xfId="822"/>
    <cellStyle name="20% - Accent1 3 2 2 2 2 2 2 3" xfId="823"/>
    <cellStyle name="20% - Accent1 3 2 2 2 2 2 3" xfId="824"/>
    <cellStyle name="20% - Accent1 3 2 2 2 2 2 3 2" xfId="825"/>
    <cellStyle name="20% - Accent1 3 2 2 2 2 2 4" xfId="826"/>
    <cellStyle name="20% - Accent1 3 2 2 2 2 3" xfId="827"/>
    <cellStyle name="20% - Accent1 3 2 2 2 2 3 2" xfId="828"/>
    <cellStyle name="20% - Accent1 3 2 2 2 2 3 2 2" xfId="829"/>
    <cellStyle name="20% - Accent1 3 2 2 2 2 3 3" xfId="830"/>
    <cellStyle name="20% - Accent1 3 2 2 2 2 4" xfId="831"/>
    <cellStyle name="20% - Accent1 3 2 2 2 2 4 2" xfId="832"/>
    <cellStyle name="20% - Accent1 3 2 2 2 2 5" xfId="833"/>
    <cellStyle name="20% - Accent1 3 2 2 2 2 5 2" xfId="834"/>
    <cellStyle name="20% - Accent1 3 2 2 2 2 6" xfId="835"/>
    <cellStyle name="20% - Accent1 3 2 2 2 3" xfId="836"/>
    <cellStyle name="20% - Accent1 3 2 2 2 3 2" xfId="837"/>
    <cellStyle name="20% - Accent1 3 2 2 2 3 2 2" xfId="838"/>
    <cellStyle name="20% - Accent1 3 2 2 2 3 2 2 2" xfId="839"/>
    <cellStyle name="20% - Accent1 3 2 2 2 3 2 2 2 2" xfId="840"/>
    <cellStyle name="20% - Accent1 3 2 2 2 3 2 2 3" xfId="841"/>
    <cellStyle name="20% - Accent1 3 2 2 2 3 2 3" xfId="842"/>
    <cellStyle name="20% - Accent1 3 2 2 2 3 2 3 2" xfId="843"/>
    <cellStyle name="20% - Accent1 3 2 2 2 3 2 4" xfId="844"/>
    <cellStyle name="20% - Accent1 3 2 2 2 3 3" xfId="845"/>
    <cellStyle name="20% - Accent1 3 2 2 2 3 3 2" xfId="846"/>
    <cellStyle name="20% - Accent1 3 2 2 2 3 3 2 2" xfId="847"/>
    <cellStyle name="20% - Accent1 3 2 2 2 3 3 3" xfId="848"/>
    <cellStyle name="20% - Accent1 3 2 2 2 3 4" xfId="849"/>
    <cellStyle name="20% - Accent1 3 2 2 2 3 4 2" xfId="850"/>
    <cellStyle name="20% - Accent1 3 2 2 2 3 5" xfId="851"/>
    <cellStyle name="20% - Accent1 3 2 2 2 3 5 2" xfId="852"/>
    <cellStyle name="20% - Accent1 3 2 2 2 3 6" xfId="853"/>
    <cellStyle name="20% - Accent1 3 2 2 2 4" xfId="854"/>
    <cellStyle name="20% - Accent1 3 2 2 2 4 2" xfId="855"/>
    <cellStyle name="20% - Accent1 3 2 2 2 4 2 2" xfId="856"/>
    <cellStyle name="20% - Accent1 3 2 2 2 4 2 2 2" xfId="857"/>
    <cellStyle name="20% - Accent1 3 2 2 2 4 2 3" xfId="858"/>
    <cellStyle name="20% - Accent1 3 2 2 2 4 3" xfId="859"/>
    <cellStyle name="20% - Accent1 3 2 2 2 4 3 2" xfId="860"/>
    <cellStyle name="20% - Accent1 3 2 2 2 4 4" xfId="861"/>
    <cellStyle name="20% - Accent1 3 2 2 2 5" xfId="862"/>
    <cellStyle name="20% - Accent1 3 2 2 2 5 2" xfId="863"/>
    <cellStyle name="20% - Accent1 3 2 2 2 5 2 2" xfId="864"/>
    <cellStyle name="20% - Accent1 3 2 2 2 5 3" xfId="865"/>
    <cellStyle name="20% - Accent1 3 2 2 2 6" xfId="866"/>
    <cellStyle name="20% - Accent1 3 2 2 2 6 2" xfId="867"/>
    <cellStyle name="20% - Accent1 3 2 2 2 7" xfId="868"/>
    <cellStyle name="20% - Accent1 3 2 2 2 7 2" xfId="869"/>
    <cellStyle name="20% - Accent1 3 2 2 2 8" xfId="870"/>
    <cellStyle name="20% - Accent1 3 2 2 3" xfId="871"/>
    <cellStyle name="20% - Accent1 3 2 2 3 2" xfId="872"/>
    <cellStyle name="20% - Accent1 3 2 2 3 2 2" xfId="873"/>
    <cellStyle name="20% - Accent1 3 2 2 3 2 2 2" xfId="874"/>
    <cellStyle name="20% - Accent1 3 2 2 3 2 2 2 2" xfId="875"/>
    <cellStyle name="20% - Accent1 3 2 2 3 2 2 2 2 2" xfId="876"/>
    <cellStyle name="20% - Accent1 3 2 2 3 2 2 2 3" xfId="877"/>
    <cellStyle name="20% - Accent1 3 2 2 3 2 2 3" xfId="878"/>
    <cellStyle name="20% - Accent1 3 2 2 3 2 2 3 2" xfId="879"/>
    <cellStyle name="20% - Accent1 3 2 2 3 2 2 4" xfId="880"/>
    <cellStyle name="20% - Accent1 3 2 2 3 2 3" xfId="881"/>
    <cellStyle name="20% - Accent1 3 2 2 3 2 3 2" xfId="882"/>
    <cellStyle name="20% - Accent1 3 2 2 3 2 3 2 2" xfId="883"/>
    <cellStyle name="20% - Accent1 3 2 2 3 2 3 3" xfId="884"/>
    <cellStyle name="20% - Accent1 3 2 2 3 2 4" xfId="885"/>
    <cellStyle name="20% - Accent1 3 2 2 3 2 4 2" xfId="886"/>
    <cellStyle name="20% - Accent1 3 2 2 3 2 5" xfId="887"/>
    <cellStyle name="20% - Accent1 3 2 2 3 2 5 2" xfId="888"/>
    <cellStyle name="20% - Accent1 3 2 2 3 2 6" xfId="889"/>
    <cellStyle name="20% - Accent1 3 2 2 3 3" xfId="890"/>
    <cellStyle name="20% - Accent1 3 2 2 3 3 2" xfId="891"/>
    <cellStyle name="20% - Accent1 3 2 2 3 3 2 2" xfId="892"/>
    <cellStyle name="20% - Accent1 3 2 2 3 3 2 2 2" xfId="893"/>
    <cellStyle name="20% - Accent1 3 2 2 3 3 2 2 2 2" xfId="894"/>
    <cellStyle name="20% - Accent1 3 2 2 3 3 2 2 3" xfId="895"/>
    <cellStyle name="20% - Accent1 3 2 2 3 3 2 3" xfId="896"/>
    <cellStyle name="20% - Accent1 3 2 2 3 3 2 3 2" xfId="897"/>
    <cellStyle name="20% - Accent1 3 2 2 3 3 2 4" xfId="898"/>
    <cellStyle name="20% - Accent1 3 2 2 3 3 3" xfId="899"/>
    <cellStyle name="20% - Accent1 3 2 2 3 3 3 2" xfId="900"/>
    <cellStyle name="20% - Accent1 3 2 2 3 3 3 2 2" xfId="901"/>
    <cellStyle name="20% - Accent1 3 2 2 3 3 3 3" xfId="902"/>
    <cellStyle name="20% - Accent1 3 2 2 3 3 4" xfId="903"/>
    <cellStyle name="20% - Accent1 3 2 2 3 3 4 2" xfId="904"/>
    <cellStyle name="20% - Accent1 3 2 2 3 3 5" xfId="905"/>
    <cellStyle name="20% - Accent1 3 2 2 3 3 5 2" xfId="906"/>
    <cellStyle name="20% - Accent1 3 2 2 3 3 6" xfId="907"/>
    <cellStyle name="20% - Accent1 3 2 2 3 4" xfId="908"/>
    <cellStyle name="20% - Accent1 3 2 2 3 4 2" xfId="909"/>
    <cellStyle name="20% - Accent1 3 2 2 3 4 2 2" xfId="910"/>
    <cellStyle name="20% - Accent1 3 2 2 3 4 2 2 2" xfId="911"/>
    <cellStyle name="20% - Accent1 3 2 2 3 4 2 3" xfId="912"/>
    <cellStyle name="20% - Accent1 3 2 2 3 4 3" xfId="913"/>
    <cellStyle name="20% - Accent1 3 2 2 3 4 3 2" xfId="914"/>
    <cellStyle name="20% - Accent1 3 2 2 3 4 4" xfId="915"/>
    <cellStyle name="20% - Accent1 3 2 2 3 5" xfId="916"/>
    <cellStyle name="20% - Accent1 3 2 2 3 5 2" xfId="917"/>
    <cellStyle name="20% - Accent1 3 2 2 3 5 2 2" xfId="918"/>
    <cellStyle name="20% - Accent1 3 2 2 3 5 3" xfId="919"/>
    <cellStyle name="20% - Accent1 3 2 2 3 6" xfId="920"/>
    <cellStyle name="20% - Accent1 3 2 2 3 6 2" xfId="921"/>
    <cellStyle name="20% - Accent1 3 2 2 3 7" xfId="922"/>
    <cellStyle name="20% - Accent1 3 2 2 3 7 2" xfId="923"/>
    <cellStyle name="20% - Accent1 3 2 2 3 8" xfId="924"/>
    <cellStyle name="20% - Accent1 3 2 2 4" xfId="925"/>
    <cellStyle name="20% - Accent1 3 2 2 4 2" xfId="926"/>
    <cellStyle name="20% - Accent1 3 2 2 4 2 2" xfId="927"/>
    <cellStyle name="20% - Accent1 3 2 2 4 2 2 2" xfId="928"/>
    <cellStyle name="20% - Accent1 3 2 2 4 2 2 2 2" xfId="929"/>
    <cellStyle name="20% - Accent1 3 2 2 4 2 2 3" xfId="930"/>
    <cellStyle name="20% - Accent1 3 2 2 4 2 3" xfId="931"/>
    <cellStyle name="20% - Accent1 3 2 2 4 2 3 2" xfId="932"/>
    <cellStyle name="20% - Accent1 3 2 2 4 2 4" xfId="933"/>
    <cellStyle name="20% - Accent1 3 2 2 4 3" xfId="934"/>
    <cellStyle name="20% - Accent1 3 2 2 4 3 2" xfId="935"/>
    <cellStyle name="20% - Accent1 3 2 2 4 3 2 2" xfId="936"/>
    <cellStyle name="20% - Accent1 3 2 2 4 3 3" xfId="937"/>
    <cellStyle name="20% - Accent1 3 2 2 4 4" xfId="938"/>
    <cellStyle name="20% - Accent1 3 2 2 4 4 2" xfId="939"/>
    <cellStyle name="20% - Accent1 3 2 2 4 5" xfId="940"/>
    <cellStyle name="20% - Accent1 3 2 2 4 5 2" xfId="941"/>
    <cellStyle name="20% - Accent1 3 2 2 4 6" xfId="942"/>
    <cellStyle name="20% - Accent1 3 2 2 5" xfId="943"/>
    <cellStyle name="20% - Accent1 3 2 2 5 2" xfId="944"/>
    <cellStyle name="20% - Accent1 3 2 2 5 2 2" xfId="945"/>
    <cellStyle name="20% - Accent1 3 2 2 5 2 2 2" xfId="946"/>
    <cellStyle name="20% - Accent1 3 2 2 5 2 2 2 2" xfId="947"/>
    <cellStyle name="20% - Accent1 3 2 2 5 2 2 3" xfId="948"/>
    <cellStyle name="20% - Accent1 3 2 2 5 2 3" xfId="949"/>
    <cellStyle name="20% - Accent1 3 2 2 5 2 3 2" xfId="950"/>
    <cellStyle name="20% - Accent1 3 2 2 5 2 4" xfId="951"/>
    <cellStyle name="20% - Accent1 3 2 2 5 3" xfId="952"/>
    <cellStyle name="20% - Accent1 3 2 2 5 3 2" xfId="953"/>
    <cellStyle name="20% - Accent1 3 2 2 5 3 2 2" xfId="954"/>
    <cellStyle name="20% - Accent1 3 2 2 5 3 3" xfId="955"/>
    <cellStyle name="20% - Accent1 3 2 2 5 4" xfId="956"/>
    <cellStyle name="20% - Accent1 3 2 2 5 4 2" xfId="957"/>
    <cellStyle name="20% - Accent1 3 2 2 5 5" xfId="958"/>
    <cellStyle name="20% - Accent1 3 2 2 5 5 2" xfId="959"/>
    <cellStyle name="20% - Accent1 3 2 2 5 6" xfId="960"/>
    <cellStyle name="20% - Accent1 3 2 2 6" xfId="961"/>
    <cellStyle name="20% - Accent1 3 2 2 6 2" xfId="962"/>
    <cellStyle name="20% - Accent1 3 2 2 6 2 2" xfId="963"/>
    <cellStyle name="20% - Accent1 3 2 2 6 2 2 2" xfId="964"/>
    <cellStyle name="20% - Accent1 3 2 2 6 2 2 2 2" xfId="965"/>
    <cellStyle name="20% - Accent1 3 2 2 6 2 2 3" xfId="966"/>
    <cellStyle name="20% - Accent1 3 2 2 6 2 3" xfId="967"/>
    <cellStyle name="20% - Accent1 3 2 2 6 2 3 2" xfId="968"/>
    <cellStyle name="20% - Accent1 3 2 2 6 2 4" xfId="969"/>
    <cellStyle name="20% - Accent1 3 2 2 6 3" xfId="970"/>
    <cellStyle name="20% - Accent1 3 2 2 6 3 2" xfId="971"/>
    <cellStyle name="20% - Accent1 3 2 2 6 3 2 2" xfId="972"/>
    <cellStyle name="20% - Accent1 3 2 2 6 3 3" xfId="973"/>
    <cellStyle name="20% - Accent1 3 2 2 6 4" xfId="974"/>
    <cellStyle name="20% - Accent1 3 2 2 6 4 2" xfId="975"/>
    <cellStyle name="20% - Accent1 3 2 2 6 5" xfId="976"/>
    <cellStyle name="20% - Accent1 3 2 2 6 5 2" xfId="977"/>
    <cellStyle name="20% - Accent1 3 2 2 6 6" xfId="978"/>
    <cellStyle name="20% - Accent1 3 2 2 7" xfId="979"/>
    <cellStyle name="20% - Accent1 3 2 2 7 2" xfId="980"/>
    <cellStyle name="20% - Accent1 3 2 2 7 2 2" xfId="981"/>
    <cellStyle name="20% - Accent1 3 2 2 7 2 2 2" xfId="982"/>
    <cellStyle name="20% - Accent1 3 2 2 7 2 3" xfId="983"/>
    <cellStyle name="20% - Accent1 3 2 2 7 3" xfId="984"/>
    <cellStyle name="20% - Accent1 3 2 2 7 3 2" xfId="985"/>
    <cellStyle name="20% - Accent1 3 2 2 7 4" xfId="986"/>
    <cellStyle name="20% - Accent1 3 2 2 8" xfId="987"/>
    <cellStyle name="20% - Accent1 3 2 2 8 2" xfId="988"/>
    <cellStyle name="20% - Accent1 3 2 2 8 2 2" xfId="989"/>
    <cellStyle name="20% - Accent1 3 2 2 8 3" xfId="990"/>
    <cellStyle name="20% - Accent1 3 2 2 9" xfId="991"/>
    <cellStyle name="20% - Accent1 3 2 2 9 2" xfId="992"/>
    <cellStyle name="20% - Accent1 3 2 3" xfId="993"/>
    <cellStyle name="20% - Accent1 3 2 3 10" xfId="994"/>
    <cellStyle name="20% - Accent1 3 2 3 10 2" xfId="995"/>
    <cellStyle name="20% - Accent1 3 2 3 11" xfId="996"/>
    <cellStyle name="20% - Accent1 3 2 3 2" xfId="997"/>
    <cellStyle name="20% - Accent1 3 2 3 2 2" xfId="998"/>
    <cellStyle name="20% - Accent1 3 2 3 2 2 2" xfId="999"/>
    <cellStyle name="20% - Accent1 3 2 3 2 2 2 2" xfId="1000"/>
    <cellStyle name="20% - Accent1 3 2 3 2 2 2 2 2" xfId="1001"/>
    <cellStyle name="20% - Accent1 3 2 3 2 2 2 2 2 2" xfId="1002"/>
    <cellStyle name="20% - Accent1 3 2 3 2 2 2 2 3" xfId="1003"/>
    <cellStyle name="20% - Accent1 3 2 3 2 2 2 3" xfId="1004"/>
    <cellStyle name="20% - Accent1 3 2 3 2 2 2 3 2" xfId="1005"/>
    <cellStyle name="20% - Accent1 3 2 3 2 2 2 4" xfId="1006"/>
    <cellStyle name="20% - Accent1 3 2 3 2 2 3" xfId="1007"/>
    <cellStyle name="20% - Accent1 3 2 3 2 2 3 2" xfId="1008"/>
    <cellStyle name="20% - Accent1 3 2 3 2 2 3 2 2" xfId="1009"/>
    <cellStyle name="20% - Accent1 3 2 3 2 2 3 3" xfId="1010"/>
    <cellStyle name="20% - Accent1 3 2 3 2 2 4" xfId="1011"/>
    <cellStyle name="20% - Accent1 3 2 3 2 2 4 2" xfId="1012"/>
    <cellStyle name="20% - Accent1 3 2 3 2 2 5" xfId="1013"/>
    <cellStyle name="20% - Accent1 3 2 3 2 2 5 2" xfId="1014"/>
    <cellStyle name="20% - Accent1 3 2 3 2 2 6" xfId="1015"/>
    <cellStyle name="20% - Accent1 3 2 3 2 3" xfId="1016"/>
    <cellStyle name="20% - Accent1 3 2 3 2 3 2" xfId="1017"/>
    <cellStyle name="20% - Accent1 3 2 3 2 3 2 2" xfId="1018"/>
    <cellStyle name="20% - Accent1 3 2 3 2 3 2 2 2" xfId="1019"/>
    <cellStyle name="20% - Accent1 3 2 3 2 3 2 2 2 2" xfId="1020"/>
    <cellStyle name="20% - Accent1 3 2 3 2 3 2 2 3" xfId="1021"/>
    <cellStyle name="20% - Accent1 3 2 3 2 3 2 3" xfId="1022"/>
    <cellStyle name="20% - Accent1 3 2 3 2 3 2 3 2" xfId="1023"/>
    <cellStyle name="20% - Accent1 3 2 3 2 3 2 4" xfId="1024"/>
    <cellStyle name="20% - Accent1 3 2 3 2 3 3" xfId="1025"/>
    <cellStyle name="20% - Accent1 3 2 3 2 3 3 2" xfId="1026"/>
    <cellStyle name="20% - Accent1 3 2 3 2 3 3 2 2" xfId="1027"/>
    <cellStyle name="20% - Accent1 3 2 3 2 3 3 3" xfId="1028"/>
    <cellStyle name="20% - Accent1 3 2 3 2 3 4" xfId="1029"/>
    <cellStyle name="20% - Accent1 3 2 3 2 3 4 2" xfId="1030"/>
    <cellStyle name="20% - Accent1 3 2 3 2 3 5" xfId="1031"/>
    <cellStyle name="20% - Accent1 3 2 3 2 3 5 2" xfId="1032"/>
    <cellStyle name="20% - Accent1 3 2 3 2 3 6" xfId="1033"/>
    <cellStyle name="20% - Accent1 3 2 3 2 4" xfId="1034"/>
    <cellStyle name="20% - Accent1 3 2 3 2 4 2" xfId="1035"/>
    <cellStyle name="20% - Accent1 3 2 3 2 4 2 2" xfId="1036"/>
    <cellStyle name="20% - Accent1 3 2 3 2 4 2 2 2" xfId="1037"/>
    <cellStyle name="20% - Accent1 3 2 3 2 4 2 3" xfId="1038"/>
    <cellStyle name="20% - Accent1 3 2 3 2 4 3" xfId="1039"/>
    <cellStyle name="20% - Accent1 3 2 3 2 4 3 2" xfId="1040"/>
    <cellStyle name="20% - Accent1 3 2 3 2 4 4" xfId="1041"/>
    <cellStyle name="20% - Accent1 3 2 3 2 5" xfId="1042"/>
    <cellStyle name="20% - Accent1 3 2 3 2 5 2" xfId="1043"/>
    <cellStyle name="20% - Accent1 3 2 3 2 5 2 2" xfId="1044"/>
    <cellStyle name="20% - Accent1 3 2 3 2 5 3" xfId="1045"/>
    <cellStyle name="20% - Accent1 3 2 3 2 6" xfId="1046"/>
    <cellStyle name="20% - Accent1 3 2 3 2 6 2" xfId="1047"/>
    <cellStyle name="20% - Accent1 3 2 3 2 7" xfId="1048"/>
    <cellStyle name="20% - Accent1 3 2 3 2 7 2" xfId="1049"/>
    <cellStyle name="20% - Accent1 3 2 3 2 8" xfId="1050"/>
    <cellStyle name="20% - Accent1 3 2 3 3" xfId="1051"/>
    <cellStyle name="20% - Accent1 3 2 3 3 2" xfId="1052"/>
    <cellStyle name="20% - Accent1 3 2 3 3 2 2" xfId="1053"/>
    <cellStyle name="20% - Accent1 3 2 3 3 2 2 2" xfId="1054"/>
    <cellStyle name="20% - Accent1 3 2 3 3 2 2 2 2" xfId="1055"/>
    <cellStyle name="20% - Accent1 3 2 3 3 2 2 2 2 2" xfId="1056"/>
    <cellStyle name="20% - Accent1 3 2 3 3 2 2 2 3" xfId="1057"/>
    <cellStyle name="20% - Accent1 3 2 3 3 2 2 3" xfId="1058"/>
    <cellStyle name="20% - Accent1 3 2 3 3 2 2 3 2" xfId="1059"/>
    <cellStyle name="20% - Accent1 3 2 3 3 2 2 4" xfId="1060"/>
    <cellStyle name="20% - Accent1 3 2 3 3 2 3" xfId="1061"/>
    <cellStyle name="20% - Accent1 3 2 3 3 2 3 2" xfId="1062"/>
    <cellStyle name="20% - Accent1 3 2 3 3 2 3 2 2" xfId="1063"/>
    <cellStyle name="20% - Accent1 3 2 3 3 2 3 3" xfId="1064"/>
    <cellStyle name="20% - Accent1 3 2 3 3 2 4" xfId="1065"/>
    <cellStyle name="20% - Accent1 3 2 3 3 2 4 2" xfId="1066"/>
    <cellStyle name="20% - Accent1 3 2 3 3 2 5" xfId="1067"/>
    <cellStyle name="20% - Accent1 3 2 3 3 2 5 2" xfId="1068"/>
    <cellStyle name="20% - Accent1 3 2 3 3 2 6" xfId="1069"/>
    <cellStyle name="20% - Accent1 3 2 3 3 3" xfId="1070"/>
    <cellStyle name="20% - Accent1 3 2 3 3 3 2" xfId="1071"/>
    <cellStyle name="20% - Accent1 3 2 3 3 3 2 2" xfId="1072"/>
    <cellStyle name="20% - Accent1 3 2 3 3 3 2 2 2" xfId="1073"/>
    <cellStyle name="20% - Accent1 3 2 3 3 3 2 2 2 2" xfId="1074"/>
    <cellStyle name="20% - Accent1 3 2 3 3 3 2 2 3" xfId="1075"/>
    <cellStyle name="20% - Accent1 3 2 3 3 3 2 3" xfId="1076"/>
    <cellStyle name="20% - Accent1 3 2 3 3 3 2 3 2" xfId="1077"/>
    <cellStyle name="20% - Accent1 3 2 3 3 3 2 4" xfId="1078"/>
    <cellStyle name="20% - Accent1 3 2 3 3 3 3" xfId="1079"/>
    <cellStyle name="20% - Accent1 3 2 3 3 3 3 2" xfId="1080"/>
    <cellStyle name="20% - Accent1 3 2 3 3 3 3 2 2" xfId="1081"/>
    <cellStyle name="20% - Accent1 3 2 3 3 3 3 3" xfId="1082"/>
    <cellStyle name="20% - Accent1 3 2 3 3 3 4" xfId="1083"/>
    <cellStyle name="20% - Accent1 3 2 3 3 3 4 2" xfId="1084"/>
    <cellStyle name="20% - Accent1 3 2 3 3 3 5" xfId="1085"/>
    <cellStyle name="20% - Accent1 3 2 3 3 3 5 2" xfId="1086"/>
    <cellStyle name="20% - Accent1 3 2 3 3 3 6" xfId="1087"/>
    <cellStyle name="20% - Accent1 3 2 3 3 4" xfId="1088"/>
    <cellStyle name="20% - Accent1 3 2 3 3 4 2" xfId="1089"/>
    <cellStyle name="20% - Accent1 3 2 3 3 4 2 2" xfId="1090"/>
    <cellStyle name="20% - Accent1 3 2 3 3 4 2 2 2" xfId="1091"/>
    <cellStyle name="20% - Accent1 3 2 3 3 4 2 3" xfId="1092"/>
    <cellStyle name="20% - Accent1 3 2 3 3 4 3" xfId="1093"/>
    <cellStyle name="20% - Accent1 3 2 3 3 4 3 2" xfId="1094"/>
    <cellStyle name="20% - Accent1 3 2 3 3 4 4" xfId="1095"/>
    <cellStyle name="20% - Accent1 3 2 3 3 5" xfId="1096"/>
    <cellStyle name="20% - Accent1 3 2 3 3 5 2" xfId="1097"/>
    <cellStyle name="20% - Accent1 3 2 3 3 5 2 2" xfId="1098"/>
    <cellStyle name="20% - Accent1 3 2 3 3 5 3" xfId="1099"/>
    <cellStyle name="20% - Accent1 3 2 3 3 6" xfId="1100"/>
    <cellStyle name="20% - Accent1 3 2 3 3 6 2" xfId="1101"/>
    <cellStyle name="20% - Accent1 3 2 3 3 7" xfId="1102"/>
    <cellStyle name="20% - Accent1 3 2 3 3 7 2" xfId="1103"/>
    <cellStyle name="20% - Accent1 3 2 3 3 8" xfId="1104"/>
    <cellStyle name="20% - Accent1 3 2 3 4" xfId="1105"/>
    <cellStyle name="20% - Accent1 3 2 3 4 2" xfId="1106"/>
    <cellStyle name="20% - Accent1 3 2 3 4 2 2" xfId="1107"/>
    <cellStyle name="20% - Accent1 3 2 3 4 2 2 2" xfId="1108"/>
    <cellStyle name="20% - Accent1 3 2 3 4 2 2 2 2" xfId="1109"/>
    <cellStyle name="20% - Accent1 3 2 3 4 2 2 3" xfId="1110"/>
    <cellStyle name="20% - Accent1 3 2 3 4 2 3" xfId="1111"/>
    <cellStyle name="20% - Accent1 3 2 3 4 2 3 2" xfId="1112"/>
    <cellStyle name="20% - Accent1 3 2 3 4 2 4" xfId="1113"/>
    <cellStyle name="20% - Accent1 3 2 3 4 3" xfId="1114"/>
    <cellStyle name="20% - Accent1 3 2 3 4 3 2" xfId="1115"/>
    <cellStyle name="20% - Accent1 3 2 3 4 3 2 2" xfId="1116"/>
    <cellStyle name="20% - Accent1 3 2 3 4 3 3" xfId="1117"/>
    <cellStyle name="20% - Accent1 3 2 3 4 4" xfId="1118"/>
    <cellStyle name="20% - Accent1 3 2 3 4 4 2" xfId="1119"/>
    <cellStyle name="20% - Accent1 3 2 3 4 5" xfId="1120"/>
    <cellStyle name="20% - Accent1 3 2 3 4 5 2" xfId="1121"/>
    <cellStyle name="20% - Accent1 3 2 3 4 6" xfId="1122"/>
    <cellStyle name="20% - Accent1 3 2 3 5" xfId="1123"/>
    <cellStyle name="20% - Accent1 3 2 3 5 2" xfId="1124"/>
    <cellStyle name="20% - Accent1 3 2 3 5 2 2" xfId="1125"/>
    <cellStyle name="20% - Accent1 3 2 3 5 2 2 2" xfId="1126"/>
    <cellStyle name="20% - Accent1 3 2 3 5 2 2 2 2" xfId="1127"/>
    <cellStyle name="20% - Accent1 3 2 3 5 2 2 3" xfId="1128"/>
    <cellStyle name="20% - Accent1 3 2 3 5 2 3" xfId="1129"/>
    <cellStyle name="20% - Accent1 3 2 3 5 2 3 2" xfId="1130"/>
    <cellStyle name="20% - Accent1 3 2 3 5 2 4" xfId="1131"/>
    <cellStyle name="20% - Accent1 3 2 3 5 3" xfId="1132"/>
    <cellStyle name="20% - Accent1 3 2 3 5 3 2" xfId="1133"/>
    <cellStyle name="20% - Accent1 3 2 3 5 3 2 2" xfId="1134"/>
    <cellStyle name="20% - Accent1 3 2 3 5 3 3" xfId="1135"/>
    <cellStyle name="20% - Accent1 3 2 3 5 4" xfId="1136"/>
    <cellStyle name="20% - Accent1 3 2 3 5 4 2" xfId="1137"/>
    <cellStyle name="20% - Accent1 3 2 3 5 5" xfId="1138"/>
    <cellStyle name="20% - Accent1 3 2 3 5 5 2" xfId="1139"/>
    <cellStyle name="20% - Accent1 3 2 3 5 6" xfId="1140"/>
    <cellStyle name="20% - Accent1 3 2 3 6" xfId="1141"/>
    <cellStyle name="20% - Accent1 3 2 3 6 2" xfId="1142"/>
    <cellStyle name="20% - Accent1 3 2 3 6 2 2" xfId="1143"/>
    <cellStyle name="20% - Accent1 3 2 3 6 2 2 2" xfId="1144"/>
    <cellStyle name="20% - Accent1 3 2 3 6 2 2 2 2" xfId="1145"/>
    <cellStyle name="20% - Accent1 3 2 3 6 2 2 3" xfId="1146"/>
    <cellStyle name="20% - Accent1 3 2 3 6 2 3" xfId="1147"/>
    <cellStyle name="20% - Accent1 3 2 3 6 2 3 2" xfId="1148"/>
    <cellStyle name="20% - Accent1 3 2 3 6 2 4" xfId="1149"/>
    <cellStyle name="20% - Accent1 3 2 3 6 3" xfId="1150"/>
    <cellStyle name="20% - Accent1 3 2 3 6 3 2" xfId="1151"/>
    <cellStyle name="20% - Accent1 3 2 3 6 3 2 2" xfId="1152"/>
    <cellStyle name="20% - Accent1 3 2 3 6 3 3" xfId="1153"/>
    <cellStyle name="20% - Accent1 3 2 3 6 4" xfId="1154"/>
    <cellStyle name="20% - Accent1 3 2 3 6 4 2" xfId="1155"/>
    <cellStyle name="20% - Accent1 3 2 3 6 5" xfId="1156"/>
    <cellStyle name="20% - Accent1 3 2 3 6 5 2" xfId="1157"/>
    <cellStyle name="20% - Accent1 3 2 3 6 6" xfId="1158"/>
    <cellStyle name="20% - Accent1 3 2 3 7" xfId="1159"/>
    <cellStyle name="20% - Accent1 3 2 3 7 2" xfId="1160"/>
    <cellStyle name="20% - Accent1 3 2 3 7 2 2" xfId="1161"/>
    <cellStyle name="20% - Accent1 3 2 3 7 2 2 2" xfId="1162"/>
    <cellStyle name="20% - Accent1 3 2 3 7 2 3" xfId="1163"/>
    <cellStyle name="20% - Accent1 3 2 3 7 3" xfId="1164"/>
    <cellStyle name="20% - Accent1 3 2 3 7 3 2" xfId="1165"/>
    <cellStyle name="20% - Accent1 3 2 3 7 4" xfId="1166"/>
    <cellStyle name="20% - Accent1 3 2 3 8" xfId="1167"/>
    <cellStyle name="20% - Accent1 3 2 3 8 2" xfId="1168"/>
    <cellStyle name="20% - Accent1 3 2 3 8 2 2" xfId="1169"/>
    <cellStyle name="20% - Accent1 3 2 3 8 3" xfId="1170"/>
    <cellStyle name="20% - Accent1 3 2 3 9" xfId="1171"/>
    <cellStyle name="20% - Accent1 3 2 3 9 2" xfId="1172"/>
    <cellStyle name="20% - Accent1 3 2 4" xfId="1173"/>
    <cellStyle name="20% - Accent1 3 2 4 10" xfId="1174"/>
    <cellStyle name="20% - Accent1 3 2 4 10 2" xfId="1175"/>
    <cellStyle name="20% - Accent1 3 2 4 11" xfId="1176"/>
    <cellStyle name="20% - Accent1 3 2 4 2" xfId="1177"/>
    <cellStyle name="20% - Accent1 3 2 4 2 2" xfId="1178"/>
    <cellStyle name="20% - Accent1 3 2 4 2 2 2" xfId="1179"/>
    <cellStyle name="20% - Accent1 3 2 4 2 2 2 2" xfId="1180"/>
    <cellStyle name="20% - Accent1 3 2 4 2 2 2 2 2" xfId="1181"/>
    <cellStyle name="20% - Accent1 3 2 4 2 2 2 2 2 2" xfId="1182"/>
    <cellStyle name="20% - Accent1 3 2 4 2 2 2 2 3" xfId="1183"/>
    <cellStyle name="20% - Accent1 3 2 4 2 2 2 3" xfId="1184"/>
    <cellStyle name="20% - Accent1 3 2 4 2 2 2 3 2" xfId="1185"/>
    <cellStyle name="20% - Accent1 3 2 4 2 2 2 4" xfId="1186"/>
    <cellStyle name="20% - Accent1 3 2 4 2 2 3" xfId="1187"/>
    <cellStyle name="20% - Accent1 3 2 4 2 2 3 2" xfId="1188"/>
    <cellStyle name="20% - Accent1 3 2 4 2 2 3 2 2" xfId="1189"/>
    <cellStyle name="20% - Accent1 3 2 4 2 2 3 3" xfId="1190"/>
    <cellStyle name="20% - Accent1 3 2 4 2 2 4" xfId="1191"/>
    <cellStyle name="20% - Accent1 3 2 4 2 2 4 2" xfId="1192"/>
    <cellStyle name="20% - Accent1 3 2 4 2 2 5" xfId="1193"/>
    <cellStyle name="20% - Accent1 3 2 4 2 2 5 2" xfId="1194"/>
    <cellStyle name="20% - Accent1 3 2 4 2 2 6" xfId="1195"/>
    <cellStyle name="20% - Accent1 3 2 4 2 3" xfId="1196"/>
    <cellStyle name="20% - Accent1 3 2 4 2 3 2" xfId="1197"/>
    <cellStyle name="20% - Accent1 3 2 4 2 3 2 2" xfId="1198"/>
    <cellStyle name="20% - Accent1 3 2 4 2 3 2 2 2" xfId="1199"/>
    <cellStyle name="20% - Accent1 3 2 4 2 3 2 2 2 2" xfId="1200"/>
    <cellStyle name="20% - Accent1 3 2 4 2 3 2 2 3" xfId="1201"/>
    <cellStyle name="20% - Accent1 3 2 4 2 3 2 3" xfId="1202"/>
    <cellStyle name="20% - Accent1 3 2 4 2 3 2 3 2" xfId="1203"/>
    <cellStyle name="20% - Accent1 3 2 4 2 3 2 4" xfId="1204"/>
    <cellStyle name="20% - Accent1 3 2 4 2 3 3" xfId="1205"/>
    <cellStyle name="20% - Accent1 3 2 4 2 3 3 2" xfId="1206"/>
    <cellStyle name="20% - Accent1 3 2 4 2 3 3 2 2" xfId="1207"/>
    <cellStyle name="20% - Accent1 3 2 4 2 3 3 3" xfId="1208"/>
    <cellStyle name="20% - Accent1 3 2 4 2 3 4" xfId="1209"/>
    <cellStyle name="20% - Accent1 3 2 4 2 3 4 2" xfId="1210"/>
    <cellStyle name="20% - Accent1 3 2 4 2 3 5" xfId="1211"/>
    <cellStyle name="20% - Accent1 3 2 4 2 3 5 2" xfId="1212"/>
    <cellStyle name="20% - Accent1 3 2 4 2 3 6" xfId="1213"/>
    <cellStyle name="20% - Accent1 3 2 4 2 4" xfId="1214"/>
    <cellStyle name="20% - Accent1 3 2 4 2 4 2" xfId="1215"/>
    <cellStyle name="20% - Accent1 3 2 4 2 4 2 2" xfId="1216"/>
    <cellStyle name="20% - Accent1 3 2 4 2 4 2 2 2" xfId="1217"/>
    <cellStyle name="20% - Accent1 3 2 4 2 4 2 3" xfId="1218"/>
    <cellStyle name="20% - Accent1 3 2 4 2 4 3" xfId="1219"/>
    <cellStyle name="20% - Accent1 3 2 4 2 4 3 2" xfId="1220"/>
    <cellStyle name="20% - Accent1 3 2 4 2 4 4" xfId="1221"/>
    <cellStyle name="20% - Accent1 3 2 4 2 5" xfId="1222"/>
    <cellStyle name="20% - Accent1 3 2 4 2 5 2" xfId="1223"/>
    <cellStyle name="20% - Accent1 3 2 4 2 5 2 2" xfId="1224"/>
    <cellStyle name="20% - Accent1 3 2 4 2 5 3" xfId="1225"/>
    <cellStyle name="20% - Accent1 3 2 4 2 6" xfId="1226"/>
    <cellStyle name="20% - Accent1 3 2 4 2 6 2" xfId="1227"/>
    <cellStyle name="20% - Accent1 3 2 4 2 7" xfId="1228"/>
    <cellStyle name="20% - Accent1 3 2 4 2 7 2" xfId="1229"/>
    <cellStyle name="20% - Accent1 3 2 4 2 8" xfId="1230"/>
    <cellStyle name="20% - Accent1 3 2 4 3" xfId="1231"/>
    <cellStyle name="20% - Accent1 3 2 4 3 2" xfId="1232"/>
    <cellStyle name="20% - Accent1 3 2 4 3 2 2" xfId="1233"/>
    <cellStyle name="20% - Accent1 3 2 4 3 2 2 2" xfId="1234"/>
    <cellStyle name="20% - Accent1 3 2 4 3 2 2 2 2" xfId="1235"/>
    <cellStyle name="20% - Accent1 3 2 4 3 2 2 2 2 2" xfId="1236"/>
    <cellStyle name="20% - Accent1 3 2 4 3 2 2 2 3" xfId="1237"/>
    <cellStyle name="20% - Accent1 3 2 4 3 2 2 3" xfId="1238"/>
    <cellStyle name="20% - Accent1 3 2 4 3 2 2 3 2" xfId="1239"/>
    <cellStyle name="20% - Accent1 3 2 4 3 2 2 4" xfId="1240"/>
    <cellStyle name="20% - Accent1 3 2 4 3 2 3" xfId="1241"/>
    <cellStyle name="20% - Accent1 3 2 4 3 2 3 2" xfId="1242"/>
    <cellStyle name="20% - Accent1 3 2 4 3 2 3 2 2" xfId="1243"/>
    <cellStyle name="20% - Accent1 3 2 4 3 2 3 3" xfId="1244"/>
    <cellStyle name="20% - Accent1 3 2 4 3 2 4" xfId="1245"/>
    <cellStyle name="20% - Accent1 3 2 4 3 2 4 2" xfId="1246"/>
    <cellStyle name="20% - Accent1 3 2 4 3 2 5" xfId="1247"/>
    <cellStyle name="20% - Accent1 3 2 4 3 2 5 2" xfId="1248"/>
    <cellStyle name="20% - Accent1 3 2 4 3 2 6" xfId="1249"/>
    <cellStyle name="20% - Accent1 3 2 4 3 3" xfId="1250"/>
    <cellStyle name="20% - Accent1 3 2 4 3 3 2" xfId="1251"/>
    <cellStyle name="20% - Accent1 3 2 4 3 3 2 2" xfId="1252"/>
    <cellStyle name="20% - Accent1 3 2 4 3 3 2 2 2" xfId="1253"/>
    <cellStyle name="20% - Accent1 3 2 4 3 3 2 2 2 2" xfId="1254"/>
    <cellStyle name="20% - Accent1 3 2 4 3 3 2 2 3" xfId="1255"/>
    <cellStyle name="20% - Accent1 3 2 4 3 3 2 3" xfId="1256"/>
    <cellStyle name="20% - Accent1 3 2 4 3 3 2 3 2" xfId="1257"/>
    <cellStyle name="20% - Accent1 3 2 4 3 3 2 4" xfId="1258"/>
    <cellStyle name="20% - Accent1 3 2 4 3 3 3" xfId="1259"/>
    <cellStyle name="20% - Accent1 3 2 4 3 3 3 2" xfId="1260"/>
    <cellStyle name="20% - Accent1 3 2 4 3 3 3 2 2" xfId="1261"/>
    <cellStyle name="20% - Accent1 3 2 4 3 3 3 3" xfId="1262"/>
    <cellStyle name="20% - Accent1 3 2 4 3 3 4" xfId="1263"/>
    <cellStyle name="20% - Accent1 3 2 4 3 3 4 2" xfId="1264"/>
    <cellStyle name="20% - Accent1 3 2 4 3 3 5" xfId="1265"/>
    <cellStyle name="20% - Accent1 3 2 4 3 3 5 2" xfId="1266"/>
    <cellStyle name="20% - Accent1 3 2 4 3 3 6" xfId="1267"/>
    <cellStyle name="20% - Accent1 3 2 4 3 4" xfId="1268"/>
    <cellStyle name="20% - Accent1 3 2 4 3 4 2" xfId="1269"/>
    <cellStyle name="20% - Accent1 3 2 4 3 4 2 2" xfId="1270"/>
    <cellStyle name="20% - Accent1 3 2 4 3 4 2 2 2" xfId="1271"/>
    <cellStyle name="20% - Accent1 3 2 4 3 4 2 3" xfId="1272"/>
    <cellStyle name="20% - Accent1 3 2 4 3 4 3" xfId="1273"/>
    <cellStyle name="20% - Accent1 3 2 4 3 4 3 2" xfId="1274"/>
    <cellStyle name="20% - Accent1 3 2 4 3 4 4" xfId="1275"/>
    <cellStyle name="20% - Accent1 3 2 4 3 5" xfId="1276"/>
    <cellStyle name="20% - Accent1 3 2 4 3 5 2" xfId="1277"/>
    <cellStyle name="20% - Accent1 3 2 4 3 5 2 2" xfId="1278"/>
    <cellStyle name="20% - Accent1 3 2 4 3 5 3" xfId="1279"/>
    <cellStyle name="20% - Accent1 3 2 4 3 6" xfId="1280"/>
    <cellStyle name="20% - Accent1 3 2 4 3 6 2" xfId="1281"/>
    <cellStyle name="20% - Accent1 3 2 4 3 7" xfId="1282"/>
    <cellStyle name="20% - Accent1 3 2 4 3 7 2" xfId="1283"/>
    <cellStyle name="20% - Accent1 3 2 4 3 8" xfId="1284"/>
    <cellStyle name="20% - Accent1 3 2 4 4" xfId="1285"/>
    <cellStyle name="20% - Accent1 3 2 4 4 2" xfId="1286"/>
    <cellStyle name="20% - Accent1 3 2 4 4 2 2" xfId="1287"/>
    <cellStyle name="20% - Accent1 3 2 4 4 2 2 2" xfId="1288"/>
    <cellStyle name="20% - Accent1 3 2 4 4 2 2 2 2" xfId="1289"/>
    <cellStyle name="20% - Accent1 3 2 4 4 2 2 3" xfId="1290"/>
    <cellStyle name="20% - Accent1 3 2 4 4 2 3" xfId="1291"/>
    <cellStyle name="20% - Accent1 3 2 4 4 2 3 2" xfId="1292"/>
    <cellStyle name="20% - Accent1 3 2 4 4 2 4" xfId="1293"/>
    <cellStyle name="20% - Accent1 3 2 4 4 3" xfId="1294"/>
    <cellStyle name="20% - Accent1 3 2 4 4 3 2" xfId="1295"/>
    <cellStyle name="20% - Accent1 3 2 4 4 3 2 2" xfId="1296"/>
    <cellStyle name="20% - Accent1 3 2 4 4 3 3" xfId="1297"/>
    <cellStyle name="20% - Accent1 3 2 4 4 4" xfId="1298"/>
    <cellStyle name="20% - Accent1 3 2 4 4 4 2" xfId="1299"/>
    <cellStyle name="20% - Accent1 3 2 4 4 5" xfId="1300"/>
    <cellStyle name="20% - Accent1 3 2 4 4 5 2" xfId="1301"/>
    <cellStyle name="20% - Accent1 3 2 4 4 6" xfId="1302"/>
    <cellStyle name="20% - Accent1 3 2 4 5" xfId="1303"/>
    <cellStyle name="20% - Accent1 3 2 4 5 2" xfId="1304"/>
    <cellStyle name="20% - Accent1 3 2 4 5 2 2" xfId="1305"/>
    <cellStyle name="20% - Accent1 3 2 4 5 2 2 2" xfId="1306"/>
    <cellStyle name="20% - Accent1 3 2 4 5 2 2 2 2" xfId="1307"/>
    <cellStyle name="20% - Accent1 3 2 4 5 2 2 3" xfId="1308"/>
    <cellStyle name="20% - Accent1 3 2 4 5 2 3" xfId="1309"/>
    <cellStyle name="20% - Accent1 3 2 4 5 2 3 2" xfId="1310"/>
    <cellStyle name="20% - Accent1 3 2 4 5 2 4" xfId="1311"/>
    <cellStyle name="20% - Accent1 3 2 4 5 3" xfId="1312"/>
    <cellStyle name="20% - Accent1 3 2 4 5 3 2" xfId="1313"/>
    <cellStyle name="20% - Accent1 3 2 4 5 3 2 2" xfId="1314"/>
    <cellStyle name="20% - Accent1 3 2 4 5 3 3" xfId="1315"/>
    <cellStyle name="20% - Accent1 3 2 4 5 4" xfId="1316"/>
    <cellStyle name="20% - Accent1 3 2 4 5 4 2" xfId="1317"/>
    <cellStyle name="20% - Accent1 3 2 4 5 5" xfId="1318"/>
    <cellStyle name="20% - Accent1 3 2 4 5 5 2" xfId="1319"/>
    <cellStyle name="20% - Accent1 3 2 4 5 6" xfId="1320"/>
    <cellStyle name="20% - Accent1 3 2 4 6" xfId="1321"/>
    <cellStyle name="20% - Accent1 3 2 4 6 2" xfId="1322"/>
    <cellStyle name="20% - Accent1 3 2 4 6 2 2" xfId="1323"/>
    <cellStyle name="20% - Accent1 3 2 4 6 2 2 2" xfId="1324"/>
    <cellStyle name="20% - Accent1 3 2 4 6 2 2 2 2" xfId="1325"/>
    <cellStyle name="20% - Accent1 3 2 4 6 2 2 3" xfId="1326"/>
    <cellStyle name="20% - Accent1 3 2 4 6 2 3" xfId="1327"/>
    <cellStyle name="20% - Accent1 3 2 4 6 2 3 2" xfId="1328"/>
    <cellStyle name="20% - Accent1 3 2 4 6 2 4" xfId="1329"/>
    <cellStyle name="20% - Accent1 3 2 4 6 3" xfId="1330"/>
    <cellStyle name="20% - Accent1 3 2 4 6 3 2" xfId="1331"/>
    <cellStyle name="20% - Accent1 3 2 4 6 3 2 2" xfId="1332"/>
    <cellStyle name="20% - Accent1 3 2 4 6 3 3" xfId="1333"/>
    <cellStyle name="20% - Accent1 3 2 4 6 4" xfId="1334"/>
    <cellStyle name="20% - Accent1 3 2 4 6 4 2" xfId="1335"/>
    <cellStyle name="20% - Accent1 3 2 4 6 5" xfId="1336"/>
    <cellStyle name="20% - Accent1 3 2 4 6 5 2" xfId="1337"/>
    <cellStyle name="20% - Accent1 3 2 4 6 6" xfId="1338"/>
    <cellStyle name="20% - Accent1 3 2 4 7" xfId="1339"/>
    <cellStyle name="20% - Accent1 3 2 4 7 2" xfId="1340"/>
    <cellStyle name="20% - Accent1 3 2 4 7 2 2" xfId="1341"/>
    <cellStyle name="20% - Accent1 3 2 4 7 2 2 2" xfId="1342"/>
    <cellStyle name="20% - Accent1 3 2 4 7 2 3" xfId="1343"/>
    <cellStyle name="20% - Accent1 3 2 4 7 3" xfId="1344"/>
    <cellStyle name="20% - Accent1 3 2 4 7 3 2" xfId="1345"/>
    <cellStyle name="20% - Accent1 3 2 4 7 4" xfId="1346"/>
    <cellStyle name="20% - Accent1 3 2 4 8" xfId="1347"/>
    <cellStyle name="20% - Accent1 3 2 4 8 2" xfId="1348"/>
    <cellStyle name="20% - Accent1 3 2 4 8 2 2" xfId="1349"/>
    <cellStyle name="20% - Accent1 3 2 4 8 3" xfId="1350"/>
    <cellStyle name="20% - Accent1 3 2 4 9" xfId="1351"/>
    <cellStyle name="20% - Accent1 3 2 4 9 2" xfId="1352"/>
    <cellStyle name="20% - Accent1 3 2 5" xfId="1353"/>
    <cellStyle name="20% - Accent1 3 2 5 2" xfId="1354"/>
    <cellStyle name="20% - Accent1 3 2 5 2 2" xfId="1355"/>
    <cellStyle name="20% - Accent1 3 2 5 2 2 2" xfId="1356"/>
    <cellStyle name="20% - Accent1 3 2 5 2 2 2 2" xfId="1357"/>
    <cellStyle name="20% - Accent1 3 2 5 2 2 2 2 2" xfId="1358"/>
    <cellStyle name="20% - Accent1 3 2 5 2 2 2 3" xfId="1359"/>
    <cellStyle name="20% - Accent1 3 2 5 2 2 3" xfId="1360"/>
    <cellStyle name="20% - Accent1 3 2 5 2 2 3 2" xfId="1361"/>
    <cellStyle name="20% - Accent1 3 2 5 2 2 4" xfId="1362"/>
    <cellStyle name="20% - Accent1 3 2 5 2 3" xfId="1363"/>
    <cellStyle name="20% - Accent1 3 2 5 2 3 2" xfId="1364"/>
    <cellStyle name="20% - Accent1 3 2 5 2 3 2 2" xfId="1365"/>
    <cellStyle name="20% - Accent1 3 2 5 2 3 3" xfId="1366"/>
    <cellStyle name="20% - Accent1 3 2 5 2 4" xfId="1367"/>
    <cellStyle name="20% - Accent1 3 2 5 2 4 2" xfId="1368"/>
    <cellStyle name="20% - Accent1 3 2 5 2 5" xfId="1369"/>
    <cellStyle name="20% - Accent1 3 2 5 2 5 2" xfId="1370"/>
    <cellStyle name="20% - Accent1 3 2 5 2 6" xfId="1371"/>
    <cellStyle name="20% - Accent1 3 2 5 3" xfId="1372"/>
    <cellStyle name="20% - Accent1 3 2 5 3 2" xfId="1373"/>
    <cellStyle name="20% - Accent1 3 2 5 3 2 2" xfId="1374"/>
    <cellStyle name="20% - Accent1 3 2 5 3 2 2 2" xfId="1375"/>
    <cellStyle name="20% - Accent1 3 2 5 3 2 2 2 2" xfId="1376"/>
    <cellStyle name="20% - Accent1 3 2 5 3 2 2 3" xfId="1377"/>
    <cellStyle name="20% - Accent1 3 2 5 3 2 3" xfId="1378"/>
    <cellStyle name="20% - Accent1 3 2 5 3 2 3 2" xfId="1379"/>
    <cellStyle name="20% - Accent1 3 2 5 3 2 4" xfId="1380"/>
    <cellStyle name="20% - Accent1 3 2 5 3 3" xfId="1381"/>
    <cellStyle name="20% - Accent1 3 2 5 3 3 2" xfId="1382"/>
    <cellStyle name="20% - Accent1 3 2 5 3 3 2 2" xfId="1383"/>
    <cellStyle name="20% - Accent1 3 2 5 3 3 3" xfId="1384"/>
    <cellStyle name="20% - Accent1 3 2 5 3 4" xfId="1385"/>
    <cellStyle name="20% - Accent1 3 2 5 3 4 2" xfId="1386"/>
    <cellStyle name="20% - Accent1 3 2 5 3 5" xfId="1387"/>
    <cellStyle name="20% - Accent1 3 2 5 3 5 2" xfId="1388"/>
    <cellStyle name="20% - Accent1 3 2 5 3 6" xfId="1389"/>
    <cellStyle name="20% - Accent1 3 2 5 4" xfId="1390"/>
    <cellStyle name="20% - Accent1 3 2 5 4 2" xfId="1391"/>
    <cellStyle name="20% - Accent1 3 2 5 4 2 2" xfId="1392"/>
    <cellStyle name="20% - Accent1 3 2 5 4 2 2 2" xfId="1393"/>
    <cellStyle name="20% - Accent1 3 2 5 4 2 3" xfId="1394"/>
    <cellStyle name="20% - Accent1 3 2 5 4 3" xfId="1395"/>
    <cellStyle name="20% - Accent1 3 2 5 4 3 2" xfId="1396"/>
    <cellStyle name="20% - Accent1 3 2 5 4 4" xfId="1397"/>
    <cellStyle name="20% - Accent1 3 2 5 5" xfId="1398"/>
    <cellStyle name="20% - Accent1 3 2 5 5 2" xfId="1399"/>
    <cellStyle name="20% - Accent1 3 2 5 5 2 2" xfId="1400"/>
    <cellStyle name="20% - Accent1 3 2 5 5 3" xfId="1401"/>
    <cellStyle name="20% - Accent1 3 2 5 6" xfId="1402"/>
    <cellStyle name="20% - Accent1 3 2 5 6 2" xfId="1403"/>
    <cellStyle name="20% - Accent1 3 2 5 7" xfId="1404"/>
    <cellStyle name="20% - Accent1 3 2 5 7 2" xfId="1405"/>
    <cellStyle name="20% - Accent1 3 2 5 8" xfId="1406"/>
    <cellStyle name="20% - Accent1 3 2 6" xfId="1407"/>
    <cellStyle name="20% - Accent1 3 2 6 2" xfId="1408"/>
    <cellStyle name="20% - Accent1 3 2 6 2 2" xfId="1409"/>
    <cellStyle name="20% - Accent1 3 2 6 2 2 2" xfId="1410"/>
    <cellStyle name="20% - Accent1 3 2 6 2 2 2 2" xfId="1411"/>
    <cellStyle name="20% - Accent1 3 2 6 2 2 2 2 2" xfId="1412"/>
    <cellStyle name="20% - Accent1 3 2 6 2 2 2 3" xfId="1413"/>
    <cellStyle name="20% - Accent1 3 2 6 2 2 3" xfId="1414"/>
    <cellStyle name="20% - Accent1 3 2 6 2 2 3 2" xfId="1415"/>
    <cellStyle name="20% - Accent1 3 2 6 2 2 4" xfId="1416"/>
    <cellStyle name="20% - Accent1 3 2 6 2 3" xfId="1417"/>
    <cellStyle name="20% - Accent1 3 2 6 2 3 2" xfId="1418"/>
    <cellStyle name="20% - Accent1 3 2 6 2 3 2 2" xfId="1419"/>
    <cellStyle name="20% - Accent1 3 2 6 2 3 3" xfId="1420"/>
    <cellStyle name="20% - Accent1 3 2 6 2 4" xfId="1421"/>
    <cellStyle name="20% - Accent1 3 2 6 2 4 2" xfId="1422"/>
    <cellStyle name="20% - Accent1 3 2 6 2 5" xfId="1423"/>
    <cellStyle name="20% - Accent1 3 2 6 2 5 2" xfId="1424"/>
    <cellStyle name="20% - Accent1 3 2 6 2 6" xfId="1425"/>
    <cellStyle name="20% - Accent1 3 2 6 3" xfId="1426"/>
    <cellStyle name="20% - Accent1 3 2 6 3 2" xfId="1427"/>
    <cellStyle name="20% - Accent1 3 2 6 3 2 2" xfId="1428"/>
    <cellStyle name="20% - Accent1 3 2 6 3 2 2 2" xfId="1429"/>
    <cellStyle name="20% - Accent1 3 2 6 3 2 2 2 2" xfId="1430"/>
    <cellStyle name="20% - Accent1 3 2 6 3 2 2 3" xfId="1431"/>
    <cellStyle name="20% - Accent1 3 2 6 3 2 3" xfId="1432"/>
    <cellStyle name="20% - Accent1 3 2 6 3 2 3 2" xfId="1433"/>
    <cellStyle name="20% - Accent1 3 2 6 3 2 4" xfId="1434"/>
    <cellStyle name="20% - Accent1 3 2 6 3 3" xfId="1435"/>
    <cellStyle name="20% - Accent1 3 2 6 3 3 2" xfId="1436"/>
    <cellStyle name="20% - Accent1 3 2 6 3 3 2 2" xfId="1437"/>
    <cellStyle name="20% - Accent1 3 2 6 3 3 3" xfId="1438"/>
    <cellStyle name="20% - Accent1 3 2 6 3 4" xfId="1439"/>
    <cellStyle name="20% - Accent1 3 2 6 3 4 2" xfId="1440"/>
    <cellStyle name="20% - Accent1 3 2 6 3 5" xfId="1441"/>
    <cellStyle name="20% - Accent1 3 2 6 3 5 2" xfId="1442"/>
    <cellStyle name="20% - Accent1 3 2 6 3 6" xfId="1443"/>
    <cellStyle name="20% - Accent1 3 2 6 4" xfId="1444"/>
    <cellStyle name="20% - Accent1 3 2 6 4 2" xfId="1445"/>
    <cellStyle name="20% - Accent1 3 2 6 4 2 2" xfId="1446"/>
    <cellStyle name="20% - Accent1 3 2 6 4 2 2 2" xfId="1447"/>
    <cellStyle name="20% - Accent1 3 2 6 4 2 3" xfId="1448"/>
    <cellStyle name="20% - Accent1 3 2 6 4 3" xfId="1449"/>
    <cellStyle name="20% - Accent1 3 2 6 4 3 2" xfId="1450"/>
    <cellStyle name="20% - Accent1 3 2 6 4 4" xfId="1451"/>
    <cellStyle name="20% - Accent1 3 2 6 5" xfId="1452"/>
    <cellStyle name="20% - Accent1 3 2 6 5 2" xfId="1453"/>
    <cellStyle name="20% - Accent1 3 2 6 5 2 2" xfId="1454"/>
    <cellStyle name="20% - Accent1 3 2 6 5 3" xfId="1455"/>
    <cellStyle name="20% - Accent1 3 2 6 6" xfId="1456"/>
    <cellStyle name="20% - Accent1 3 2 6 6 2" xfId="1457"/>
    <cellStyle name="20% - Accent1 3 2 6 7" xfId="1458"/>
    <cellStyle name="20% - Accent1 3 2 6 7 2" xfId="1459"/>
    <cellStyle name="20% - Accent1 3 2 6 8" xfId="1460"/>
    <cellStyle name="20% - Accent1 3 2 7" xfId="1461"/>
    <cellStyle name="20% - Accent1 3 2 7 2" xfId="1462"/>
    <cellStyle name="20% - Accent1 3 2 7 2 2" xfId="1463"/>
    <cellStyle name="20% - Accent1 3 2 7 2 2 2" xfId="1464"/>
    <cellStyle name="20% - Accent1 3 2 7 2 2 2 2" xfId="1465"/>
    <cellStyle name="20% - Accent1 3 2 7 2 2 3" xfId="1466"/>
    <cellStyle name="20% - Accent1 3 2 7 2 3" xfId="1467"/>
    <cellStyle name="20% - Accent1 3 2 7 2 3 2" xfId="1468"/>
    <cellStyle name="20% - Accent1 3 2 7 2 4" xfId="1469"/>
    <cellStyle name="20% - Accent1 3 2 7 3" xfId="1470"/>
    <cellStyle name="20% - Accent1 3 2 7 3 2" xfId="1471"/>
    <cellStyle name="20% - Accent1 3 2 7 3 2 2" xfId="1472"/>
    <cellStyle name="20% - Accent1 3 2 7 3 3" xfId="1473"/>
    <cellStyle name="20% - Accent1 3 2 7 4" xfId="1474"/>
    <cellStyle name="20% - Accent1 3 2 7 4 2" xfId="1475"/>
    <cellStyle name="20% - Accent1 3 2 7 5" xfId="1476"/>
    <cellStyle name="20% - Accent1 3 2 7 5 2" xfId="1477"/>
    <cellStyle name="20% - Accent1 3 2 7 6" xfId="1478"/>
    <cellStyle name="20% - Accent1 3 2 8" xfId="1479"/>
    <cellStyle name="20% - Accent1 3 2 8 2" xfId="1480"/>
    <cellStyle name="20% - Accent1 3 2 8 2 2" xfId="1481"/>
    <cellStyle name="20% - Accent1 3 2 8 2 2 2" xfId="1482"/>
    <cellStyle name="20% - Accent1 3 2 8 2 2 2 2" xfId="1483"/>
    <cellStyle name="20% - Accent1 3 2 8 2 2 3" xfId="1484"/>
    <cellStyle name="20% - Accent1 3 2 8 2 3" xfId="1485"/>
    <cellStyle name="20% - Accent1 3 2 8 2 3 2" xfId="1486"/>
    <cellStyle name="20% - Accent1 3 2 8 2 4" xfId="1487"/>
    <cellStyle name="20% - Accent1 3 2 8 3" xfId="1488"/>
    <cellStyle name="20% - Accent1 3 2 8 3 2" xfId="1489"/>
    <cellStyle name="20% - Accent1 3 2 8 3 2 2" xfId="1490"/>
    <cellStyle name="20% - Accent1 3 2 8 3 3" xfId="1491"/>
    <cellStyle name="20% - Accent1 3 2 8 4" xfId="1492"/>
    <cellStyle name="20% - Accent1 3 2 8 4 2" xfId="1493"/>
    <cellStyle name="20% - Accent1 3 2 8 5" xfId="1494"/>
    <cellStyle name="20% - Accent1 3 2 8 5 2" xfId="1495"/>
    <cellStyle name="20% - Accent1 3 2 8 6" xfId="1496"/>
    <cellStyle name="20% - Accent1 3 2 9" xfId="1497"/>
    <cellStyle name="20% - Accent1 3 2 9 2" xfId="1498"/>
    <cellStyle name="20% - Accent1 3 2 9 2 2" xfId="1499"/>
    <cellStyle name="20% - Accent1 3 2 9 2 2 2" xfId="1500"/>
    <cellStyle name="20% - Accent1 3 2 9 2 2 2 2" xfId="1501"/>
    <cellStyle name="20% - Accent1 3 2 9 2 2 3" xfId="1502"/>
    <cellStyle name="20% - Accent1 3 2 9 2 3" xfId="1503"/>
    <cellStyle name="20% - Accent1 3 2 9 2 3 2" xfId="1504"/>
    <cellStyle name="20% - Accent1 3 2 9 2 4" xfId="1505"/>
    <cellStyle name="20% - Accent1 3 2 9 3" xfId="1506"/>
    <cellStyle name="20% - Accent1 3 2 9 3 2" xfId="1507"/>
    <cellStyle name="20% - Accent1 3 2 9 3 2 2" xfId="1508"/>
    <cellStyle name="20% - Accent1 3 2 9 3 3" xfId="1509"/>
    <cellStyle name="20% - Accent1 3 2 9 4" xfId="1510"/>
    <cellStyle name="20% - Accent1 3 2 9 4 2" xfId="1511"/>
    <cellStyle name="20% - Accent1 3 2 9 5" xfId="1512"/>
    <cellStyle name="20% - Accent1 3 2 9 5 2" xfId="1513"/>
    <cellStyle name="20% - Accent1 3 2 9 6" xfId="1514"/>
    <cellStyle name="20% - Accent1 3 3" xfId="1515"/>
    <cellStyle name="20% - Accent1 3 3 10" xfId="1516"/>
    <cellStyle name="20% - Accent1 3 3 10 2" xfId="1517"/>
    <cellStyle name="20% - Accent1 3 3 11" xfId="1518"/>
    <cellStyle name="20% - Accent1 3 3 2" xfId="1519"/>
    <cellStyle name="20% - Accent1 3 3 2 2" xfId="1520"/>
    <cellStyle name="20% - Accent1 3 3 2 2 2" xfId="1521"/>
    <cellStyle name="20% - Accent1 3 3 2 2 2 2" xfId="1522"/>
    <cellStyle name="20% - Accent1 3 3 2 2 2 2 2" xfId="1523"/>
    <cellStyle name="20% - Accent1 3 3 2 2 2 2 2 2" xfId="1524"/>
    <cellStyle name="20% - Accent1 3 3 2 2 2 2 3" xfId="1525"/>
    <cellStyle name="20% - Accent1 3 3 2 2 2 3" xfId="1526"/>
    <cellStyle name="20% - Accent1 3 3 2 2 2 3 2" xfId="1527"/>
    <cellStyle name="20% - Accent1 3 3 2 2 2 4" xfId="1528"/>
    <cellStyle name="20% - Accent1 3 3 2 2 3" xfId="1529"/>
    <cellStyle name="20% - Accent1 3 3 2 2 3 2" xfId="1530"/>
    <cellStyle name="20% - Accent1 3 3 2 2 3 2 2" xfId="1531"/>
    <cellStyle name="20% - Accent1 3 3 2 2 3 3" xfId="1532"/>
    <cellStyle name="20% - Accent1 3 3 2 2 4" xfId="1533"/>
    <cellStyle name="20% - Accent1 3 3 2 2 4 2" xfId="1534"/>
    <cellStyle name="20% - Accent1 3 3 2 2 5" xfId="1535"/>
    <cellStyle name="20% - Accent1 3 3 2 2 5 2" xfId="1536"/>
    <cellStyle name="20% - Accent1 3 3 2 2 6" xfId="1537"/>
    <cellStyle name="20% - Accent1 3 3 2 3" xfId="1538"/>
    <cellStyle name="20% - Accent1 3 3 2 3 2" xfId="1539"/>
    <cellStyle name="20% - Accent1 3 3 2 3 2 2" xfId="1540"/>
    <cellStyle name="20% - Accent1 3 3 2 3 2 2 2" xfId="1541"/>
    <cellStyle name="20% - Accent1 3 3 2 3 2 2 2 2" xfId="1542"/>
    <cellStyle name="20% - Accent1 3 3 2 3 2 2 3" xfId="1543"/>
    <cellStyle name="20% - Accent1 3 3 2 3 2 3" xfId="1544"/>
    <cellStyle name="20% - Accent1 3 3 2 3 2 3 2" xfId="1545"/>
    <cellStyle name="20% - Accent1 3 3 2 3 2 4" xfId="1546"/>
    <cellStyle name="20% - Accent1 3 3 2 3 3" xfId="1547"/>
    <cellStyle name="20% - Accent1 3 3 2 3 3 2" xfId="1548"/>
    <cellStyle name="20% - Accent1 3 3 2 3 3 2 2" xfId="1549"/>
    <cellStyle name="20% - Accent1 3 3 2 3 3 3" xfId="1550"/>
    <cellStyle name="20% - Accent1 3 3 2 3 4" xfId="1551"/>
    <cellStyle name="20% - Accent1 3 3 2 3 4 2" xfId="1552"/>
    <cellStyle name="20% - Accent1 3 3 2 3 5" xfId="1553"/>
    <cellStyle name="20% - Accent1 3 3 2 3 5 2" xfId="1554"/>
    <cellStyle name="20% - Accent1 3 3 2 3 6" xfId="1555"/>
    <cellStyle name="20% - Accent1 3 3 2 4" xfId="1556"/>
    <cellStyle name="20% - Accent1 3 3 2 4 2" xfId="1557"/>
    <cellStyle name="20% - Accent1 3 3 2 4 2 2" xfId="1558"/>
    <cellStyle name="20% - Accent1 3 3 2 4 2 2 2" xfId="1559"/>
    <cellStyle name="20% - Accent1 3 3 2 4 2 3" xfId="1560"/>
    <cellStyle name="20% - Accent1 3 3 2 4 3" xfId="1561"/>
    <cellStyle name="20% - Accent1 3 3 2 4 3 2" xfId="1562"/>
    <cellStyle name="20% - Accent1 3 3 2 4 4" xfId="1563"/>
    <cellStyle name="20% - Accent1 3 3 2 5" xfId="1564"/>
    <cellStyle name="20% - Accent1 3 3 2 5 2" xfId="1565"/>
    <cellStyle name="20% - Accent1 3 3 2 5 2 2" xfId="1566"/>
    <cellStyle name="20% - Accent1 3 3 2 5 3" xfId="1567"/>
    <cellStyle name="20% - Accent1 3 3 2 6" xfId="1568"/>
    <cellStyle name="20% - Accent1 3 3 2 6 2" xfId="1569"/>
    <cellStyle name="20% - Accent1 3 3 2 7" xfId="1570"/>
    <cellStyle name="20% - Accent1 3 3 2 7 2" xfId="1571"/>
    <cellStyle name="20% - Accent1 3 3 2 8" xfId="1572"/>
    <cellStyle name="20% - Accent1 3 3 3" xfId="1573"/>
    <cellStyle name="20% - Accent1 3 3 3 2" xfId="1574"/>
    <cellStyle name="20% - Accent1 3 3 3 2 2" xfId="1575"/>
    <cellStyle name="20% - Accent1 3 3 3 2 2 2" xfId="1576"/>
    <cellStyle name="20% - Accent1 3 3 3 2 2 2 2" xfId="1577"/>
    <cellStyle name="20% - Accent1 3 3 3 2 2 2 2 2" xfId="1578"/>
    <cellStyle name="20% - Accent1 3 3 3 2 2 2 3" xfId="1579"/>
    <cellStyle name="20% - Accent1 3 3 3 2 2 3" xfId="1580"/>
    <cellStyle name="20% - Accent1 3 3 3 2 2 3 2" xfId="1581"/>
    <cellStyle name="20% - Accent1 3 3 3 2 2 4" xfId="1582"/>
    <cellStyle name="20% - Accent1 3 3 3 2 3" xfId="1583"/>
    <cellStyle name="20% - Accent1 3 3 3 2 3 2" xfId="1584"/>
    <cellStyle name="20% - Accent1 3 3 3 2 3 2 2" xfId="1585"/>
    <cellStyle name="20% - Accent1 3 3 3 2 3 3" xfId="1586"/>
    <cellStyle name="20% - Accent1 3 3 3 2 4" xfId="1587"/>
    <cellStyle name="20% - Accent1 3 3 3 2 4 2" xfId="1588"/>
    <cellStyle name="20% - Accent1 3 3 3 2 5" xfId="1589"/>
    <cellStyle name="20% - Accent1 3 3 3 2 5 2" xfId="1590"/>
    <cellStyle name="20% - Accent1 3 3 3 2 6" xfId="1591"/>
    <cellStyle name="20% - Accent1 3 3 3 3" xfId="1592"/>
    <cellStyle name="20% - Accent1 3 3 3 3 2" xfId="1593"/>
    <cellStyle name="20% - Accent1 3 3 3 3 2 2" xfId="1594"/>
    <cellStyle name="20% - Accent1 3 3 3 3 2 2 2" xfId="1595"/>
    <cellStyle name="20% - Accent1 3 3 3 3 2 2 2 2" xfId="1596"/>
    <cellStyle name="20% - Accent1 3 3 3 3 2 2 3" xfId="1597"/>
    <cellStyle name="20% - Accent1 3 3 3 3 2 3" xfId="1598"/>
    <cellStyle name="20% - Accent1 3 3 3 3 2 3 2" xfId="1599"/>
    <cellStyle name="20% - Accent1 3 3 3 3 2 4" xfId="1600"/>
    <cellStyle name="20% - Accent1 3 3 3 3 3" xfId="1601"/>
    <cellStyle name="20% - Accent1 3 3 3 3 3 2" xfId="1602"/>
    <cellStyle name="20% - Accent1 3 3 3 3 3 2 2" xfId="1603"/>
    <cellStyle name="20% - Accent1 3 3 3 3 3 3" xfId="1604"/>
    <cellStyle name="20% - Accent1 3 3 3 3 4" xfId="1605"/>
    <cellStyle name="20% - Accent1 3 3 3 3 4 2" xfId="1606"/>
    <cellStyle name="20% - Accent1 3 3 3 3 5" xfId="1607"/>
    <cellStyle name="20% - Accent1 3 3 3 3 5 2" xfId="1608"/>
    <cellStyle name="20% - Accent1 3 3 3 3 6" xfId="1609"/>
    <cellStyle name="20% - Accent1 3 3 3 4" xfId="1610"/>
    <cellStyle name="20% - Accent1 3 3 3 4 2" xfId="1611"/>
    <cellStyle name="20% - Accent1 3 3 3 4 2 2" xfId="1612"/>
    <cellStyle name="20% - Accent1 3 3 3 4 2 2 2" xfId="1613"/>
    <cellStyle name="20% - Accent1 3 3 3 4 2 3" xfId="1614"/>
    <cellStyle name="20% - Accent1 3 3 3 4 3" xfId="1615"/>
    <cellStyle name="20% - Accent1 3 3 3 4 3 2" xfId="1616"/>
    <cellStyle name="20% - Accent1 3 3 3 4 4" xfId="1617"/>
    <cellStyle name="20% - Accent1 3 3 3 5" xfId="1618"/>
    <cellStyle name="20% - Accent1 3 3 3 5 2" xfId="1619"/>
    <cellStyle name="20% - Accent1 3 3 3 5 2 2" xfId="1620"/>
    <cellStyle name="20% - Accent1 3 3 3 5 3" xfId="1621"/>
    <cellStyle name="20% - Accent1 3 3 3 6" xfId="1622"/>
    <cellStyle name="20% - Accent1 3 3 3 6 2" xfId="1623"/>
    <cellStyle name="20% - Accent1 3 3 3 7" xfId="1624"/>
    <cellStyle name="20% - Accent1 3 3 3 7 2" xfId="1625"/>
    <cellStyle name="20% - Accent1 3 3 3 8" xfId="1626"/>
    <cellStyle name="20% - Accent1 3 3 4" xfId="1627"/>
    <cellStyle name="20% - Accent1 3 3 4 2" xfId="1628"/>
    <cellStyle name="20% - Accent1 3 3 4 2 2" xfId="1629"/>
    <cellStyle name="20% - Accent1 3 3 4 2 2 2" xfId="1630"/>
    <cellStyle name="20% - Accent1 3 3 4 2 2 2 2" xfId="1631"/>
    <cellStyle name="20% - Accent1 3 3 4 2 2 3" xfId="1632"/>
    <cellStyle name="20% - Accent1 3 3 4 2 3" xfId="1633"/>
    <cellStyle name="20% - Accent1 3 3 4 2 3 2" xfId="1634"/>
    <cellStyle name="20% - Accent1 3 3 4 2 4" xfId="1635"/>
    <cellStyle name="20% - Accent1 3 3 4 3" xfId="1636"/>
    <cellStyle name="20% - Accent1 3 3 4 3 2" xfId="1637"/>
    <cellStyle name="20% - Accent1 3 3 4 3 2 2" xfId="1638"/>
    <cellStyle name="20% - Accent1 3 3 4 3 3" xfId="1639"/>
    <cellStyle name="20% - Accent1 3 3 4 4" xfId="1640"/>
    <cellStyle name="20% - Accent1 3 3 4 4 2" xfId="1641"/>
    <cellStyle name="20% - Accent1 3 3 4 5" xfId="1642"/>
    <cellStyle name="20% - Accent1 3 3 4 5 2" xfId="1643"/>
    <cellStyle name="20% - Accent1 3 3 4 6" xfId="1644"/>
    <cellStyle name="20% - Accent1 3 3 5" xfId="1645"/>
    <cellStyle name="20% - Accent1 3 3 5 2" xfId="1646"/>
    <cellStyle name="20% - Accent1 3 3 5 2 2" xfId="1647"/>
    <cellStyle name="20% - Accent1 3 3 5 2 2 2" xfId="1648"/>
    <cellStyle name="20% - Accent1 3 3 5 2 2 2 2" xfId="1649"/>
    <cellStyle name="20% - Accent1 3 3 5 2 2 3" xfId="1650"/>
    <cellStyle name="20% - Accent1 3 3 5 2 3" xfId="1651"/>
    <cellStyle name="20% - Accent1 3 3 5 2 3 2" xfId="1652"/>
    <cellStyle name="20% - Accent1 3 3 5 2 4" xfId="1653"/>
    <cellStyle name="20% - Accent1 3 3 5 3" xfId="1654"/>
    <cellStyle name="20% - Accent1 3 3 5 3 2" xfId="1655"/>
    <cellStyle name="20% - Accent1 3 3 5 3 2 2" xfId="1656"/>
    <cellStyle name="20% - Accent1 3 3 5 3 3" xfId="1657"/>
    <cellStyle name="20% - Accent1 3 3 5 4" xfId="1658"/>
    <cellStyle name="20% - Accent1 3 3 5 4 2" xfId="1659"/>
    <cellStyle name="20% - Accent1 3 3 5 5" xfId="1660"/>
    <cellStyle name="20% - Accent1 3 3 5 5 2" xfId="1661"/>
    <cellStyle name="20% - Accent1 3 3 5 6" xfId="1662"/>
    <cellStyle name="20% - Accent1 3 3 6" xfId="1663"/>
    <cellStyle name="20% - Accent1 3 3 6 2" xfId="1664"/>
    <cellStyle name="20% - Accent1 3 3 6 2 2" xfId="1665"/>
    <cellStyle name="20% - Accent1 3 3 6 2 2 2" xfId="1666"/>
    <cellStyle name="20% - Accent1 3 3 6 2 2 2 2" xfId="1667"/>
    <cellStyle name="20% - Accent1 3 3 6 2 2 3" xfId="1668"/>
    <cellStyle name="20% - Accent1 3 3 6 2 3" xfId="1669"/>
    <cellStyle name="20% - Accent1 3 3 6 2 3 2" xfId="1670"/>
    <cellStyle name="20% - Accent1 3 3 6 2 4" xfId="1671"/>
    <cellStyle name="20% - Accent1 3 3 6 3" xfId="1672"/>
    <cellStyle name="20% - Accent1 3 3 6 3 2" xfId="1673"/>
    <cellStyle name="20% - Accent1 3 3 6 3 2 2" xfId="1674"/>
    <cellStyle name="20% - Accent1 3 3 6 3 3" xfId="1675"/>
    <cellStyle name="20% - Accent1 3 3 6 4" xfId="1676"/>
    <cellStyle name="20% - Accent1 3 3 6 4 2" xfId="1677"/>
    <cellStyle name="20% - Accent1 3 3 6 5" xfId="1678"/>
    <cellStyle name="20% - Accent1 3 3 6 5 2" xfId="1679"/>
    <cellStyle name="20% - Accent1 3 3 6 6" xfId="1680"/>
    <cellStyle name="20% - Accent1 3 3 7" xfId="1681"/>
    <cellStyle name="20% - Accent1 3 3 7 2" xfId="1682"/>
    <cellStyle name="20% - Accent1 3 3 7 2 2" xfId="1683"/>
    <cellStyle name="20% - Accent1 3 3 7 2 2 2" xfId="1684"/>
    <cellStyle name="20% - Accent1 3 3 7 2 3" xfId="1685"/>
    <cellStyle name="20% - Accent1 3 3 7 3" xfId="1686"/>
    <cellStyle name="20% - Accent1 3 3 7 3 2" xfId="1687"/>
    <cellStyle name="20% - Accent1 3 3 7 4" xfId="1688"/>
    <cellStyle name="20% - Accent1 3 3 8" xfId="1689"/>
    <cellStyle name="20% - Accent1 3 3 8 2" xfId="1690"/>
    <cellStyle name="20% - Accent1 3 3 8 2 2" xfId="1691"/>
    <cellStyle name="20% - Accent1 3 3 8 3" xfId="1692"/>
    <cellStyle name="20% - Accent1 3 3 9" xfId="1693"/>
    <cellStyle name="20% - Accent1 3 3 9 2" xfId="1694"/>
    <cellStyle name="20% - Accent1 3 4" xfId="1695"/>
    <cellStyle name="20% - Accent1 3 4 10" xfId="1696"/>
    <cellStyle name="20% - Accent1 3 4 10 2" xfId="1697"/>
    <cellStyle name="20% - Accent1 3 4 11" xfId="1698"/>
    <cellStyle name="20% - Accent1 3 4 2" xfId="1699"/>
    <cellStyle name="20% - Accent1 3 4 2 2" xfId="1700"/>
    <cellStyle name="20% - Accent1 3 4 2 2 2" xfId="1701"/>
    <cellStyle name="20% - Accent1 3 4 2 2 2 2" xfId="1702"/>
    <cellStyle name="20% - Accent1 3 4 2 2 2 2 2" xfId="1703"/>
    <cellStyle name="20% - Accent1 3 4 2 2 2 2 2 2" xfId="1704"/>
    <cellStyle name="20% - Accent1 3 4 2 2 2 2 3" xfId="1705"/>
    <cellStyle name="20% - Accent1 3 4 2 2 2 3" xfId="1706"/>
    <cellStyle name="20% - Accent1 3 4 2 2 2 3 2" xfId="1707"/>
    <cellStyle name="20% - Accent1 3 4 2 2 2 4" xfId="1708"/>
    <cellStyle name="20% - Accent1 3 4 2 2 3" xfId="1709"/>
    <cellStyle name="20% - Accent1 3 4 2 2 3 2" xfId="1710"/>
    <cellStyle name="20% - Accent1 3 4 2 2 3 2 2" xfId="1711"/>
    <cellStyle name="20% - Accent1 3 4 2 2 3 3" xfId="1712"/>
    <cellStyle name="20% - Accent1 3 4 2 2 4" xfId="1713"/>
    <cellStyle name="20% - Accent1 3 4 2 2 4 2" xfId="1714"/>
    <cellStyle name="20% - Accent1 3 4 2 2 5" xfId="1715"/>
    <cellStyle name="20% - Accent1 3 4 2 2 5 2" xfId="1716"/>
    <cellStyle name="20% - Accent1 3 4 2 2 6" xfId="1717"/>
    <cellStyle name="20% - Accent1 3 4 2 3" xfId="1718"/>
    <cellStyle name="20% - Accent1 3 4 2 3 2" xfId="1719"/>
    <cellStyle name="20% - Accent1 3 4 2 3 2 2" xfId="1720"/>
    <cellStyle name="20% - Accent1 3 4 2 3 2 2 2" xfId="1721"/>
    <cellStyle name="20% - Accent1 3 4 2 3 2 2 2 2" xfId="1722"/>
    <cellStyle name="20% - Accent1 3 4 2 3 2 2 3" xfId="1723"/>
    <cellStyle name="20% - Accent1 3 4 2 3 2 3" xfId="1724"/>
    <cellStyle name="20% - Accent1 3 4 2 3 2 3 2" xfId="1725"/>
    <cellStyle name="20% - Accent1 3 4 2 3 2 4" xfId="1726"/>
    <cellStyle name="20% - Accent1 3 4 2 3 3" xfId="1727"/>
    <cellStyle name="20% - Accent1 3 4 2 3 3 2" xfId="1728"/>
    <cellStyle name="20% - Accent1 3 4 2 3 3 2 2" xfId="1729"/>
    <cellStyle name="20% - Accent1 3 4 2 3 3 3" xfId="1730"/>
    <cellStyle name="20% - Accent1 3 4 2 3 4" xfId="1731"/>
    <cellStyle name="20% - Accent1 3 4 2 3 4 2" xfId="1732"/>
    <cellStyle name="20% - Accent1 3 4 2 3 5" xfId="1733"/>
    <cellStyle name="20% - Accent1 3 4 2 3 5 2" xfId="1734"/>
    <cellStyle name="20% - Accent1 3 4 2 3 6" xfId="1735"/>
    <cellStyle name="20% - Accent1 3 4 2 4" xfId="1736"/>
    <cellStyle name="20% - Accent1 3 4 2 4 2" xfId="1737"/>
    <cellStyle name="20% - Accent1 3 4 2 4 2 2" xfId="1738"/>
    <cellStyle name="20% - Accent1 3 4 2 4 2 2 2" xfId="1739"/>
    <cellStyle name="20% - Accent1 3 4 2 4 2 3" xfId="1740"/>
    <cellStyle name="20% - Accent1 3 4 2 4 3" xfId="1741"/>
    <cellStyle name="20% - Accent1 3 4 2 4 3 2" xfId="1742"/>
    <cellStyle name="20% - Accent1 3 4 2 4 4" xfId="1743"/>
    <cellStyle name="20% - Accent1 3 4 2 5" xfId="1744"/>
    <cellStyle name="20% - Accent1 3 4 2 5 2" xfId="1745"/>
    <cellStyle name="20% - Accent1 3 4 2 5 2 2" xfId="1746"/>
    <cellStyle name="20% - Accent1 3 4 2 5 3" xfId="1747"/>
    <cellStyle name="20% - Accent1 3 4 2 6" xfId="1748"/>
    <cellStyle name="20% - Accent1 3 4 2 6 2" xfId="1749"/>
    <cellStyle name="20% - Accent1 3 4 2 7" xfId="1750"/>
    <cellStyle name="20% - Accent1 3 4 2 7 2" xfId="1751"/>
    <cellStyle name="20% - Accent1 3 4 2 8" xfId="1752"/>
    <cellStyle name="20% - Accent1 3 4 3" xfId="1753"/>
    <cellStyle name="20% - Accent1 3 4 3 2" xfId="1754"/>
    <cellStyle name="20% - Accent1 3 4 3 2 2" xfId="1755"/>
    <cellStyle name="20% - Accent1 3 4 3 2 2 2" xfId="1756"/>
    <cellStyle name="20% - Accent1 3 4 3 2 2 2 2" xfId="1757"/>
    <cellStyle name="20% - Accent1 3 4 3 2 2 2 2 2" xfId="1758"/>
    <cellStyle name="20% - Accent1 3 4 3 2 2 2 3" xfId="1759"/>
    <cellStyle name="20% - Accent1 3 4 3 2 2 3" xfId="1760"/>
    <cellStyle name="20% - Accent1 3 4 3 2 2 3 2" xfId="1761"/>
    <cellStyle name="20% - Accent1 3 4 3 2 2 4" xfId="1762"/>
    <cellStyle name="20% - Accent1 3 4 3 2 3" xfId="1763"/>
    <cellStyle name="20% - Accent1 3 4 3 2 3 2" xfId="1764"/>
    <cellStyle name="20% - Accent1 3 4 3 2 3 2 2" xfId="1765"/>
    <cellStyle name="20% - Accent1 3 4 3 2 3 3" xfId="1766"/>
    <cellStyle name="20% - Accent1 3 4 3 2 4" xfId="1767"/>
    <cellStyle name="20% - Accent1 3 4 3 2 4 2" xfId="1768"/>
    <cellStyle name="20% - Accent1 3 4 3 2 5" xfId="1769"/>
    <cellStyle name="20% - Accent1 3 4 3 2 5 2" xfId="1770"/>
    <cellStyle name="20% - Accent1 3 4 3 2 6" xfId="1771"/>
    <cellStyle name="20% - Accent1 3 4 3 3" xfId="1772"/>
    <cellStyle name="20% - Accent1 3 4 3 3 2" xfId="1773"/>
    <cellStyle name="20% - Accent1 3 4 3 3 2 2" xfId="1774"/>
    <cellStyle name="20% - Accent1 3 4 3 3 2 2 2" xfId="1775"/>
    <cellStyle name="20% - Accent1 3 4 3 3 2 2 2 2" xfId="1776"/>
    <cellStyle name="20% - Accent1 3 4 3 3 2 2 3" xfId="1777"/>
    <cellStyle name="20% - Accent1 3 4 3 3 2 3" xfId="1778"/>
    <cellStyle name="20% - Accent1 3 4 3 3 2 3 2" xfId="1779"/>
    <cellStyle name="20% - Accent1 3 4 3 3 2 4" xfId="1780"/>
    <cellStyle name="20% - Accent1 3 4 3 3 3" xfId="1781"/>
    <cellStyle name="20% - Accent1 3 4 3 3 3 2" xfId="1782"/>
    <cellStyle name="20% - Accent1 3 4 3 3 3 2 2" xfId="1783"/>
    <cellStyle name="20% - Accent1 3 4 3 3 3 3" xfId="1784"/>
    <cellStyle name="20% - Accent1 3 4 3 3 4" xfId="1785"/>
    <cellStyle name="20% - Accent1 3 4 3 3 4 2" xfId="1786"/>
    <cellStyle name="20% - Accent1 3 4 3 3 5" xfId="1787"/>
    <cellStyle name="20% - Accent1 3 4 3 3 5 2" xfId="1788"/>
    <cellStyle name="20% - Accent1 3 4 3 3 6" xfId="1789"/>
    <cellStyle name="20% - Accent1 3 4 3 4" xfId="1790"/>
    <cellStyle name="20% - Accent1 3 4 3 4 2" xfId="1791"/>
    <cellStyle name="20% - Accent1 3 4 3 4 2 2" xfId="1792"/>
    <cellStyle name="20% - Accent1 3 4 3 4 2 2 2" xfId="1793"/>
    <cellStyle name="20% - Accent1 3 4 3 4 2 3" xfId="1794"/>
    <cellStyle name="20% - Accent1 3 4 3 4 3" xfId="1795"/>
    <cellStyle name="20% - Accent1 3 4 3 4 3 2" xfId="1796"/>
    <cellStyle name="20% - Accent1 3 4 3 4 4" xfId="1797"/>
    <cellStyle name="20% - Accent1 3 4 3 5" xfId="1798"/>
    <cellStyle name="20% - Accent1 3 4 3 5 2" xfId="1799"/>
    <cellStyle name="20% - Accent1 3 4 3 5 2 2" xfId="1800"/>
    <cellStyle name="20% - Accent1 3 4 3 5 3" xfId="1801"/>
    <cellStyle name="20% - Accent1 3 4 3 6" xfId="1802"/>
    <cellStyle name="20% - Accent1 3 4 3 6 2" xfId="1803"/>
    <cellStyle name="20% - Accent1 3 4 3 7" xfId="1804"/>
    <cellStyle name="20% - Accent1 3 4 3 7 2" xfId="1805"/>
    <cellStyle name="20% - Accent1 3 4 3 8" xfId="1806"/>
    <cellStyle name="20% - Accent1 3 4 4" xfId="1807"/>
    <cellStyle name="20% - Accent1 3 4 4 2" xfId="1808"/>
    <cellStyle name="20% - Accent1 3 4 4 2 2" xfId="1809"/>
    <cellStyle name="20% - Accent1 3 4 4 2 2 2" xfId="1810"/>
    <cellStyle name="20% - Accent1 3 4 4 2 2 2 2" xfId="1811"/>
    <cellStyle name="20% - Accent1 3 4 4 2 2 3" xfId="1812"/>
    <cellStyle name="20% - Accent1 3 4 4 2 3" xfId="1813"/>
    <cellStyle name="20% - Accent1 3 4 4 2 3 2" xfId="1814"/>
    <cellStyle name="20% - Accent1 3 4 4 2 4" xfId="1815"/>
    <cellStyle name="20% - Accent1 3 4 4 3" xfId="1816"/>
    <cellStyle name="20% - Accent1 3 4 4 3 2" xfId="1817"/>
    <cellStyle name="20% - Accent1 3 4 4 3 2 2" xfId="1818"/>
    <cellStyle name="20% - Accent1 3 4 4 3 3" xfId="1819"/>
    <cellStyle name="20% - Accent1 3 4 4 4" xfId="1820"/>
    <cellStyle name="20% - Accent1 3 4 4 4 2" xfId="1821"/>
    <cellStyle name="20% - Accent1 3 4 4 5" xfId="1822"/>
    <cellStyle name="20% - Accent1 3 4 4 5 2" xfId="1823"/>
    <cellStyle name="20% - Accent1 3 4 4 6" xfId="1824"/>
    <cellStyle name="20% - Accent1 3 4 5" xfId="1825"/>
    <cellStyle name="20% - Accent1 3 4 5 2" xfId="1826"/>
    <cellStyle name="20% - Accent1 3 4 5 2 2" xfId="1827"/>
    <cellStyle name="20% - Accent1 3 4 5 2 2 2" xfId="1828"/>
    <cellStyle name="20% - Accent1 3 4 5 2 2 2 2" xfId="1829"/>
    <cellStyle name="20% - Accent1 3 4 5 2 2 3" xfId="1830"/>
    <cellStyle name="20% - Accent1 3 4 5 2 3" xfId="1831"/>
    <cellStyle name="20% - Accent1 3 4 5 2 3 2" xfId="1832"/>
    <cellStyle name="20% - Accent1 3 4 5 2 4" xfId="1833"/>
    <cellStyle name="20% - Accent1 3 4 5 3" xfId="1834"/>
    <cellStyle name="20% - Accent1 3 4 5 3 2" xfId="1835"/>
    <cellStyle name="20% - Accent1 3 4 5 3 2 2" xfId="1836"/>
    <cellStyle name="20% - Accent1 3 4 5 3 3" xfId="1837"/>
    <cellStyle name="20% - Accent1 3 4 5 4" xfId="1838"/>
    <cellStyle name="20% - Accent1 3 4 5 4 2" xfId="1839"/>
    <cellStyle name="20% - Accent1 3 4 5 5" xfId="1840"/>
    <cellStyle name="20% - Accent1 3 4 5 5 2" xfId="1841"/>
    <cellStyle name="20% - Accent1 3 4 5 6" xfId="1842"/>
    <cellStyle name="20% - Accent1 3 4 6" xfId="1843"/>
    <cellStyle name="20% - Accent1 3 4 6 2" xfId="1844"/>
    <cellStyle name="20% - Accent1 3 4 6 2 2" xfId="1845"/>
    <cellStyle name="20% - Accent1 3 4 6 2 2 2" xfId="1846"/>
    <cellStyle name="20% - Accent1 3 4 6 2 2 2 2" xfId="1847"/>
    <cellStyle name="20% - Accent1 3 4 6 2 2 3" xfId="1848"/>
    <cellStyle name="20% - Accent1 3 4 6 2 3" xfId="1849"/>
    <cellStyle name="20% - Accent1 3 4 6 2 3 2" xfId="1850"/>
    <cellStyle name="20% - Accent1 3 4 6 2 4" xfId="1851"/>
    <cellStyle name="20% - Accent1 3 4 6 3" xfId="1852"/>
    <cellStyle name="20% - Accent1 3 4 6 3 2" xfId="1853"/>
    <cellStyle name="20% - Accent1 3 4 6 3 2 2" xfId="1854"/>
    <cellStyle name="20% - Accent1 3 4 6 3 3" xfId="1855"/>
    <cellStyle name="20% - Accent1 3 4 6 4" xfId="1856"/>
    <cellStyle name="20% - Accent1 3 4 6 4 2" xfId="1857"/>
    <cellStyle name="20% - Accent1 3 4 6 5" xfId="1858"/>
    <cellStyle name="20% - Accent1 3 4 6 5 2" xfId="1859"/>
    <cellStyle name="20% - Accent1 3 4 6 6" xfId="1860"/>
    <cellStyle name="20% - Accent1 3 4 7" xfId="1861"/>
    <cellStyle name="20% - Accent1 3 4 7 2" xfId="1862"/>
    <cellStyle name="20% - Accent1 3 4 7 2 2" xfId="1863"/>
    <cellStyle name="20% - Accent1 3 4 7 2 2 2" xfId="1864"/>
    <cellStyle name="20% - Accent1 3 4 7 2 3" xfId="1865"/>
    <cellStyle name="20% - Accent1 3 4 7 3" xfId="1866"/>
    <cellStyle name="20% - Accent1 3 4 7 3 2" xfId="1867"/>
    <cellStyle name="20% - Accent1 3 4 7 4" xfId="1868"/>
    <cellStyle name="20% - Accent1 3 4 8" xfId="1869"/>
    <cellStyle name="20% - Accent1 3 4 8 2" xfId="1870"/>
    <cellStyle name="20% - Accent1 3 4 8 2 2" xfId="1871"/>
    <cellStyle name="20% - Accent1 3 4 8 3" xfId="1872"/>
    <cellStyle name="20% - Accent1 3 4 9" xfId="1873"/>
    <cellStyle name="20% - Accent1 3 4 9 2" xfId="1874"/>
    <cellStyle name="20% - Accent1 3 5" xfId="1875"/>
    <cellStyle name="20% - Accent1 3 5 10" xfId="1876"/>
    <cellStyle name="20% - Accent1 3 5 10 2" xfId="1877"/>
    <cellStyle name="20% - Accent1 3 5 11" xfId="1878"/>
    <cellStyle name="20% - Accent1 3 5 2" xfId="1879"/>
    <cellStyle name="20% - Accent1 3 5 2 2" xfId="1880"/>
    <cellStyle name="20% - Accent1 3 5 2 2 2" xfId="1881"/>
    <cellStyle name="20% - Accent1 3 5 2 2 2 2" xfId="1882"/>
    <cellStyle name="20% - Accent1 3 5 2 2 2 2 2" xfId="1883"/>
    <cellStyle name="20% - Accent1 3 5 2 2 2 2 2 2" xfId="1884"/>
    <cellStyle name="20% - Accent1 3 5 2 2 2 2 3" xfId="1885"/>
    <cellStyle name="20% - Accent1 3 5 2 2 2 3" xfId="1886"/>
    <cellStyle name="20% - Accent1 3 5 2 2 2 3 2" xfId="1887"/>
    <cellStyle name="20% - Accent1 3 5 2 2 2 4" xfId="1888"/>
    <cellStyle name="20% - Accent1 3 5 2 2 3" xfId="1889"/>
    <cellStyle name="20% - Accent1 3 5 2 2 3 2" xfId="1890"/>
    <cellStyle name="20% - Accent1 3 5 2 2 3 2 2" xfId="1891"/>
    <cellStyle name="20% - Accent1 3 5 2 2 3 3" xfId="1892"/>
    <cellStyle name="20% - Accent1 3 5 2 2 4" xfId="1893"/>
    <cellStyle name="20% - Accent1 3 5 2 2 4 2" xfId="1894"/>
    <cellStyle name="20% - Accent1 3 5 2 2 5" xfId="1895"/>
    <cellStyle name="20% - Accent1 3 5 2 2 5 2" xfId="1896"/>
    <cellStyle name="20% - Accent1 3 5 2 2 6" xfId="1897"/>
    <cellStyle name="20% - Accent1 3 5 2 3" xfId="1898"/>
    <cellStyle name="20% - Accent1 3 5 2 3 2" xfId="1899"/>
    <cellStyle name="20% - Accent1 3 5 2 3 2 2" xfId="1900"/>
    <cellStyle name="20% - Accent1 3 5 2 3 2 2 2" xfId="1901"/>
    <cellStyle name="20% - Accent1 3 5 2 3 2 2 2 2" xfId="1902"/>
    <cellStyle name="20% - Accent1 3 5 2 3 2 2 3" xfId="1903"/>
    <cellStyle name="20% - Accent1 3 5 2 3 2 3" xfId="1904"/>
    <cellStyle name="20% - Accent1 3 5 2 3 2 3 2" xfId="1905"/>
    <cellStyle name="20% - Accent1 3 5 2 3 2 4" xfId="1906"/>
    <cellStyle name="20% - Accent1 3 5 2 3 3" xfId="1907"/>
    <cellStyle name="20% - Accent1 3 5 2 3 3 2" xfId="1908"/>
    <cellStyle name="20% - Accent1 3 5 2 3 3 2 2" xfId="1909"/>
    <cellStyle name="20% - Accent1 3 5 2 3 3 3" xfId="1910"/>
    <cellStyle name="20% - Accent1 3 5 2 3 4" xfId="1911"/>
    <cellStyle name="20% - Accent1 3 5 2 3 4 2" xfId="1912"/>
    <cellStyle name="20% - Accent1 3 5 2 3 5" xfId="1913"/>
    <cellStyle name="20% - Accent1 3 5 2 3 5 2" xfId="1914"/>
    <cellStyle name="20% - Accent1 3 5 2 3 6" xfId="1915"/>
    <cellStyle name="20% - Accent1 3 5 2 4" xfId="1916"/>
    <cellStyle name="20% - Accent1 3 5 2 4 2" xfId="1917"/>
    <cellStyle name="20% - Accent1 3 5 2 4 2 2" xfId="1918"/>
    <cellStyle name="20% - Accent1 3 5 2 4 2 2 2" xfId="1919"/>
    <cellStyle name="20% - Accent1 3 5 2 4 2 3" xfId="1920"/>
    <cellStyle name="20% - Accent1 3 5 2 4 3" xfId="1921"/>
    <cellStyle name="20% - Accent1 3 5 2 4 3 2" xfId="1922"/>
    <cellStyle name="20% - Accent1 3 5 2 4 4" xfId="1923"/>
    <cellStyle name="20% - Accent1 3 5 2 5" xfId="1924"/>
    <cellStyle name="20% - Accent1 3 5 2 5 2" xfId="1925"/>
    <cellStyle name="20% - Accent1 3 5 2 5 2 2" xfId="1926"/>
    <cellStyle name="20% - Accent1 3 5 2 5 3" xfId="1927"/>
    <cellStyle name="20% - Accent1 3 5 2 6" xfId="1928"/>
    <cellStyle name="20% - Accent1 3 5 2 6 2" xfId="1929"/>
    <cellStyle name="20% - Accent1 3 5 2 7" xfId="1930"/>
    <cellStyle name="20% - Accent1 3 5 2 7 2" xfId="1931"/>
    <cellStyle name="20% - Accent1 3 5 2 8" xfId="1932"/>
    <cellStyle name="20% - Accent1 3 5 3" xfId="1933"/>
    <cellStyle name="20% - Accent1 3 5 3 2" xfId="1934"/>
    <cellStyle name="20% - Accent1 3 5 3 2 2" xfId="1935"/>
    <cellStyle name="20% - Accent1 3 5 3 2 2 2" xfId="1936"/>
    <cellStyle name="20% - Accent1 3 5 3 2 2 2 2" xfId="1937"/>
    <cellStyle name="20% - Accent1 3 5 3 2 2 2 2 2" xfId="1938"/>
    <cellStyle name="20% - Accent1 3 5 3 2 2 2 3" xfId="1939"/>
    <cellStyle name="20% - Accent1 3 5 3 2 2 3" xfId="1940"/>
    <cellStyle name="20% - Accent1 3 5 3 2 2 3 2" xfId="1941"/>
    <cellStyle name="20% - Accent1 3 5 3 2 2 4" xfId="1942"/>
    <cellStyle name="20% - Accent1 3 5 3 2 3" xfId="1943"/>
    <cellStyle name="20% - Accent1 3 5 3 2 3 2" xfId="1944"/>
    <cellStyle name="20% - Accent1 3 5 3 2 3 2 2" xfId="1945"/>
    <cellStyle name="20% - Accent1 3 5 3 2 3 3" xfId="1946"/>
    <cellStyle name="20% - Accent1 3 5 3 2 4" xfId="1947"/>
    <cellStyle name="20% - Accent1 3 5 3 2 4 2" xfId="1948"/>
    <cellStyle name="20% - Accent1 3 5 3 2 5" xfId="1949"/>
    <cellStyle name="20% - Accent1 3 5 3 2 5 2" xfId="1950"/>
    <cellStyle name="20% - Accent1 3 5 3 2 6" xfId="1951"/>
    <cellStyle name="20% - Accent1 3 5 3 3" xfId="1952"/>
    <cellStyle name="20% - Accent1 3 5 3 3 2" xfId="1953"/>
    <cellStyle name="20% - Accent1 3 5 3 3 2 2" xfId="1954"/>
    <cellStyle name="20% - Accent1 3 5 3 3 2 2 2" xfId="1955"/>
    <cellStyle name="20% - Accent1 3 5 3 3 2 2 2 2" xfId="1956"/>
    <cellStyle name="20% - Accent1 3 5 3 3 2 2 3" xfId="1957"/>
    <cellStyle name="20% - Accent1 3 5 3 3 2 3" xfId="1958"/>
    <cellStyle name="20% - Accent1 3 5 3 3 2 3 2" xfId="1959"/>
    <cellStyle name="20% - Accent1 3 5 3 3 2 4" xfId="1960"/>
    <cellStyle name="20% - Accent1 3 5 3 3 3" xfId="1961"/>
    <cellStyle name="20% - Accent1 3 5 3 3 3 2" xfId="1962"/>
    <cellStyle name="20% - Accent1 3 5 3 3 3 2 2" xfId="1963"/>
    <cellStyle name="20% - Accent1 3 5 3 3 3 3" xfId="1964"/>
    <cellStyle name="20% - Accent1 3 5 3 3 4" xfId="1965"/>
    <cellStyle name="20% - Accent1 3 5 3 3 4 2" xfId="1966"/>
    <cellStyle name="20% - Accent1 3 5 3 3 5" xfId="1967"/>
    <cellStyle name="20% - Accent1 3 5 3 3 5 2" xfId="1968"/>
    <cellStyle name="20% - Accent1 3 5 3 3 6" xfId="1969"/>
    <cellStyle name="20% - Accent1 3 5 3 4" xfId="1970"/>
    <cellStyle name="20% - Accent1 3 5 3 4 2" xfId="1971"/>
    <cellStyle name="20% - Accent1 3 5 3 4 2 2" xfId="1972"/>
    <cellStyle name="20% - Accent1 3 5 3 4 2 2 2" xfId="1973"/>
    <cellStyle name="20% - Accent1 3 5 3 4 2 3" xfId="1974"/>
    <cellStyle name="20% - Accent1 3 5 3 4 3" xfId="1975"/>
    <cellStyle name="20% - Accent1 3 5 3 4 3 2" xfId="1976"/>
    <cellStyle name="20% - Accent1 3 5 3 4 4" xfId="1977"/>
    <cellStyle name="20% - Accent1 3 5 3 5" xfId="1978"/>
    <cellStyle name="20% - Accent1 3 5 3 5 2" xfId="1979"/>
    <cellStyle name="20% - Accent1 3 5 3 5 2 2" xfId="1980"/>
    <cellStyle name="20% - Accent1 3 5 3 5 3" xfId="1981"/>
    <cellStyle name="20% - Accent1 3 5 3 6" xfId="1982"/>
    <cellStyle name="20% - Accent1 3 5 3 6 2" xfId="1983"/>
    <cellStyle name="20% - Accent1 3 5 3 7" xfId="1984"/>
    <cellStyle name="20% - Accent1 3 5 3 7 2" xfId="1985"/>
    <cellStyle name="20% - Accent1 3 5 3 8" xfId="1986"/>
    <cellStyle name="20% - Accent1 3 5 4" xfId="1987"/>
    <cellStyle name="20% - Accent1 3 5 4 2" xfId="1988"/>
    <cellStyle name="20% - Accent1 3 5 4 2 2" xfId="1989"/>
    <cellStyle name="20% - Accent1 3 5 4 2 2 2" xfId="1990"/>
    <cellStyle name="20% - Accent1 3 5 4 2 2 2 2" xfId="1991"/>
    <cellStyle name="20% - Accent1 3 5 4 2 2 3" xfId="1992"/>
    <cellStyle name="20% - Accent1 3 5 4 2 3" xfId="1993"/>
    <cellStyle name="20% - Accent1 3 5 4 2 3 2" xfId="1994"/>
    <cellStyle name="20% - Accent1 3 5 4 2 4" xfId="1995"/>
    <cellStyle name="20% - Accent1 3 5 4 3" xfId="1996"/>
    <cellStyle name="20% - Accent1 3 5 4 3 2" xfId="1997"/>
    <cellStyle name="20% - Accent1 3 5 4 3 2 2" xfId="1998"/>
    <cellStyle name="20% - Accent1 3 5 4 3 3" xfId="1999"/>
    <cellStyle name="20% - Accent1 3 5 4 4" xfId="2000"/>
    <cellStyle name="20% - Accent1 3 5 4 4 2" xfId="2001"/>
    <cellStyle name="20% - Accent1 3 5 4 5" xfId="2002"/>
    <cellStyle name="20% - Accent1 3 5 4 5 2" xfId="2003"/>
    <cellStyle name="20% - Accent1 3 5 4 6" xfId="2004"/>
    <cellStyle name="20% - Accent1 3 5 5" xfId="2005"/>
    <cellStyle name="20% - Accent1 3 5 5 2" xfId="2006"/>
    <cellStyle name="20% - Accent1 3 5 5 2 2" xfId="2007"/>
    <cellStyle name="20% - Accent1 3 5 5 2 2 2" xfId="2008"/>
    <cellStyle name="20% - Accent1 3 5 5 2 2 2 2" xfId="2009"/>
    <cellStyle name="20% - Accent1 3 5 5 2 2 3" xfId="2010"/>
    <cellStyle name="20% - Accent1 3 5 5 2 3" xfId="2011"/>
    <cellStyle name="20% - Accent1 3 5 5 2 3 2" xfId="2012"/>
    <cellStyle name="20% - Accent1 3 5 5 2 4" xfId="2013"/>
    <cellStyle name="20% - Accent1 3 5 5 3" xfId="2014"/>
    <cellStyle name="20% - Accent1 3 5 5 3 2" xfId="2015"/>
    <cellStyle name="20% - Accent1 3 5 5 3 2 2" xfId="2016"/>
    <cellStyle name="20% - Accent1 3 5 5 3 3" xfId="2017"/>
    <cellStyle name="20% - Accent1 3 5 5 4" xfId="2018"/>
    <cellStyle name="20% - Accent1 3 5 5 4 2" xfId="2019"/>
    <cellStyle name="20% - Accent1 3 5 5 5" xfId="2020"/>
    <cellStyle name="20% - Accent1 3 5 5 5 2" xfId="2021"/>
    <cellStyle name="20% - Accent1 3 5 5 6" xfId="2022"/>
    <cellStyle name="20% - Accent1 3 5 6" xfId="2023"/>
    <cellStyle name="20% - Accent1 3 5 6 2" xfId="2024"/>
    <cellStyle name="20% - Accent1 3 5 6 2 2" xfId="2025"/>
    <cellStyle name="20% - Accent1 3 5 6 2 2 2" xfId="2026"/>
    <cellStyle name="20% - Accent1 3 5 6 2 2 2 2" xfId="2027"/>
    <cellStyle name="20% - Accent1 3 5 6 2 2 3" xfId="2028"/>
    <cellStyle name="20% - Accent1 3 5 6 2 3" xfId="2029"/>
    <cellStyle name="20% - Accent1 3 5 6 2 3 2" xfId="2030"/>
    <cellStyle name="20% - Accent1 3 5 6 2 4" xfId="2031"/>
    <cellStyle name="20% - Accent1 3 5 6 3" xfId="2032"/>
    <cellStyle name="20% - Accent1 3 5 6 3 2" xfId="2033"/>
    <cellStyle name="20% - Accent1 3 5 6 3 2 2" xfId="2034"/>
    <cellStyle name="20% - Accent1 3 5 6 3 3" xfId="2035"/>
    <cellStyle name="20% - Accent1 3 5 6 4" xfId="2036"/>
    <cellStyle name="20% - Accent1 3 5 6 4 2" xfId="2037"/>
    <cellStyle name="20% - Accent1 3 5 6 5" xfId="2038"/>
    <cellStyle name="20% - Accent1 3 5 6 5 2" xfId="2039"/>
    <cellStyle name="20% - Accent1 3 5 6 6" xfId="2040"/>
    <cellStyle name="20% - Accent1 3 5 7" xfId="2041"/>
    <cellStyle name="20% - Accent1 3 5 7 2" xfId="2042"/>
    <cellStyle name="20% - Accent1 3 5 7 2 2" xfId="2043"/>
    <cellStyle name="20% - Accent1 3 5 7 2 2 2" xfId="2044"/>
    <cellStyle name="20% - Accent1 3 5 7 2 3" xfId="2045"/>
    <cellStyle name="20% - Accent1 3 5 7 3" xfId="2046"/>
    <cellStyle name="20% - Accent1 3 5 7 3 2" xfId="2047"/>
    <cellStyle name="20% - Accent1 3 5 7 4" xfId="2048"/>
    <cellStyle name="20% - Accent1 3 5 8" xfId="2049"/>
    <cellStyle name="20% - Accent1 3 5 8 2" xfId="2050"/>
    <cellStyle name="20% - Accent1 3 5 8 2 2" xfId="2051"/>
    <cellStyle name="20% - Accent1 3 5 8 3" xfId="2052"/>
    <cellStyle name="20% - Accent1 3 5 9" xfId="2053"/>
    <cellStyle name="20% - Accent1 3 5 9 2" xfId="2054"/>
    <cellStyle name="20% - Accent1 3 6" xfId="2055"/>
    <cellStyle name="20% - Accent1 3 6 2" xfId="2056"/>
    <cellStyle name="20% - Accent1 3 6 2 2" xfId="2057"/>
    <cellStyle name="20% - Accent1 3 6 2 2 2" xfId="2058"/>
    <cellStyle name="20% - Accent1 3 6 2 2 2 2" xfId="2059"/>
    <cellStyle name="20% - Accent1 3 6 2 2 2 2 2" xfId="2060"/>
    <cellStyle name="20% - Accent1 3 6 2 2 2 3" xfId="2061"/>
    <cellStyle name="20% - Accent1 3 6 2 2 3" xfId="2062"/>
    <cellStyle name="20% - Accent1 3 6 2 2 3 2" xfId="2063"/>
    <cellStyle name="20% - Accent1 3 6 2 2 4" xfId="2064"/>
    <cellStyle name="20% - Accent1 3 6 2 3" xfId="2065"/>
    <cellStyle name="20% - Accent1 3 6 2 3 2" xfId="2066"/>
    <cellStyle name="20% - Accent1 3 6 2 3 2 2" xfId="2067"/>
    <cellStyle name="20% - Accent1 3 6 2 3 3" xfId="2068"/>
    <cellStyle name="20% - Accent1 3 6 2 4" xfId="2069"/>
    <cellStyle name="20% - Accent1 3 6 2 4 2" xfId="2070"/>
    <cellStyle name="20% - Accent1 3 6 2 5" xfId="2071"/>
    <cellStyle name="20% - Accent1 3 6 2 5 2" xfId="2072"/>
    <cellStyle name="20% - Accent1 3 6 2 6" xfId="2073"/>
    <cellStyle name="20% - Accent1 3 6 3" xfId="2074"/>
    <cellStyle name="20% - Accent1 3 6 3 2" xfId="2075"/>
    <cellStyle name="20% - Accent1 3 6 3 2 2" xfId="2076"/>
    <cellStyle name="20% - Accent1 3 6 3 2 2 2" xfId="2077"/>
    <cellStyle name="20% - Accent1 3 6 3 2 2 2 2" xfId="2078"/>
    <cellStyle name="20% - Accent1 3 6 3 2 2 3" xfId="2079"/>
    <cellStyle name="20% - Accent1 3 6 3 2 3" xfId="2080"/>
    <cellStyle name="20% - Accent1 3 6 3 2 3 2" xfId="2081"/>
    <cellStyle name="20% - Accent1 3 6 3 2 4" xfId="2082"/>
    <cellStyle name="20% - Accent1 3 6 3 3" xfId="2083"/>
    <cellStyle name="20% - Accent1 3 6 3 3 2" xfId="2084"/>
    <cellStyle name="20% - Accent1 3 6 3 3 2 2" xfId="2085"/>
    <cellStyle name="20% - Accent1 3 6 3 3 3" xfId="2086"/>
    <cellStyle name="20% - Accent1 3 6 3 4" xfId="2087"/>
    <cellStyle name="20% - Accent1 3 6 3 4 2" xfId="2088"/>
    <cellStyle name="20% - Accent1 3 6 3 5" xfId="2089"/>
    <cellStyle name="20% - Accent1 3 6 3 5 2" xfId="2090"/>
    <cellStyle name="20% - Accent1 3 6 3 6" xfId="2091"/>
    <cellStyle name="20% - Accent1 3 6 4" xfId="2092"/>
    <cellStyle name="20% - Accent1 3 6 4 2" xfId="2093"/>
    <cellStyle name="20% - Accent1 3 6 4 2 2" xfId="2094"/>
    <cellStyle name="20% - Accent1 3 6 4 2 2 2" xfId="2095"/>
    <cellStyle name="20% - Accent1 3 6 4 2 3" xfId="2096"/>
    <cellStyle name="20% - Accent1 3 6 4 3" xfId="2097"/>
    <cellStyle name="20% - Accent1 3 6 4 3 2" xfId="2098"/>
    <cellStyle name="20% - Accent1 3 6 4 4" xfId="2099"/>
    <cellStyle name="20% - Accent1 3 6 5" xfId="2100"/>
    <cellStyle name="20% - Accent1 3 6 5 2" xfId="2101"/>
    <cellStyle name="20% - Accent1 3 6 5 2 2" xfId="2102"/>
    <cellStyle name="20% - Accent1 3 6 5 3" xfId="2103"/>
    <cellStyle name="20% - Accent1 3 6 6" xfId="2104"/>
    <cellStyle name="20% - Accent1 3 6 6 2" xfId="2105"/>
    <cellStyle name="20% - Accent1 3 6 7" xfId="2106"/>
    <cellStyle name="20% - Accent1 3 6 7 2" xfId="2107"/>
    <cellStyle name="20% - Accent1 3 6 8" xfId="2108"/>
    <cellStyle name="20% - Accent1 3 7" xfId="2109"/>
    <cellStyle name="20% - Accent1 3 7 2" xfId="2110"/>
    <cellStyle name="20% - Accent1 3 7 2 2" xfId="2111"/>
    <cellStyle name="20% - Accent1 3 7 2 2 2" xfId="2112"/>
    <cellStyle name="20% - Accent1 3 7 2 2 2 2" xfId="2113"/>
    <cellStyle name="20% - Accent1 3 7 2 2 2 2 2" xfId="2114"/>
    <cellStyle name="20% - Accent1 3 7 2 2 2 3" xfId="2115"/>
    <cellStyle name="20% - Accent1 3 7 2 2 3" xfId="2116"/>
    <cellStyle name="20% - Accent1 3 7 2 2 3 2" xfId="2117"/>
    <cellStyle name="20% - Accent1 3 7 2 2 4" xfId="2118"/>
    <cellStyle name="20% - Accent1 3 7 2 3" xfId="2119"/>
    <cellStyle name="20% - Accent1 3 7 2 3 2" xfId="2120"/>
    <cellStyle name="20% - Accent1 3 7 2 3 2 2" xfId="2121"/>
    <cellStyle name="20% - Accent1 3 7 2 3 3" xfId="2122"/>
    <cellStyle name="20% - Accent1 3 7 2 4" xfId="2123"/>
    <cellStyle name="20% - Accent1 3 7 2 4 2" xfId="2124"/>
    <cellStyle name="20% - Accent1 3 7 2 5" xfId="2125"/>
    <cellStyle name="20% - Accent1 3 7 2 5 2" xfId="2126"/>
    <cellStyle name="20% - Accent1 3 7 2 6" xfId="2127"/>
    <cellStyle name="20% - Accent1 3 7 3" xfId="2128"/>
    <cellStyle name="20% - Accent1 3 7 3 2" xfId="2129"/>
    <cellStyle name="20% - Accent1 3 7 3 2 2" xfId="2130"/>
    <cellStyle name="20% - Accent1 3 7 3 2 2 2" xfId="2131"/>
    <cellStyle name="20% - Accent1 3 7 3 2 2 2 2" xfId="2132"/>
    <cellStyle name="20% - Accent1 3 7 3 2 2 3" xfId="2133"/>
    <cellStyle name="20% - Accent1 3 7 3 2 3" xfId="2134"/>
    <cellStyle name="20% - Accent1 3 7 3 2 3 2" xfId="2135"/>
    <cellStyle name="20% - Accent1 3 7 3 2 4" xfId="2136"/>
    <cellStyle name="20% - Accent1 3 7 3 3" xfId="2137"/>
    <cellStyle name="20% - Accent1 3 7 3 3 2" xfId="2138"/>
    <cellStyle name="20% - Accent1 3 7 3 3 2 2" xfId="2139"/>
    <cellStyle name="20% - Accent1 3 7 3 3 3" xfId="2140"/>
    <cellStyle name="20% - Accent1 3 7 3 4" xfId="2141"/>
    <cellStyle name="20% - Accent1 3 7 3 4 2" xfId="2142"/>
    <cellStyle name="20% - Accent1 3 7 3 5" xfId="2143"/>
    <cellStyle name="20% - Accent1 3 7 3 5 2" xfId="2144"/>
    <cellStyle name="20% - Accent1 3 7 3 6" xfId="2145"/>
    <cellStyle name="20% - Accent1 3 7 4" xfId="2146"/>
    <cellStyle name="20% - Accent1 3 7 4 2" xfId="2147"/>
    <cellStyle name="20% - Accent1 3 7 4 2 2" xfId="2148"/>
    <cellStyle name="20% - Accent1 3 7 4 2 2 2" xfId="2149"/>
    <cellStyle name="20% - Accent1 3 7 4 2 3" xfId="2150"/>
    <cellStyle name="20% - Accent1 3 7 4 3" xfId="2151"/>
    <cellStyle name="20% - Accent1 3 7 4 3 2" xfId="2152"/>
    <cellStyle name="20% - Accent1 3 7 4 4" xfId="2153"/>
    <cellStyle name="20% - Accent1 3 7 5" xfId="2154"/>
    <cellStyle name="20% - Accent1 3 7 5 2" xfId="2155"/>
    <cellStyle name="20% - Accent1 3 7 5 2 2" xfId="2156"/>
    <cellStyle name="20% - Accent1 3 7 5 3" xfId="2157"/>
    <cellStyle name="20% - Accent1 3 7 6" xfId="2158"/>
    <cellStyle name="20% - Accent1 3 7 6 2" xfId="2159"/>
    <cellStyle name="20% - Accent1 3 7 7" xfId="2160"/>
    <cellStyle name="20% - Accent1 3 7 7 2" xfId="2161"/>
    <cellStyle name="20% - Accent1 3 7 8" xfId="2162"/>
    <cellStyle name="20% - Accent1 3 8" xfId="2163"/>
    <cellStyle name="20% - Accent1 3 8 2" xfId="2164"/>
    <cellStyle name="20% - Accent1 3 8 2 2" xfId="2165"/>
    <cellStyle name="20% - Accent1 3 8 2 2 2" xfId="2166"/>
    <cellStyle name="20% - Accent1 3 8 2 2 2 2" xfId="2167"/>
    <cellStyle name="20% - Accent1 3 8 2 2 3" xfId="2168"/>
    <cellStyle name="20% - Accent1 3 8 2 3" xfId="2169"/>
    <cellStyle name="20% - Accent1 3 8 2 3 2" xfId="2170"/>
    <cellStyle name="20% - Accent1 3 8 2 4" xfId="2171"/>
    <cellStyle name="20% - Accent1 3 8 3" xfId="2172"/>
    <cellStyle name="20% - Accent1 3 8 3 2" xfId="2173"/>
    <cellStyle name="20% - Accent1 3 8 3 2 2" xfId="2174"/>
    <cellStyle name="20% - Accent1 3 8 3 3" xfId="2175"/>
    <cellStyle name="20% - Accent1 3 8 4" xfId="2176"/>
    <cellStyle name="20% - Accent1 3 8 4 2" xfId="2177"/>
    <cellStyle name="20% - Accent1 3 8 5" xfId="2178"/>
    <cellStyle name="20% - Accent1 3 8 5 2" xfId="2179"/>
    <cellStyle name="20% - Accent1 3 8 6" xfId="2180"/>
    <cellStyle name="20% - Accent1 3 9" xfId="2181"/>
    <cellStyle name="20% - Accent1 3 9 2" xfId="2182"/>
    <cellStyle name="20% - Accent1 3 9 2 2" xfId="2183"/>
    <cellStyle name="20% - Accent1 3 9 2 2 2" xfId="2184"/>
    <cellStyle name="20% - Accent1 3 9 2 2 2 2" xfId="2185"/>
    <cellStyle name="20% - Accent1 3 9 2 2 3" xfId="2186"/>
    <cellStyle name="20% - Accent1 3 9 2 3" xfId="2187"/>
    <cellStyle name="20% - Accent1 3 9 2 3 2" xfId="2188"/>
    <cellStyle name="20% - Accent1 3 9 2 4" xfId="2189"/>
    <cellStyle name="20% - Accent1 3 9 3" xfId="2190"/>
    <cellStyle name="20% - Accent1 3 9 3 2" xfId="2191"/>
    <cellStyle name="20% - Accent1 3 9 3 2 2" xfId="2192"/>
    <cellStyle name="20% - Accent1 3 9 3 3" xfId="2193"/>
    <cellStyle name="20% - Accent1 3 9 4" xfId="2194"/>
    <cellStyle name="20% - Accent1 3 9 4 2" xfId="2195"/>
    <cellStyle name="20% - Accent1 3 9 5" xfId="2196"/>
    <cellStyle name="20% - Accent1 3 9 5 2" xfId="2197"/>
    <cellStyle name="20% - Accent1 3 9 6" xfId="2198"/>
    <cellStyle name="20% - Accent1 4" xfId="2199"/>
    <cellStyle name="20% - Accent1 5" xfId="2200"/>
    <cellStyle name="20% - Accent1 5 10" xfId="2201"/>
    <cellStyle name="20% - Accent1 5 10 2" xfId="2202"/>
    <cellStyle name="20% - Accent1 5 11" xfId="2203"/>
    <cellStyle name="20% - Accent1 5 2" xfId="2204"/>
    <cellStyle name="20% - Accent1 5 2 2" xfId="2205"/>
    <cellStyle name="20% - Accent1 5 2 2 2" xfId="2206"/>
    <cellStyle name="20% - Accent1 5 2 2 2 2" xfId="2207"/>
    <cellStyle name="20% - Accent1 5 2 2 2 2 2" xfId="2208"/>
    <cellStyle name="20% - Accent1 5 2 2 2 2 2 2" xfId="2209"/>
    <cellStyle name="20% - Accent1 5 2 2 2 2 3" xfId="2210"/>
    <cellStyle name="20% - Accent1 5 2 2 2 3" xfId="2211"/>
    <cellStyle name="20% - Accent1 5 2 2 2 3 2" xfId="2212"/>
    <cellStyle name="20% - Accent1 5 2 2 2 4" xfId="2213"/>
    <cellStyle name="20% - Accent1 5 2 2 3" xfId="2214"/>
    <cellStyle name="20% - Accent1 5 2 2 3 2" xfId="2215"/>
    <cellStyle name="20% - Accent1 5 2 2 3 2 2" xfId="2216"/>
    <cellStyle name="20% - Accent1 5 2 2 3 3" xfId="2217"/>
    <cellStyle name="20% - Accent1 5 2 2 4" xfId="2218"/>
    <cellStyle name="20% - Accent1 5 2 2 4 2" xfId="2219"/>
    <cellStyle name="20% - Accent1 5 2 2 5" xfId="2220"/>
    <cellStyle name="20% - Accent1 5 2 2 5 2" xfId="2221"/>
    <cellStyle name="20% - Accent1 5 2 2 6" xfId="2222"/>
    <cellStyle name="20% - Accent1 5 2 3" xfId="2223"/>
    <cellStyle name="20% - Accent1 5 2 3 2" xfId="2224"/>
    <cellStyle name="20% - Accent1 5 2 3 2 2" xfId="2225"/>
    <cellStyle name="20% - Accent1 5 2 3 2 2 2" xfId="2226"/>
    <cellStyle name="20% - Accent1 5 2 3 2 2 2 2" xfId="2227"/>
    <cellStyle name="20% - Accent1 5 2 3 2 2 3" xfId="2228"/>
    <cellStyle name="20% - Accent1 5 2 3 2 3" xfId="2229"/>
    <cellStyle name="20% - Accent1 5 2 3 2 3 2" xfId="2230"/>
    <cellStyle name="20% - Accent1 5 2 3 2 4" xfId="2231"/>
    <cellStyle name="20% - Accent1 5 2 3 3" xfId="2232"/>
    <cellStyle name="20% - Accent1 5 2 3 3 2" xfId="2233"/>
    <cellStyle name="20% - Accent1 5 2 3 3 2 2" xfId="2234"/>
    <cellStyle name="20% - Accent1 5 2 3 3 3" xfId="2235"/>
    <cellStyle name="20% - Accent1 5 2 3 4" xfId="2236"/>
    <cellStyle name="20% - Accent1 5 2 3 4 2" xfId="2237"/>
    <cellStyle name="20% - Accent1 5 2 3 5" xfId="2238"/>
    <cellStyle name="20% - Accent1 5 2 3 5 2" xfId="2239"/>
    <cellStyle name="20% - Accent1 5 2 3 6" xfId="2240"/>
    <cellStyle name="20% - Accent1 5 2 4" xfId="2241"/>
    <cellStyle name="20% - Accent1 5 2 4 2" xfId="2242"/>
    <cellStyle name="20% - Accent1 5 2 4 2 2" xfId="2243"/>
    <cellStyle name="20% - Accent1 5 2 4 2 2 2" xfId="2244"/>
    <cellStyle name="20% - Accent1 5 2 4 2 3" xfId="2245"/>
    <cellStyle name="20% - Accent1 5 2 4 3" xfId="2246"/>
    <cellStyle name="20% - Accent1 5 2 4 3 2" xfId="2247"/>
    <cellStyle name="20% - Accent1 5 2 4 4" xfId="2248"/>
    <cellStyle name="20% - Accent1 5 2 5" xfId="2249"/>
    <cellStyle name="20% - Accent1 5 2 5 2" xfId="2250"/>
    <cellStyle name="20% - Accent1 5 2 5 2 2" xfId="2251"/>
    <cellStyle name="20% - Accent1 5 2 5 3" xfId="2252"/>
    <cellStyle name="20% - Accent1 5 2 6" xfId="2253"/>
    <cellStyle name="20% - Accent1 5 2 6 2" xfId="2254"/>
    <cellStyle name="20% - Accent1 5 2 7" xfId="2255"/>
    <cellStyle name="20% - Accent1 5 2 7 2" xfId="2256"/>
    <cellStyle name="20% - Accent1 5 2 8" xfId="2257"/>
    <cellStyle name="20% - Accent1 5 3" xfId="2258"/>
    <cellStyle name="20% - Accent1 5 3 2" xfId="2259"/>
    <cellStyle name="20% - Accent1 5 3 2 2" xfId="2260"/>
    <cellStyle name="20% - Accent1 5 3 2 2 2" xfId="2261"/>
    <cellStyle name="20% - Accent1 5 3 2 2 2 2" xfId="2262"/>
    <cellStyle name="20% - Accent1 5 3 2 2 2 2 2" xfId="2263"/>
    <cellStyle name="20% - Accent1 5 3 2 2 2 3" xfId="2264"/>
    <cellStyle name="20% - Accent1 5 3 2 2 3" xfId="2265"/>
    <cellStyle name="20% - Accent1 5 3 2 2 3 2" xfId="2266"/>
    <cellStyle name="20% - Accent1 5 3 2 2 4" xfId="2267"/>
    <cellStyle name="20% - Accent1 5 3 2 3" xfId="2268"/>
    <cellStyle name="20% - Accent1 5 3 2 3 2" xfId="2269"/>
    <cellStyle name="20% - Accent1 5 3 2 3 2 2" xfId="2270"/>
    <cellStyle name="20% - Accent1 5 3 2 3 3" xfId="2271"/>
    <cellStyle name="20% - Accent1 5 3 2 4" xfId="2272"/>
    <cellStyle name="20% - Accent1 5 3 2 4 2" xfId="2273"/>
    <cellStyle name="20% - Accent1 5 3 2 5" xfId="2274"/>
    <cellStyle name="20% - Accent1 5 3 2 5 2" xfId="2275"/>
    <cellStyle name="20% - Accent1 5 3 2 6" xfId="2276"/>
    <cellStyle name="20% - Accent1 5 3 3" xfId="2277"/>
    <cellStyle name="20% - Accent1 5 3 3 2" xfId="2278"/>
    <cellStyle name="20% - Accent1 5 3 3 2 2" xfId="2279"/>
    <cellStyle name="20% - Accent1 5 3 3 2 2 2" xfId="2280"/>
    <cellStyle name="20% - Accent1 5 3 3 2 2 2 2" xfId="2281"/>
    <cellStyle name="20% - Accent1 5 3 3 2 2 3" xfId="2282"/>
    <cellStyle name="20% - Accent1 5 3 3 2 3" xfId="2283"/>
    <cellStyle name="20% - Accent1 5 3 3 2 3 2" xfId="2284"/>
    <cellStyle name="20% - Accent1 5 3 3 2 4" xfId="2285"/>
    <cellStyle name="20% - Accent1 5 3 3 3" xfId="2286"/>
    <cellStyle name="20% - Accent1 5 3 3 3 2" xfId="2287"/>
    <cellStyle name="20% - Accent1 5 3 3 3 2 2" xfId="2288"/>
    <cellStyle name="20% - Accent1 5 3 3 3 3" xfId="2289"/>
    <cellStyle name="20% - Accent1 5 3 3 4" xfId="2290"/>
    <cellStyle name="20% - Accent1 5 3 3 4 2" xfId="2291"/>
    <cellStyle name="20% - Accent1 5 3 3 5" xfId="2292"/>
    <cellStyle name="20% - Accent1 5 3 3 5 2" xfId="2293"/>
    <cellStyle name="20% - Accent1 5 3 3 6" xfId="2294"/>
    <cellStyle name="20% - Accent1 5 3 4" xfId="2295"/>
    <cellStyle name="20% - Accent1 5 3 4 2" xfId="2296"/>
    <cellStyle name="20% - Accent1 5 3 4 2 2" xfId="2297"/>
    <cellStyle name="20% - Accent1 5 3 4 2 2 2" xfId="2298"/>
    <cellStyle name="20% - Accent1 5 3 4 2 3" xfId="2299"/>
    <cellStyle name="20% - Accent1 5 3 4 3" xfId="2300"/>
    <cellStyle name="20% - Accent1 5 3 4 3 2" xfId="2301"/>
    <cellStyle name="20% - Accent1 5 3 4 4" xfId="2302"/>
    <cellStyle name="20% - Accent1 5 3 5" xfId="2303"/>
    <cellStyle name="20% - Accent1 5 3 5 2" xfId="2304"/>
    <cellStyle name="20% - Accent1 5 3 5 2 2" xfId="2305"/>
    <cellStyle name="20% - Accent1 5 3 5 3" xfId="2306"/>
    <cellStyle name="20% - Accent1 5 3 6" xfId="2307"/>
    <cellStyle name="20% - Accent1 5 3 6 2" xfId="2308"/>
    <cellStyle name="20% - Accent1 5 3 7" xfId="2309"/>
    <cellStyle name="20% - Accent1 5 3 7 2" xfId="2310"/>
    <cellStyle name="20% - Accent1 5 3 8" xfId="2311"/>
    <cellStyle name="20% - Accent1 5 4" xfId="2312"/>
    <cellStyle name="20% - Accent1 5 4 2" xfId="2313"/>
    <cellStyle name="20% - Accent1 5 4 2 2" xfId="2314"/>
    <cellStyle name="20% - Accent1 5 4 2 2 2" xfId="2315"/>
    <cellStyle name="20% - Accent1 5 4 2 2 2 2" xfId="2316"/>
    <cellStyle name="20% - Accent1 5 4 2 2 3" xfId="2317"/>
    <cellStyle name="20% - Accent1 5 4 2 3" xfId="2318"/>
    <cellStyle name="20% - Accent1 5 4 2 3 2" xfId="2319"/>
    <cellStyle name="20% - Accent1 5 4 2 4" xfId="2320"/>
    <cellStyle name="20% - Accent1 5 4 3" xfId="2321"/>
    <cellStyle name="20% - Accent1 5 4 3 2" xfId="2322"/>
    <cellStyle name="20% - Accent1 5 4 3 2 2" xfId="2323"/>
    <cellStyle name="20% - Accent1 5 4 3 3" xfId="2324"/>
    <cellStyle name="20% - Accent1 5 4 4" xfId="2325"/>
    <cellStyle name="20% - Accent1 5 4 4 2" xfId="2326"/>
    <cellStyle name="20% - Accent1 5 4 5" xfId="2327"/>
    <cellStyle name="20% - Accent1 5 4 5 2" xfId="2328"/>
    <cellStyle name="20% - Accent1 5 4 6" xfId="2329"/>
    <cellStyle name="20% - Accent1 5 5" xfId="2330"/>
    <cellStyle name="20% - Accent1 5 5 2" xfId="2331"/>
    <cellStyle name="20% - Accent1 5 5 2 2" xfId="2332"/>
    <cellStyle name="20% - Accent1 5 5 2 2 2" xfId="2333"/>
    <cellStyle name="20% - Accent1 5 5 2 2 2 2" xfId="2334"/>
    <cellStyle name="20% - Accent1 5 5 2 2 3" xfId="2335"/>
    <cellStyle name="20% - Accent1 5 5 2 3" xfId="2336"/>
    <cellStyle name="20% - Accent1 5 5 2 3 2" xfId="2337"/>
    <cellStyle name="20% - Accent1 5 5 2 4" xfId="2338"/>
    <cellStyle name="20% - Accent1 5 5 3" xfId="2339"/>
    <cellStyle name="20% - Accent1 5 5 3 2" xfId="2340"/>
    <cellStyle name="20% - Accent1 5 5 3 2 2" xfId="2341"/>
    <cellStyle name="20% - Accent1 5 5 3 3" xfId="2342"/>
    <cellStyle name="20% - Accent1 5 5 4" xfId="2343"/>
    <cellStyle name="20% - Accent1 5 5 4 2" xfId="2344"/>
    <cellStyle name="20% - Accent1 5 5 5" xfId="2345"/>
    <cellStyle name="20% - Accent1 5 5 5 2" xfId="2346"/>
    <cellStyle name="20% - Accent1 5 5 6" xfId="2347"/>
    <cellStyle name="20% - Accent1 5 6" xfId="2348"/>
    <cellStyle name="20% - Accent1 5 6 2" xfId="2349"/>
    <cellStyle name="20% - Accent1 5 6 2 2" xfId="2350"/>
    <cellStyle name="20% - Accent1 5 6 2 2 2" xfId="2351"/>
    <cellStyle name="20% - Accent1 5 6 2 2 2 2" xfId="2352"/>
    <cellStyle name="20% - Accent1 5 6 2 2 3" xfId="2353"/>
    <cellStyle name="20% - Accent1 5 6 2 3" xfId="2354"/>
    <cellStyle name="20% - Accent1 5 6 2 3 2" xfId="2355"/>
    <cellStyle name="20% - Accent1 5 6 2 4" xfId="2356"/>
    <cellStyle name="20% - Accent1 5 6 3" xfId="2357"/>
    <cellStyle name="20% - Accent1 5 6 3 2" xfId="2358"/>
    <cellStyle name="20% - Accent1 5 6 3 2 2" xfId="2359"/>
    <cellStyle name="20% - Accent1 5 6 3 3" xfId="2360"/>
    <cellStyle name="20% - Accent1 5 6 4" xfId="2361"/>
    <cellStyle name="20% - Accent1 5 6 4 2" xfId="2362"/>
    <cellStyle name="20% - Accent1 5 6 5" xfId="2363"/>
    <cellStyle name="20% - Accent1 5 6 5 2" xfId="2364"/>
    <cellStyle name="20% - Accent1 5 6 6" xfId="2365"/>
    <cellStyle name="20% - Accent1 5 7" xfId="2366"/>
    <cellStyle name="20% - Accent1 5 7 2" xfId="2367"/>
    <cellStyle name="20% - Accent1 5 7 2 2" xfId="2368"/>
    <cellStyle name="20% - Accent1 5 7 2 2 2" xfId="2369"/>
    <cellStyle name="20% - Accent1 5 7 2 3" xfId="2370"/>
    <cellStyle name="20% - Accent1 5 7 3" xfId="2371"/>
    <cellStyle name="20% - Accent1 5 7 3 2" xfId="2372"/>
    <cellStyle name="20% - Accent1 5 7 4" xfId="2373"/>
    <cellStyle name="20% - Accent1 5 8" xfId="2374"/>
    <cellStyle name="20% - Accent1 5 8 2" xfId="2375"/>
    <cellStyle name="20% - Accent1 5 8 2 2" xfId="2376"/>
    <cellStyle name="20% - Accent1 5 8 3" xfId="2377"/>
    <cellStyle name="20% - Accent1 5 9" xfId="2378"/>
    <cellStyle name="20% - Accent1 5 9 2" xfId="2379"/>
    <cellStyle name="20% - Accent1 6" xfId="2380"/>
    <cellStyle name="20% - Accent1 6 10" xfId="2381"/>
    <cellStyle name="20% - Accent1 6 10 2" xfId="2382"/>
    <cellStyle name="20% - Accent1 6 11" xfId="2383"/>
    <cellStyle name="20% - Accent1 6 2" xfId="2384"/>
    <cellStyle name="20% - Accent1 6 2 2" xfId="2385"/>
    <cellStyle name="20% - Accent1 6 2 2 2" xfId="2386"/>
    <cellStyle name="20% - Accent1 6 2 2 2 2" xfId="2387"/>
    <cellStyle name="20% - Accent1 6 2 2 2 2 2" xfId="2388"/>
    <cellStyle name="20% - Accent1 6 2 2 2 2 2 2" xfId="2389"/>
    <cellStyle name="20% - Accent1 6 2 2 2 2 3" xfId="2390"/>
    <cellStyle name="20% - Accent1 6 2 2 2 3" xfId="2391"/>
    <cellStyle name="20% - Accent1 6 2 2 2 3 2" xfId="2392"/>
    <cellStyle name="20% - Accent1 6 2 2 2 4" xfId="2393"/>
    <cellStyle name="20% - Accent1 6 2 2 3" xfId="2394"/>
    <cellStyle name="20% - Accent1 6 2 2 3 2" xfId="2395"/>
    <cellStyle name="20% - Accent1 6 2 2 3 2 2" xfId="2396"/>
    <cellStyle name="20% - Accent1 6 2 2 3 3" xfId="2397"/>
    <cellStyle name="20% - Accent1 6 2 2 4" xfId="2398"/>
    <cellStyle name="20% - Accent1 6 2 2 4 2" xfId="2399"/>
    <cellStyle name="20% - Accent1 6 2 2 5" xfId="2400"/>
    <cellStyle name="20% - Accent1 6 2 2 5 2" xfId="2401"/>
    <cellStyle name="20% - Accent1 6 2 2 6" xfId="2402"/>
    <cellStyle name="20% - Accent1 6 2 3" xfId="2403"/>
    <cellStyle name="20% - Accent1 6 2 3 2" xfId="2404"/>
    <cellStyle name="20% - Accent1 6 2 3 2 2" xfId="2405"/>
    <cellStyle name="20% - Accent1 6 2 3 2 2 2" xfId="2406"/>
    <cellStyle name="20% - Accent1 6 2 3 2 2 2 2" xfId="2407"/>
    <cellStyle name="20% - Accent1 6 2 3 2 2 3" xfId="2408"/>
    <cellStyle name="20% - Accent1 6 2 3 2 3" xfId="2409"/>
    <cellStyle name="20% - Accent1 6 2 3 2 3 2" xfId="2410"/>
    <cellStyle name="20% - Accent1 6 2 3 2 4" xfId="2411"/>
    <cellStyle name="20% - Accent1 6 2 3 3" xfId="2412"/>
    <cellStyle name="20% - Accent1 6 2 3 3 2" xfId="2413"/>
    <cellStyle name="20% - Accent1 6 2 3 3 2 2" xfId="2414"/>
    <cellStyle name="20% - Accent1 6 2 3 3 3" xfId="2415"/>
    <cellStyle name="20% - Accent1 6 2 3 4" xfId="2416"/>
    <cellStyle name="20% - Accent1 6 2 3 4 2" xfId="2417"/>
    <cellStyle name="20% - Accent1 6 2 3 5" xfId="2418"/>
    <cellStyle name="20% - Accent1 6 2 3 5 2" xfId="2419"/>
    <cellStyle name="20% - Accent1 6 2 3 6" xfId="2420"/>
    <cellStyle name="20% - Accent1 6 2 4" xfId="2421"/>
    <cellStyle name="20% - Accent1 6 2 4 2" xfId="2422"/>
    <cellStyle name="20% - Accent1 6 2 4 2 2" xfId="2423"/>
    <cellStyle name="20% - Accent1 6 2 4 2 2 2" xfId="2424"/>
    <cellStyle name="20% - Accent1 6 2 4 2 3" xfId="2425"/>
    <cellStyle name="20% - Accent1 6 2 4 3" xfId="2426"/>
    <cellStyle name="20% - Accent1 6 2 4 3 2" xfId="2427"/>
    <cellStyle name="20% - Accent1 6 2 4 4" xfId="2428"/>
    <cellStyle name="20% - Accent1 6 2 5" xfId="2429"/>
    <cellStyle name="20% - Accent1 6 2 5 2" xfId="2430"/>
    <cellStyle name="20% - Accent1 6 2 5 2 2" xfId="2431"/>
    <cellStyle name="20% - Accent1 6 2 5 3" xfId="2432"/>
    <cellStyle name="20% - Accent1 6 2 6" xfId="2433"/>
    <cellStyle name="20% - Accent1 6 2 6 2" xfId="2434"/>
    <cellStyle name="20% - Accent1 6 2 7" xfId="2435"/>
    <cellStyle name="20% - Accent1 6 2 7 2" xfId="2436"/>
    <cellStyle name="20% - Accent1 6 2 8" xfId="2437"/>
    <cellStyle name="20% - Accent1 6 3" xfId="2438"/>
    <cellStyle name="20% - Accent1 6 3 2" xfId="2439"/>
    <cellStyle name="20% - Accent1 6 3 2 2" xfId="2440"/>
    <cellStyle name="20% - Accent1 6 3 2 2 2" xfId="2441"/>
    <cellStyle name="20% - Accent1 6 3 2 2 2 2" xfId="2442"/>
    <cellStyle name="20% - Accent1 6 3 2 2 2 2 2" xfId="2443"/>
    <cellStyle name="20% - Accent1 6 3 2 2 2 3" xfId="2444"/>
    <cellStyle name="20% - Accent1 6 3 2 2 3" xfId="2445"/>
    <cellStyle name="20% - Accent1 6 3 2 2 3 2" xfId="2446"/>
    <cellStyle name="20% - Accent1 6 3 2 2 4" xfId="2447"/>
    <cellStyle name="20% - Accent1 6 3 2 3" xfId="2448"/>
    <cellStyle name="20% - Accent1 6 3 2 3 2" xfId="2449"/>
    <cellStyle name="20% - Accent1 6 3 2 3 2 2" xfId="2450"/>
    <cellStyle name="20% - Accent1 6 3 2 3 3" xfId="2451"/>
    <cellStyle name="20% - Accent1 6 3 2 4" xfId="2452"/>
    <cellStyle name="20% - Accent1 6 3 2 4 2" xfId="2453"/>
    <cellStyle name="20% - Accent1 6 3 2 5" xfId="2454"/>
    <cellStyle name="20% - Accent1 6 3 2 5 2" xfId="2455"/>
    <cellStyle name="20% - Accent1 6 3 2 6" xfId="2456"/>
    <cellStyle name="20% - Accent1 6 3 3" xfId="2457"/>
    <cellStyle name="20% - Accent1 6 3 3 2" xfId="2458"/>
    <cellStyle name="20% - Accent1 6 3 3 2 2" xfId="2459"/>
    <cellStyle name="20% - Accent1 6 3 3 2 2 2" xfId="2460"/>
    <cellStyle name="20% - Accent1 6 3 3 2 2 2 2" xfId="2461"/>
    <cellStyle name="20% - Accent1 6 3 3 2 2 3" xfId="2462"/>
    <cellStyle name="20% - Accent1 6 3 3 2 3" xfId="2463"/>
    <cellStyle name="20% - Accent1 6 3 3 2 3 2" xfId="2464"/>
    <cellStyle name="20% - Accent1 6 3 3 2 4" xfId="2465"/>
    <cellStyle name="20% - Accent1 6 3 3 3" xfId="2466"/>
    <cellStyle name="20% - Accent1 6 3 3 3 2" xfId="2467"/>
    <cellStyle name="20% - Accent1 6 3 3 3 2 2" xfId="2468"/>
    <cellStyle name="20% - Accent1 6 3 3 3 3" xfId="2469"/>
    <cellStyle name="20% - Accent1 6 3 3 4" xfId="2470"/>
    <cellStyle name="20% - Accent1 6 3 3 4 2" xfId="2471"/>
    <cellStyle name="20% - Accent1 6 3 3 5" xfId="2472"/>
    <cellStyle name="20% - Accent1 6 3 3 5 2" xfId="2473"/>
    <cellStyle name="20% - Accent1 6 3 3 6" xfId="2474"/>
    <cellStyle name="20% - Accent1 6 3 4" xfId="2475"/>
    <cellStyle name="20% - Accent1 6 3 4 2" xfId="2476"/>
    <cellStyle name="20% - Accent1 6 3 4 2 2" xfId="2477"/>
    <cellStyle name="20% - Accent1 6 3 4 2 2 2" xfId="2478"/>
    <cellStyle name="20% - Accent1 6 3 4 2 3" xfId="2479"/>
    <cellStyle name="20% - Accent1 6 3 4 3" xfId="2480"/>
    <cellStyle name="20% - Accent1 6 3 4 3 2" xfId="2481"/>
    <cellStyle name="20% - Accent1 6 3 4 4" xfId="2482"/>
    <cellStyle name="20% - Accent1 6 3 5" xfId="2483"/>
    <cellStyle name="20% - Accent1 6 3 5 2" xfId="2484"/>
    <cellStyle name="20% - Accent1 6 3 5 2 2" xfId="2485"/>
    <cellStyle name="20% - Accent1 6 3 5 3" xfId="2486"/>
    <cellStyle name="20% - Accent1 6 3 6" xfId="2487"/>
    <cellStyle name="20% - Accent1 6 3 6 2" xfId="2488"/>
    <cellStyle name="20% - Accent1 6 3 7" xfId="2489"/>
    <cellStyle name="20% - Accent1 6 3 7 2" xfId="2490"/>
    <cellStyle name="20% - Accent1 6 3 8" xfId="2491"/>
    <cellStyle name="20% - Accent1 6 4" xfId="2492"/>
    <cellStyle name="20% - Accent1 6 4 2" xfId="2493"/>
    <cellStyle name="20% - Accent1 6 4 2 2" xfId="2494"/>
    <cellStyle name="20% - Accent1 6 4 2 2 2" xfId="2495"/>
    <cellStyle name="20% - Accent1 6 4 2 2 2 2" xfId="2496"/>
    <cellStyle name="20% - Accent1 6 4 2 2 3" xfId="2497"/>
    <cellStyle name="20% - Accent1 6 4 2 3" xfId="2498"/>
    <cellStyle name="20% - Accent1 6 4 2 3 2" xfId="2499"/>
    <cellStyle name="20% - Accent1 6 4 2 4" xfId="2500"/>
    <cellStyle name="20% - Accent1 6 4 3" xfId="2501"/>
    <cellStyle name="20% - Accent1 6 4 3 2" xfId="2502"/>
    <cellStyle name="20% - Accent1 6 4 3 2 2" xfId="2503"/>
    <cellStyle name="20% - Accent1 6 4 3 3" xfId="2504"/>
    <cellStyle name="20% - Accent1 6 4 4" xfId="2505"/>
    <cellStyle name="20% - Accent1 6 4 4 2" xfId="2506"/>
    <cellStyle name="20% - Accent1 6 4 5" xfId="2507"/>
    <cellStyle name="20% - Accent1 6 4 5 2" xfId="2508"/>
    <cellStyle name="20% - Accent1 6 4 6" xfId="2509"/>
    <cellStyle name="20% - Accent1 6 5" xfId="2510"/>
    <cellStyle name="20% - Accent1 6 5 2" xfId="2511"/>
    <cellStyle name="20% - Accent1 6 5 2 2" xfId="2512"/>
    <cellStyle name="20% - Accent1 6 5 2 2 2" xfId="2513"/>
    <cellStyle name="20% - Accent1 6 5 2 2 2 2" xfId="2514"/>
    <cellStyle name="20% - Accent1 6 5 2 2 3" xfId="2515"/>
    <cellStyle name="20% - Accent1 6 5 2 3" xfId="2516"/>
    <cellStyle name="20% - Accent1 6 5 2 3 2" xfId="2517"/>
    <cellStyle name="20% - Accent1 6 5 2 4" xfId="2518"/>
    <cellStyle name="20% - Accent1 6 5 3" xfId="2519"/>
    <cellStyle name="20% - Accent1 6 5 3 2" xfId="2520"/>
    <cellStyle name="20% - Accent1 6 5 3 2 2" xfId="2521"/>
    <cellStyle name="20% - Accent1 6 5 3 3" xfId="2522"/>
    <cellStyle name="20% - Accent1 6 5 4" xfId="2523"/>
    <cellStyle name="20% - Accent1 6 5 4 2" xfId="2524"/>
    <cellStyle name="20% - Accent1 6 5 5" xfId="2525"/>
    <cellStyle name="20% - Accent1 6 5 5 2" xfId="2526"/>
    <cellStyle name="20% - Accent1 6 5 6" xfId="2527"/>
    <cellStyle name="20% - Accent1 6 6" xfId="2528"/>
    <cellStyle name="20% - Accent1 6 6 2" xfId="2529"/>
    <cellStyle name="20% - Accent1 6 6 2 2" xfId="2530"/>
    <cellStyle name="20% - Accent1 6 6 2 2 2" xfId="2531"/>
    <cellStyle name="20% - Accent1 6 6 2 2 2 2" xfId="2532"/>
    <cellStyle name="20% - Accent1 6 6 2 2 3" xfId="2533"/>
    <cellStyle name="20% - Accent1 6 6 2 3" xfId="2534"/>
    <cellStyle name="20% - Accent1 6 6 2 3 2" xfId="2535"/>
    <cellStyle name="20% - Accent1 6 6 2 4" xfId="2536"/>
    <cellStyle name="20% - Accent1 6 6 3" xfId="2537"/>
    <cellStyle name="20% - Accent1 6 6 3 2" xfId="2538"/>
    <cellStyle name="20% - Accent1 6 6 3 2 2" xfId="2539"/>
    <cellStyle name="20% - Accent1 6 6 3 3" xfId="2540"/>
    <cellStyle name="20% - Accent1 6 6 4" xfId="2541"/>
    <cellStyle name="20% - Accent1 6 6 4 2" xfId="2542"/>
    <cellStyle name="20% - Accent1 6 6 5" xfId="2543"/>
    <cellStyle name="20% - Accent1 6 6 5 2" xfId="2544"/>
    <cellStyle name="20% - Accent1 6 6 6" xfId="2545"/>
    <cellStyle name="20% - Accent1 6 7" xfId="2546"/>
    <cellStyle name="20% - Accent1 6 7 2" xfId="2547"/>
    <cellStyle name="20% - Accent1 6 7 2 2" xfId="2548"/>
    <cellStyle name="20% - Accent1 6 7 2 2 2" xfId="2549"/>
    <cellStyle name="20% - Accent1 6 7 2 3" xfId="2550"/>
    <cellStyle name="20% - Accent1 6 7 3" xfId="2551"/>
    <cellStyle name="20% - Accent1 6 7 3 2" xfId="2552"/>
    <cellStyle name="20% - Accent1 6 7 4" xfId="2553"/>
    <cellStyle name="20% - Accent1 6 8" xfId="2554"/>
    <cellStyle name="20% - Accent1 6 8 2" xfId="2555"/>
    <cellStyle name="20% - Accent1 6 8 2 2" xfId="2556"/>
    <cellStyle name="20% - Accent1 6 8 3" xfId="2557"/>
    <cellStyle name="20% - Accent1 6 9" xfId="2558"/>
    <cellStyle name="20% - Accent1 6 9 2" xfId="2559"/>
    <cellStyle name="20% - Accent1 7" xfId="2560"/>
    <cellStyle name="20% - Accent1 7 10" xfId="2561"/>
    <cellStyle name="20% - Accent1 7 10 2" xfId="2562"/>
    <cellStyle name="20% - Accent1 7 11" xfId="2563"/>
    <cellStyle name="20% - Accent1 7 2" xfId="2564"/>
    <cellStyle name="20% - Accent1 7 2 2" xfId="2565"/>
    <cellStyle name="20% - Accent1 7 2 2 2" xfId="2566"/>
    <cellStyle name="20% - Accent1 7 2 2 2 2" xfId="2567"/>
    <cellStyle name="20% - Accent1 7 2 2 2 2 2" xfId="2568"/>
    <cellStyle name="20% - Accent1 7 2 2 2 2 2 2" xfId="2569"/>
    <cellStyle name="20% - Accent1 7 2 2 2 2 3" xfId="2570"/>
    <cellStyle name="20% - Accent1 7 2 2 2 3" xfId="2571"/>
    <cellStyle name="20% - Accent1 7 2 2 2 3 2" xfId="2572"/>
    <cellStyle name="20% - Accent1 7 2 2 2 4" xfId="2573"/>
    <cellStyle name="20% - Accent1 7 2 2 3" xfId="2574"/>
    <cellStyle name="20% - Accent1 7 2 2 3 2" xfId="2575"/>
    <cellStyle name="20% - Accent1 7 2 2 3 2 2" xfId="2576"/>
    <cellStyle name="20% - Accent1 7 2 2 3 3" xfId="2577"/>
    <cellStyle name="20% - Accent1 7 2 2 4" xfId="2578"/>
    <cellStyle name="20% - Accent1 7 2 2 4 2" xfId="2579"/>
    <cellStyle name="20% - Accent1 7 2 2 5" xfId="2580"/>
    <cellStyle name="20% - Accent1 7 2 2 5 2" xfId="2581"/>
    <cellStyle name="20% - Accent1 7 2 2 6" xfId="2582"/>
    <cellStyle name="20% - Accent1 7 2 3" xfId="2583"/>
    <cellStyle name="20% - Accent1 7 2 3 2" xfId="2584"/>
    <cellStyle name="20% - Accent1 7 2 3 2 2" xfId="2585"/>
    <cellStyle name="20% - Accent1 7 2 3 2 2 2" xfId="2586"/>
    <cellStyle name="20% - Accent1 7 2 3 2 2 2 2" xfId="2587"/>
    <cellStyle name="20% - Accent1 7 2 3 2 2 3" xfId="2588"/>
    <cellStyle name="20% - Accent1 7 2 3 2 3" xfId="2589"/>
    <cellStyle name="20% - Accent1 7 2 3 2 3 2" xfId="2590"/>
    <cellStyle name="20% - Accent1 7 2 3 2 4" xfId="2591"/>
    <cellStyle name="20% - Accent1 7 2 3 3" xfId="2592"/>
    <cellStyle name="20% - Accent1 7 2 3 3 2" xfId="2593"/>
    <cellStyle name="20% - Accent1 7 2 3 3 2 2" xfId="2594"/>
    <cellStyle name="20% - Accent1 7 2 3 3 3" xfId="2595"/>
    <cellStyle name="20% - Accent1 7 2 3 4" xfId="2596"/>
    <cellStyle name="20% - Accent1 7 2 3 4 2" xfId="2597"/>
    <cellStyle name="20% - Accent1 7 2 3 5" xfId="2598"/>
    <cellStyle name="20% - Accent1 7 2 3 5 2" xfId="2599"/>
    <cellStyle name="20% - Accent1 7 2 3 6" xfId="2600"/>
    <cellStyle name="20% - Accent1 7 2 4" xfId="2601"/>
    <cellStyle name="20% - Accent1 7 2 4 2" xfId="2602"/>
    <cellStyle name="20% - Accent1 7 2 4 2 2" xfId="2603"/>
    <cellStyle name="20% - Accent1 7 2 4 2 2 2" xfId="2604"/>
    <cellStyle name="20% - Accent1 7 2 4 2 3" xfId="2605"/>
    <cellStyle name="20% - Accent1 7 2 4 3" xfId="2606"/>
    <cellStyle name="20% - Accent1 7 2 4 3 2" xfId="2607"/>
    <cellStyle name="20% - Accent1 7 2 4 4" xfId="2608"/>
    <cellStyle name="20% - Accent1 7 2 5" xfId="2609"/>
    <cellStyle name="20% - Accent1 7 2 5 2" xfId="2610"/>
    <cellStyle name="20% - Accent1 7 2 5 2 2" xfId="2611"/>
    <cellStyle name="20% - Accent1 7 2 5 3" xfId="2612"/>
    <cellStyle name="20% - Accent1 7 2 6" xfId="2613"/>
    <cellStyle name="20% - Accent1 7 2 6 2" xfId="2614"/>
    <cellStyle name="20% - Accent1 7 2 7" xfId="2615"/>
    <cellStyle name="20% - Accent1 7 2 7 2" xfId="2616"/>
    <cellStyle name="20% - Accent1 7 2 8" xfId="2617"/>
    <cellStyle name="20% - Accent1 7 3" xfId="2618"/>
    <cellStyle name="20% - Accent1 7 3 2" xfId="2619"/>
    <cellStyle name="20% - Accent1 7 3 2 2" xfId="2620"/>
    <cellStyle name="20% - Accent1 7 3 2 2 2" xfId="2621"/>
    <cellStyle name="20% - Accent1 7 3 2 2 2 2" xfId="2622"/>
    <cellStyle name="20% - Accent1 7 3 2 2 2 2 2" xfId="2623"/>
    <cellStyle name="20% - Accent1 7 3 2 2 2 3" xfId="2624"/>
    <cellStyle name="20% - Accent1 7 3 2 2 3" xfId="2625"/>
    <cellStyle name="20% - Accent1 7 3 2 2 3 2" xfId="2626"/>
    <cellStyle name="20% - Accent1 7 3 2 2 4" xfId="2627"/>
    <cellStyle name="20% - Accent1 7 3 2 3" xfId="2628"/>
    <cellStyle name="20% - Accent1 7 3 2 3 2" xfId="2629"/>
    <cellStyle name="20% - Accent1 7 3 2 3 2 2" xfId="2630"/>
    <cellStyle name="20% - Accent1 7 3 2 3 3" xfId="2631"/>
    <cellStyle name="20% - Accent1 7 3 2 4" xfId="2632"/>
    <cellStyle name="20% - Accent1 7 3 2 4 2" xfId="2633"/>
    <cellStyle name="20% - Accent1 7 3 2 5" xfId="2634"/>
    <cellStyle name="20% - Accent1 7 3 2 5 2" xfId="2635"/>
    <cellStyle name="20% - Accent1 7 3 2 6" xfId="2636"/>
    <cellStyle name="20% - Accent1 7 3 3" xfId="2637"/>
    <cellStyle name="20% - Accent1 7 3 3 2" xfId="2638"/>
    <cellStyle name="20% - Accent1 7 3 3 2 2" xfId="2639"/>
    <cellStyle name="20% - Accent1 7 3 3 2 2 2" xfId="2640"/>
    <cellStyle name="20% - Accent1 7 3 3 2 2 2 2" xfId="2641"/>
    <cellStyle name="20% - Accent1 7 3 3 2 2 3" xfId="2642"/>
    <cellStyle name="20% - Accent1 7 3 3 2 3" xfId="2643"/>
    <cellStyle name="20% - Accent1 7 3 3 2 3 2" xfId="2644"/>
    <cellStyle name="20% - Accent1 7 3 3 2 4" xfId="2645"/>
    <cellStyle name="20% - Accent1 7 3 3 3" xfId="2646"/>
    <cellStyle name="20% - Accent1 7 3 3 3 2" xfId="2647"/>
    <cellStyle name="20% - Accent1 7 3 3 3 2 2" xfId="2648"/>
    <cellStyle name="20% - Accent1 7 3 3 3 3" xfId="2649"/>
    <cellStyle name="20% - Accent1 7 3 3 4" xfId="2650"/>
    <cellStyle name="20% - Accent1 7 3 3 4 2" xfId="2651"/>
    <cellStyle name="20% - Accent1 7 3 3 5" xfId="2652"/>
    <cellStyle name="20% - Accent1 7 3 3 5 2" xfId="2653"/>
    <cellStyle name="20% - Accent1 7 3 3 6" xfId="2654"/>
    <cellStyle name="20% - Accent1 7 3 4" xfId="2655"/>
    <cellStyle name="20% - Accent1 7 3 4 2" xfId="2656"/>
    <cellStyle name="20% - Accent1 7 3 4 2 2" xfId="2657"/>
    <cellStyle name="20% - Accent1 7 3 4 2 2 2" xfId="2658"/>
    <cellStyle name="20% - Accent1 7 3 4 2 3" xfId="2659"/>
    <cellStyle name="20% - Accent1 7 3 4 3" xfId="2660"/>
    <cellStyle name="20% - Accent1 7 3 4 3 2" xfId="2661"/>
    <cellStyle name="20% - Accent1 7 3 4 4" xfId="2662"/>
    <cellStyle name="20% - Accent1 7 3 5" xfId="2663"/>
    <cellStyle name="20% - Accent1 7 3 5 2" xfId="2664"/>
    <cellStyle name="20% - Accent1 7 3 5 2 2" xfId="2665"/>
    <cellStyle name="20% - Accent1 7 3 5 3" xfId="2666"/>
    <cellStyle name="20% - Accent1 7 3 6" xfId="2667"/>
    <cellStyle name="20% - Accent1 7 3 6 2" xfId="2668"/>
    <cellStyle name="20% - Accent1 7 3 7" xfId="2669"/>
    <cellStyle name="20% - Accent1 7 3 7 2" xfId="2670"/>
    <cellStyle name="20% - Accent1 7 3 8" xfId="2671"/>
    <cellStyle name="20% - Accent1 7 4" xfId="2672"/>
    <cellStyle name="20% - Accent1 7 4 2" xfId="2673"/>
    <cellStyle name="20% - Accent1 7 4 2 2" xfId="2674"/>
    <cellStyle name="20% - Accent1 7 4 2 2 2" xfId="2675"/>
    <cellStyle name="20% - Accent1 7 4 2 2 2 2" xfId="2676"/>
    <cellStyle name="20% - Accent1 7 4 2 2 3" xfId="2677"/>
    <cellStyle name="20% - Accent1 7 4 2 3" xfId="2678"/>
    <cellStyle name="20% - Accent1 7 4 2 3 2" xfId="2679"/>
    <cellStyle name="20% - Accent1 7 4 2 4" xfId="2680"/>
    <cellStyle name="20% - Accent1 7 4 3" xfId="2681"/>
    <cellStyle name="20% - Accent1 7 4 3 2" xfId="2682"/>
    <cellStyle name="20% - Accent1 7 4 3 2 2" xfId="2683"/>
    <cellStyle name="20% - Accent1 7 4 3 3" xfId="2684"/>
    <cellStyle name="20% - Accent1 7 4 4" xfId="2685"/>
    <cellStyle name="20% - Accent1 7 4 4 2" xfId="2686"/>
    <cellStyle name="20% - Accent1 7 4 5" xfId="2687"/>
    <cellStyle name="20% - Accent1 7 4 5 2" xfId="2688"/>
    <cellStyle name="20% - Accent1 7 4 6" xfId="2689"/>
    <cellStyle name="20% - Accent1 7 5" xfId="2690"/>
    <cellStyle name="20% - Accent1 7 5 2" xfId="2691"/>
    <cellStyle name="20% - Accent1 7 5 2 2" xfId="2692"/>
    <cellStyle name="20% - Accent1 7 5 2 2 2" xfId="2693"/>
    <cellStyle name="20% - Accent1 7 5 2 2 2 2" xfId="2694"/>
    <cellStyle name="20% - Accent1 7 5 2 2 3" xfId="2695"/>
    <cellStyle name="20% - Accent1 7 5 2 3" xfId="2696"/>
    <cellStyle name="20% - Accent1 7 5 2 3 2" xfId="2697"/>
    <cellStyle name="20% - Accent1 7 5 2 4" xfId="2698"/>
    <cellStyle name="20% - Accent1 7 5 3" xfId="2699"/>
    <cellStyle name="20% - Accent1 7 5 3 2" xfId="2700"/>
    <cellStyle name="20% - Accent1 7 5 3 2 2" xfId="2701"/>
    <cellStyle name="20% - Accent1 7 5 3 3" xfId="2702"/>
    <cellStyle name="20% - Accent1 7 5 4" xfId="2703"/>
    <cellStyle name="20% - Accent1 7 5 4 2" xfId="2704"/>
    <cellStyle name="20% - Accent1 7 5 5" xfId="2705"/>
    <cellStyle name="20% - Accent1 7 5 5 2" xfId="2706"/>
    <cellStyle name="20% - Accent1 7 5 6" xfId="2707"/>
    <cellStyle name="20% - Accent1 7 6" xfId="2708"/>
    <cellStyle name="20% - Accent1 7 6 2" xfId="2709"/>
    <cellStyle name="20% - Accent1 7 6 2 2" xfId="2710"/>
    <cellStyle name="20% - Accent1 7 6 2 2 2" xfId="2711"/>
    <cellStyle name="20% - Accent1 7 6 2 2 2 2" xfId="2712"/>
    <cellStyle name="20% - Accent1 7 6 2 2 3" xfId="2713"/>
    <cellStyle name="20% - Accent1 7 6 2 3" xfId="2714"/>
    <cellStyle name="20% - Accent1 7 6 2 3 2" xfId="2715"/>
    <cellStyle name="20% - Accent1 7 6 2 4" xfId="2716"/>
    <cellStyle name="20% - Accent1 7 6 3" xfId="2717"/>
    <cellStyle name="20% - Accent1 7 6 3 2" xfId="2718"/>
    <cellStyle name="20% - Accent1 7 6 3 2 2" xfId="2719"/>
    <cellStyle name="20% - Accent1 7 6 3 3" xfId="2720"/>
    <cellStyle name="20% - Accent1 7 6 4" xfId="2721"/>
    <cellStyle name="20% - Accent1 7 6 4 2" xfId="2722"/>
    <cellStyle name="20% - Accent1 7 6 5" xfId="2723"/>
    <cellStyle name="20% - Accent1 7 6 5 2" xfId="2724"/>
    <cellStyle name="20% - Accent1 7 6 6" xfId="2725"/>
    <cellStyle name="20% - Accent1 7 7" xfId="2726"/>
    <cellStyle name="20% - Accent1 7 7 2" xfId="2727"/>
    <cellStyle name="20% - Accent1 7 7 2 2" xfId="2728"/>
    <cellStyle name="20% - Accent1 7 7 2 2 2" xfId="2729"/>
    <cellStyle name="20% - Accent1 7 7 2 3" xfId="2730"/>
    <cellStyle name="20% - Accent1 7 7 3" xfId="2731"/>
    <cellStyle name="20% - Accent1 7 7 3 2" xfId="2732"/>
    <cellStyle name="20% - Accent1 7 7 4" xfId="2733"/>
    <cellStyle name="20% - Accent1 7 8" xfId="2734"/>
    <cellStyle name="20% - Accent1 7 8 2" xfId="2735"/>
    <cellStyle name="20% - Accent1 7 8 2 2" xfId="2736"/>
    <cellStyle name="20% - Accent1 7 8 3" xfId="2737"/>
    <cellStyle name="20% - Accent1 7 9" xfId="2738"/>
    <cellStyle name="20% - Accent1 7 9 2" xfId="2739"/>
    <cellStyle name="20% - Accent1 8" xfId="2740"/>
    <cellStyle name="20% - Accent1 8 2" xfId="2741"/>
    <cellStyle name="20% - Accent1 8 2 2" xfId="2742"/>
    <cellStyle name="20% - Accent1 8 2 2 2" xfId="2743"/>
    <cellStyle name="20% - Accent1 8 2 2 2 2" xfId="2744"/>
    <cellStyle name="20% - Accent1 8 2 2 2 2 2" xfId="2745"/>
    <cellStyle name="20% - Accent1 8 2 2 2 3" xfId="2746"/>
    <cellStyle name="20% - Accent1 8 2 2 3" xfId="2747"/>
    <cellStyle name="20% - Accent1 8 2 2 3 2" xfId="2748"/>
    <cellStyle name="20% - Accent1 8 2 2 4" xfId="2749"/>
    <cellStyle name="20% - Accent1 8 2 3" xfId="2750"/>
    <cellStyle name="20% - Accent1 8 2 3 2" xfId="2751"/>
    <cellStyle name="20% - Accent1 8 2 3 2 2" xfId="2752"/>
    <cellStyle name="20% - Accent1 8 2 3 3" xfId="2753"/>
    <cellStyle name="20% - Accent1 8 2 4" xfId="2754"/>
    <cellStyle name="20% - Accent1 8 2 4 2" xfId="2755"/>
    <cellStyle name="20% - Accent1 8 2 5" xfId="2756"/>
    <cellStyle name="20% - Accent1 8 2 5 2" xfId="2757"/>
    <cellStyle name="20% - Accent1 8 2 6" xfId="2758"/>
    <cellStyle name="20% - Accent1 8 3" xfId="2759"/>
    <cellStyle name="20% - Accent1 8 3 2" xfId="2760"/>
    <cellStyle name="20% - Accent1 8 3 2 2" xfId="2761"/>
    <cellStyle name="20% - Accent1 8 3 2 2 2" xfId="2762"/>
    <cellStyle name="20% - Accent1 8 3 2 2 2 2" xfId="2763"/>
    <cellStyle name="20% - Accent1 8 3 2 2 3" xfId="2764"/>
    <cellStyle name="20% - Accent1 8 3 2 3" xfId="2765"/>
    <cellStyle name="20% - Accent1 8 3 2 3 2" xfId="2766"/>
    <cellStyle name="20% - Accent1 8 3 2 4" xfId="2767"/>
    <cellStyle name="20% - Accent1 8 3 3" xfId="2768"/>
    <cellStyle name="20% - Accent1 8 3 3 2" xfId="2769"/>
    <cellStyle name="20% - Accent1 8 3 3 2 2" xfId="2770"/>
    <cellStyle name="20% - Accent1 8 3 3 3" xfId="2771"/>
    <cellStyle name="20% - Accent1 8 3 4" xfId="2772"/>
    <cellStyle name="20% - Accent1 8 3 4 2" xfId="2773"/>
    <cellStyle name="20% - Accent1 8 3 5" xfId="2774"/>
    <cellStyle name="20% - Accent1 8 3 5 2" xfId="2775"/>
    <cellStyle name="20% - Accent1 8 3 6" xfId="2776"/>
    <cellStyle name="20% - Accent1 8 4" xfId="2777"/>
    <cellStyle name="20% - Accent1 8 4 2" xfId="2778"/>
    <cellStyle name="20% - Accent1 8 4 2 2" xfId="2779"/>
    <cellStyle name="20% - Accent1 8 4 2 2 2" xfId="2780"/>
    <cellStyle name="20% - Accent1 8 4 2 3" xfId="2781"/>
    <cellStyle name="20% - Accent1 8 4 3" xfId="2782"/>
    <cellStyle name="20% - Accent1 8 4 3 2" xfId="2783"/>
    <cellStyle name="20% - Accent1 8 4 4" xfId="2784"/>
    <cellStyle name="20% - Accent1 8 5" xfId="2785"/>
    <cellStyle name="20% - Accent1 8 5 2" xfId="2786"/>
    <cellStyle name="20% - Accent1 8 5 2 2" xfId="2787"/>
    <cellStyle name="20% - Accent1 8 5 3" xfId="2788"/>
    <cellStyle name="20% - Accent1 8 6" xfId="2789"/>
    <cellStyle name="20% - Accent1 8 6 2" xfId="2790"/>
    <cellStyle name="20% - Accent1 8 7" xfId="2791"/>
    <cellStyle name="20% - Accent1 8 7 2" xfId="2792"/>
    <cellStyle name="20% - Accent1 8 8" xfId="2793"/>
    <cellStyle name="20% - Accent1 9" xfId="2794"/>
    <cellStyle name="20% - Accent1 9 2" xfId="2795"/>
    <cellStyle name="20% - Accent1 9 2 2" xfId="2796"/>
    <cellStyle name="20% - Accent1 9 2 2 2" xfId="2797"/>
    <cellStyle name="20% - Accent1 9 2 2 2 2" xfId="2798"/>
    <cellStyle name="20% - Accent1 9 2 2 2 2 2" xfId="2799"/>
    <cellStyle name="20% - Accent1 9 2 2 2 3" xfId="2800"/>
    <cellStyle name="20% - Accent1 9 2 2 3" xfId="2801"/>
    <cellStyle name="20% - Accent1 9 2 2 3 2" xfId="2802"/>
    <cellStyle name="20% - Accent1 9 2 2 4" xfId="2803"/>
    <cellStyle name="20% - Accent1 9 2 3" xfId="2804"/>
    <cellStyle name="20% - Accent1 9 2 3 2" xfId="2805"/>
    <cellStyle name="20% - Accent1 9 2 3 2 2" xfId="2806"/>
    <cellStyle name="20% - Accent1 9 2 3 3" xfId="2807"/>
    <cellStyle name="20% - Accent1 9 2 4" xfId="2808"/>
    <cellStyle name="20% - Accent1 9 2 4 2" xfId="2809"/>
    <cellStyle name="20% - Accent1 9 2 5" xfId="2810"/>
    <cellStyle name="20% - Accent1 9 2 5 2" xfId="2811"/>
    <cellStyle name="20% - Accent1 9 2 6" xfId="2812"/>
    <cellStyle name="20% - Accent1 9 3" xfId="2813"/>
    <cellStyle name="20% - Accent1 9 3 2" xfId="2814"/>
    <cellStyle name="20% - Accent1 9 3 2 2" xfId="2815"/>
    <cellStyle name="20% - Accent1 9 3 2 2 2" xfId="2816"/>
    <cellStyle name="20% - Accent1 9 3 2 2 2 2" xfId="2817"/>
    <cellStyle name="20% - Accent1 9 3 2 2 3" xfId="2818"/>
    <cellStyle name="20% - Accent1 9 3 2 3" xfId="2819"/>
    <cellStyle name="20% - Accent1 9 3 2 3 2" xfId="2820"/>
    <cellStyle name="20% - Accent1 9 3 2 4" xfId="2821"/>
    <cellStyle name="20% - Accent1 9 3 3" xfId="2822"/>
    <cellStyle name="20% - Accent1 9 3 3 2" xfId="2823"/>
    <cellStyle name="20% - Accent1 9 3 3 2 2" xfId="2824"/>
    <cellStyle name="20% - Accent1 9 3 3 3" xfId="2825"/>
    <cellStyle name="20% - Accent1 9 3 4" xfId="2826"/>
    <cellStyle name="20% - Accent1 9 3 4 2" xfId="2827"/>
    <cellStyle name="20% - Accent1 9 3 5" xfId="2828"/>
    <cellStyle name="20% - Accent1 9 3 5 2" xfId="2829"/>
    <cellStyle name="20% - Accent1 9 3 6" xfId="2830"/>
    <cellStyle name="20% - Accent1 9 4" xfId="2831"/>
    <cellStyle name="20% - Accent1 9 4 2" xfId="2832"/>
    <cellStyle name="20% - Accent1 9 4 2 2" xfId="2833"/>
    <cellStyle name="20% - Accent1 9 4 2 2 2" xfId="2834"/>
    <cellStyle name="20% - Accent1 9 4 2 3" xfId="2835"/>
    <cellStyle name="20% - Accent1 9 4 3" xfId="2836"/>
    <cellStyle name="20% - Accent1 9 4 3 2" xfId="2837"/>
    <cellStyle name="20% - Accent1 9 4 4" xfId="2838"/>
    <cellStyle name="20% - Accent1 9 5" xfId="2839"/>
    <cellStyle name="20% - Accent1 9 5 2" xfId="2840"/>
    <cellStyle name="20% - Accent1 9 5 2 2" xfId="2841"/>
    <cellStyle name="20% - Accent1 9 5 3" xfId="2842"/>
    <cellStyle name="20% - Accent1 9 6" xfId="2843"/>
    <cellStyle name="20% - Accent1 9 6 2" xfId="2844"/>
    <cellStyle name="20% - Accent1 9 7" xfId="2845"/>
    <cellStyle name="20% - Accent1 9 7 2" xfId="2846"/>
    <cellStyle name="20% - Accent1 9 8" xfId="2847"/>
    <cellStyle name="20% - Accent2 10" xfId="2848"/>
    <cellStyle name="20% - Accent2 10 2" xfId="2849"/>
    <cellStyle name="20% - Accent2 10 2 2" xfId="2850"/>
    <cellStyle name="20% - Accent2 10 2 2 2" xfId="2851"/>
    <cellStyle name="20% - Accent2 10 2 2 2 2" xfId="2852"/>
    <cellStyle name="20% - Accent2 10 2 2 3" xfId="2853"/>
    <cellStyle name="20% - Accent2 10 2 3" xfId="2854"/>
    <cellStyle name="20% - Accent2 10 2 3 2" xfId="2855"/>
    <cellStyle name="20% - Accent2 10 2 4" xfId="2856"/>
    <cellStyle name="20% - Accent2 10 3" xfId="2857"/>
    <cellStyle name="20% - Accent2 10 3 2" xfId="2858"/>
    <cellStyle name="20% - Accent2 10 3 2 2" xfId="2859"/>
    <cellStyle name="20% - Accent2 10 3 3" xfId="2860"/>
    <cellStyle name="20% - Accent2 10 4" xfId="2861"/>
    <cellStyle name="20% - Accent2 10 4 2" xfId="2862"/>
    <cellStyle name="20% - Accent2 10 5" xfId="2863"/>
    <cellStyle name="20% - Accent2 10 5 2" xfId="2864"/>
    <cellStyle name="20% - Accent2 10 6" xfId="2865"/>
    <cellStyle name="20% - Accent2 11" xfId="2866"/>
    <cellStyle name="20% - Accent2 11 2" xfId="2867"/>
    <cellStyle name="20% - Accent2 11 2 2" xfId="2868"/>
    <cellStyle name="20% - Accent2 11 2 2 2" xfId="2869"/>
    <cellStyle name="20% - Accent2 11 2 2 2 2" xfId="2870"/>
    <cellStyle name="20% - Accent2 11 2 2 3" xfId="2871"/>
    <cellStyle name="20% - Accent2 11 2 3" xfId="2872"/>
    <cellStyle name="20% - Accent2 11 2 3 2" xfId="2873"/>
    <cellStyle name="20% - Accent2 11 2 4" xfId="2874"/>
    <cellStyle name="20% - Accent2 11 3" xfId="2875"/>
    <cellStyle name="20% - Accent2 11 3 2" xfId="2876"/>
    <cellStyle name="20% - Accent2 11 3 2 2" xfId="2877"/>
    <cellStyle name="20% - Accent2 11 3 3" xfId="2878"/>
    <cellStyle name="20% - Accent2 11 4" xfId="2879"/>
    <cellStyle name="20% - Accent2 11 4 2" xfId="2880"/>
    <cellStyle name="20% - Accent2 11 5" xfId="2881"/>
    <cellStyle name="20% - Accent2 11 5 2" xfId="2882"/>
    <cellStyle name="20% - Accent2 11 6" xfId="2883"/>
    <cellStyle name="20% - Accent2 12" xfId="2884"/>
    <cellStyle name="20% - Accent2 12 2" xfId="2885"/>
    <cellStyle name="20% - Accent2 12 2 2" xfId="2886"/>
    <cellStyle name="20% - Accent2 12 2 2 2" xfId="2887"/>
    <cellStyle name="20% - Accent2 12 2 2 2 2" xfId="2888"/>
    <cellStyle name="20% - Accent2 12 2 2 3" xfId="2889"/>
    <cellStyle name="20% - Accent2 12 2 3" xfId="2890"/>
    <cellStyle name="20% - Accent2 12 2 3 2" xfId="2891"/>
    <cellStyle name="20% - Accent2 12 2 4" xfId="2892"/>
    <cellStyle name="20% - Accent2 12 3" xfId="2893"/>
    <cellStyle name="20% - Accent2 12 3 2" xfId="2894"/>
    <cellStyle name="20% - Accent2 12 3 2 2" xfId="2895"/>
    <cellStyle name="20% - Accent2 12 3 3" xfId="2896"/>
    <cellStyle name="20% - Accent2 12 4" xfId="2897"/>
    <cellStyle name="20% - Accent2 12 4 2" xfId="2898"/>
    <cellStyle name="20% - Accent2 12 5" xfId="2899"/>
    <cellStyle name="20% - Accent2 12 5 2" xfId="2900"/>
    <cellStyle name="20% - Accent2 12 6" xfId="2901"/>
    <cellStyle name="20% - Accent2 13" xfId="2902"/>
    <cellStyle name="20% - Accent2 13 2" xfId="2903"/>
    <cellStyle name="20% - Accent2 13 2 2" xfId="2904"/>
    <cellStyle name="20% - Accent2 13 2 2 2" xfId="2905"/>
    <cellStyle name="20% - Accent2 13 2 2 2 2" xfId="2906"/>
    <cellStyle name="20% - Accent2 13 2 2 3" xfId="2907"/>
    <cellStyle name="20% - Accent2 13 2 3" xfId="2908"/>
    <cellStyle name="20% - Accent2 13 2 3 2" xfId="2909"/>
    <cellStyle name="20% - Accent2 13 2 4" xfId="2910"/>
    <cellStyle name="20% - Accent2 13 3" xfId="2911"/>
    <cellStyle name="20% - Accent2 13 3 2" xfId="2912"/>
    <cellStyle name="20% - Accent2 13 3 2 2" xfId="2913"/>
    <cellStyle name="20% - Accent2 13 3 3" xfId="2914"/>
    <cellStyle name="20% - Accent2 13 4" xfId="2915"/>
    <cellStyle name="20% - Accent2 13 4 2" xfId="2916"/>
    <cellStyle name="20% - Accent2 13 5" xfId="2917"/>
    <cellStyle name="20% - Accent2 13 5 2" xfId="2918"/>
    <cellStyle name="20% - Accent2 13 6" xfId="2919"/>
    <cellStyle name="20% - Accent2 14" xfId="2920"/>
    <cellStyle name="20% - Accent2 14 2" xfId="2921"/>
    <cellStyle name="20% - Accent2 14 2 2" xfId="2922"/>
    <cellStyle name="20% - Accent2 14 2 2 2" xfId="2923"/>
    <cellStyle name="20% - Accent2 14 2 3" xfId="2924"/>
    <cellStyle name="20% - Accent2 14 3" xfId="2925"/>
    <cellStyle name="20% - Accent2 14 3 2" xfId="2926"/>
    <cellStyle name="20% - Accent2 14 4" xfId="2927"/>
    <cellStyle name="20% - Accent2 15" xfId="2928"/>
    <cellStyle name="20% - Accent2 15 2" xfId="2929"/>
    <cellStyle name="20% - Accent2 15 2 2" xfId="2930"/>
    <cellStyle name="20% - Accent2 15 3" xfId="2931"/>
    <cellStyle name="20% - Accent2 16" xfId="2932"/>
    <cellStyle name="20% - Accent2 16 2" xfId="2933"/>
    <cellStyle name="20% - Accent2 17" xfId="2934"/>
    <cellStyle name="20% - Accent2 17 2" xfId="2935"/>
    <cellStyle name="20% - Accent2 18" xfId="2936"/>
    <cellStyle name="20% - Accent2 2" xfId="2937"/>
    <cellStyle name="20% - Accent2 2 2" xfId="2938"/>
    <cellStyle name="20% - Accent2 3" xfId="2939"/>
    <cellStyle name="20% - Accent2 3 10" xfId="2940"/>
    <cellStyle name="20% - Accent2 3 10 2" xfId="2941"/>
    <cellStyle name="20% - Accent2 3 10 2 2" xfId="2942"/>
    <cellStyle name="20% - Accent2 3 10 2 2 2" xfId="2943"/>
    <cellStyle name="20% - Accent2 3 10 2 2 2 2" xfId="2944"/>
    <cellStyle name="20% - Accent2 3 10 2 2 3" xfId="2945"/>
    <cellStyle name="20% - Accent2 3 10 2 3" xfId="2946"/>
    <cellStyle name="20% - Accent2 3 10 2 3 2" xfId="2947"/>
    <cellStyle name="20% - Accent2 3 10 2 4" xfId="2948"/>
    <cellStyle name="20% - Accent2 3 10 3" xfId="2949"/>
    <cellStyle name="20% - Accent2 3 10 3 2" xfId="2950"/>
    <cellStyle name="20% - Accent2 3 10 3 2 2" xfId="2951"/>
    <cellStyle name="20% - Accent2 3 10 3 3" xfId="2952"/>
    <cellStyle name="20% - Accent2 3 10 4" xfId="2953"/>
    <cellStyle name="20% - Accent2 3 10 4 2" xfId="2954"/>
    <cellStyle name="20% - Accent2 3 10 5" xfId="2955"/>
    <cellStyle name="20% - Accent2 3 10 5 2" xfId="2956"/>
    <cellStyle name="20% - Accent2 3 10 6" xfId="2957"/>
    <cellStyle name="20% - Accent2 3 11" xfId="2958"/>
    <cellStyle name="20% - Accent2 3 11 2" xfId="2959"/>
    <cellStyle name="20% - Accent2 3 11 2 2" xfId="2960"/>
    <cellStyle name="20% - Accent2 3 11 2 2 2" xfId="2961"/>
    <cellStyle name="20% - Accent2 3 11 2 2 2 2" xfId="2962"/>
    <cellStyle name="20% - Accent2 3 11 2 2 3" xfId="2963"/>
    <cellStyle name="20% - Accent2 3 11 2 3" xfId="2964"/>
    <cellStyle name="20% - Accent2 3 11 2 3 2" xfId="2965"/>
    <cellStyle name="20% - Accent2 3 11 2 4" xfId="2966"/>
    <cellStyle name="20% - Accent2 3 11 3" xfId="2967"/>
    <cellStyle name="20% - Accent2 3 11 3 2" xfId="2968"/>
    <cellStyle name="20% - Accent2 3 11 3 2 2" xfId="2969"/>
    <cellStyle name="20% - Accent2 3 11 3 3" xfId="2970"/>
    <cellStyle name="20% - Accent2 3 11 4" xfId="2971"/>
    <cellStyle name="20% - Accent2 3 11 4 2" xfId="2972"/>
    <cellStyle name="20% - Accent2 3 11 5" xfId="2973"/>
    <cellStyle name="20% - Accent2 3 11 5 2" xfId="2974"/>
    <cellStyle name="20% - Accent2 3 11 6" xfId="2975"/>
    <cellStyle name="20% - Accent2 3 12" xfId="2976"/>
    <cellStyle name="20% - Accent2 3 12 2" xfId="2977"/>
    <cellStyle name="20% - Accent2 3 12 2 2" xfId="2978"/>
    <cellStyle name="20% - Accent2 3 12 2 2 2" xfId="2979"/>
    <cellStyle name="20% - Accent2 3 12 2 3" xfId="2980"/>
    <cellStyle name="20% - Accent2 3 12 3" xfId="2981"/>
    <cellStyle name="20% - Accent2 3 12 3 2" xfId="2982"/>
    <cellStyle name="20% - Accent2 3 12 4" xfId="2983"/>
    <cellStyle name="20% - Accent2 3 13" xfId="2984"/>
    <cellStyle name="20% - Accent2 3 13 2" xfId="2985"/>
    <cellStyle name="20% - Accent2 3 13 2 2" xfId="2986"/>
    <cellStyle name="20% - Accent2 3 13 3" xfId="2987"/>
    <cellStyle name="20% - Accent2 3 13 4" xfId="2988"/>
    <cellStyle name="20% - Accent2 3 14" xfId="2989"/>
    <cellStyle name="20% - Accent2 3 14 2" xfId="2990"/>
    <cellStyle name="20% - Accent2 3 15" xfId="2991"/>
    <cellStyle name="20% - Accent2 3 15 2" xfId="2992"/>
    <cellStyle name="20% - Accent2 3 16" xfId="2993"/>
    <cellStyle name="20% - Accent2 3 2" xfId="2994"/>
    <cellStyle name="20% - Accent2 3 2 10" xfId="2995"/>
    <cellStyle name="20% - Accent2 3 2 10 2" xfId="2996"/>
    <cellStyle name="20% - Accent2 3 2 10 2 2" xfId="2997"/>
    <cellStyle name="20% - Accent2 3 2 10 2 2 2" xfId="2998"/>
    <cellStyle name="20% - Accent2 3 2 10 2 2 2 2" xfId="2999"/>
    <cellStyle name="20% - Accent2 3 2 10 2 2 3" xfId="3000"/>
    <cellStyle name="20% - Accent2 3 2 10 2 3" xfId="3001"/>
    <cellStyle name="20% - Accent2 3 2 10 2 3 2" xfId="3002"/>
    <cellStyle name="20% - Accent2 3 2 10 2 4" xfId="3003"/>
    <cellStyle name="20% - Accent2 3 2 10 3" xfId="3004"/>
    <cellStyle name="20% - Accent2 3 2 10 3 2" xfId="3005"/>
    <cellStyle name="20% - Accent2 3 2 10 3 2 2" xfId="3006"/>
    <cellStyle name="20% - Accent2 3 2 10 3 3" xfId="3007"/>
    <cellStyle name="20% - Accent2 3 2 10 4" xfId="3008"/>
    <cellStyle name="20% - Accent2 3 2 10 4 2" xfId="3009"/>
    <cellStyle name="20% - Accent2 3 2 10 5" xfId="3010"/>
    <cellStyle name="20% - Accent2 3 2 10 5 2" xfId="3011"/>
    <cellStyle name="20% - Accent2 3 2 10 6" xfId="3012"/>
    <cellStyle name="20% - Accent2 3 2 11" xfId="3013"/>
    <cellStyle name="20% - Accent2 3 2 11 2" xfId="3014"/>
    <cellStyle name="20% - Accent2 3 2 11 2 2" xfId="3015"/>
    <cellStyle name="20% - Accent2 3 2 11 2 2 2" xfId="3016"/>
    <cellStyle name="20% - Accent2 3 2 11 2 3" xfId="3017"/>
    <cellStyle name="20% - Accent2 3 2 11 3" xfId="3018"/>
    <cellStyle name="20% - Accent2 3 2 11 3 2" xfId="3019"/>
    <cellStyle name="20% - Accent2 3 2 11 4" xfId="3020"/>
    <cellStyle name="20% - Accent2 3 2 12" xfId="3021"/>
    <cellStyle name="20% - Accent2 3 2 12 2" xfId="3022"/>
    <cellStyle name="20% - Accent2 3 2 12 2 2" xfId="3023"/>
    <cellStyle name="20% - Accent2 3 2 12 3" xfId="3024"/>
    <cellStyle name="20% - Accent2 3 2 13" xfId="3025"/>
    <cellStyle name="20% - Accent2 3 2 13 2" xfId="3026"/>
    <cellStyle name="20% - Accent2 3 2 14" xfId="3027"/>
    <cellStyle name="20% - Accent2 3 2 14 2" xfId="3028"/>
    <cellStyle name="20% - Accent2 3 2 15" xfId="3029"/>
    <cellStyle name="20% - Accent2 3 2 2" xfId="3030"/>
    <cellStyle name="20% - Accent2 3 2 2 10" xfId="3031"/>
    <cellStyle name="20% - Accent2 3 2 2 10 2" xfId="3032"/>
    <cellStyle name="20% - Accent2 3 2 2 11" xfId="3033"/>
    <cellStyle name="20% - Accent2 3 2 2 2" xfId="3034"/>
    <cellStyle name="20% - Accent2 3 2 2 2 2" xfId="3035"/>
    <cellStyle name="20% - Accent2 3 2 2 2 2 2" xfId="3036"/>
    <cellStyle name="20% - Accent2 3 2 2 2 2 2 2" xfId="3037"/>
    <cellStyle name="20% - Accent2 3 2 2 2 2 2 2 2" xfId="3038"/>
    <cellStyle name="20% - Accent2 3 2 2 2 2 2 2 2 2" xfId="3039"/>
    <cellStyle name="20% - Accent2 3 2 2 2 2 2 2 3" xfId="3040"/>
    <cellStyle name="20% - Accent2 3 2 2 2 2 2 3" xfId="3041"/>
    <cellStyle name="20% - Accent2 3 2 2 2 2 2 3 2" xfId="3042"/>
    <cellStyle name="20% - Accent2 3 2 2 2 2 2 4" xfId="3043"/>
    <cellStyle name="20% - Accent2 3 2 2 2 2 3" xfId="3044"/>
    <cellStyle name="20% - Accent2 3 2 2 2 2 3 2" xfId="3045"/>
    <cellStyle name="20% - Accent2 3 2 2 2 2 3 2 2" xfId="3046"/>
    <cellStyle name="20% - Accent2 3 2 2 2 2 3 3" xfId="3047"/>
    <cellStyle name="20% - Accent2 3 2 2 2 2 4" xfId="3048"/>
    <cellStyle name="20% - Accent2 3 2 2 2 2 4 2" xfId="3049"/>
    <cellStyle name="20% - Accent2 3 2 2 2 2 5" xfId="3050"/>
    <cellStyle name="20% - Accent2 3 2 2 2 2 5 2" xfId="3051"/>
    <cellStyle name="20% - Accent2 3 2 2 2 2 6" xfId="3052"/>
    <cellStyle name="20% - Accent2 3 2 2 2 3" xfId="3053"/>
    <cellStyle name="20% - Accent2 3 2 2 2 3 2" xfId="3054"/>
    <cellStyle name="20% - Accent2 3 2 2 2 3 2 2" xfId="3055"/>
    <cellStyle name="20% - Accent2 3 2 2 2 3 2 2 2" xfId="3056"/>
    <cellStyle name="20% - Accent2 3 2 2 2 3 2 2 2 2" xfId="3057"/>
    <cellStyle name="20% - Accent2 3 2 2 2 3 2 2 3" xfId="3058"/>
    <cellStyle name="20% - Accent2 3 2 2 2 3 2 3" xfId="3059"/>
    <cellStyle name="20% - Accent2 3 2 2 2 3 2 3 2" xfId="3060"/>
    <cellStyle name="20% - Accent2 3 2 2 2 3 2 4" xfId="3061"/>
    <cellStyle name="20% - Accent2 3 2 2 2 3 3" xfId="3062"/>
    <cellStyle name="20% - Accent2 3 2 2 2 3 3 2" xfId="3063"/>
    <cellStyle name="20% - Accent2 3 2 2 2 3 3 2 2" xfId="3064"/>
    <cellStyle name="20% - Accent2 3 2 2 2 3 3 3" xfId="3065"/>
    <cellStyle name="20% - Accent2 3 2 2 2 3 4" xfId="3066"/>
    <cellStyle name="20% - Accent2 3 2 2 2 3 4 2" xfId="3067"/>
    <cellStyle name="20% - Accent2 3 2 2 2 3 5" xfId="3068"/>
    <cellStyle name="20% - Accent2 3 2 2 2 3 5 2" xfId="3069"/>
    <cellStyle name="20% - Accent2 3 2 2 2 3 6" xfId="3070"/>
    <cellStyle name="20% - Accent2 3 2 2 2 4" xfId="3071"/>
    <cellStyle name="20% - Accent2 3 2 2 2 4 2" xfId="3072"/>
    <cellStyle name="20% - Accent2 3 2 2 2 4 2 2" xfId="3073"/>
    <cellStyle name="20% - Accent2 3 2 2 2 4 2 2 2" xfId="3074"/>
    <cellStyle name="20% - Accent2 3 2 2 2 4 2 3" xfId="3075"/>
    <cellStyle name="20% - Accent2 3 2 2 2 4 3" xfId="3076"/>
    <cellStyle name="20% - Accent2 3 2 2 2 4 3 2" xfId="3077"/>
    <cellStyle name="20% - Accent2 3 2 2 2 4 4" xfId="3078"/>
    <cellStyle name="20% - Accent2 3 2 2 2 5" xfId="3079"/>
    <cellStyle name="20% - Accent2 3 2 2 2 5 2" xfId="3080"/>
    <cellStyle name="20% - Accent2 3 2 2 2 5 2 2" xfId="3081"/>
    <cellStyle name="20% - Accent2 3 2 2 2 5 3" xfId="3082"/>
    <cellStyle name="20% - Accent2 3 2 2 2 6" xfId="3083"/>
    <cellStyle name="20% - Accent2 3 2 2 2 6 2" xfId="3084"/>
    <cellStyle name="20% - Accent2 3 2 2 2 7" xfId="3085"/>
    <cellStyle name="20% - Accent2 3 2 2 2 7 2" xfId="3086"/>
    <cellStyle name="20% - Accent2 3 2 2 2 8" xfId="3087"/>
    <cellStyle name="20% - Accent2 3 2 2 3" xfId="3088"/>
    <cellStyle name="20% - Accent2 3 2 2 3 2" xfId="3089"/>
    <cellStyle name="20% - Accent2 3 2 2 3 2 2" xfId="3090"/>
    <cellStyle name="20% - Accent2 3 2 2 3 2 2 2" xfId="3091"/>
    <cellStyle name="20% - Accent2 3 2 2 3 2 2 2 2" xfId="3092"/>
    <cellStyle name="20% - Accent2 3 2 2 3 2 2 2 2 2" xfId="3093"/>
    <cellStyle name="20% - Accent2 3 2 2 3 2 2 2 3" xfId="3094"/>
    <cellStyle name="20% - Accent2 3 2 2 3 2 2 3" xfId="3095"/>
    <cellStyle name="20% - Accent2 3 2 2 3 2 2 3 2" xfId="3096"/>
    <cellStyle name="20% - Accent2 3 2 2 3 2 2 4" xfId="3097"/>
    <cellStyle name="20% - Accent2 3 2 2 3 2 3" xfId="3098"/>
    <cellStyle name="20% - Accent2 3 2 2 3 2 3 2" xfId="3099"/>
    <cellStyle name="20% - Accent2 3 2 2 3 2 3 2 2" xfId="3100"/>
    <cellStyle name="20% - Accent2 3 2 2 3 2 3 3" xfId="3101"/>
    <cellStyle name="20% - Accent2 3 2 2 3 2 4" xfId="3102"/>
    <cellStyle name="20% - Accent2 3 2 2 3 2 4 2" xfId="3103"/>
    <cellStyle name="20% - Accent2 3 2 2 3 2 5" xfId="3104"/>
    <cellStyle name="20% - Accent2 3 2 2 3 2 5 2" xfId="3105"/>
    <cellStyle name="20% - Accent2 3 2 2 3 2 6" xfId="3106"/>
    <cellStyle name="20% - Accent2 3 2 2 3 3" xfId="3107"/>
    <cellStyle name="20% - Accent2 3 2 2 3 3 2" xfId="3108"/>
    <cellStyle name="20% - Accent2 3 2 2 3 3 2 2" xfId="3109"/>
    <cellStyle name="20% - Accent2 3 2 2 3 3 2 2 2" xfId="3110"/>
    <cellStyle name="20% - Accent2 3 2 2 3 3 2 2 2 2" xfId="3111"/>
    <cellStyle name="20% - Accent2 3 2 2 3 3 2 2 3" xfId="3112"/>
    <cellStyle name="20% - Accent2 3 2 2 3 3 2 3" xfId="3113"/>
    <cellStyle name="20% - Accent2 3 2 2 3 3 2 3 2" xfId="3114"/>
    <cellStyle name="20% - Accent2 3 2 2 3 3 2 4" xfId="3115"/>
    <cellStyle name="20% - Accent2 3 2 2 3 3 3" xfId="3116"/>
    <cellStyle name="20% - Accent2 3 2 2 3 3 3 2" xfId="3117"/>
    <cellStyle name="20% - Accent2 3 2 2 3 3 3 2 2" xfId="3118"/>
    <cellStyle name="20% - Accent2 3 2 2 3 3 3 3" xfId="3119"/>
    <cellStyle name="20% - Accent2 3 2 2 3 3 4" xfId="3120"/>
    <cellStyle name="20% - Accent2 3 2 2 3 3 4 2" xfId="3121"/>
    <cellStyle name="20% - Accent2 3 2 2 3 3 5" xfId="3122"/>
    <cellStyle name="20% - Accent2 3 2 2 3 3 5 2" xfId="3123"/>
    <cellStyle name="20% - Accent2 3 2 2 3 3 6" xfId="3124"/>
    <cellStyle name="20% - Accent2 3 2 2 3 4" xfId="3125"/>
    <cellStyle name="20% - Accent2 3 2 2 3 4 2" xfId="3126"/>
    <cellStyle name="20% - Accent2 3 2 2 3 4 2 2" xfId="3127"/>
    <cellStyle name="20% - Accent2 3 2 2 3 4 2 2 2" xfId="3128"/>
    <cellStyle name="20% - Accent2 3 2 2 3 4 2 3" xfId="3129"/>
    <cellStyle name="20% - Accent2 3 2 2 3 4 3" xfId="3130"/>
    <cellStyle name="20% - Accent2 3 2 2 3 4 3 2" xfId="3131"/>
    <cellStyle name="20% - Accent2 3 2 2 3 4 4" xfId="3132"/>
    <cellStyle name="20% - Accent2 3 2 2 3 5" xfId="3133"/>
    <cellStyle name="20% - Accent2 3 2 2 3 5 2" xfId="3134"/>
    <cellStyle name="20% - Accent2 3 2 2 3 5 2 2" xfId="3135"/>
    <cellStyle name="20% - Accent2 3 2 2 3 5 3" xfId="3136"/>
    <cellStyle name="20% - Accent2 3 2 2 3 6" xfId="3137"/>
    <cellStyle name="20% - Accent2 3 2 2 3 6 2" xfId="3138"/>
    <cellStyle name="20% - Accent2 3 2 2 3 7" xfId="3139"/>
    <cellStyle name="20% - Accent2 3 2 2 3 7 2" xfId="3140"/>
    <cellStyle name="20% - Accent2 3 2 2 3 8" xfId="3141"/>
    <cellStyle name="20% - Accent2 3 2 2 4" xfId="3142"/>
    <cellStyle name="20% - Accent2 3 2 2 4 2" xfId="3143"/>
    <cellStyle name="20% - Accent2 3 2 2 4 2 2" xfId="3144"/>
    <cellStyle name="20% - Accent2 3 2 2 4 2 2 2" xfId="3145"/>
    <cellStyle name="20% - Accent2 3 2 2 4 2 2 2 2" xfId="3146"/>
    <cellStyle name="20% - Accent2 3 2 2 4 2 2 3" xfId="3147"/>
    <cellStyle name="20% - Accent2 3 2 2 4 2 3" xfId="3148"/>
    <cellStyle name="20% - Accent2 3 2 2 4 2 3 2" xfId="3149"/>
    <cellStyle name="20% - Accent2 3 2 2 4 2 4" xfId="3150"/>
    <cellStyle name="20% - Accent2 3 2 2 4 3" xfId="3151"/>
    <cellStyle name="20% - Accent2 3 2 2 4 3 2" xfId="3152"/>
    <cellStyle name="20% - Accent2 3 2 2 4 3 2 2" xfId="3153"/>
    <cellStyle name="20% - Accent2 3 2 2 4 3 3" xfId="3154"/>
    <cellStyle name="20% - Accent2 3 2 2 4 4" xfId="3155"/>
    <cellStyle name="20% - Accent2 3 2 2 4 4 2" xfId="3156"/>
    <cellStyle name="20% - Accent2 3 2 2 4 5" xfId="3157"/>
    <cellStyle name="20% - Accent2 3 2 2 4 5 2" xfId="3158"/>
    <cellStyle name="20% - Accent2 3 2 2 4 6" xfId="3159"/>
    <cellStyle name="20% - Accent2 3 2 2 5" xfId="3160"/>
    <cellStyle name="20% - Accent2 3 2 2 5 2" xfId="3161"/>
    <cellStyle name="20% - Accent2 3 2 2 5 2 2" xfId="3162"/>
    <cellStyle name="20% - Accent2 3 2 2 5 2 2 2" xfId="3163"/>
    <cellStyle name="20% - Accent2 3 2 2 5 2 2 2 2" xfId="3164"/>
    <cellStyle name="20% - Accent2 3 2 2 5 2 2 3" xfId="3165"/>
    <cellStyle name="20% - Accent2 3 2 2 5 2 3" xfId="3166"/>
    <cellStyle name="20% - Accent2 3 2 2 5 2 3 2" xfId="3167"/>
    <cellStyle name="20% - Accent2 3 2 2 5 2 4" xfId="3168"/>
    <cellStyle name="20% - Accent2 3 2 2 5 3" xfId="3169"/>
    <cellStyle name="20% - Accent2 3 2 2 5 3 2" xfId="3170"/>
    <cellStyle name="20% - Accent2 3 2 2 5 3 2 2" xfId="3171"/>
    <cellStyle name="20% - Accent2 3 2 2 5 3 3" xfId="3172"/>
    <cellStyle name="20% - Accent2 3 2 2 5 4" xfId="3173"/>
    <cellStyle name="20% - Accent2 3 2 2 5 4 2" xfId="3174"/>
    <cellStyle name="20% - Accent2 3 2 2 5 5" xfId="3175"/>
    <cellStyle name="20% - Accent2 3 2 2 5 5 2" xfId="3176"/>
    <cellStyle name="20% - Accent2 3 2 2 5 6" xfId="3177"/>
    <cellStyle name="20% - Accent2 3 2 2 6" xfId="3178"/>
    <cellStyle name="20% - Accent2 3 2 2 6 2" xfId="3179"/>
    <cellStyle name="20% - Accent2 3 2 2 6 2 2" xfId="3180"/>
    <cellStyle name="20% - Accent2 3 2 2 6 2 2 2" xfId="3181"/>
    <cellStyle name="20% - Accent2 3 2 2 6 2 2 2 2" xfId="3182"/>
    <cellStyle name="20% - Accent2 3 2 2 6 2 2 3" xfId="3183"/>
    <cellStyle name="20% - Accent2 3 2 2 6 2 3" xfId="3184"/>
    <cellStyle name="20% - Accent2 3 2 2 6 2 3 2" xfId="3185"/>
    <cellStyle name="20% - Accent2 3 2 2 6 2 4" xfId="3186"/>
    <cellStyle name="20% - Accent2 3 2 2 6 3" xfId="3187"/>
    <cellStyle name="20% - Accent2 3 2 2 6 3 2" xfId="3188"/>
    <cellStyle name="20% - Accent2 3 2 2 6 3 2 2" xfId="3189"/>
    <cellStyle name="20% - Accent2 3 2 2 6 3 3" xfId="3190"/>
    <cellStyle name="20% - Accent2 3 2 2 6 4" xfId="3191"/>
    <cellStyle name="20% - Accent2 3 2 2 6 4 2" xfId="3192"/>
    <cellStyle name="20% - Accent2 3 2 2 6 5" xfId="3193"/>
    <cellStyle name="20% - Accent2 3 2 2 6 5 2" xfId="3194"/>
    <cellStyle name="20% - Accent2 3 2 2 6 6" xfId="3195"/>
    <cellStyle name="20% - Accent2 3 2 2 7" xfId="3196"/>
    <cellStyle name="20% - Accent2 3 2 2 7 2" xfId="3197"/>
    <cellStyle name="20% - Accent2 3 2 2 7 2 2" xfId="3198"/>
    <cellStyle name="20% - Accent2 3 2 2 7 2 2 2" xfId="3199"/>
    <cellStyle name="20% - Accent2 3 2 2 7 2 3" xfId="3200"/>
    <cellStyle name="20% - Accent2 3 2 2 7 3" xfId="3201"/>
    <cellStyle name="20% - Accent2 3 2 2 7 3 2" xfId="3202"/>
    <cellStyle name="20% - Accent2 3 2 2 7 4" xfId="3203"/>
    <cellStyle name="20% - Accent2 3 2 2 8" xfId="3204"/>
    <cellStyle name="20% - Accent2 3 2 2 8 2" xfId="3205"/>
    <cellStyle name="20% - Accent2 3 2 2 8 2 2" xfId="3206"/>
    <cellStyle name="20% - Accent2 3 2 2 8 3" xfId="3207"/>
    <cellStyle name="20% - Accent2 3 2 2 9" xfId="3208"/>
    <cellStyle name="20% - Accent2 3 2 2 9 2" xfId="3209"/>
    <cellStyle name="20% - Accent2 3 2 3" xfId="3210"/>
    <cellStyle name="20% - Accent2 3 2 3 10" xfId="3211"/>
    <cellStyle name="20% - Accent2 3 2 3 10 2" xfId="3212"/>
    <cellStyle name="20% - Accent2 3 2 3 11" xfId="3213"/>
    <cellStyle name="20% - Accent2 3 2 3 2" xfId="3214"/>
    <cellStyle name="20% - Accent2 3 2 3 2 2" xfId="3215"/>
    <cellStyle name="20% - Accent2 3 2 3 2 2 2" xfId="3216"/>
    <cellStyle name="20% - Accent2 3 2 3 2 2 2 2" xfId="3217"/>
    <cellStyle name="20% - Accent2 3 2 3 2 2 2 2 2" xfId="3218"/>
    <cellStyle name="20% - Accent2 3 2 3 2 2 2 2 2 2" xfId="3219"/>
    <cellStyle name="20% - Accent2 3 2 3 2 2 2 2 3" xfId="3220"/>
    <cellStyle name="20% - Accent2 3 2 3 2 2 2 3" xfId="3221"/>
    <cellStyle name="20% - Accent2 3 2 3 2 2 2 3 2" xfId="3222"/>
    <cellStyle name="20% - Accent2 3 2 3 2 2 2 4" xfId="3223"/>
    <cellStyle name="20% - Accent2 3 2 3 2 2 3" xfId="3224"/>
    <cellStyle name="20% - Accent2 3 2 3 2 2 3 2" xfId="3225"/>
    <cellStyle name="20% - Accent2 3 2 3 2 2 3 2 2" xfId="3226"/>
    <cellStyle name="20% - Accent2 3 2 3 2 2 3 3" xfId="3227"/>
    <cellStyle name="20% - Accent2 3 2 3 2 2 4" xfId="3228"/>
    <cellStyle name="20% - Accent2 3 2 3 2 2 4 2" xfId="3229"/>
    <cellStyle name="20% - Accent2 3 2 3 2 2 5" xfId="3230"/>
    <cellStyle name="20% - Accent2 3 2 3 2 2 5 2" xfId="3231"/>
    <cellStyle name="20% - Accent2 3 2 3 2 2 6" xfId="3232"/>
    <cellStyle name="20% - Accent2 3 2 3 2 3" xfId="3233"/>
    <cellStyle name="20% - Accent2 3 2 3 2 3 2" xfId="3234"/>
    <cellStyle name="20% - Accent2 3 2 3 2 3 2 2" xfId="3235"/>
    <cellStyle name="20% - Accent2 3 2 3 2 3 2 2 2" xfId="3236"/>
    <cellStyle name="20% - Accent2 3 2 3 2 3 2 2 2 2" xfId="3237"/>
    <cellStyle name="20% - Accent2 3 2 3 2 3 2 2 3" xfId="3238"/>
    <cellStyle name="20% - Accent2 3 2 3 2 3 2 3" xfId="3239"/>
    <cellStyle name="20% - Accent2 3 2 3 2 3 2 3 2" xfId="3240"/>
    <cellStyle name="20% - Accent2 3 2 3 2 3 2 4" xfId="3241"/>
    <cellStyle name="20% - Accent2 3 2 3 2 3 3" xfId="3242"/>
    <cellStyle name="20% - Accent2 3 2 3 2 3 3 2" xfId="3243"/>
    <cellStyle name="20% - Accent2 3 2 3 2 3 3 2 2" xfId="3244"/>
    <cellStyle name="20% - Accent2 3 2 3 2 3 3 3" xfId="3245"/>
    <cellStyle name="20% - Accent2 3 2 3 2 3 4" xfId="3246"/>
    <cellStyle name="20% - Accent2 3 2 3 2 3 4 2" xfId="3247"/>
    <cellStyle name="20% - Accent2 3 2 3 2 3 5" xfId="3248"/>
    <cellStyle name="20% - Accent2 3 2 3 2 3 5 2" xfId="3249"/>
    <cellStyle name="20% - Accent2 3 2 3 2 3 6" xfId="3250"/>
    <cellStyle name="20% - Accent2 3 2 3 2 4" xfId="3251"/>
    <cellStyle name="20% - Accent2 3 2 3 2 4 2" xfId="3252"/>
    <cellStyle name="20% - Accent2 3 2 3 2 4 2 2" xfId="3253"/>
    <cellStyle name="20% - Accent2 3 2 3 2 4 2 2 2" xfId="3254"/>
    <cellStyle name="20% - Accent2 3 2 3 2 4 2 3" xfId="3255"/>
    <cellStyle name="20% - Accent2 3 2 3 2 4 3" xfId="3256"/>
    <cellStyle name="20% - Accent2 3 2 3 2 4 3 2" xfId="3257"/>
    <cellStyle name="20% - Accent2 3 2 3 2 4 4" xfId="3258"/>
    <cellStyle name="20% - Accent2 3 2 3 2 5" xfId="3259"/>
    <cellStyle name="20% - Accent2 3 2 3 2 5 2" xfId="3260"/>
    <cellStyle name="20% - Accent2 3 2 3 2 5 2 2" xfId="3261"/>
    <cellStyle name="20% - Accent2 3 2 3 2 5 3" xfId="3262"/>
    <cellStyle name="20% - Accent2 3 2 3 2 6" xfId="3263"/>
    <cellStyle name="20% - Accent2 3 2 3 2 6 2" xfId="3264"/>
    <cellStyle name="20% - Accent2 3 2 3 2 7" xfId="3265"/>
    <cellStyle name="20% - Accent2 3 2 3 2 7 2" xfId="3266"/>
    <cellStyle name="20% - Accent2 3 2 3 2 8" xfId="3267"/>
    <cellStyle name="20% - Accent2 3 2 3 3" xfId="3268"/>
    <cellStyle name="20% - Accent2 3 2 3 3 2" xfId="3269"/>
    <cellStyle name="20% - Accent2 3 2 3 3 2 2" xfId="3270"/>
    <cellStyle name="20% - Accent2 3 2 3 3 2 2 2" xfId="3271"/>
    <cellStyle name="20% - Accent2 3 2 3 3 2 2 2 2" xfId="3272"/>
    <cellStyle name="20% - Accent2 3 2 3 3 2 2 2 2 2" xfId="3273"/>
    <cellStyle name="20% - Accent2 3 2 3 3 2 2 2 3" xfId="3274"/>
    <cellStyle name="20% - Accent2 3 2 3 3 2 2 3" xfId="3275"/>
    <cellStyle name="20% - Accent2 3 2 3 3 2 2 3 2" xfId="3276"/>
    <cellStyle name="20% - Accent2 3 2 3 3 2 2 4" xfId="3277"/>
    <cellStyle name="20% - Accent2 3 2 3 3 2 3" xfId="3278"/>
    <cellStyle name="20% - Accent2 3 2 3 3 2 3 2" xfId="3279"/>
    <cellStyle name="20% - Accent2 3 2 3 3 2 3 2 2" xfId="3280"/>
    <cellStyle name="20% - Accent2 3 2 3 3 2 3 3" xfId="3281"/>
    <cellStyle name="20% - Accent2 3 2 3 3 2 4" xfId="3282"/>
    <cellStyle name="20% - Accent2 3 2 3 3 2 4 2" xfId="3283"/>
    <cellStyle name="20% - Accent2 3 2 3 3 2 5" xfId="3284"/>
    <cellStyle name="20% - Accent2 3 2 3 3 2 5 2" xfId="3285"/>
    <cellStyle name="20% - Accent2 3 2 3 3 2 6" xfId="3286"/>
    <cellStyle name="20% - Accent2 3 2 3 3 3" xfId="3287"/>
    <cellStyle name="20% - Accent2 3 2 3 3 3 2" xfId="3288"/>
    <cellStyle name="20% - Accent2 3 2 3 3 3 2 2" xfId="3289"/>
    <cellStyle name="20% - Accent2 3 2 3 3 3 2 2 2" xfId="3290"/>
    <cellStyle name="20% - Accent2 3 2 3 3 3 2 2 2 2" xfId="3291"/>
    <cellStyle name="20% - Accent2 3 2 3 3 3 2 2 3" xfId="3292"/>
    <cellStyle name="20% - Accent2 3 2 3 3 3 2 3" xfId="3293"/>
    <cellStyle name="20% - Accent2 3 2 3 3 3 2 3 2" xfId="3294"/>
    <cellStyle name="20% - Accent2 3 2 3 3 3 2 4" xfId="3295"/>
    <cellStyle name="20% - Accent2 3 2 3 3 3 3" xfId="3296"/>
    <cellStyle name="20% - Accent2 3 2 3 3 3 3 2" xfId="3297"/>
    <cellStyle name="20% - Accent2 3 2 3 3 3 3 2 2" xfId="3298"/>
    <cellStyle name="20% - Accent2 3 2 3 3 3 3 3" xfId="3299"/>
    <cellStyle name="20% - Accent2 3 2 3 3 3 4" xfId="3300"/>
    <cellStyle name="20% - Accent2 3 2 3 3 3 4 2" xfId="3301"/>
    <cellStyle name="20% - Accent2 3 2 3 3 3 5" xfId="3302"/>
    <cellStyle name="20% - Accent2 3 2 3 3 3 5 2" xfId="3303"/>
    <cellStyle name="20% - Accent2 3 2 3 3 3 6" xfId="3304"/>
    <cellStyle name="20% - Accent2 3 2 3 3 4" xfId="3305"/>
    <cellStyle name="20% - Accent2 3 2 3 3 4 2" xfId="3306"/>
    <cellStyle name="20% - Accent2 3 2 3 3 4 2 2" xfId="3307"/>
    <cellStyle name="20% - Accent2 3 2 3 3 4 2 2 2" xfId="3308"/>
    <cellStyle name="20% - Accent2 3 2 3 3 4 2 3" xfId="3309"/>
    <cellStyle name="20% - Accent2 3 2 3 3 4 3" xfId="3310"/>
    <cellStyle name="20% - Accent2 3 2 3 3 4 3 2" xfId="3311"/>
    <cellStyle name="20% - Accent2 3 2 3 3 4 4" xfId="3312"/>
    <cellStyle name="20% - Accent2 3 2 3 3 5" xfId="3313"/>
    <cellStyle name="20% - Accent2 3 2 3 3 5 2" xfId="3314"/>
    <cellStyle name="20% - Accent2 3 2 3 3 5 2 2" xfId="3315"/>
    <cellStyle name="20% - Accent2 3 2 3 3 5 3" xfId="3316"/>
    <cellStyle name="20% - Accent2 3 2 3 3 6" xfId="3317"/>
    <cellStyle name="20% - Accent2 3 2 3 3 6 2" xfId="3318"/>
    <cellStyle name="20% - Accent2 3 2 3 3 7" xfId="3319"/>
    <cellStyle name="20% - Accent2 3 2 3 3 7 2" xfId="3320"/>
    <cellStyle name="20% - Accent2 3 2 3 3 8" xfId="3321"/>
    <cellStyle name="20% - Accent2 3 2 3 4" xfId="3322"/>
    <cellStyle name="20% - Accent2 3 2 3 4 2" xfId="3323"/>
    <cellStyle name="20% - Accent2 3 2 3 4 2 2" xfId="3324"/>
    <cellStyle name="20% - Accent2 3 2 3 4 2 2 2" xfId="3325"/>
    <cellStyle name="20% - Accent2 3 2 3 4 2 2 2 2" xfId="3326"/>
    <cellStyle name="20% - Accent2 3 2 3 4 2 2 3" xfId="3327"/>
    <cellStyle name="20% - Accent2 3 2 3 4 2 3" xfId="3328"/>
    <cellStyle name="20% - Accent2 3 2 3 4 2 3 2" xfId="3329"/>
    <cellStyle name="20% - Accent2 3 2 3 4 2 4" xfId="3330"/>
    <cellStyle name="20% - Accent2 3 2 3 4 3" xfId="3331"/>
    <cellStyle name="20% - Accent2 3 2 3 4 3 2" xfId="3332"/>
    <cellStyle name="20% - Accent2 3 2 3 4 3 2 2" xfId="3333"/>
    <cellStyle name="20% - Accent2 3 2 3 4 3 3" xfId="3334"/>
    <cellStyle name="20% - Accent2 3 2 3 4 4" xfId="3335"/>
    <cellStyle name="20% - Accent2 3 2 3 4 4 2" xfId="3336"/>
    <cellStyle name="20% - Accent2 3 2 3 4 5" xfId="3337"/>
    <cellStyle name="20% - Accent2 3 2 3 4 5 2" xfId="3338"/>
    <cellStyle name="20% - Accent2 3 2 3 4 6" xfId="3339"/>
    <cellStyle name="20% - Accent2 3 2 3 5" xfId="3340"/>
    <cellStyle name="20% - Accent2 3 2 3 5 2" xfId="3341"/>
    <cellStyle name="20% - Accent2 3 2 3 5 2 2" xfId="3342"/>
    <cellStyle name="20% - Accent2 3 2 3 5 2 2 2" xfId="3343"/>
    <cellStyle name="20% - Accent2 3 2 3 5 2 2 2 2" xfId="3344"/>
    <cellStyle name="20% - Accent2 3 2 3 5 2 2 3" xfId="3345"/>
    <cellStyle name="20% - Accent2 3 2 3 5 2 3" xfId="3346"/>
    <cellStyle name="20% - Accent2 3 2 3 5 2 3 2" xfId="3347"/>
    <cellStyle name="20% - Accent2 3 2 3 5 2 4" xfId="3348"/>
    <cellStyle name="20% - Accent2 3 2 3 5 3" xfId="3349"/>
    <cellStyle name="20% - Accent2 3 2 3 5 3 2" xfId="3350"/>
    <cellStyle name="20% - Accent2 3 2 3 5 3 2 2" xfId="3351"/>
    <cellStyle name="20% - Accent2 3 2 3 5 3 3" xfId="3352"/>
    <cellStyle name="20% - Accent2 3 2 3 5 4" xfId="3353"/>
    <cellStyle name="20% - Accent2 3 2 3 5 4 2" xfId="3354"/>
    <cellStyle name="20% - Accent2 3 2 3 5 5" xfId="3355"/>
    <cellStyle name="20% - Accent2 3 2 3 5 5 2" xfId="3356"/>
    <cellStyle name="20% - Accent2 3 2 3 5 6" xfId="3357"/>
    <cellStyle name="20% - Accent2 3 2 3 6" xfId="3358"/>
    <cellStyle name="20% - Accent2 3 2 3 6 2" xfId="3359"/>
    <cellStyle name="20% - Accent2 3 2 3 6 2 2" xfId="3360"/>
    <cellStyle name="20% - Accent2 3 2 3 6 2 2 2" xfId="3361"/>
    <cellStyle name="20% - Accent2 3 2 3 6 2 2 2 2" xfId="3362"/>
    <cellStyle name="20% - Accent2 3 2 3 6 2 2 3" xfId="3363"/>
    <cellStyle name="20% - Accent2 3 2 3 6 2 3" xfId="3364"/>
    <cellStyle name="20% - Accent2 3 2 3 6 2 3 2" xfId="3365"/>
    <cellStyle name="20% - Accent2 3 2 3 6 2 4" xfId="3366"/>
    <cellStyle name="20% - Accent2 3 2 3 6 3" xfId="3367"/>
    <cellStyle name="20% - Accent2 3 2 3 6 3 2" xfId="3368"/>
    <cellStyle name="20% - Accent2 3 2 3 6 3 2 2" xfId="3369"/>
    <cellStyle name="20% - Accent2 3 2 3 6 3 3" xfId="3370"/>
    <cellStyle name="20% - Accent2 3 2 3 6 4" xfId="3371"/>
    <cellStyle name="20% - Accent2 3 2 3 6 4 2" xfId="3372"/>
    <cellStyle name="20% - Accent2 3 2 3 6 5" xfId="3373"/>
    <cellStyle name="20% - Accent2 3 2 3 6 5 2" xfId="3374"/>
    <cellStyle name="20% - Accent2 3 2 3 6 6" xfId="3375"/>
    <cellStyle name="20% - Accent2 3 2 3 7" xfId="3376"/>
    <cellStyle name="20% - Accent2 3 2 3 7 2" xfId="3377"/>
    <cellStyle name="20% - Accent2 3 2 3 7 2 2" xfId="3378"/>
    <cellStyle name="20% - Accent2 3 2 3 7 2 2 2" xfId="3379"/>
    <cellStyle name="20% - Accent2 3 2 3 7 2 3" xfId="3380"/>
    <cellStyle name="20% - Accent2 3 2 3 7 3" xfId="3381"/>
    <cellStyle name="20% - Accent2 3 2 3 7 3 2" xfId="3382"/>
    <cellStyle name="20% - Accent2 3 2 3 7 4" xfId="3383"/>
    <cellStyle name="20% - Accent2 3 2 3 8" xfId="3384"/>
    <cellStyle name="20% - Accent2 3 2 3 8 2" xfId="3385"/>
    <cellStyle name="20% - Accent2 3 2 3 8 2 2" xfId="3386"/>
    <cellStyle name="20% - Accent2 3 2 3 8 3" xfId="3387"/>
    <cellStyle name="20% - Accent2 3 2 3 9" xfId="3388"/>
    <cellStyle name="20% - Accent2 3 2 3 9 2" xfId="3389"/>
    <cellStyle name="20% - Accent2 3 2 4" xfId="3390"/>
    <cellStyle name="20% - Accent2 3 2 4 10" xfId="3391"/>
    <cellStyle name="20% - Accent2 3 2 4 10 2" xfId="3392"/>
    <cellStyle name="20% - Accent2 3 2 4 11" xfId="3393"/>
    <cellStyle name="20% - Accent2 3 2 4 2" xfId="3394"/>
    <cellStyle name="20% - Accent2 3 2 4 2 2" xfId="3395"/>
    <cellStyle name="20% - Accent2 3 2 4 2 2 2" xfId="3396"/>
    <cellStyle name="20% - Accent2 3 2 4 2 2 2 2" xfId="3397"/>
    <cellStyle name="20% - Accent2 3 2 4 2 2 2 2 2" xfId="3398"/>
    <cellStyle name="20% - Accent2 3 2 4 2 2 2 2 2 2" xfId="3399"/>
    <cellStyle name="20% - Accent2 3 2 4 2 2 2 2 3" xfId="3400"/>
    <cellStyle name="20% - Accent2 3 2 4 2 2 2 3" xfId="3401"/>
    <cellStyle name="20% - Accent2 3 2 4 2 2 2 3 2" xfId="3402"/>
    <cellStyle name="20% - Accent2 3 2 4 2 2 2 4" xfId="3403"/>
    <cellStyle name="20% - Accent2 3 2 4 2 2 3" xfId="3404"/>
    <cellStyle name="20% - Accent2 3 2 4 2 2 3 2" xfId="3405"/>
    <cellStyle name="20% - Accent2 3 2 4 2 2 3 2 2" xfId="3406"/>
    <cellStyle name="20% - Accent2 3 2 4 2 2 3 3" xfId="3407"/>
    <cellStyle name="20% - Accent2 3 2 4 2 2 4" xfId="3408"/>
    <cellStyle name="20% - Accent2 3 2 4 2 2 4 2" xfId="3409"/>
    <cellStyle name="20% - Accent2 3 2 4 2 2 5" xfId="3410"/>
    <cellStyle name="20% - Accent2 3 2 4 2 2 5 2" xfId="3411"/>
    <cellStyle name="20% - Accent2 3 2 4 2 2 6" xfId="3412"/>
    <cellStyle name="20% - Accent2 3 2 4 2 3" xfId="3413"/>
    <cellStyle name="20% - Accent2 3 2 4 2 3 2" xfId="3414"/>
    <cellStyle name="20% - Accent2 3 2 4 2 3 2 2" xfId="3415"/>
    <cellStyle name="20% - Accent2 3 2 4 2 3 2 2 2" xfId="3416"/>
    <cellStyle name="20% - Accent2 3 2 4 2 3 2 2 2 2" xfId="3417"/>
    <cellStyle name="20% - Accent2 3 2 4 2 3 2 2 3" xfId="3418"/>
    <cellStyle name="20% - Accent2 3 2 4 2 3 2 3" xfId="3419"/>
    <cellStyle name="20% - Accent2 3 2 4 2 3 2 3 2" xfId="3420"/>
    <cellStyle name="20% - Accent2 3 2 4 2 3 2 4" xfId="3421"/>
    <cellStyle name="20% - Accent2 3 2 4 2 3 3" xfId="3422"/>
    <cellStyle name="20% - Accent2 3 2 4 2 3 3 2" xfId="3423"/>
    <cellStyle name="20% - Accent2 3 2 4 2 3 3 2 2" xfId="3424"/>
    <cellStyle name="20% - Accent2 3 2 4 2 3 3 3" xfId="3425"/>
    <cellStyle name="20% - Accent2 3 2 4 2 3 4" xfId="3426"/>
    <cellStyle name="20% - Accent2 3 2 4 2 3 4 2" xfId="3427"/>
    <cellStyle name="20% - Accent2 3 2 4 2 3 5" xfId="3428"/>
    <cellStyle name="20% - Accent2 3 2 4 2 3 5 2" xfId="3429"/>
    <cellStyle name="20% - Accent2 3 2 4 2 3 6" xfId="3430"/>
    <cellStyle name="20% - Accent2 3 2 4 2 4" xfId="3431"/>
    <cellStyle name="20% - Accent2 3 2 4 2 4 2" xfId="3432"/>
    <cellStyle name="20% - Accent2 3 2 4 2 4 2 2" xfId="3433"/>
    <cellStyle name="20% - Accent2 3 2 4 2 4 2 2 2" xfId="3434"/>
    <cellStyle name="20% - Accent2 3 2 4 2 4 2 3" xfId="3435"/>
    <cellStyle name="20% - Accent2 3 2 4 2 4 3" xfId="3436"/>
    <cellStyle name="20% - Accent2 3 2 4 2 4 3 2" xfId="3437"/>
    <cellStyle name="20% - Accent2 3 2 4 2 4 4" xfId="3438"/>
    <cellStyle name="20% - Accent2 3 2 4 2 5" xfId="3439"/>
    <cellStyle name="20% - Accent2 3 2 4 2 5 2" xfId="3440"/>
    <cellStyle name="20% - Accent2 3 2 4 2 5 2 2" xfId="3441"/>
    <cellStyle name="20% - Accent2 3 2 4 2 5 3" xfId="3442"/>
    <cellStyle name="20% - Accent2 3 2 4 2 6" xfId="3443"/>
    <cellStyle name="20% - Accent2 3 2 4 2 6 2" xfId="3444"/>
    <cellStyle name="20% - Accent2 3 2 4 2 7" xfId="3445"/>
    <cellStyle name="20% - Accent2 3 2 4 2 7 2" xfId="3446"/>
    <cellStyle name="20% - Accent2 3 2 4 2 8" xfId="3447"/>
    <cellStyle name="20% - Accent2 3 2 4 3" xfId="3448"/>
    <cellStyle name="20% - Accent2 3 2 4 3 2" xfId="3449"/>
    <cellStyle name="20% - Accent2 3 2 4 3 2 2" xfId="3450"/>
    <cellStyle name="20% - Accent2 3 2 4 3 2 2 2" xfId="3451"/>
    <cellStyle name="20% - Accent2 3 2 4 3 2 2 2 2" xfId="3452"/>
    <cellStyle name="20% - Accent2 3 2 4 3 2 2 2 2 2" xfId="3453"/>
    <cellStyle name="20% - Accent2 3 2 4 3 2 2 2 3" xfId="3454"/>
    <cellStyle name="20% - Accent2 3 2 4 3 2 2 3" xfId="3455"/>
    <cellStyle name="20% - Accent2 3 2 4 3 2 2 3 2" xfId="3456"/>
    <cellStyle name="20% - Accent2 3 2 4 3 2 2 4" xfId="3457"/>
    <cellStyle name="20% - Accent2 3 2 4 3 2 3" xfId="3458"/>
    <cellStyle name="20% - Accent2 3 2 4 3 2 3 2" xfId="3459"/>
    <cellStyle name="20% - Accent2 3 2 4 3 2 3 2 2" xfId="3460"/>
    <cellStyle name="20% - Accent2 3 2 4 3 2 3 3" xfId="3461"/>
    <cellStyle name="20% - Accent2 3 2 4 3 2 4" xfId="3462"/>
    <cellStyle name="20% - Accent2 3 2 4 3 2 4 2" xfId="3463"/>
    <cellStyle name="20% - Accent2 3 2 4 3 2 5" xfId="3464"/>
    <cellStyle name="20% - Accent2 3 2 4 3 2 5 2" xfId="3465"/>
    <cellStyle name="20% - Accent2 3 2 4 3 2 6" xfId="3466"/>
    <cellStyle name="20% - Accent2 3 2 4 3 3" xfId="3467"/>
    <cellStyle name="20% - Accent2 3 2 4 3 3 2" xfId="3468"/>
    <cellStyle name="20% - Accent2 3 2 4 3 3 2 2" xfId="3469"/>
    <cellStyle name="20% - Accent2 3 2 4 3 3 2 2 2" xfId="3470"/>
    <cellStyle name="20% - Accent2 3 2 4 3 3 2 2 2 2" xfId="3471"/>
    <cellStyle name="20% - Accent2 3 2 4 3 3 2 2 3" xfId="3472"/>
    <cellStyle name="20% - Accent2 3 2 4 3 3 2 3" xfId="3473"/>
    <cellStyle name="20% - Accent2 3 2 4 3 3 2 3 2" xfId="3474"/>
    <cellStyle name="20% - Accent2 3 2 4 3 3 2 4" xfId="3475"/>
    <cellStyle name="20% - Accent2 3 2 4 3 3 3" xfId="3476"/>
    <cellStyle name="20% - Accent2 3 2 4 3 3 3 2" xfId="3477"/>
    <cellStyle name="20% - Accent2 3 2 4 3 3 3 2 2" xfId="3478"/>
    <cellStyle name="20% - Accent2 3 2 4 3 3 3 3" xfId="3479"/>
    <cellStyle name="20% - Accent2 3 2 4 3 3 4" xfId="3480"/>
    <cellStyle name="20% - Accent2 3 2 4 3 3 4 2" xfId="3481"/>
    <cellStyle name="20% - Accent2 3 2 4 3 3 5" xfId="3482"/>
    <cellStyle name="20% - Accent2 3 2 4 3 3 5 2" xfId="3483"/>
    <cellStyle name="20% - Accent2 3 2 4 3 3 6" xfId="3484"/>
    <cellStyle name="20% - Accent2 3 2 4 3 4" xfId="3485"/>
    <cellStyle name="20% - Accent2 3 2 4 3 4 2" xfId="3486"/>
    <cellStyle name="20% - Accent2 3 2 4 3 4 2 2" xfId="3487"/>
    <cellStyle name="20% - Accent2 3 2 4 3 4 2 2 2" xfId="3488"/>
    <cellStyle name="20% - Accent2 3 2 4 3 4 2 3" xfId="3489"/>
    <cellStyle name="20% - Accent2 3 2 4 3 4 3" xfId="3490"/>
    <cellStyle name="20% - Accent2 3 2 4 3 4 3 2" xfId="3491"/>
    <cellStyle name="20% - Accent2 3 2 4 3 4 4" xfId="3492"/>
    <cellStyle name="20% - Accent2 3 2 4 3 5" xfId="3493"/>
    <cellStyle name="20% - Accent2 3 2 4 3 5 2" xfId="3494"/>
    <cellStyle name="20% - Accent2 3 2 4 3 5 2 2" xfId="3495"/>
    <cellStyle name="20% - Accent2 3 2 4 3 5 3" xfId="3496"/>
    <cellStyle name="20% - Accent2 3 2 4 3 6" xfId="3497"/>
    <cellStyle name="20% - Accent2 3 2 4 3 6 2" xfId="3498"/>
    <cellStyle name="20% - Accent2 3 2 4 3 7" xfId="3499"/>
    <cellStyle name="20% - Accent2 3 2 4 3 7 2" xfId="3500"/>
    <cellStyle name="20% - Accent2 3 2 4 3 8" xfId="3501"/>
    <cellStyle name="20% - Accent2 3 2 4 4" xfId="3502"/>
    <cellStyle name="20% - Accent2 3 2 4 4 2" xfId="3503"/>
    <cellStyle name="20% - Accent2 3 2 4 4 2 2" xfId="3504"/>
    <cellStyle name="20% - Accent2 3 2 4 4 2 2 2" xfId="3505"/>
    <cellStyle name="20% - Accent2 3 2 4 4 2 2 2 2" xfId="3506"/>
    <cellStyle name="20% - Accent2 3 2 4 4 2 2 3" xfId="3507"/>
    <cellStyle name="20% - Accent2 3 2 4 4 2 3" xfId="3508"/>
    <cellStyle name="20% - Accent2 3 2 4 4 2 3 2" xfId="3509"/>
    <cellStyle name="20% - Accent2 3 2 4 4 2 4" xfId="3510"/>
    <cellStyle name="20% - Accent2 3 2 4 4 3" xfId="3511"/>
    <cellStyle name="20% - Accent2 3 2 4 4 3 2" xfId="3512"/>
    <cellStyle name="20% - Accent2 3 2 4 4 3 2 2" xfId="3513"/>
    <cellStyle name="20% - Accent2 3 2 4 4 3 3" xfId="3514"/>
    <cellStyle name="20% - Accent2 3 2 4 4 4" xfId="3515"/>
    <cellStyle name="20% - Accent2 3 2 4 4 4 2" xfId="3516"/>
    <cellStyle name="20% - Accent2 3 2 4 4 5" xfId="3517"/>
    <cellStyle name="20% - Accent2 3 2 4 4 5 2" xfId="3518"/>
    <cellStyle name="20% - Accent2 3 2 4 4 6" xfId="3519"/>
    <cellStyle name="20% - Accent2 3 2 4 5" xfId="3520"/>
    <cellStyle name="20% - Accent2 3 2 4 5 2" xfId="3521"/>
    <cellStyle name="20% - Accent2 3 2 4 5 2 2" xfId="3522"/>
    <cellStyle name="20% - Accent2 3 2 4 5 2 2 2" xfId="3523"/>
    <cellStyle name="20% - Accent2 3 2 4 5 2 2 2 2" xfId="3524"/>
    <cellStyle name="20% - Accent2 3 2 4 5 2 2 3" xfId="3525"/>
    <cellStyle name="20% - Accent2 3 2 4 5 2 3" xfId="3526"/>
    <cellStyle name="20% - Accent2 3 2 4 5 2 3 2" xfId="3527"/>
    <cellStyle name="20% - Accent2 3 2 4 5 2 4" xfId="3528"/>
    <cellStyle name="20% - Accent2 3 2 4 5 3" xfId="3529"/>
    <cellStyle name="20% - Accent2 3 2 4 5 3 2" xfId="3530"/>
    <cellStyle name="20% - Accent2 3 2 4 5 3 2 2" xfId="3531"/>
    <cellStyle name="20% - Accent2 3 2 4 5 3 3" xfId="3532"/>
    <cellStyle name="20% - Accent2 3 2 4 5 4" xfId="3533"/>
    <cellStyle name="20% - Accent2 3 2 4 5 4 2" xfId="3534"/>
    <cellStyle name="20% - Accent2 3 2 4 5 5" xfId="3535"/>
    <cellStyle name="20% - Accent2 3 2 4 5 5 2" xfId="3536"/>
    <cellStyle name="20% - Accent2 3 2 4 5 6" xfId="3537"/>
    <cellStyle name="20% - Accent2 3 2 4 6" xfId="3538"/>
    <cellStyle name="20% - Accent2 3 2 4 6 2" xfId="3539"/>
    <cellStyle name="20% - Accent2 3 2 4 6 2 2" xfId="3540"/>
    <cellStyle name="20% - Accent2 3 2 4 6 2 2 2" xfId="3541"/>
    <cellStyle name="20% - Accent2 3 2 4 6 2 2 2 2" xfId="3542"/>
    <cellStyle name="20% - Accent2 3 2 4 6 2 2 3" xfId="3543"/>
    <cellStyle name="20% - Accent2 3 2 4 6 2 3" xfId="3544"/>
    <cellStyle name="20% - Accent2 3 2 4 6 2 3 2" xfId="3545"/>
    <cellStyle name="20% - Accent2 3 2 4 6 2 4" xfId="3546"/>
    <cellStyle name="20% - Accent2 3 2 4 6 3" xfId="3547"/>
    <cellStyle name="20% - Accent2 3 2 4 6 3 2" xfId="3548"/>
    <cellStyle name="20% - Accent2 3 2 4 6 3 2 2" xfId="3549"/>
    <cellStyle name="20% - Accent2 3 2 4 6 3 3" xfId="3550"/>
    <cellStyle name="20% - Accent2 3 2 4 6 4" xfId="3551"/>
    <cellStyle name="20% - Accent2 3 2 4 6 4 2" xfId="3552"/>
    <cellStyle name="20% - Accent2 3 2 4 6 5" xfId="3553"/>
    <cellStyle name="20% - Accent2 3 2 4 6 5 2" xfId="3554"/>
    <cellStyle name="20% - Accent2 3 2 4 6 6" xfId="3555"/>
    <cellStyle name="20% - Accent2 3 2 4 7" xfId="3556"/>
    <cellStyle name="20% - Accent2 3 2 4 7 2" xfId="3557"/>
    <cellStyle name="20% - Accent2 3 2 4 7 2 2" xfId="3558"/>
    <cellStyle name="20% - Accent2 3 2 4 7 2 2 2" xfId="3559"/>
    <cellStyle name="20% - Accent2 3 2 4 7 2 3" xfId="3560"/>
    <cellStyle name="20% - Accent2 3 2 4 7 3" xfId="3561"/>
    <cellStyle name="20% - Accent2 3 2 4 7 3 2" xfId="3562"/>
    <cellStyle name="20% - Accent2 3 2 4 7 4" xfId="3563"/>
    <cellStyle name="20% - Accent2 3 2 4 8" xfId="3564"/>
    <cellStyle name="20% - Accent2 3 2 4 8 2" xfId="3565"/>
    <cellStyle name="20% - Accent2 3 2 4 8 2 2" xfId="3566"/>
    <cellStyle name="20% - Accent2 3 2 4 8 3" xfId="3567"/>
    <cellStyle name="20% - Accent2 3 2 4 9" xfId="3568"/>
    <cellStyle name="20% - Accent2 3 2 4 9 2" xfId="3569"/>
    <cellStyle name="20% - Accent2 3 2 5" xfId="3570"/>
    <cellStyle name="20% - Accent2 3 2 5 2" xfId="3571"/>
    <cellStyle name="20% - Accent2 3 2 5 2 2" xfId="3572"/>
    <cellStyle name="20% - Accent2 3 2 5 2 2 2" xfId="3573"/>
    <cellStyle name="20% - Accent2 3 2 5 2 2 2 2" xfId="3574"/>
    <cellStyle name="20% - Accent2 3 2 5 2 2 2 2 2" xfId="3575"/>
    <cellStyle name="20% - Accent2 3 2 5 2 2 2 3" xfId="3576"/>
    <cellStyle name="20% - Accent2 3 2 5 2 2 3" xfId="3577"/>
    <cellStyle name="20% - Accent2 3 2 5 2 2 3 2" xfId="3578"/>
    <cellStyle name="20% - Accent2 3 2 5 2 2 4" xfId="3579"/>
    <cellStyle name="20% - Accent2 3 2 5 2 3" xfId="3580"/>
    <cellStyle name="20% - Accent2 3 2 5 2 3 2" xfId="3581"/>
    <cellStyle name="20% - Accent2 3 2 5 2 3 2 2" xfId="3582"/>
    <cellStyle name="20% - Accent2 3 2 5 2 3 3" xfId="3583"/>
    <cellStyle name="20% - Accent2 3 2 5 2 4" xfId="3584"/>
    <cellStyle name="20% - Accent2 3 2 5 2 4 2" xfId="3585"/>
    <cellStyle name="20% - Accent2 3 2 5 2 5" xfId="3586"/>
    <cellStyle name="20% - Accent2 3 2 5 2 5 2" xfId="3587"/>
    <cellStyle name="20% - Accent2 3 2 5 2 6" xfId="3588"/>
    <cellStyle name="20% - Accent2 3 2 5 3" xfId="3589"/>
    <cellStyle name="20% - Accent2 3 2 5 3 2" xfId="3590"/>
    <cellStyle name="20% - Accent2 3 2 5 3 2 2" xfId="3591"/>
    <cellStyle name="20% - Accent2 3 2 5 3 2 2 2" xfId="3592"/>
    <cellStyle name="20% - Accent2 3 2 5 3 2 2 2 2" xfId="3593"/>
    <cellStyle name="20% - Accent2 3 2 5 3 2 2 3" xfId="3594"/>
    <cellStyle name="20% - Accent2 3 2 5 3 2 3" xfId="3595"/>
    <cellStyle name="20% - Accent2 3 2 5 3 2 3 2" xfId="3596"/>
    <cellStyle name="20% - Accent2 3 2 5 3 2 4" xfId="3597"/>
    <cellStyle name="20% - Accent2 3 2 5 3 3" xfId="3598"/>
    <cellStyle name="20% - Accent2 3 2 5 3 3 2" xfId="3599"/>
    <cellStyle name="20% - Accent2 3 2 5 3 3 2 2" xfId="3600"/>
    <cellStyle name="20% - Accent2 3 2 5 3 3 3" xfId="3601"/>
    <cellStyle name="20% - Accent2 3 2 5 3 4" xfId="3602"/>
    <cellStyle name="20% - Accent2 3 2 5 3 4 2" xfId="3603"/>
    <cellStyle name="20% - Accent2 3 2 5 3 5" xfId="3604"/>
    <cellStyle name="20% - Accent2 3 2 5 3 5 2" xfId="3605"/>
    <cellStyle name="20% - Accent2 3 2 5 3 6" xfId="3606"/>
    <cellStyle name="20% - Accent2 3 2 5 4" xfId="3607"/>
    <cellStyle name="20% - Accent2 3 2 5 4 2" xfId="3608"/>
    <cellStyle name="20% - Accent2 3 2 5 4 2 2" xfId="3609"/>
    <cellStyle name="20% - Accent2 3 2 5 4 2 2 2" xfId="3610"/>
    <cellStyle name="20% - Accent2 3 2 5 4 2 3" xfId="3611"/>
    <cellStyle name="20% - Accent2 3 2 5 4 3" xfId="3612"/>
    <cellStyle name="20% - Accent2 3 2 5 4 3 2" xfId="3613"/>
    <cellStyle name="20% - Accent2 3 2 5 4 4" xfId="3614"/>
    <cellStyle name="20% - Accent2 3 2 5 5" xfId="3615"/>
    <cellStyle name="20% - Accent2 3 2 5 5 2" xfId="3616"/>
    <cellStyle name="20% - Accent2 3 2 5 5 2 2" xfId="3617"/>
    <cellStyle name="20% - Accent2 3 2 5 5 3" xfId="3618"/>
    <cellStyle name="20% - Accent2 3 2 5 6" xfId="3619"/>
    <cellStyle name="20% - Accent2 3 2 5 6 2" xfId="3620"/>
    <cellStyle name="20% - Accent2 3 2 5 7" xfId="3621"/>
    <cellStyle name="20% - Accent2 3 2 5 7 2" xfId="3622"/>
    <cellStyle name="20% - Accent2 3 2 5 8" xfId="3623"/>
    <cellStyle name="20% - Accent2 3 2 6" xfId="3624"/>
    <cellStyle name="20% - Accent2 3 2 6 2" xfId="3625"/>
    <cellStyle name="20% - Accent2 3 2 6 2 2" xfId="3626"/>
    <cellStyle name="20% - Accent2 3 2 6 2 2 2" xfId="3627"/>
    <cellStyle name="20% - Accent2 3 2 6 2 2 2 2" xfId="3628"/>
    <cellStyle name="20% - Accent2 3 2 6 2 2 2 2 2" xfId="3629"/>
    <cellStyle name="20% - Accent2 3 2 6 2 2 2 3" xfId="3630"/>
    <cellStyle name="20% - Accent2 3 2 6 2 2 3" xfId="3631"/>
    <cellStyle name="20% - Accent2 3 2 6 2 2 3 2" xfId="3632"/>
    <cellStyle name="20% - Accent2 3 2 6 2 2 4" xfId="3633"/>
    <cellStyle name="20% - Accent2 3 2 6 2 3" xfId="3634"/>
    <cellStyle name="20% - Accent2 3 2 6 2 3 2" xfId="3635"/>
    <cellStyle name="20% - Accent2 3 2 6 2 3 2 2" xfId="3636"/>
    <cellStyle name="20% - Accent2 3 2 6 2 3 3" xfId="3637"/>
    <cellStyle name="20% - Accent2 3 2 6 2 4" xfId="3638"/>
    <cellStyle name="20% - Accent2 3 2 6 2 4 2" xfId="3639"/>
    <cellStyle name="20% - Accent2 3 2 6 2 5" xfId="3640"/>
    <cellStyle name="20% - Accent2 3 2 6 2 5 2" xfId="3641"/>
    <cellStyle name="20% - Accent2 3 2 6 2 6" xfId="3642"/>
    <cellStyle name="20% - Accent2 3 2 6 3" xfId="3643"/>
    <cellStyle name="20% - Accent2 3 2 6 3 2" xfId="3644"/>
    <cellStyle name="20% - Accent2 3 2 6 3 2 2" xfId="3645"/>
    <cellStyle name="20% - Accent2 3 2 6 3 2 2 2" xfId="3646"/>
    <cellStyle name="20% - Accent2 3 2 6 3 2 2 2 2" xfId="3647"/>
    <cellStyle name="20% - Accent2 3 2 6 3 2 2 3" xfId="3648"/>
    <cellStyle name="20% - Accent2 3 2 6 3 2 3" xfId="3649"/>
    <cellStyle name="20% - Accent2 3 2 6 3 2 3 2" xfId="3650"/>
    <cellStyle name="20% - Accent2 3 2 6 3 2 4" xfId="3651"/>
    <cellStyle name="20% - Accent2 3 2 6 3 3" xfId="3652"/>
    <cellStyle name="20% - Accent2 3 2 6 3 3 2" xfId="3653"/>
    <cellStyle name="20% - Accent2 3 2 6 3 3 2 2" xfId="3654"/>
    <cellStyle name="20% - Accent2 3 2 6 3 3 3" xfId="3655"/>
    <cellStyle name="20% - Accent2 3 2 6 3 4" xfId="3656"/>
    <cellStyle name="20% - Accent2 3 2 6 3 4 2" xfId="3657"/>
    <cellStyle name="20% - Accent2 3 2 6 3 5" xfId="3658"/>
    <cellStyle name="20% - Accent2 3 2 6 3 5 2" xfId="3659"/>
    <cellStyle name="20% - Accent2 3 2 6 3 6" xfId="3660"/>
    <cellStyle name="20% - Accent2 3 2 6 4" xfId="3661"/>
    <cellStyle name="20% - Accent2 3 2 6 4 2" xfId="3662"/>
    <cellStyle name="20% - Accent2 3 2 6 4 2 2" xfId="3663"/>
    <cellStyle name="20% - Accent2 3 2 6 4 2 2 2" xfId="3664"/>
    <cellStyle name="20% - Accent2 3 2 6 4 2 3" xfId="3665"/>
    <cellStyle name="20% - Accent2 3 2 6 4 3" xfId="3666"/>
    <cellStyle name="20% - Accent2 3 2 6 4 3 2" xfId="3667"/>
    <cellStyle name="20% - Accent2 3 2 6 4 4" xfId="3668"/>
    <cellStyle name="20% - Accent2 3 2 6 5" xfId="3669"/>
    <cellStyle name="20% - Accent2 3 2 6 5 2" xfId="3670"/>
    <cellStyle name="20% - Accent2 3 2 6 5 2 2" xfId="3671"/>
    <cellStyle name="20% - Accent2 3 2 6 5 3" xfId="3672"/>
    <cellStyle name="20% - Accent2 3 2 6 6" xfId="3673"/>
    <cellStyle name="20% - Accent2 3 2 6 6 2" xfId="3674"/>
    <cellStyle name="20% - Accent2 3 2 6 7" xfId="3675"/>
    <cellStyle name="20% - Accent2 3 2 6 7 2" xfId="3676"/>
    <cellStyle name="20% - Accent2 3 2 6 8" xfId="3677"/>
    <cellStyle name="20% - Accent2 3 2 7" xfId="3678"/>
    <cellStyle name="20% - Accent2 3 2 7 2" xfId="3679"/>
    <cellStyle name="20% - Accent2 3 2 7 2 2" xfId="3680"/>
    <cellStyle name="20% - Accent2 3 2 7 2 2 2" xfId="3681"/>
    <cellStyle name="20% - Accent2 3 2 7 2 2 2 2" xfId="3682"/>
    <cellStyle name="20% - Accent2 3 2 7 2 2 3" xfId="3683"/>
    <cellStyle name="20% - Accent2 3 2 7 2 3" xfId="3684"/>
    <cellStyle name="20% - Accent2 3 2 7 2 3 2" xfId="3685"/>
    <cellStyle name="20% - Accent2 3 2 7 2 4" xfId="3686"/>
    <cellStyle name="20% - Accent2 3 2 7 3" xfId="3687"/>
    <cellStyle name="20% - Accent2 3 2 7 3 2" xfId="3688"/>
    <cellStyle name="20% - Accent2 3 2 7 3 2 2" xfId="3689"/>
    <cellStyle name="20% - Accent2 3 2 7 3 3" xfId="3690"/>
    <cellStyle name="20% - Accent2 3 2 7 4" xfId="3691"/>
    <cellStyle name="20% - Accent2 3 2 7 4 2" xfId="3692"/>
    <cellStyle name="20% - Accent2 3 2 7 5" xfId="3693"/>
    <cellStyle name="20% - Accent2 3 2 7 5 2" xfId="3694"/>
    <cellStyle name="20% - Accent2 3 2 7 6" xfId="3695"/>
    <cellStyle name="20% - Accent2 3 2 8" xfId="3696"/>
    <cellStyle name="20% - Accent2 3 2 8 2" xfId="3697"/>
    <cellStyle name="20% - Accent2 3 2 8 2 2" xfId="3698"/>
    <cellStyle name="20% - Accent2 3 2 8 2 2 2" xfId="3699"/>
    <cellStyle name="20% - Accent2 3 2 8 2 2 2 2" xfId="3700"/>
    <cellStyle name="20% - Accent2 3 2 8 2 2 3" xfId="3701"/>
    <cellStyle name="20% - Accent2 3 2 8 2 3" xfId="3702"/>
    <cellStyle name="20% - Accent2 3 2 8 2 3 2" xfId="3703"/>
    <cellStyle name="20% - Accent2 3 2 8 2 4" xfId="3704"/>
    <cellStyle name="20% - Accent2 3 2 8 3" xfId="3705"/>
    <cellStyle name="20% - Accent2 3 2 8 3 2" xfId="3706"/>
    <cellStyle name="20% - Accent2 3 2 8 3 2 2" xfId="3707"/>
    <cellStyle name="20% - Accent2 3 2 8 3 3" xfId="3708"/>
    <cellStyle name="20% - Accent2 3 2 8 4" xfId="3709"/>
    <cellStyle name="20% - Accent2 3 2 8 4 2" xfId="3710"/>
    <cellStyle name="20% - Accent2 3 2 8 5" xfId="3711"/>
    <cellStyle name="20% - Accent2 3 2 8 5 2" xfId="3712"/>
    <cellStyle name="20% - Accent2 3 2 8 6" xfId="3713"/>
    <cellStyle name="20% - Accent2 3 2 9" xfId="3714"/>
    <cellStyle name="20% - Accent2 3 2 9 2" xfId="3715"/>
    <cellStyle name="20% - Accent2 3 2 9 2 2" xfId="3716"/>
    <cellStyle name="20% - Accent2 3 2 9 2 2 2" xfId="3717"/>
    <cellStyle name="20% - Accent2 3 2 9 2 2 2 2" xfId="3718"/>
    <cellStyle name="20% - Accent2 3 2 9 2 2 3" xfId="3719"/>
    <cellStyle name="20% - Accent2 3 2 9 2 3" xfId="3720"/>
    <cellStyle name="20% - Accent2 3 2 9 2 3 2" xfId="3721"/>
    <cellStyle name="20% - Accent2 3 2 9 2 4" xfId="3722"/>
    <cellStyle name="20% - Accent2 3 2 9 3" xfId="3723"/>
    <cellStyle name="20% - Accent2 3 2 9 3 2" xfId="3724"/>
    <cellStyle name="20% - Accent2 3 2 9 3 2 2" xfId="3725"/>
    <cellStyle name="20% - Accent2 3 2 9 3 3" xfId="3726"/>
    <cellStyle name="20% - Accent2 3 2 9 4" xfId="3727"/>
    <cellStyle name="20% - Accent2 3 2 9 4 2" xfId="3728"/>
    <cellStyle name="20% - Accent2 3 2 9 5" xfId="3729"/>
    <cellStyle name="20% - Accent2 3 2 9 5 2" xfId="3730"/>
    <cellStyle name="20% - Accent2 3 2 9 6" xfId="3731"/>
    <cellStyle name="20% - Accent2 3 3" xfId="3732"/>
    <cellStyle name="20% - Accent2 3 3 10" xfId="3733"/>
    <cellStyle name="20% - Accent2 3 3 10 2" xfId="3734"/>
    <cellStyle name="20% - Accent2 3 3 11" xfId="3735"/>
    <cellStyle name="20% - Accent2 3 3 2" xfId="3736"/>
    <cellStyle name="20% - Accent2 3 3 2 2" xfId="3737"/>
    <cellStyle name="20% - Accent2 3 3 2 2 2" xfId="3738"/>
    <cellStyle name="20% - Accent2 3 3 2 2 2 2" xfId="3739"/>
    <cellStyle name="20% - Accent2 3 3 2 2 2 2 2" xfId="3740"/>
    <cellStyle name="20% - Accent2 3 3 2 2 2 2 2 2" xfId="3741"/>
    <cellStyle name="20% - Accent2 3 3 2 2 2 2 3" xfId="3742"/>
    <cellStyle name="20% - Accent2 3 3 2 2 2 3" xfId="3743"/>
    <cellStyle name="20% - Accent2 3 3 2 2 2 3 2" xfId="3744"/>
    <cellStyle name="20% - Accent2 3 3 2 2 2 4" xfId="3745"/>
    <cellStyle name="20% - Accent2 3 3 2 2 3" xfId="3746"/>
    <cellStyle name="20% - Accent2 3 3 2 2 3 2" xfId="3747"/>
    <cellStyle name="20% - Accent2 3 3 2 2 3 2 2" xfId="3748"/>
    <cellStyle name="20% - Accent2 3 3 2 2 3 3" xfId="3749"/>
    <cellStyle name="20% - Accent2 3 3 2 2 4" xfId="3750"/>
    <cellStyle name="20% - Accent2 3 3 2 2 4 2" xfId="3751"/>
    <cellStyle name="20% - Accent2 3 3 2 2 5" xfId="3752"/>
    <cellStyle name="20% - Accent2 3 3 2 2 5 2" xfId="3753"/>
    <cellStyle name="20% - Accent2 3 3 2 2 6" xfId="3754"/>
    <cellStyle name="20% - Accent2 3 3 2 3" xfId="3755"/>
    <cellStyle name="20% - Accent2 3 3 2 3 2" xfId="3756"/>
    <cellStyle name="20% - Accent2 3 3 2 3 2 2" xfId="3757"/>
    <cellStyle name="20% - Accent2 3 3 2 3 2 2 2" xfId="3758"/>
    <cellStyle name="20% - Accent2 3 3 2 3 2 2 2 2" xfId="3759"/>
    <cellStyle name="20% - Accent2 3 3 2 3 2 2 3" xfId="3760"/>
    <cellStyle name="20% - Accent2 3 3 2 3 2 3" xfId="3761"/>
    <cellStyle name="20% - Accent2 3 3 2 3 2 3 2" xfId="3762"/>
    <cellStyle name="20% - Accent2 3 3 2 3 2 4" xfId="3763"/>
    <cellStyle name="20% - Accent2 3 3 2 3 3" xfId="3764"/>
    <cellStyle name="20% - Accent2 3 3 2 3 3 2" xfId="3765"/>
    <cellStyle name="20% - Accent2 3 3 2 3 3 2 2" xfId="3766"/>
    <cellStyle name="20% - Accent2 3 3 2 3 3 3" xfId="3767"/>
    <cellStyle name="20% - Accent2 3 3 2 3 4" xfId="3768"/>
    <cellStyle name="20% - Accent2 3 3 2 3 4 2" xfId="3769"/>
    <cellStyle name="20% - Accent2 3 3 2 3 5" xfId="3770"/>
    <cellStyle name="20% - Accent2 3 3 2 3 5 2" xfId="3771"/>
    <cellStyle name="20% - Accent2 3 3 2 3 6" xfId="3772"/>
    <cellStyle name="20% - Accent2 3 3 2 4" xfId="3773"/>
    <cellStyle name="20% - Accent2 3 3 2 4 2" xfId="3774"/>
    <cellStyle name="20% - Accent2 3 3 2 4 2 2" xfId="3775"/>
    <cellStyle name="20% - Accent2 3 3 2 4 2 2 2" xfId="3776"/>
    <cellStyle name="20% - Accent2 3 3 2 4 2 3" xfId="3777"/>
    <cellStyle name="20% - Accent2 3 3 2 4 3" xfId="3778"/>
    <cellStyle name="20% - Accent2 3 3 2 4 3 2" xfId="3779"/>
    <cellStyle name="20% - Accent2 3 3 2 4 4" xfId="3780"/>
    <cellStyle name="20% - Accent2 3 3 2 5" xfId="3781"/>
    <cellStyle name="20% - Accent2 3 3 2 5 2" xfId="3782"/>
    <cellStyle name="20% - Accent2 3 3 2 5 2 2" xfId="3783"/>
    <cellStyle name="20% - Accent2 3 3 2 5 3" xfId="3784"/>
    <cellStyle name="20% - Accent2 3 3 2 6" xfId="3785"/>
    <cellStyle name="20% - Accent2 3 3 2 6 2" xfId="3786"/>
    <cellStyle name="20% - Accent2 3 3 2 7" xfId="3787"/>
    <cellStyle name="20% - Accent2 3 3 2 7 2" xfId="3788"/>
    <cellStyle name="20% - Accent2 3 3 2 8" xfId="3789"/>
    <cellStyle name="20% - Accent2 3 3 3" xfId="3790"/>
    <cellStyle name="20% - Accent2 3 3 3 2" xfId="3791"/>
    <cellStyle name="20% - Accent2 3 3 3 2 2" xfId="3792"/>
    <cellStyle name="20% - Accent2 3 3 3 2 2 2" xfId="3793"/>
    <cellStyle name="20% - Accent2 3 3 3 2 2 2 2" xfId="3794"/>
    <cellStyle name="20% - Accent2 3 3 3 2 2 2 2 2" xfId="3795"/>
    <cellStyle name="20% - Accent2 3 3 3 2 2 2 3" xfId="3796"/>
    <cellStyle name="20% - Accent2 3 3 3 2 2 3" xfId="3797"/>
    <cellStyle name="20% - Accent2 3 3 3 2 2 3 2" xfId="3798"/>
    <cellStyle name="20% - Accent2 3 3 3 2 2 4" xfId="3799"/>
    <cellStyle name="20% - Accent2 3 3 3 2 3" xfId="3800"/>
    <cellStyle name="20% - Accent2 3 3 3 2 3 2" xfId="3801"/>
    <cellStyle name="20% - Accent2 3 3 3 2 3 2 2" xfId="3802"/>
    <cellStyle name="20% - Accent2 3 3 3 2 3 3" xfId="3803"/>
    <cellStyle name="20% - Accent2 3 3 3 2 4" xfId="3804"/>
    <cellStyle name="20% - Accent2 3 3 3 2 4 2" xfId="3805"/>
    <cellStyle name="20% - Accent2 3 3 3 2 5" xfId="3806"/>
    <cellStyle name="20% - Accent2 3 3 3 2 5 2" xfId="3807"/>
    <cellStyle name="20% - Accent2 3 3 3 2 6" xfId="3808"/>
    <cellStyle name="20% - Accent2 3 3 3 3" xfId="3809"/>
    <cellStyle name="20% - Accent2 3 3 3 3 2" xfId="3810"/>
    <cellStyle name="20% - Accent2 3 3 3 3 2 2" xfId="3811"/>
    <cellStyle name="20% - Accent2 3 3 3 3 2 2 2" xfId="3812"/>
    <cellStyle name="20% - Accent2 3 3 3 3 2 2 2 2" xfId="3813"/>
    <cellStyle name="20% - Accent2 3 3 3 3 2 2 3" xfId="3814"/>
    <cellStyle name="20% - Accent2 3 3 3 3 2 3" xfId="3815"/>
    <cellStyle name="20% - Accent2 3 3 3 3 2 3 2" xfId="3816"/>
    <cellStyle name="20% - Accent2 3 3 3 3 2 4" xfId="3817"/>
    <cellStyle name="20% - Accent2 3 3 3 3 3" xfId="3818"/>
    <cellStyle name="20% - Accent2 3 3 3 3 3 2" xfId="3819"/>
    <cellStyle name="20% - Accent2 3 3 3 3 3 2 2" xfId="3820"/>
    <cellStyle name="20% - Accent2 3 3 3 3 3 3" xfId="3821"/>
    <cellStyle name="20% - Accent2 3 3 3 3 4" xfId="3822"/>
    <cellStyle name="20% - Accent2 3 3 3 3 4 2" xfId="3823"/>
    <cellStyle name="20% - Accent2 3 3 3 3 5" xfId="3824"/>
    <cellStyle name="20% - Accent2 3 3 3 3 5 2" xfId="3825"/>
    <cellStyle name="20% - Accent2 3 3 3 3 6" xfId="3826"/>
    <cellStyle name="20% - Accent2 3 3 3 4" xfId="3827"/>
    <cellStyle name="20% - Accent2 3 3 3 4 2" xfId="3828"/>
    <cellStyle name="20% - Accent2 3 3 3 4 2 2" xfId="3829"/>
    <cellStyle name="20% - Accent2 3 3 3 4 2 2 2" xfId="3830"/>
    <cellStyle name="20% - Accent2 3 3 3 4 2 3" xfId="3831"/>
    <cellStyle name="20% - Accent2 3 3 3 4 3" xfId="3832"/>
    <cellStyle name="20% - Accent2 3 3 3 4 3 2" xfId="3833"/>
    <cellStyle name="20% - Accent2 3 3 3 4 4" xfId="3834"/>
    <cellStyle name="20% - Accent2 3 3 3 5" xfId="3835"/>
    <cellStyle name="20% - Accent2 3 3 3 5 2" xfId="3836"/>
    <cellStyle name="20% - Accent2 3 3 3 5 2 2" xfId="3837"/>
    <cellStyle name="20% - Accent2 3 3 3 5 3" xfId="3838"/>
    <cellStyle name="20% - Accent2 3 3 3 6" xfId="3839"/>
    <cellStyle name="20% - Accent2 3 3 3 6 2" xfId="3840"/>
    <cellStyle name="20% - Accent2 3 3 3 7" xfId="3841"/>
    <cellStyle name="20% - Accent2 3 3 3 7 2" xfId="3842"/>
    <cellStyle name="20% - Accent2 3 3 3 8" xfId="3843"/>
    <cellStyle name="20% - Accent2 3 3 4" xfId="3844"/>
    <cellStyle name="20% - Accent2 3 3 4 2" xfId="3845"/>
    <cellStyle name="20% - Accent2 3 3 4 2 2" xfId="3846"/>
    <cellStyle name="20% - Accent2 3 3 4 2 2 2" xfId="3847"/>
    <cellStyle name="20% - Accent2 3 3 4 2 2 2 2" xfId="3848"/>
    <cellStyle name="20% - Accent2 3 3 4 2 2 3" xfId="3849"/>
    <cellStyle name="20% - Accent2 3 3 4 2 3" xfId="3850"/>
    <cellStyle name="20% - Accent2 3 3 4 2 3 2" xfId="3851"/>
    <cellStyle name="20% - Accent2 3 3 4 2 4" xfId="3852"/>
    <cellStyle name="20% - Accent2 3 3 4 3" xfId="3853"/>
    <cellStyle name="20% - Accent2 3 3 4 3 2" xfId="3854"/>
    <cellStyle name="20% - Accent2 3 3 4 3 2 2" xfId="3855"/>
    <cellStyle name="20% - Accent2 3 3 4 3 3" xfId="3856"/>
    <cellStyle name="20% - Accent2 3 3 4 4" xfId="3857"/>
    <cellStyle name="20% - Accent2 3 3 4 4 2" xfId="3858"/>
    <cellStyle name="20% - Accent2 3 3 4 5" xfId="3859"/>
    <cellStyle name="20% - Accent2 3 3 4 5 2" xfId="3860"/>
    <cellStyle name="20% - Accent2 3 3 4 6" xfId="3861"/>
    <cellStyle name="20% - Accent2 3 3 5" xfId="3862"/>
    <cellStyle name="20% - Accent2 3 3 5 2" xfId="3863"/>
    <cellStyle name="20% - Accent2 3 3 5 2 2" xfId="3864"/>
    <cellStyle name="20% - Accent2 3 3 5 2 2 2" xfId="3865"/>
    <cellStyle name="20% - Accent2 3 3 5 2 2 2 2" xfId="3866"/>
    <cellStyle name="20% - Accent2 3 3 5 2 2 3" xfId="3867"/>
    <cellStyle name="20% - Accent2 3 3 5 2 3" xfId="3868"/>
    <cellStyle name="20% - Accent2 3 3 5 2 3 2" xfId="3869"/>
    <cellStyle name="20% - Accent2 3 3 5 2 4" xfId="3870"/>
    <cellStyle name="20% - Accent2 3 3 5 3" xfId="3871"/>
    <cellStyle name="20% - Accent2 3 3 5 3 2" xfId="3872"/>
    <cellStyle name="20% - Accent2 3 3 5 3 2 2" xfId="3873"/>
    <cellStyle name="20% - Accent2 3 3 5 3 3" xfId="3874"/>
    <cellStyle name="20% - Accent2 3 3 5 4" xfId="3875"/>
    <cellStyle name="20% - Accent2 3 3 5 4 2" xfId="3876"/>
    <cellStyle name="20% - Accent2 3 3 5 5" xfId="3877"/>
    <cellStyle name="20% - Accent2 3 3 5 5 2" xfId="3878"/>
    <cellStyle name="20% - Accent2 3 3 5 6" xfId="3879"/>
    <cellStyle name="20% - Accent2 3 3 6" xfId="3880"/>
    <cellStyle name="20% - Accent2 3 3 6 2" xfId="3881"/>
    <cellStyle name="20% - Accent2 3 3 6 2 2" xfId="3882"/>
    <cellStyle name="20% - Accent2 3 3 6 2 2 2" xfId="3883"/>
    <cellStyle name="20% - Accent2 3 3 6 2 2 2 2" xfId="3884"/>
    <cellStyle name="20% - Accent2 3 3 6 2 2 3" xfId="3885"/>
    <cellStyle name="20% - Accent2 3 3 6 2 3" xfId="3886"/>
    <cellStyle name="20% - Accent2 3 3 6 2 3 2" xfId="3887"/>
    <cellStyle name="20% - Accent2 3 3 6 2 4" xfId="3888"/>
    <cellStyle name="20% - Accent2 3 3 6 3" xfId="3889"/>
    <cellStyle name="20% - Accent2 3 3 6 3 2" xfId="3890"/>
    <cellStyle name="20% - Accent2 3 3 6 3 2 2" xfId="3891"/>
    <cellStyle name="20% - Accent2 3 3 6 3 3" xfId="3892"/>
    <cellStyle name="20% - Accent2 3 3 6 4" xfId="3893"/>
    <cellStyle name="20% - Accent2 3 3 6 4 2" xfId="3894"/>
    <cellStyle name="20% - Accent2 3 3 6 5" xfId="3895"/>
    <cellStyle name="20% - Accent2 3 3 6 5 2" xfId="3896"/>
    <cellStyle name="20% - Accent2 3 3 6 6" xfId="3897"/>
    <cellStyle name="20% - Accent2 3 3 7" xfId="3898"/>
    <cellStyle name="20% - Accent2 3 3 7 2" xfId="3899"/>
    <cellStyle name="20% - Accent2 3 3 7 2 2" xfId="3900"/>
    <cellStyle name="20% - Accent2 3 3 7 2 2 2" xfId="3901"/>
    <cellStyle name="20% - Accent2 3 3 7 2 3" xfId="3902"/>
    <cellStyle name="20% - Accent2 3 3 7 3" xfId="3903"/>
    <cellStyle name="20% - Accent2 3 3 7 3 2" xfId="3904"/>
    <cellStyle name="20% - Accent2 3 3 7 4" xfId="3905"/>
    <cellStyle name="20% - Accent2 3 3 8" xfId="3906"/>
    <cellStyle name="20% - Accent2 3 3 8 2" xfId="3907"/>
    <cellStyle name="20% - Accent2 3 3 8 2 2" xfId="3908"/>
    <cellStyle name="20% - Accent2 3 3 8 3" xfId="3909"/>
    <cellStyle name="20% - Accent2 3 3 9" xfId="3910"/>
    <cellStyle name="20% - Accent2 3 3 9 2" xfId="3911"/>
    <cellStyle name="20% - Accent2 3 4" xfId="3912"/>
    <cellStyle name="20% - Accent2 3 4 10" xfId="3913"/>
    <cellStyle name="20% - Accent2 3 4 10 2" xfId="3914"/>
    <cellStyle name="20% - Accent2 3 4 11" xfId="3915"/>
    <cellStyle name="20% - Accent2 3 4 2" xfId="3916"/>
    <cellStyle name="20% - Accent2 3 4 2 2" xfId="3917"/>
    <cellStyle name="20% - Accent2 3 4 2 2 2" xfId="3918"/>
    <cellStyle name="20% - Accent2 3 4 2 2 2 2" xfId="3919"/>
    <cellStyle name="20% - Accent2 3 4 2 2 2 2 2" xfId="3920"/>
    <cellStyle name="20% - Accent2 3 4 2 2 2 2 2 2" xfId="3921"/>
    <cellStyle name="20% - Accent2 3 4 2 2 2 2 3" xfId="3922"/>
    <cellStyle name="20% - Accent2 3 4 2 2 2 3" xfId="3923"/>
    <cellStyle name="20% - Accent2 3 4 2 2 2 3 2" xfId="3924"/>
    <cellStyle name="20% - Accent2 3 4 2 2 2 4" xfId="3925"/>
    <cellStyle name="20% - Accent2 3 4 2 2 3" xfId="3926"/>
    <cellStyle name="20% - Accent2 3 4 2 2 3 2" xfId="3927"/>
    <cellStyle name="20% - Accent2 3 4 2 2 3 2 2" xfId="3928"/>
    <cellStyle name="20% - Accent2 3 4 2 2 3 3" xfId="3929"/>
    <cellStyle name="20% - Accent2 3 4 2 2 4" xfId="3930"/>
    <cellStyle name="20% - Accent2 3 4 2 2 4 2" xfId="3931"/>
    <cellStyle name="20% - Accent2 3 4 2 2 5" xfId="3932"/>
    <cellStyle name="20% - Accent2 3 4 2 2 5 2" xfId="3933"/>
    <cellStyle name="20% - Accent2 3 4 2 2 6" xfId="3934"/>
    <cellStyle name="20% - Accent2 3 4 2 3" xfId="3935"/>
    <cellStyle name="20% - Accent2 3 4 2 3 2" xfId="3936"/>
    <cellStyle name="20% - Accent2 3 4 2 3 2 2" xfId="3937"/>
    <cellStyle name="20% - Accent2 3 4 2 3 2 2 2" xfId="3938"/>
    <cellStyle name="20% - Accent2 3 4 2 3 2 2 2 2" xfId="3939"/>
    <cellStyle name="20% - Accent2 3 4 2 3 2 2 3" xfId="3940"/>
    <cellStyle name="20% - Accent2 3 4 2 3 2 3" xfId="3941"/>
    <cellStyle name="20% - Accent2 3 4 2 3 2 3 2" xfId="3942"/>
    <cellStyle name="20% - Accent2 3 4 2 3 2 4" xfId="3943"/>
    <cellStyle name="20% - Accent2 3 4 2 3 3" xfId="3944"/>
    <cellStyle name="20% - Accent2 3 4 2 3 3 2" xfId="3945"/>
    <cellStyle name="20% - Accent2 3 4 2 3 3 2 2" xfId="3946"/>
    <cellStyle name="20% - Accent2 3 4 2 3 3 3" xfId="3947"/>
    <cellStyle name="20% - Accent2 3 4 2 3 4" xfId="3948"/>
    <cellStyle name="20% - Accent2 3 4 2 3 4 2" xfId="3949"/>
    <cellStyle name="20% - Accent2 3 4 2 3 5" xfId="3950"/>
    <cellStyle name="20% - Accent2 3 4 2 3 5 2" xfId="3951"/>
    <cellStyle name="20% - Accent2 3 4 2 3 6" xfId="3952"/>
    <cellStyle name="20% - Accent2 3 4 2 4" xfId="3953"/>
    <cellStyle name="20% - Accent2 3 4 2 4 2" xfId="3954"/>
    <cellStyle name="20% - Accent2 3 4 2 4 2 2" xfId="3955"/>
    <cellStyle name="20% - Accent2 3 4 2 4 2 2 2" xfId="3956"/>
    <cellStyle name="20% - Accent2 3 4 2 4 2 3" xfId="3957"/>
    <cellStyle name="20% - Accent2 3 4 2 4 3" xfId="3958"/>
    <cellStyle name="20% - Accent2 3 4 2 4 3 2" xfId="3959"/>
    <cellStyle name="20% - Accent2 3 4 2 4 4" xfId="3960"/>
    <cellStyle name="20% - Accent2 3 4 2 5" xfId="3961"/>
    <cellStyle name="20% - Accent2 3 4 2 5 2" xfId="3962"/>
    <cellStyle name="20% - Accent2 3 4 2 5 2 2" xfId="3963"/>
    <cellStyle name="20% - Accent2 3 4 2 5 3" xfId="3964"/>
    <cellStyle name="20% - Accent2 3 4 2 6" xfId="3965"/>
    <cellStyle name="20% - Accent2 3 4 2 6 2" xfId="3966"/>
    <cellStyle name="20% - Accent2 3 4 2 7" xfId="3967"/>
    <cellStyle name="20% - Accent2 3 4 2 7 2" xfId="3968"/>
    <cellStyle name="20% - Accent2 3 4 2 8" xfId="3969"/>
    <cellStyle name="20% - Accent2 3 4 3" xfId="3970"/>
    <cellStyle name="20% - Accent2 3 4 3 2" xfId="3971"/>
    <cellStyle name="20% - Accent2 3 4 3 2 2" xfId="3972"/>
    <cellStyle name="20% - Accent2 3 4 3 2 2 2" xfId="3973"/>
    <cellStyle name="20% - Accent2 3 4 3 2 2 2 2" xfId="3974"/>
    <cellStyle name="20% - Accent2 3 4 3 2 2 2 2 2" xfId="3975"/>
    <cellStyle name="20% - Accent2 3 4 3 2 2 2 3" xfId="3976"/>
    <cellStyle name="20% - Accent2 3 4 3 2 2 3" xfId="3977"/>
    <cellStyle name="20% - Accent2 3 4 3 2 2 3 2" xfId="3978"/>
    <cellStyle name="20% - Accent2 3 4 3 2 2 4" xfId="3979"/>
    <cellStyle name="20% - Accent2 3 4 3 2 3" xfId="3980"/>
    <cellStyle name="20% - Accent2 3 4 3 2 3 2" xfId="3981"/>
    <cellStyle name="20% - Accent2 3 4 3 2 3 2 2" xfId="3982"/>
    <cellStyle name="20% - Accent2 3 4 3 2 3 3" xfId="3983"/>
    <cellStyle name="20% - Accent2 3 4 3 2 4" xfId="3984"/>
    <cellStyle name="20% - Accent2 3 4 3 2 4 2" xfId="3985"/>
    <cellStyle name="20% - Accent2 3 4 3 2 5" xfId="3986"/>
    <cellStyle name="20% - Accent2 3 4 3 2 5 2" xfId="3987"/>
    <cellStyle name="20% - Accent2 3 4 3 2 6" xfId="3988"/>
    <cellStyle name="20% - Accent2 3 4 3 3" xfId="3989"/>
    <cellStyle name="20% - Accent2 3 4 3 3 2" xfId="3990"/>
    <cellStyle name="20% - Accent2 3 4 3 3 2 2" xfId="3991"/>
    <cellStyle name="20% - Accent2 3 4 3 3 2 2 2" xfId="3992"/>
    <cellStyle name="20% - Accent2 3 4 3 3 2 2 2 2" xfId="3993"/>
    <cellStyle name="20% - Accent2 3 4 3 3 2 2 3" xfId="3994"/>
    <cellStyle name="20% - Accent2 3 4 3 3 2 3" xfId="3995"/>
    <cellStyle name="20% - Accent2 3 4 3 3 2 3 2" xfId="3996"/>
    <cellStyle name="20% - Accent2 3 4 3 3 2 4" xfId="3997"/>
    <cellStyle name="20% - Accent2 3 4 3 3 3" xfId="3998"/>
    <cellStyle name="20% - Accent2 3 4 3 3 3 2" xfId="3999"/>
    <cellStyle name="20% - Accent2 3 4 3 3 3 2 2" xfId="4000"/>
    <cellStyle name="20% - Accent2 3 4 3 3 3 3" xfId="4001"/>
    <cellStyle name="20% - Accent2 3 4 3 3 4" xfId="4002"/>
    <cellStyle name="20% - Accent2 3 4 3 3 4 2" xfId="4003"/>
    <cellStyle name="20% - Accent2 3 4 3 3 5" xfId="4004"/>
    <cellStyle name="20% - Accent2 3 4 3 3 5 2" xfId="4005"/>
    <cellStyle name="20% - Accent2 3 4 3 3 6" xfId="4006"/>
    <cellStyle name="20% - Accent2 3 4 3 4" xfId="4007"/>
    <cellStyle name="20% - Accent2 3 4 3 4 2" xfId="4008"/>
    <cellStyle name="20% - Accent2 3 4 3 4 2 2" xfId="4009"/>
    <cellStyle name="20% - Accent2 3 4 3 4 2 2 2" xfId="4010"/>
    <cellStyle name="20% - Accent2 3 4 3 4 2 3" xfId="4011"/>
    <cellStyle name="20% - Accent2 3 4 3 4 3" xfId="4012"/>
    <cellStyle name="20% - Accent2 3 4 3 4 3 2" xfId="4013"/>
    <cellStyle name="20% - Accent2 3 4 3 4 4" xfId="4014"/>
    <cellStyle name="20% - Accent2 3 4 3 5" xfId="4015"/>
    <cellStyle name="20% - Accent2 3 4 3 5 2" xfId="4016"/>
    <cellStyle name="20% - Accent2 3 4 3 5 2 2" xfId="4017"/>
    <cellStyle name="20% - Accent2 3 4 3 5 3" xfId="4018"/>
    <cellStyle name="20% - Accent2 3 4 3 6" xfId="4019"/>
    <cellStyle name="20% - Accent2 3 4 3 6 2" xfId="4020"/>
    <cellStyle name="20% - Accent2 3 4 3 7" xfId="4021"/>
    <cellStyle name="20% - Accent2 3 4 3 7 2" xfId="4022"/>
    <cellStyle name="20% - Accent2 3 4 3 8" xfId="4023"/>
    <cellStyle name="20% - Accent2 3 4 4" xfId="4024"/>
    <cellStyle name="20% - Accent2 3 4 4 2" xfId="4025"/>
    <cellStyle name="20% - Accent2 3 4 4 2 2" xfId="4026"/>
    <cellStyle name="20% - Accent2 3 4 4 2 2 2" xfId="4027"/>
    <cellStyle name="20% - Accent2 3 4 4 2 2 2 2" xfId="4028"/>
    <cellStyle name="20% - Accent2 3 4 4 2 2 3" xfId="4029"/>
    <cellStyle name="20% - Accent2 3 4 4 2 3" xfId="4030"/>
    <cellStyle name="20% - Accent2 3 4 4 2 3 2" xfId="4031"/>
    <cellStyle name="20% - Accent2 3 4 4 2 4" xfId="4032"/>
    <cellStyle name="20% - Accent2 3 4 4 3" xfId="4033"/>
    <cellStyle name="20% - Accent2 3 4 4 3 2" xfId="4034"/>
    <cellStyle name="20% - Accent2 3 4 4 3 2 2" xfId="4035"/>
    <cellStyle name="20% - Accent2 3 4 4 3 3" xfId="4036"/>
    <cellStyle name="20% - Accent2 3 4 4 4" xfId="4037"/>
    <cellStyle name="20% - Accent2 3 4 4 4 2" xfId="4038"/>
    <cellStyle name="20% - Accent2 3 4 4 5" xfId="4039"/>
    <cellStyle name="20% - Accent2 3 4 4 5 2" xfId="4040"/>
    <cellStyle name="20% - Accent2 3 4 4 6" xfId="4041"/>
    <cellStyle name="20% - Accent2 3 4 5" xfId="4042"/>
    <cellStyle name="20% - Accent2 3 4 5 2" xfId="4043"/>
    <cellStyle name="20% - Accent2 3 4 5 2 2" xfId="4044"/>
    <cellStyle name="20% - Accent2 3 4 5 2 2 2" xfId="4045"/>
    <cellStyle name="20% - Accent2 3 4 5 2 2 2 2" xfId="4046"/>
    <cellStyle name="20% - Accent2 3 4 5 2 2 3" xfId="4047"/>
    <cellStyle name="20% - Accent2 3 4 5 2 3" xfId="4048"/>
    <cellStyle name="20% - Accent2 3 4 5 2 3 2" xfId="4049"/>
    <cellStyle name="20% - Accent2 3 4 5 2 4" xfId="4050"/>
    <cellStyle name="20% - Accent2 3 4 5 3" xfId="4051"/>
    <cellStyle name="20% - Accent2 3 4 5 3 2" xfId="4052"/>
    <cellStyle name="20% - Accent2 3 4 5 3 2 2" xfId="4053"/>
    <cellStyle name="20% - Accent2 3 4 5 3 3" xfId="4054"/>
    <cellStyle name="20% - Accent2 3 4 5 4" xfId="4055"/>
    <cellStyle name="20% - Accent2 3 4 5 4 2" xfId="4056"/>
    <cellStyle name="20% - Accent2 3 4 5 5" xfId="4057"/>
    <cellStyle name="20% - Accent2 3 4 5 5 2" xfId="4058"/>
    <cellStyle name="20% - Accent2 3 4 5 6" xfId="4059"/>
    <cellStyle name="20% - Accent2 3 4 6" xfId="4060"/>
    <cellStyle name="20% - Accent2 3 4 6 2" xfId="4061"/>
    <cellStyle name="20% - Accent2 3 4 6 2 2" xfId="4062"/>
    <cellStyle name="20% - Accent2 3 4 6 2 2 2" xfId="4063"/>
    <cellStyle name="20% - Accent2 3 4 6 2 2 2 2" xfId="4064"/>
    <cellStyle name="20% - Accent2 3 4 6 2 2 3" xfId="4065"/>
    <cellStyle name="20% - Accent2 3 4 6 2 3" xfId="4066"/>
    <cellStyle name="20% - Accent2 3 4 6 2 3 2" xfId="4067"/>
    <cellStyle name="20% - Accent2 3 4 6 2 4" xfId="4068"/>
    <cellStyle name="20% - Accent2 3 4 6 3" xfId="4069"/>
    <cellStyle name="20% - Accent2 3 4 6 3 2" xfId="4070"/>
    <cellStyle name="20% - Accent2 3 4 6 3 2 2" xfId="4071"/>
    <cellStyle name="20% - Accent2 3 4 6 3 3" xfId="4072"/>
    <cellStyle name="20% - Accent2 3 4 6 4" xfId="4073"/>
    <cellStyle name="20% - Accent2 3 4 6 4 2" xfId="4074"/>
    <cellStyle name="20% - Accent2 3 4 6 5" xfId="4075"/>
    <cellStyle name="20% - Accent2 3 4 6 5 2" xfId="4076"/>
    <cellStyle name="20% - Accent2 3 4 6 6" xfId="4077"/>
    <cellStyle name="20% - Accent2 3 4 7" xfId="4078"/>
    <cellStyle name="20% - Accent2 3 4 7 2" xfId="4079"/>
    <cellStyle name="20% - Accent2 3 4 7 2 2" xfId="4080"/>
    <cellStyle name="20% - Accent2 3 4 7 2 2 2" xfId="4081"/>
    <cellStyle name="20% - Accent2 3 4 7 2 3" xfId="4082"/>
    <cellStyle name="20% - Accent2 3 4 7 3" xfId="4083"/>
    <cellStyle name="20% - Accent2 3 4 7 3 2" xfId="4084"/>
    <cellStyle name="20% - Accent2 3 4 7 4" xfId="4085"/>
    <cellStyle name="20% - Accent2 3 4 8" xfId="4086"/>
    <cellStyle name="20% - Accent2 3 4 8 2" xfId="4087"/>
    <cellStyle name="20% - Accent2 3 4 8 2 2" xfId="4088"/>
    <cellStyle name="20% - Accent2 3 4 8 3" xfId="4089"/>
    <cellStyle name="20% - Accent2 3 4 9" xfId="4090"/>
    <cellStyle name="20% - Accent2 3 4 9 2" xfId="4091"/>
    <cellStyle name="20% - Accent2 3 5" xfId="4092"/>
    <cellStyle name="20% - Accent2 3 5 10" xfId="4093"/>
    <cellStyle name="20% - Accent2 3 5 10 2" xfId="4094"/>
    <cellStyle name="20% - Accent2 3 5 11" xfId="4095"/>
    <cellStyle name="20% - Accent2 3 5 2" xfId="4096"/>
    <cellStyle name="20% - Accent2 3 5 2 2" xfId="4097"/>
    <cellStyle name="20% - Accent2 3 5 2 2 2" xfId="4098"/>
    <cellStyle name="20% - Accent2 3 5 2 2 2 2" xfId="4099"/>
    <cellStyle name="20% - Accent2 3 5 2 2 2 2 2" xfId="4100"/>
    <cellStyle name="20% - Accent2 3 5 2 2 2 2 2 2" xfId="4101"/>
    <cellStyle name="20% - Accent2 3 5 2 2 2 2 3" xfId="4102"/>
    <cellStyle name="20% - Accent2 3 5 2 2 2 3" xfId="4103"/>
    <cellStyle name="20% - Accent2 3 5 2 2 2 3 2" xfId="4104"/>
    <cellStyle name="20% - Accent2 3 5 2 2 2 4" xfId="4105"/>
    <cellStyle name="20% - Accent2 3 5 2 2 3" xfId="4106"/>
    <cellStyle name="20% - Accent2 3 5 2 2 3 2" xfId="4107"/>
    <cellStyle name="20% - Accent2 3 5 2 2 3 2 2" xfId="4108"/>
    <cellStyle name="20% - Accent2 3 5 2 2 3 3" xfId="4109"/>
    <cellStyle name="20% - Accent2 3 5 2 2 4" xfId="4110"/>
    <cellStyle name="20% - Accent2 3 5 2 2 4 2" xfId="4111"/>
    <cellStyle name="20% - Accent2 3 5 2 2 5" xfId="4112"/>
    <cellStyle name="20% - Accent2 3 5 2 2 5 2" xfId="4113"/>
    <cellStyle name="20% - Accent2 3 5 2 2 6" xfId="4114"/>
    <cellStyle name="20% - Accent2 3 5 2 3" xfId="4115"/>
    <cellStyle name="20% - Accent2 3 5 2 3 2" xfId="4116"/>
    <cellStyle name="20% - Accent2 3 5 2 3 2 2" xfId="4117"/>
    <cellStyle name="20% - Accent2 3 5 2 3 2 2 2" xfId="4118"/>
    <cellStyle name="20% - Accent2 3 5 2 3 2 2 2 2" xfId="4119"/>
    <cellStyle name="20% - Accent2 3 5 2 3 2 2 3" xfId="4120"/>
    <cellStyle name="20% - Accent2 3 5 2 3 2 3" xfId="4121"/>
    <cellStyle name="20% - Accent2 3 5 2 3 2 3 2" xfId="4122"/>
    <cellStyle name="20% - Accent2 3 5 2 3 2 4" xfId="4123"/>
    <cellStyle name="20% - Accent2 3 5 2 3 3" xfId="4124"/>
    <cellStyle name="20% - Accent2 3 5 2 3 3 2" xfId="4125"/>
    <cellStyle name="20% - Accent2 3 5 2 3 3 2 2" xfId="4126"/>
    <cellStyle name="20% - Accent2 3 5 2 3 3 3" xfId="4127"/>
    <cellStyle name="20% - Accent2 3 5 2 3 4" xfId="4128"/>
    <cellStyle name="20% - Accent2 3 5 2 3 4 2" xfId="4129"/>
    <cellStyle name="20% - Accent2 3 5 2 3 5" xfId="4130"/>
    <cellStyle name="20% - Accent2 3 5 2 3 5 2" xfId="4131"/>
    <cellStyle name="20% - Accent2 3 5 2 3 6" xfId="4132"/>
    <cellStyle name="20% - Accent2 3 5 2 4" xfId="4133"/>
    <cellStyle name="20% - Accent2 3 5 2 4 2" xfId="4134"/>
    <cellStyle name="20% - Accent2 3 5 2 4 2 2" xfId="4135"/>
    <cellStyle name="20% - Accent2 3 5 2 4 2 2 2" xfId="4136"/>
    <cellStyle name="20% - Accent2 3 5 2 4 2 3" xfId="4137"/>
    <cellStyle name="20% - Accent2 3 5 2 4 3" xfId="4138"/>
    <cellStyle name="20% - Accent2 3 5 2 4 3 2" xfId="4139"/>
    <cellStyle name="20% - Accent2 3 5 2 4 4" xfId="4140"/>
    <cellStyle name="20% - Accent2 3 5 2 5" xfId="4141"/>
    <cellStyle name="20% - Accent2 3 5 2 5 2" xfId="4142"/>
    <cellStyle name="20% - Accent2 3 5 2 5 2 2" xfId="4143"/>
    <cellStyle name="20% - Accent2 3 5 2 5 3" xfId="4144"/>
    <cellStyle name="20% - Accent2 3 5 2 6" xfId="4145"/>
    <cellStyle name="20% - Accent2 3 5 2 6 2" xfId="4146"/>
    <cellStyle name="20% - Accent2 3 5 2 7" xfId="4147"/>
    <cellStyle name="20% - Accent2 3 5 2 7 2" xfId="4148"/>
    <cellStyle name="20% - Accent2 3 5 2 8" xfId="4149"/>
    <cellStyle name="20% - Accent2 3 5 3" xfId="4150"/>
    <cellStyle name="20% - Accent2 3 5 3 2" xfId="4151"/>
    <cellStyle name="20% - Accent2 3 5 3 2 2" xfId="4152"/>
    <cellStyle name="20% - Accent2 3 5 3 2 2 2" xfId="4153"/>
    <cellStyle name="20% - Accent2 3 5 3 2 2 2 2" xfId="4154"/>
    <cellStyle name="20% - Accent2 3 5 3 2 2 2 2 2" xfId="4155"/>
    <cellStyle name="20% - Accent2 3 5 3 2 2 2 3" xfId="4156"/>
    <cellStyle name="20% - Accent2 3 5 3 2 2 3" xfId="4157"/>
    <cellStyle name="20% - Accent2 3 5 3 2 2 3 2" xfId="4158"/>
    <cellStyle name="20% - Accent2 3 5 3 2 2 4" xfId="4159"/>
    <cellStyle name="20% - Accent2 3 5 3 2 3" xfId="4160"/>
    <cellStyle name="20% - Accent2 3 5 3 2 3 2" xfId="4161"/>
    <cellStyle name="20% - Accent2 3 5 3 2 3 2 2" xfId="4162"/>
    <cellStyle name="20% - Accent2 3 5 3 2 3 3" xfId="4163"/>
    <cellStyle name="20% - Accent2 3 5 3 2 4" xfId="4164"/>
    <cellStyle name="20% - Accent2 3 5 3 2 4 2" xfId="4165"/>
    <cellStyle name="20% - Accent2 3 5 3 2 5" xfId="4166"/>
    <cellStyle name="20% - Accent2 3 5 3 2 5 2" xfId="4167"/>
    <cellStyle name="20% - Accent2 3 5 3 2 6" xfId="4168"/>
    <cellStyle name="20% - Accent2 3 5 3 3" xfId="4169"/>
    <cellStyle name="20% - Accent2 3 5 3 3 2" xfId="4170"/>
    <cellStyle name="20% - Accent2 3 5 3 3 2 2" xfId="4171"/>
    <cellStyle name="20% - Accent2 3 5 3 3 2 2 2" xfId="4172"/>
    <cellStyle name="20% - Accent2 3 5 3 3 2 2 2 2" xfId="4173"/>
    <cellStyle name="20% - Accent2 3 5 3 3 2 2 3" xfId="4174"/>
    <cellStyle name="20% - Accent2 3 5 3 3 2 3" xfId="4175"/>
    <cellStyle name="20% - Accent2 3 5 3 3 2 3 2" xfId="4176"/>
    <cellStyle name="20% - Accent2 3 5 3 3 2 4" xfId="4177"/>
    <cellStyle name="20% - Accent2 3 5 3 3 3" xfId="4178"/>
    <cellStyle name="20% - Accent2 3 5 3 3 3 2" xfId="4179"/>
    <cellStyle name="20% - Accent2 3 5 3 3 3 2 2" xfId="4180"/>
    <cellStyle name="20% - Accent2 3 5 3 3 3 3" xfId="4181"/>
    <cellStyle name="20% - Accent2 3 5 3 3 4" xfId="4182"/>
    <cellStyle name="20% - Accent2 3 5 3 3 4 2" xfId="4183"/>
    <cellStyle name="20% - Accent2 3 5 3 3 5" xfId="4184"/>
    <cellStyle name="20% - Accent2 3 5 3 3 5 2" xfId="4185"/>
    <cellStyle name="20% - Accent2 3 5 3 3 6" xfId="4186"/>
    <cellStyle name="20% - Accent2 3 5 3 4" xfId="4187"/>
    <cellStyle name="20% - Accent2 3 5 3 4 2" xfId="4188"/>
    <cellStyle name="20% - Accent2 3 5 3 4 2 2" xfId="4189"/>
    <cellStyle name="20% - Accent2 3 5 3 4 2 2 2" xfId="4190"/>
    <cellStyle name="20% - Accent2 3 5 3 4 2 3" xfId="4191"/>
    <cellStyle name="20% - Accent2 3 5 3 4 3" xfId="4192"/>
    <cellStyle name="20% - Accent2 3 5 3 4 3 2" xfId="4193"/>
    <cellStyle name="20% - Accent2 3 5 3 4 4" xfId="4194"/>
    <cellStyle name="20% - Accent2 3 5 3 5" xfId="4195"/>
    <cellStyle name="20% - Accent2 3 5 3 5 2" xfId="4196"/>
    <cellStyle name="20% - Accent2 3 5 3 5 2 2" xfId="4197"/>
    <cellStyle name="20% - Accent2 3 5 3 5 3" xfId="4198"/>
    <cellStyle name="20% - Accent2 3 5 3 6" xfId="4199"/>
    <cellStyle name="20% - Accent2 3 5 3 6 2" xfId="4200"/>
    <cellStyle name="20% - Accent2 3 5 3 7" xfId="4201"/>
    <cellStyle name="20% - Accent2 3 5 3 7 2" xfId="4202"/>
    <cellStyle name="20% - Accent2 3 5 3 8" xfId="4203"/>
    <cellStyle name="20% - Accent2 3 5 4" xfId="4204"/>
    <cellStyle name="20% - Accent2 3 5 4 2" xfId="4205"/>
    <cellStyle name="20% - Accent2 3 5 4 2 2" xfId="4206"/>
    <cellStyle name="20% - Accent2 3 5 4 2 2 2" xfId="4207"/>
    <cellStyle name="20% - Accent2 3 5 4 2 2 2 2" xfId="4208"/>
    <cellStyle name="20% - Accent2 3 5 4 2 2 3" xfId="4209"/>
    <cellStyle name="20% - Accent2 3 5 4 2 3" xfId="4210"/>
    <cellStyle name="20% - Accent2 3 5 4 2 3 2" xfId="4211"/>
    <cellStyle name="20% - Accent2 3 5 4 2 4" xfId="4212"/>
    <cellStyle name="20% - Accent2 3 5 4 3" xfId="4213"/>
    <cellStyle name="20% - Accent2 3 5 4 3 2" xfId="4214"/>
    <cellStyle name="20% - Accent2 3 5 4 3 2 2" xfId="4215"/>
    <cellStyle name="20% - Accent2 3 5 4 3 3" xfId="4216"/>
    <cellStyle name="20% - Accent2 3 5 4 4" xfId="4217"/>
    <cellStyle name="20% - Accent2 3 5 4 4 2" xfId="4218"/>
    <cellStyle name="20% - Accent2 3 5 4 5" xfId="4219"/>
    <cellStyle name="20% - Accent2 3 5 4 5 2" xfId="4220"/>
    <cellStyle name="20% - Accent2 3 5 4 6" xfId="4221"/>
    <cellStyle name="20% - Accent2 3 5 5" xfId="4222"/>
    <cellStyle name="20% - Accent2 3 5 5 2" xfId="4223"/>
    <cellStyle name="20% - Accent2 3 5 5 2 2" xfId="4224"/>
    <cellStyle name="20% - Accent2 3 5 5 2 2 2" xfId="4225"/>
    <cellStyle name="20% - Accent2 3 5 5 2 2 2 2" xfId="4226"/>
    <cellStyle name="20% - Accent2 3 5 5 2 2 3" xfId="4227"/>
    <cellStyle name="20% - Accent2 3 5 5 2 3" xfId="4228"/>
    <cellStyle name="20% - Accent2 3 5 5 2 3 2" xfId="4229"/>
    <cellStyle name="20% - Accent2 3 5 5 2 4" xfId="4230"/>
    <cellStyle name="20% - Accent2 3 5 5 3" xfId="4231"/>
    <cellStyle name="20% - Accent2 3 5 5 3 2" xfId="4232"/>
    <cellStyle name="20% - Accent2 3 5 5 3 2 2" xfId="4233"/>
    <cellStyle name="20% - Accent2 3 5 5 3 3" xfId="4234"/>
    <cellStyle name="20% - Accent2 3 5 5 4" xfId="4235"/>
    <cellStyle name="20% - Accent2 3 5 5 4 2" xfId="4236"/>
    <cellStyle name="20% - Accent2 3 5 5 5" xfId="4237"/>
    <cellStyle name="20% - Accent2 3 5 5 5 2" xfId="4238"/>
    <cellStyle name="20% - Accent2 3 5 5 6" xfId="4239"/>
    <cellStyle name="20% - Accent2 3 5 6" xfId="4240"/>
    <cellStyle name="20% - Accent2 3 5 6 2" xfId="4241"/>
    <cellStyle name="20% - Accent2 3 5 6 2 2" xfId="4242"/>
    <cellStyle name="20% - Accent2 3 5 6 2 2 2" xfId="4243"/>
    <cellStyle name="20% - Accent2 3 5 6 2 2 2 2" xfId="4244"/>
    <cellStyle name="20% - Accent2 3 5 6 2 2 3" xfId="4245"/>
    <cellStyle name="20% - Accent2 3 5 6 2 3" xfId="4246"/>
    <cellStyle name="20% - Accent2 3 5 6 2 3 2" xfId="4247"/>
    <cellStyle name="20% - Accent2 3 5 6 2 4" xfId="4248"/>
    <cellStyle name="20% - Accent2 3 5 6 3" xfId="4249"/>
    <cellStyle name="20% - Accent2 3 5 6 3 2" xfId="4250"/>
    <cellStyle name="20% - Accent2 3 5 6 3 2 2" xfId="4251"/>
    <cellStyle name="20% - Accent2 3 5 6 3 3" xfId="4252"/>
    <cellStyle name="20% - Accent2 3 5 6 4" xfId="4253"/>
    <cellStyle name="20% - Accent2 3 5 6 4 2" xfId="4254"/>
    <cellStyle name="20% - Accent2 3 5 6 5" xfId="4255"/>
    <cellStyle name="20% - Accent2 3 5 6 5 2" xfId="4256"/>
    <cellStyle name="20% - Accent2 3 5 6 6" xfId="4257"/>
    <cellStyle name="20% - Accent2 3 5 7" xfId="4258"/>
    <cellStyle name="20% - Accent2 3 5 7 2" xfId="4259"/>
    <cellStyle name="20% - Accent2 3 5 7 2 2" xfId="4260"/>
    <cellStyle name="20% - Accent2 3 5 7 2 2 2" xfId="4261"/>
    <cellStyle name="20% - Accent2 3 5 7 2 3" xfId="4262"/>
    <cellStyle name="20% - Accent2 3 5 7 3" xfId="4263"/>
    <cellStyle name="20% - Accent2 3 5 7 3 2" xfId="4264"/>
    <cellStyle name="20% - Accent2 3 5 7 4" xfId="4265"/>
    <cellStyle name="20% - Accent2 3 5 8" xfId="4266"/>
    <cellStyle name="20% - Accent2 3 5 8 2" xfId="4267"/>
    <cellStyle name="20% - Accent2 3 5 8 2 2" xfId="4268"/>
    <cellStyle name="20% - Accent2 3 5 8 3" xfId="4269"/>
    <cellStyle name="20% - Accent2 3 5 9" xfId="4270"/>
    <cellStyle name="20% - Accent2 3 5 9 2" xfId="4271"/>
    <cellStyle name="20% - Accent2 3 6" xfId="4272"/>
    <cellStyle name="20% - Accent2 3 6 2" xfId="4273"/>
    <cellStyle name="20% - Accent2 3 6 2 2" xfId="4274"/>
    <cellStyle name="20% - Accent2 3 6 2 2 2" xfId="4275"/>
    <cellStyle name="20% - Accent2 3 6 2 2 2 2" xfId="4276"/>
    <cellStyle name="20% - Accent2 3 6 2 2 2 2 2" xfId="4277"/>
    <cellStyle name="20% - Accent2 3 6 2 2 2 3" xfId="4278"/>
    <cellStyle name="20% - Accent2 3 6 2 2 3" xfId="4279"/>
    <cellStyle name="20% - Accent2 3 6 2 2 3 2" xfId="4280"/>
    <cellStyle name="20% - Accent2 3 6 2 2 4" xfId="4281"/>
    <cellStyle name="20% - Accent2 3 6 2 3" xfId="4282"/>
    <cellStyle name="20% - Accent2 3 6 2 3 2" xfId="4283"/>
    <cellStyle name="20% - Accent2 3 6 2 3 2 2" xfId="4284"/>
    <cellStyle name="20% - Accent2 3 6 2 3 3" xfId="4285"/>
    <cellStyle name="20% - Accent2 3 6 2 4" xfId="4286"/>
    <cellStyle name="20% - Accent2 3 6 2 4 2" xfId="4287"/>
    <cellStyle name="20% - Accent2 3 6 2 5" xfId="4288"/>
    <cellStyle name="20% - Accent2 3 6 2 5 2" xfId="4289"/>
    <cellStyle name="20% - Accent2 3 6 2 6" xfId="4290"/>
    <cellStyle name="20% - Accent2 3 6 3" xfId="4291"/>
    <cellStyle name="20% - Accent2 3 6 3 2" xfId="4292"/>
    <cellStyle name="20% - Accent2 3 6 3 2 2" xfId="4293"/>
    <cellStyle name="20% - Accent2 3 6 3 2 2 2" xfId="4294"/>
    <cellStyle name="20% - Accent2 3 6 3 2 2 2 2" xfId="4295"/>
    <cellStyle name="20% - Accent2 3 6 3 2 2 3" xfId="4296"/>
    <cellStyle name="20% - Accent2 3 6 3 2 3" xfId="4297"/>
    <cellStyle name="20% - Accent2 3 6 3 2 3 2" xfId="4298"/>
    <cellStyle name="20% - Accent2 3 6 3 2 4" xfId="4299"/>
    <cellStyle name="20% - Accent2 3 6 3 3" xfId="4300"/>
    <cellStyle name="20% - Accent2 3 6 3 3 2" xfId="4301"/>
    <cellStyle name="20% - Accent2 3 6 3 3 2 2" xfId="4302"/>
    <cellStyle name="20% - Accent2 3 6 3 3 3" xfId="4303"/>
    <cellStyle name="20% - Accent2 3 6 3 4" xfId="4304"/>
    <cellStyle name="20% - Accent2 3 6 3 4 2" xfId="4305"/>
    <cellStyle name="20% - Accent2 3 6 3 5" xfId="4306"/>
    <cellStyle name="20% - Accent2 3 6 3 5 2" xfId="4307"/>
    <cellStyle name="20% - Accent2 3 6 3 6" xfId="4308"/>
    <cellStyle name="20% - Accent2 3 6 4" xfId="4309"/>
    <cellStyle name="20% - Accent2 3 6 4 2" xfId="4310"/>
    <cellStyle name="20% - Accent2 3 6 4 2 2" xfId="4311"/>
    <cellStyle name="20% - Accent2 3 6 4 2 2 2" xfId="4312"/>
    <cellStyle name="20% - Accent2 3 6 4 2 3" xfId="4313"/>
    <cellStyle name="20% - Accent2 3 6 4 3" xfId="4314"/>
    <cellStyle name="20% - Accent2 3 6 4 3 2" xfId="4315"/>
    <cellStyle name="20% - Accent2 3 6 4 4" xfId="4316"/>
    <cellStyle name="20% - Accent2 3 6 5" xfId="4317"/>
    <cellStyle name="20% - Accent2 3 6 5 2" xfId="4318"/>
    <cellStyle name="20% - Accent2 3 6 5 2 2" xfId="4319"/>
    <cellStyle name="20% - Accent2 3 6 5 3" xfId="4320"/>
    <cellStyle name="20% - Accent2 3 6 6" xfId="4321"/>
    <cellStyle name="20% - Accent2 3 6 6 2" xfId="4322"/>
    <cellStyle name="20% - Accent2 3 6 7" xfId="4323"/>
    <cellStyle name="20% - Accent2 3 6 7 2" xfId="4324"/>
    <cellStyle name="20% - Accent2 3 6 8" xfId="4325"/>
    <cellStyle name="20% - Accent2 3 7" xfId="4326"/>
    <cellStyle name="20% - Accent2 3 7 2" xfId="4327"/>
    <cellStyle name="20% - Accent2 3 7 2 2" xfId="4328"/>
    <cellStyle name="20% - Accent2 3 7 2 2 2" xfId="4329"/>
    <cellStyle name="20% - Accent2 3 7 2 2 2 2" xfId="4330"/>
    <cellStyle name="20% - Accent2 3 7 2 2 2 2 2" xfId="4331"/>
    <cellStyle name="20% - Accent2 3 7 2 2 2 3" xfId="4332"/>
    <cellStyle name="20% - Accent2 3 7 2 2 3" xfId="4333"/>
    <cellStyle name="20% - Accent2 3 7 2 2 3 2" xfId="4334"/>
    <cellStyle name="20% - Accent2 3 7 2 2 4" xfId="4335"/>
    <cellStyle name="20% - Accent2 3 7 2 3" xfId="4336"/>
    <cellStyle name="20% - Accent2 3 7 2 3 2" xfId="4337"/>
    <cellStyle name="20% - Accent2 3 7 2 3 2 2" xfId="4338"/>
    <cellStyle name="20% - Accent2 3 7 2 3 3" xfId="4339"/>
    <cellStyle name="20% - Accent2 3 7 2 4" xfId="4340"/>
    <cellStyle name="20% - Accent2 3 7 2 4 2" xfId="4341"/>
    <cellStyle name="20% - Accent2 3 7 2 5" xfId="4342"/>
    <cellStyle name="20% - Accent2 3 7 2 5 2" xfId="4343"/>
    <cellStyle name="20% - Accent2 3 7 2 6" xfId="4344"/>
    <cellStyle name="20% - Accent2 3 7 3" xfId="4345"/>
    <cellStyle name="20% - Accent2 3 7 3 2" xfId="4346"/>
    <cellStyle name="20% - Accent2 3 7 3 2 2" xfId="4347"/>
    <cellStyle name="20% - Accent2 3 7 3 2 2 2" xfId="4348"/>
    <cellStyle name="20% - Accent2 3 7 3 2 2 2 2" xfId="4349"/>
    <cellStyle name="20% - Accent2 3 7 3 2 2 3" xfId="4350"/>
    <cellStyle name="20% - Accent2 3 7 3 2 3" xfId="4351"/>
    <cellStyle name="20% - Accent2 3 7 3 2 3 2" xfId="4352"/>
    <cellStyle name="20% - Accent2 3 7 3 2 4" xfId="4353"/>
    <cellStyle name="20% - Accent2 3 7 3 3" xfId="4354"/>
    <cellStyle name="20% - Accent2 3 7 3 3 2" xfId="4355"/>
    <cellStyle name="20% - Accent2 3 7 3 3 2 2" xfId="4356"/>
    <cellStyle name="20% - Accent2 3 7 3 3 3" xfId="4357"/>
    <cellStyle name="20% - Accent2 3 7 3 4" xfId="4358"/>
    <cellStyle name="20% - Accent2 3 7 3 4 2" xfId="4359"/>
    <cellStyle name="20% - Accent2 3 7 3 5" xfId="4360"/>
    <cellStyle name="20% - Accent2 3 7 3 5 2" xfId="4361"/>
    <cellStyle name="20% - Accent2 3 7 3 6" xfId="4362"/>
    <cellStyle name="20% - Accent2 3 7 4" xfId="4363"/>
    <cellStyle name="20% - Accent2 3 7 4 2" xfId="4364"/>
    <cellStyle name="20% - Accent2 3 7 4 2 2" xfId="4365"/>
    <cellStyle name="20% - Accent2 3 7 4 2 2 2" xfId="4366"/>
    <cellStyle name="20% - Accent2 3 7 4 2 3" xfId="4367"/>
    <cellStyle name="20% - Accent2 3 7 4 3" xfId="4368"/>
    <cellStyle name="20% - Accent2 3 7 4 3 2" xfId="4369"/>
    <cellStyle name="20% - Accent2 3 7 4 4" xfId="4370"/>
    <cellStyle name="20% - Accent2 3 7 5" xfId="4371"/>
    <cellStyle name="20% - Accent2 3 7 5 2" xfId="4372"/>
    <cellStyle name="20% - Accent2 3 7 5 2 2" xfId="4373"/>
    <cellStyle name="20% - Accent2 3 7 5 3" xfId="4374"/>
    <cellStyle name="20% - Accent2 3 7 6" xfId="4375"/>
    <cellStyle name="20% - Accent2 3 7 6 2" xfId="4376"/>
    <cellStyle name="20% - Accent2 3 7 7" xfId="4377"/>
    <cellStyle name="20% - Accent2 3 7 7 2" xfId="4378"/>
    <cellStyle name="20% - Accent2 3 7 8" xfId="4379"/>
    <cellStyle name="20% - Accent2 3 8" xfId="4380"/>
    <cellStyle name="20% - Accent2 3 8 2" xfId="4381"/>
    <cellStyle name="20% - Accent2 3 8 2 2" xfId="4382"/>
    <cellStyle name="20% - Accent2 3 8 2 2 2" xfId="4383"/>
    <cellStyle name="20% - Accent2 3 8 2 2 2 2" xfId="4384"/>
    <cellStyle name="20% - Accent2 3 8 2 2 3" xfId="4385"/>
    <cellStyle name="20% - Accent2 3 8 2 3" xfId="4386"/>
    <cellStyle name="20% - Accent2 3 8 2 3 2" xfId="4387"/>
    <cellStyle name="20% - Accent2 3 8 2 4" xfId="4388"/>
    <cellStyle name="20% - Accent2 3 8 3" xfId="4389"/>
    <cellStyle name="20% - Accent2 3 8 3 2" xfId="4390"/>
    <cellStyle name="20% - Accent2 3 8 3 2 2" xfId="4391"/>
    <cellStyle name="20% - Accent2 3 8 3 3" xfId="4392"/>
    <cellStyle name="20% - Accent2 3 8 4" xfId="4393"/>
    <cellStyle name="20% - Accent2 3 8 4 2" xfId="4394"/>
    <cellStyle name="20% - Accent2 3 8 5" xfId="4395"/>
    <cellStyle name="20% - Accent2 3 8 5 2" xfId="4396"/>
    <cellStyle name="20% - Accent2 3 8 6" xfId="4397"/>
    <cellStyle name="20% - Accent2 3 9" xfId="4398"/>
    <cellStyle name="20% - Accent2 3 9 2" xfId="4399"/>
    <cellStyle name="20% - Accent2 3 9 2 2" xfId="4400"/>
    <cellStyle name="20% - Accent2 3 9 2 2 2" xfId="4401"/>
    <cellStyle name="20% - Accent2 3 9 2 2 2 2" xfId="4402"/>
    <cellStyle name="20% - Accent2 3 9 2 2 3" xfId="4403"/>
    <cellStyle name="20% - Accent2 3 9 2 3" xfId="4404"/>
    <cellStyle name="20% - Accent2 3 9 2 3 2" xfId="4405"/>
    <cellStyle name="20% - Accent2 3 9 2 4" xfId="4406"/>
    <cellStyle name="20% - Accent2 3 9 3" xfId="4407"/>
    <cellStyle name="20% - Accent2 3 9 3 2" xfId="4408"/>
    <cellStyle name="20% - Accent2 3 9 3 2 2" xfId="4409"/>
    <cellStyle name="20% - Accent2 3 9 3 3" xfId="4410"/>
    <cellStyle name="20% - Accent2 3 9 4" xfId="4411"/>
    <cellStyle name="20% - Accent2 3 9 4 2" xfId="4412"/>
    <cellStyle name="20% - Accent2 3 9 5" xfId="4413"/>
    <cellStyle name="20% - Accent2 3 9 5 2" xfId="4414"/>
    <cellStyle name="20% - Accent2 3 9 6" xfId="4415"/>
    <cellStyle name="20% - Accent2 4" xfId="4416"/>
    <cellStyle name="20% - Accent2 5" xfId="4417"/>
    <cellStyle name="20% - Accent2 5 10" xfId="4418"/>
    <cellStyle name="20% - Accent2 5 10 2" xfId="4419"/>
    <cellStyle name="20% - Accent2 5 11" xfId="4420"/>
    <cellStyle name="20% - Accent2 5 2" xfId="4421"/>
    <cellStyle name="20% - Accent2 5 2 2" xfId="4422"/>
    <cellStyle name="20% - Accent2 5 2 2 2" xfId="4423"/>
    <cellStyle name="20% - Accent2 5 2 2 2 2" xfId="4424"/>
    <cellStyle name="20% - Accent2 5 2 2 2 2 2" xfId="4425"/>
    <cellStyle name="20% - Accent2 5 2 2 2 2 2 2" xfId="4426"/>
    <cellStyle name="20% - Accent2 5 2 2 2 2 3" xfId="4427"/>
    <cellStyle name="20% - Accent2 5 2 2 2 3" xfId="4428"/>
    <cellStyle name="20% - Accent2 5 2 2 2 3 2" xfId="4429"/>
    <cellStyle name="20% - Accent2 5 2 2 2 4" xfId="4430"/>
    <cellStyle name="20% - Accent2 5 2 2 3" xfId="4431"/>
    <cellStyle name="20% - Accent2 5 2 2 3 2" xfId="4432"/>
    <cellStyle name="20% - Accent2 5 2 2 3 2 2" xfId="4433"/>
    <cellStyle name="20% - Accent2 5 2 2 3 3" xfId="4434"/>
    <cellStyle name="20% - Accent2 5 2 2 4" xfId="4435"/>
    <cellStyle name="20% - Accent2 5 2 2 4 2" xfId="4436"/>
    <cellStyle name="20% - Accent2 5 2 2 5" xfId="4437"/>
    <cellStyle name="20% - Accent2 5 2 2 5 2" xfId="4438"/>
    <cellStyle name="20% - Accent2 5 2 2 6" xfId="4439"/>
    <cellStyle name="20% - Accent2 5 2 3" xfId="4440"/>
    <cellStyle name="20% - Accent2 5 2 3 2" xfId="4441"/>
    <cellStyle name="20% - Accent2 5 2 3 2 2" xfId="4442"/>
    <cellStyle name="20% - Accent2 5 2 3 2 2 2" xfId="4443"/>
    <cellStyle name="20% - Accent2 5 2 3 2 2 2 2" xfId="4444"/>
    <cellStyle name="20% - Accent2 5 2 3 2 2 3" xfId="4445"/>
    <cellStyle name="20% - Accent2 5 2 3 2 3" xfId="4446"/>
    <cellStyle name="20% - Accent2 5 2 3 2 3 2" xfId="4447"/>
    <cellStyle name="20% - Accent2 5 2 3 2 4" xfId="4448"/>
    <cellStyle name="20% - Accent2 5 2 3 3" xfId="4449"/>
    <cellStyle name="20% - Accent2 5 2 3 3 2" xfId="4450"/>
    <cellStyle name="20% - Accent2 5 2 3 3 2 2" xfId="4451"/>
    <cellStyle name="20% - Accent2 5 2 3 3 3" xfId="4452"/>
    <cellStyle name="20% - Accent2 5 2 3 4" xfId="4453"/>
    <cellStyle name="20% - Accent2 5 2 3 4 2" xfId="4454"/>
    <cellStyle name="20% - Accent2 5 2 3 5" xfId="4455"/>
    <cellStyle name="20% - Accent2 5 2 3 5 2" xfId="4456"/>
    <cellStyle name="20% - Accent2 5 2 3 6" xfId="4457"/>
    <cellStyle name="20% - Accent2 5 2 4" xfId="4458"/>
    <cellStyle name="20% - Accent2 5 2 4 2" xfId="4459"/>
    <cellStyle name="20% - Accent2 5 2 4 2 2" xfId="4460"/>
    <cellStyle name="20% - Accent2 5 2 4 2 2 2" xfId="4461"/>
    <cellStyle name="20% - Accent2 5 2 4 2 3" xfId="4462"/>
    <cellStyle name="20% - Accent2 5 2 4 3" xfId="4463"/>
    <cellStyle name="20% - Accent2 5 2 4 3 2" xfId="4464"/>
    <cellStyle name="20% - Accent2 5 2 4 4" xfId="4465"/>
    <cellStyle name="20% - Accent2 5 2 5" xfId="4466"/>
    <cellStyle name="20% - Accent2 5 2 5 2" xfId="4467"/>
    <cellStyle name="20% - Accent2 5 2 5 2 2" xfId="4468"/>
    <cellStyle name="20% - Accent2 5 2 5 3" xfId="4469"/>
    <cellStyle name="20% - Accent2 5 2 6" xfId="4470"/>
    <cellStyle name="20% - Accent2 5 2 6 2" xfId="4471"/>
    <cellStyle name="20% - Accent2 5 2 7" xfId="4472"/>
    <cellStyle name="20% - Accent2 5 2 7 2" xfId="4473"/>
    <cellStyle name="20% - Accent2 5 2 8" xfId="4474"/>
    <cellStyle name="20% - Accent2 5 3" xfId="4475"/>
    <cellStyle name="20% - Accent2 5 3 2" xfId="4476"/>
    <cellStyle name="20% - Accent2 5 3 2 2" xfId="4477"/>
    <cellStyle name="20% - Accent2 5 3 2 2 2" xfId="4478"/>
    <cellStyle name="20% - Accent2 5 3 2 2 2 2" xfId="4479"/>
    <cellStyle name="20% - Accent2 5 3 2 2 2 2 2" xfId="4480"/>
    <cellStyle name="20% - Accent2 5 3 2 2 2 3" xfId="4481"/>
    <cellStyle name="20% - Accent2 5 3 2 2 3" xfId="4482"/>
    <cellStyle name="20% - Accent2 5 3 2 2 3 2" xfId="4483"/>
    <cellStyle name="20% - Accent2 5 3 2 2 4" xfId="4484"/>
    <cellStyle name="20% - Accent2 5 3 2 3" xfId="4485"/>
    <cellStyle name="20% - Accent2 5 3 2 3 2" xfId="4486"/>
    <cellStyle name="20% - Accent2 5 3 2 3 2 2" xfId="4487"/>
    <cellStyle name="20% - Accent2 5 3 2 3 3" xfId="4488"/>
    <cellStyle name="20% - Accent2 5 3 2 4" xfId="4489"/>
    <cellStyle name="20% - Accent2 5 3 2 4 2" xfId="4490"/>
    <cellStyle name="20% - Accent2 5 3 2 5" xfId="4491"/>
    <cellStyle name="20% - Accent2 5 3 2 5 2" xfId="4492"/>
    <cellStyle name="20% - Accent2 5 3 2 6" xfId="4493"/>
    <cellStyle name="20% - Accent2 5 3 3" xfId="4494"/>
    <cellStyle name="20% - Accent2 5 3 3 2" xfId="4495"/>
    <cellStyle name="20% - Accent2 5 3 3 2 2" xfId="4496"/>
    <cellStyle name="20% - Accent2 5 3 3 2 2 2" xfId="4497"/>
    <cellStyle name="20% - Accent2 5 3 3 2 2 2 2" xfId="4498"/>
    <cellStyle name="20% - Accent2 5 3 3 2 2 3" xfId="4499"/>
    <cellStyle name="20% - Accent2 5 3 3 2 3" xfId="4500"/>
    <cellStyle name="20% - Accent2 5 3 3 2 3 2" xfId="4501"/>
    <cellStyle name="20% - Accent2 5 3 3 2 4" xfId="4502"/>
    <cellStyle name="20% - Accent2 5 3 3 3" xfId="4503"/>
    <cellStyle name="20% - Accent2 5 3 3 3 2" xfId="4504"/>
    <cellStyle name="20% - Accent2 5 3 3 3 2 2" xfId="4505"/>
    <cellStyle name="20% - Accent2 5 3 3 3 3" xfId="4506"/>
    <cellStyle name="20% - Accent2 5 3 3 4" xfId="4507"/>
    <cellStyle name="20% - Accent2 5 3 3 4 2" xfId="4508"/>
    <cellStyle name="20% - Accent2 5 3 3 5" xfId="4509"/>
    <cellStyle name="20% - Accent2 5 3 3 5 2" xfId="4510"/>
    <cellStyle name="20% - Accent2 5 3 3 6" xfId="4511"/>
    <cellStyle name="20% - Accent2 5 3 4" xfId="4512"/>
    <cellStyle name="20% - Accent2 5 3 4 2" xfId="4513"/>
    <cellStyle name="20% - Accent2 5 3 4 2 2" xfId="4514"/>
    <cellStyle name="20% - Accent2 5 3 4 2 2 2" xfId="4515"/>
    <cellStyle name="20% - Accent2 5 3 4 2 3" xfId="4516"/>
    <cellStyle name="20% - Accent2 5 3 4 3" xfId="4517"/>
    <cellStyle name="20% - Accent2 5 3 4 3 2" xfId="4518"/>
    <cellStyle name="20% - Accent2 5 3 4 4" xfId="4519"/>
    <cellStyle name="20% - Accent2 5 3 5" xfId="4520"/>
    <cellStyle name="20% - Accent2 5 3 5 2" xfId="4521"/>
    <cellStyle name="20% - Accent2 5 3 5 2 2" xfId="4522"/>
    <cellStyle name="20% - Accent2 5 3 5 3" xfId="4523"/>
    <cellStyle name="20% - Accent2 5 3 6" xfId="4524"/>
    <cellStyle name="20% - Accent2 5 3 6 2" xfId="4525"/>
    <cellStyle name="20% - Accent2 5 3 7" xfId="4526"/>
    <cellStyle name="20% - Accent2 5 3 7 2" xfId="4527"/>
    <cellStyle name="20% - Accent2 5 3 8" xfId="4528"/>
    <cellStyle name="20% - Accent2 5 4" xfId="4529"/>
    <cellStyle name="20% - Accent2 5 4 2" xfId="4530"/>
    <cellStyle name="20% - Accent2 5 4 2 2" xfId="4531"/>
    <cellStyle name="20% - Accent2 5 4 2 2 2" xfId="4532"/>
    <cellStyle name="20% - Accent2 5 4 2 2 2 2" xfId="4533"/>
    <cellStyle name="20% - Accent2 5 4 2 2 3" xfId="4534"/>
    <cellStyle name="20% - Accent2 5 4 2 3" xfId="4535"/>
    <cellStyle name="20% - Accent2 5 4 2 3 2" xfId="4536"/>
    <cellStyle name="20% - Accent2 5 4 2 4" xfId="4537"/>
    <cellStyle name="20% - Accent2 5 4 3" xfId="4538"/>
    <cellStyle name="20% - Accent2 5 4 3 2" xfId="4539"/>
    <cellStyle name="20% - Accent2 5 4 3 2 2" xfId="4540"/>
    <cellStyle name="20% - Accent2 5 4 3 3" xfId="4541"/>
    <cellStyle name="20% - Accent2 5 4 4" xfId="4542"/>
    <cellStyle name="20% - Accent2 5 4 4 2" xfId="4543"/>
    <cellStyle name="20% - Accent2 5 4 5" xfId="4544"/>
    <cellStyle name="20% - Accent2 5 4 5 2" xfId="4545"/>
    <cellStyle name="20% - Accent2 5 4 6" xfId="4546"/>
    <cellStyle name="20% - Accent2 5 5" xfId="4547"/>
    <cellStyle name="20% - Accent2 5 5 2" xfId="4548"/>
    <cellStyle name="20% - Accent2 5 5 2 2" xfId="4549"/>
    <cellStyle name="20% - Accent2 5 5 2 2 2" xfId="4550"/>
    <cellStyle name="20% - Accent2 5 5 2 2 2 2" xfId="4551"/>
    <cellStyle name="20% - Accent2 5 5 2 2 3" xfId="4552"/>
    <cellStyle name="20% - Accent2 5 5 2 3" xfId="4553"/>
    <cellStyle name="20% - Accent2 5 5 2 3 2" xfId="4554"/>
    <cellStyle name="20% - Accent2 5 5 2 4" xfId="4555"/>
    <cellStyle name="20% - Accent2 5 5 3" xfId="4556"/>
    <cellStyle name="20% - Accent2 5 5 3 2" xfId="4557"/>
    <cellStyle name="20% - Accent2 5 5 3 2 2" xfId="4558"/>
    <cellStyle name="20% - Accent2 5 5 3 3" xfId="4559"/>
    <cellStyle name="20% - Accent2 5 5 4" xfId="4560"/>
    <cellStyle name="20% - Accent2 5 5 4 2" xfId="4561"/>
    <cellStyle name="20% - Accent2 5 5 5" xfId="4562"/>
    <cellStyle name="20% - Accent2 5 5 5 2" xfId="4563"/>
    <cellStyle name="20% - Accent2 5 5 6" xfId="4564"/>
    <cellStyle name="20% - Accent2 5 6" xfId="4565"/>
    <cellStyle name="20% - Accent2 5 6 2" xfId="4566"/>
    <cellStyle name="20% - Accent2 5 6 2 2" xfId="4567"/>
    <cellStyle name="20% - Accent2 5 6 2 2 2" xfId="4568"/>
    <cellStyle name="20% - Accent2 5 6 2 2 2 2" xfId="4569"/>
    <cellStyle name="20% - Accent2 5 6 2 2 3" xfId="4570"/>
    <cellStyle name="20% - Accent2 5 6 2 3" xfId="4571"/>
    <cellStyle name="20% - Accent2 5 6 2 3 2" xfId="4572"/>
    <cellStyle name="20% - Accent2 5 6 2 4" xfId="4573"/>
    <cellStyle name="20% - Accent2 5 6 3" xfId="4574"/>
    <cellStyle name="20% - Accent2 5 6 3 2" xfId="4575"/>
    <cellStyle name="20% - Accent2 5 6 3 2 2" xfId="4576"/>
    <cellStyle name="20% - Accent2 5 6 3 3" xfId="4577"/>
    <cellStyle name="20% - Accent2 5 6 4" xfId="4578"/>
    <cellStyle name="20% - Accent2 5 6 4 2" xfId="4579"/>
    <cellStyle name="20% - Accent2 5 6 5" xfId="4580"/>
    <cellStyle name="20% - Accent2 5 6 5 2" xfId="4581"/>
    <cellStyle name="20% - Accent2 5 6 6" xfId="4582"/>
    <cellStyle name="20% - Accent2 5 7" xfId="4583"/>
    <cellStyle name="20% - Accent2 5 7 2" xfId="4584"/>
    <cellStyle name="20% - Accent2 5 7 2 2" xfId="4585"/>
    <cellStyle name="20% - Accent2 5 7 2 2 2" xfId="4586"/>
    <cellStyle name="20% - Accent2 5 7 2 3" xfId="4587"/>
    <cellStyle name="20% - Accent2 5 7 3" xfId="4588"/>
    <cellStyle name="20% - Accent2 5 7 3 2" xfId="4589"/>
    <cellStyle name="20% - Accent2 5 7 4" xfId="4590"/>
    <cellStyle name="20% - Accent2 5 8" xfId="4591"/>
    <cellStyle name="20% - Accent2 5 8 2" xfId="4592"/>
    <cellStyle name="20% - Accent2 5 8 2 2" xfId="4593"/>
    <cellStyle name="20% - Accent2 5 8 3" xfId="4594"/>
    <cellStyle name="20% - Accent2 5 9" xfId="4595"/>
    <cellStyle name="20% - Accent2 5 9 2" xfId="4596"/>
    <cellStyle name="20% - Accent2 6" xfId="4597"/>
    <cellStyle name="20% - Accent2 6 10" xfId="4598"/>
    <cellStyle name="20% - Accent2 6 10 2" xfId="4599"/>
    <cellStyle name="20% - Accent2 6 11" xfId="4600"/>
    <cellStyle name="20% - Accent2 6 2" xfId="4601"/>
    <cellStyle name="20% - Accent2 6 2 2" xfId="4602"/>
    <cellStyle name="20% - Accent2 6 2 2 2" xfId="4603"/>
    <cellStyle name="20% - Accent2 6 2 2 2 2" xfId="4604"/>
    <cellStyle name="20% - Accent2 6 2 2 2 2 2" xfId="4605"/>
    <cellStyle name="20% - Accent2 6 2 2 2 2 2 2" xfId="4606"/>
    <cellStyle name="20% - Accent2 6 2 2 2 2 3" xfId="4607"/>
    <cellStyle name="20% - Accent2 6 2 2 2 3" xfId="4608"/>
    <cellStyle name="20% - Accent2 6 2 2 2 3 2" xfId="4609"/>
    <cellStyle name="20% - Accent2 6 2 2 2 4" xfId="4610"/>
    <cellStyle name="20% - Accent2 6 2 2 3" xfId="4611"/>
    <cellStyle name="20% - Accent2 6 2 2 3 2" xfId="4612"/>
    <cellStyle name="20% - Accent2 6 2 2 3 2 2" xfId="4613"/>
    <cellStyle name="20% - Accent2 6 2 2 3 3" xfId="4614"/>
    <cellStyle name="20% - Accent2 6 2 2 4" xfId="4615"/>
    <cellStyle name="20% - Accent2 6 2 2 4 2" xfId="4616"/>
    <cellStyle name="20% - Accent2 6 2 2 5" xfId="4617"/>
    <cellStyle name="20% - Accent2 6 2 2 5 2" xfId="4618"/>
    <cellStyle name="20% - Accent2 6 2 2 6" xfId="4619"/>
    <cellStyle name="20% - Accent2 6 2 3" xfId="4620"/>
    <cellStyle name="20% - Accent2 6 2 3 2" xfId="4621"/>
    <cellStyle name="20% - Accent2 6 2 3 2 2" xfId="4622"/>
    <cellStyle name="20% - Accent2 6 2 3 2 2 2" xfId="4623"/>
    <cellStyle name="20% - Accent2 6 2 3 2 2 2 2" xfId="4624"/>
    <cellStyle name="20% - Accent2 6 2 3 2 2 3" xfId="4625"/>
    <cellStyle name="20% - Accent2 6 2 3 2 3" xfId="4626"/>
    <cellStyle name="20% - Accent2 6 2 3 2 3 2" xfId="4627"/>
    <cellStyle name="20% - Accent2 6 2 3 2 4" xfId="4628"/>
    <cellStyle name="20% - Accent2 6 2 3 3" xfId="4629"/>
    <cellStyle name="20% - Accent2 6 2 3 3 2" xfId="4630"/>
    <cellStyle name="20% - Accent2 6 2 3 3 2 2" xfId="4631"/>
    <cellStyle name="20% - Accent2 6 2 3 3 3" xfId="4632"/>
    <cellStyle name="20% - Accent2 6 2 3 4" xfId="4633"/>
    <cellStyle name="20% - Accent2 6 2 3 4 2" xfId="4634"/>
    <cellStyle name="20% - Accent2 6 2 3 5" xfId="4635"/>
    <cellStyle name="20% - Accent2 6 2 3 5 2" xfId="4636"/>
    <cellStyle name="20% - Accent2 6 2 3 6" xfId="4637"/>
    <cellStyle name="20% - Accent2 6 2 4" xfId="4638"/>
    <cellStyle name="20% - Accent2 6 2 4 2" xfId="4639"/>
    <cellStyle name="20% - Accent2 6 2 4 2 2" xfId="4640"/>
    <cellStyle name="20% - Accent2 6 2 4 2 2 2" xfId="4641"/>
    <cellStyle name="20% - Accent2 6 2 4 2 3" xfId="4642"/>
    <cellStyle name="20% - Accent2 6 2 4 3" xfId="4643"/>
    <cellStyle name="20% - Accent2 6 2 4 3 2" xfId="4644"/>
    <cellStyle name="20% - Accent2 6 2 4 4" xfId="4645"/>
    <cellStyle name="20% - Accent2 6 2 5" xfId="4646"/>
    <cellStyle name="20% - Accent2 6 2 5 2" xfId="4647"/>
    <cellStyle name="20% - Accent2 6 2 5 2 2" xfId="4648"/>
    <cellStyle name="20% - Accent2 6 2 5 3" xfId="4649"/>
    <cellStyle name="20% - Accent2 6 2 6" xfId="4650"/>
    <cellStyle name="20% - Accent2 6 2 6 2" xfId="4651"/>
    <cellStyle name="20% - Accent2 6 2 7" xfId="4652"/>
    <cellStyle name="20% - Accent2 6 2 7 2" xfId="4653"/>
    <cellStyle name="20% - Accent2 6 2 8" xfId="4654"/>
    <cellStyle name="20% - Accent2 6 3" xfId="4655"/>
    <cellStyle name="20% - Accent2 6 3 2" xfId="4656"/>
    <cellStyle name="20% - Accent2 6 3 2 2" xfId="4657"/>
    <cellStyle name="20% - Accent2 6 3 2 2 2" xfId="4658"/>
    <cellStyle name="20% - Accent2 6 3 2 2 2 2" xfId="4659"/>
    <cellStyle name="20% - Accent2 6 3 2 2 2 2 2" xfId="4660"/>
    <cellStyle name="20% - Accent2 6 3 2 2 2 3" xfId="4661"/>
    <cellStyle name="20% - Accent2 6 3 2 2 3" xfId="4662"/>
    <cellStyle name="20% - Accent2 6 3 2 2 3 2" xfId="4663"/>
    <cellStyle name="20% - Accent2 6 3 2 2 4" xfId="4664"/>
    <cellStyle name="20% - Accent2 6 3 2 3" xfId="4665"/>
    <cellStyle name="20% - Accent2 6 3 2 3 2" xfId="4666"/>
    <cellStyle name="20% - Accent2 6 3 2 3 2 2" xfId="4667"/>
    <cellStyle name="20% - Accent2 6 3 2 3 3" xfId="4668"/>
    <cellStyle name="20% - Accent2 6 3 2 4" xfId="4669"/>
    <cellStyle name="20% - Accent2 6 3 2 4 2" xfId="4670"/>
    <cellStyle name="20% - Accent2 6 3 2 5" xfId="4671"/>
    <cellStyle name="20% - Accent2 6 3 2 5 2" xfId="4672"/>
    <cellStyle name="20% - Accent2 6 3 2 6" xfId="4673"/>
    <cellStyle name="20% - Accent2 6 3 3" xfId="4674"/>
    <cellStyle name="20% - Accent2 6 3 3 2" xfId="4675"/>
    <cellStyle name="20% - Accent2 6 3 3 2 2" xfId="4676"/>
    <cellStyle name="20% - Accent2 6 3 3 2 2 2" xfId="4677"/>
    <cellStyle name="20% - Accent2 6 3 3 2 2 2 2" xfId="4678"/>
    <cellStyle name="20% - Accent2 6 3 3 2 2 3" xfId="4679"/>
    <cellStyle name="20% - Accent2 6 3 3 2 3" xfId="4680"/>
    <cellStyle name="20% - Accent2 6 3 3 2 3 2" xfId="4681"/>
    <cellStyle name="20% - Accent2 6 3 3 2 4" xfId="4682"/>
    <cellStyle name="20% - Accent2 6 3 3 3" xfId="4683"/>
    <cellStyle name="20% - Accent2 6 3 3 3 2" xfId="4684"/>
    <cellStyle name="20% - Accent2 6 3 3 3 2 2" xfId="4685"/>
    <cellStyle name="20% - Accent2 6 3 3 3 3" xfId="4686"/>
    <cellStyle name="20% - Accent2 6 3 3 4" xfId="4687"/>
    <cellStyle name="20% - Accent2 6 3 3 4 2" xfId="4688"/>
    <cellStyle name="20% - Accent2 6 3 3 5" xfId="4689"/>
    <cellStyle name="20% - Accent2 6 3 3 5 2" xfId="4690"/>
    <cellStyle name="20% - Accent2 6 3 3 6" xfId="4691"/>
    <cellStyle name="20% - Accent2 6 3 4" xfId="4692"/>
    <cellStyle name="20% - Accent2 6 3 4 2" xfId="4693"/>
    <cellStyle name="20% - Accent2 6 3 4 2 2" xfId="4694"/>
    <cellStyle name="20% - Accent2 6 3 4 2 2 2" xfId="4695"/>
    <cellStyle name="20% - Accent2 6 3 4 2 3" xfId="4696"/>
    <cellStyle name="20% - Accent2 6 3 4 3" xfId="4697"/>
    <cellStyle name="20% - Accent2 6 3 4 3 2" xfId="4698"/>
    <cellStyle name="20% - Accent2 6 3 4 4" xfId="4699"/>
    <cellStyle name="20% - Accent2 6 3 5" xfId="4700"/>
    <cellStyle name="20% - Accent2 6 3 5 2" xfId="4701"/>
    <cellStyle name="20% - Accent2 6 3 5 2 2" xfId="4702"/>
    <cellStyle name="20% - Accent2 6 3 5 3" xfId="4703"/>
    <cellStyle name="20% - Accent2 6 3 6" xfId="4704"/>
    <cellStyle name="20% - Accent2 6 3 6 2" xfId="4705"/>
    <cellStyle name="20% - Accent2 6 3 7" xfId="4706"/>
    <cellStyle name="20% - Accent2 6 3 7 2" xfId="4707"/>
    <cellStyle name="20% - Accent2 6 3 8" xfId="4708"/>
    <cellStyle name="20% - Accent2 6 4" xfId="4709"/>
    <cellStyle name="20% - Accent2 6 4 2" xfId="4710"/>
    <cellStyle name="20% - Accent2 6 4 2 2" xfId="4711"/>
    <cellStyle name="20% - Accent2 6 4 2 2 2" xfId="4712"/>
    <cellStyle name="20% - Accent2 6 4 2 2 2 2" xfId="4713"/>
    <cellStyle name="20% - Accent2 6 4 2 2 3" xfId="4714"/>
    <cellStyle name="20% - Accent2 6 4 2 3" xfId="4715"/>
    <cellStyle name="20% - Accent2 6 4 2 3 2" xfId="4716"/>
    <cellStyle name="20% - Accent2 6 4 2 4" xfId="4717"/>
    <cellStyle name="20% - Accent2 6 4 3" xfId="4718"/>
    <cellStyle name="20% - Accent2 6 4 3 2" xfId="4719"/>
    <cellStyle name="20% - Accent2 6 4 3 2 2" xfId="4720"/>
    <cellStyle name="20% - Accent2 6 4 3 3" xfId="4721"/>
    <cellStyle name="20% - Accent2 6 4 4" xfId="4722"/>
    <cellStyle name="20% - Accent2 6 4 4 2" xfId="4723"/>
    <cellStyle name="20% - Accent2 6 4 5" xfId="4724"/>
    <cellStyle name="20% - Accent2 6 4 5 2" xfId="4725"/>
    <cellStyle name="20% - Accent2 6 4 6" xfId="4726"/>
    <cellStyle name="20% - Accent2 6 5" xfId="4727"/>
    <cellStyle name="20% - Accent2 6 5 2" xfId="4728"/>
    <cellStyle name="20% - Accent2 6 5 2 2" xfId="4729"/>
    <cellStyle name="20% - Accent2 6 5 2 2 2" xfId="4730"/>
    <cellStyle name="20% - Accent2 6 5 2 2 2 2" xfId="4731"/>
    <cellStyle name="20% - Accent2 6 5 2 2 3" xfId="4732"/>
    <cellStyle name="20% - Accent2 6 5 2 3" xfId="4733"/>
    <cellStyle name="20% - Accent2 6 5 2 3 2" xfId="4734"/>
    <cellStyle name="20% - Accent2 6 5 2 4" xfId="4735"/>
    <cellStyle name="20% - Accent2 6 5 3" xfId="4736"/>
    <cellStyle name="20% - Accent2 6 5 3 2" xfId="4737"/>
    <cellStyle name="20% - Accent2 6 5 3 2 2" xfId="4738"/>
    <cellStyle name="20% - Accent2 6 5 3 3" xfId="4739"/>
    <cellStyle name="20% - Accent2 6 5 4" xfId="4740"/>
    <cellStyle name="20% - Accent2 6 5 4 2" xfId="4741"/>
    <cellStyle name="20% - Accent2 6 5 5" xfId="4742"/>
    <cellStyle name="20% - Accent2 6 5 5 2" xfId="4743"/>
    <cellStyle name="20% - Accent2 6 5 6" xfId="4744"/>
    <cellStyle name="20% - Accent2 6 6" xfId="4745"/>
    <cellStyle name="20% - Accent2 6 6 2" xfId="4746"/>
    <cellStyle name="20% - Accent2 6 6 2 2" xfId="4747"/>
    <cellStyle name="20% - Accent2 6 6 2 2 2" xfId="4748"/>
    <cellStyle name="20% - Accent2 6 6 2 2 2 2" xfId="4749"/>
    <cellStyle name="20% - Accent2 6 6 2 2 3" xfId="4750"/>
    <cellStyle name="20% - Accent2 6 6 2 3" xfId="4751"/>
    <cellStyle name="20% - Accent2 6 6 2 3 2" xfId="4752"/>
    <cellStyle name="20% - Accent2 6 6 2 4" xfId="4753"/>
    <cellStyle name="20% - Accent2 6 6 3" xfId="4754"/>
    <cellStyle name="20% - Accent2 6 6 3 2" xfId="4755"/>
    <cellStyle name="20% - Accent2 6 6 3 2 2" xfId="4756"/>
    <cellStyle name="20% - Accent2 6 6 3 3" xfId="4757"/>
    <cellStyle name="20% - Accent2 6 6 4" xfId="4758"/>
    <cellStyle name="20% - Accent2 6 6 4 2" xfId="4759"/>
    <cellStyle name="20% - Accent2 6 6 5" xfId="4760"/>
    <cellStyle name="20% - Accent2 6 6 5 2" xfId="4761"/>
    <cellStyle name="20% - Accent2 6 6 6" xfId="4762"/>
    <cellStyle name="20% - Accent2 6 7" xfId="4763"/>
    <cellStyle name="20% - Accent2 6 7 2" xfId="4764"/>
    <cellStyle name="20% - Accent2 6 7 2 2" xfId="4765"/>
    <cellStyle name="20% - Accent2 6 7 2 2 2" xfId="4766"/>
    <cellStyle name="20% - Accent2 6 7 2 3" xfId="4767"/>
    <cellStyle name="20% - Accent2 6 7 3" xfId="4768"/>
    <cellStyle name="20% - Accent2 6 7 3 2" xfId="4769"/>
    <cellStyle name="20% - Accent2 6 7 4" xfId="4770"/>
    <cellStyle name="20% - Accent2 6 8" xfId="4771"/>
    <cellStyle name="20% - Accent2 6 8 2" xfId="4772"/>
    <cellStyle name="20% - Accent2 6 8 2 2" xfId="4773"/>
    <cellStyle name="20% - Accent2 6 8 3" xfId="4774"/>
    <cellStyle name="20% - Accent2 6 9" xfId="4775"/>
    <cellStyle name="20% - Accent2 6 9 2" xfId="4776"/>
    <cellStyle name="20% - Accent2 7" xfId="4777"/>
    <cellStyle name="20% - Accent2 7 10" xfId="4778"/>
    <cellStyle name="20% - Accent2 7 10 2" xfId="4779"/>
    <cellStyle name="20% - Accent2 7 11" xfId="4780"/>
    <cellStyle name="20% - Accent2 7 2" xfId="4781"/>
    <cellStyle name="20% - Accent2 7 2 2" xfId="4782"/>
    <cellStyle name="20% - Accent2 7 2 2 2" xfId="4783"/>
    <cellStyle name="20% - Accent2 7 2 2 2 2" xfId="4784"/>
    <cellStyle name="20% - Accent2 7 2 2 2 2 2" xfId="4785"/>
    <cellStyle name="20% - Accent2 7 2 2 2 2 2 2" xfId="4786"/>
    <cellStyle name="20% - Accent2 7 2 2 2 2 3" xfId="4787"/>
    <cellStyle name="20% - Accent2 7 2 2 2 3" xfId="4788"/>
    <cellStyle name="20% - Accent2 7 2 2 2 3 2" xfId="4789"/>
    <cellStyle name="20% - Accent2 7 2 2 2 4" xfId="4790"/>
    <cellStyle name="20% - Accent2 7 2 2 3" xfId="4791"/>
    <cellStyle name="20% - Accent2 7 2 2 3 2" xfId="4792"/>
    <cellStyle name="20% - Accent2 7 2 2 3 2 2" xfId="4793"/>
    <cellStyle name="20% - Accent2 7 2 2 3 3" xfId="4794"/>
    <cellStyle name="20% - Accent2 7 2 2 4" xfId="4795"/>
    <cellStyle name="20% - Accent2 7 2 2 4 2" xfId="4796"/>
    <cellStyle name="20% - Accent2 7 2 2 5" xfId="4797"/>
    <cellStyle name="20% - Accent2 7 2 2 5 2" xfId="4798"/>
    <cellStyle name="20% - Accent2 7 2 2 6" xfId="4799"/>
    <cellStyle name="20% - Accent2 7 2 3" xfId="4800"/>
    <cellStyle name="20% - Accent2 7 2 3 2" xfId="4801"/>
    <cellStyle name="20% - Accent2 7 2 3 2 2" xfId="4802"/>
    <cellStyle name="20% - Accent2 7 2 3 2 2 2" xfId="4803"/>
    <cellStyle name="20% - Accent2 7 2 3 2 2 2 2" xfId="4804"/>
    <cellStyle name="20% - Accent2 7 2 3 2 2 3" xfId="4805"/>
    <cellStyle name="20% - Accent2 7 2 3 2 3" xfId="4806"/>
    <cellStyle name="20% - Accent2 7 2 3 2 3 2" xfId="4807"/>
    <cellStyle name="20% - Accent2 7 2 3 2 4" xfId="4808"/>
    <cellStyle name="20% - Accent2 7 2 3 3" xfId="4809"/>
    <cellStyle name="20% - Accent2 7 2 3 3 2" xfId="4810"/>
    <cellStyle name="20% - Accent2 7 2 3 3 2 2" xfId="4811"/>
    <cellStyle name="20% - Accent2 7 2 3 3 3" xfId="4812"/>
    <cellStyle name="20% - Accent2 7 2 3 4" xfId="4813"/>
    <cellStyle name="20% - Accent2 7 2 3 4 2" xfId="4814"/>
    <cellStyle name="20% - Accent2 7 2 3 5" xfId="4815"/>
    <cellStyle name="20% - Accent2 7 2 3 5 2" xfId="4816"/>
    <cellStyle name="20% - Accent2 7 2 3 6" xfId="4817"/>
    <cellStyle name="20% - Accent2 7 2 4" xfId="4818"/>
    <cellStyle name="20% - Accent2 7 2 4 2" xfId="4819"/>
    <cellStyle name="20% - Accent2 7 2 4 2 2" xfId="4820"/>
    <cellStyle name="20% - Accent2 7 2 4 2 2 2" xfId="4821"/>
    <cellStyle name="20% - Accent2 7 2 4 2 3" xfId="4822"/>
    <cellStyle name="20% - Accent2 7 2 4 3" xfId="4823"/>
    <cellStyle name="20% - Accent2 7 2 4 3 2" xfId="4824"/>
    <cellStyle name="20% - Accent2 7 2 4 4" xfId="4825"/>
    <cellStyle name="20% - Accent2 7 2 5" xfId="4826"/>
    <cellStyle name="20% - Accent2 7 2 5 2" xfId="4827"/>
    <cellStyle name="20% - Accent2 7 2 5 2 2" xfId="4828"/>
    <cellStyle name="20% - Accent2 7 2 5 3" xfId="4829"/>
    <cellStyle name="20% - Accent2 7 2 6" xfId="4830"/>
    <cellStyle name="20% - Accent2 7 2 6 2" xfId="4831"/>
    <cellStyle name="20% - Accent2 7 2 7" xfId="4832"/>
    <cellStyle name="20% - Accent2 7 2 7 2" xfId="4833"/>
    <cellStyle name="20% - Accent2 7 2 8" xfId="4834"/>
    <cellStyle name="20% - Accent2 7 3" xfId="4835"/>
    <cellStyle name="20% - Accent2 7 3 2" xfId="4836"/>
    <cellStyle name="20% - Accent2 7 3 2 2" xfId="4837"/>
    <cellStyle name="20% - Accent2 7 3 2 2 2" xfId="4838"/>
    <cellStyle name="20% - Accent2 7 3 2 2 2 2" xfId="4839"/>
    <cellStyle name="20% - Accent2 7 3 2 2 2 2 2" xfId="4840"/>
    <cellStyle name="20% - Accent2 7 3 2 2 2 3" xfId="4841"/>
    <cellStyle name="20% - Accent2 7 3 2 2 3" xfId="4842"/>
    <cellStyle name="20% - Accent2 7 3 2 2 3 2" xfId="4843"/>
    <cellStyle name="20% - Accent2 7 3 2 2 4" xfId="4844"/>
    <cellStyle name="20% - Accent2 7 3 2 3" xfId="4845"/>
    <cellStyle name="20% - Accent2 7 3 2 3 2" xfId="4846"/>
    <cellStyle name="20% - Accent2 7 3 2 3 2 2" xfId="4847"/>
    <cellStyle name="20% - Accent2 7 3 2 3 3" xfId="4848"/>
    <cellStyle name="20% - Accent2 7 3 2 4" xfId="4849"/>
    <cellStyle name="20% - Accent2 7 3 2 4 2" xfId="4850"/>
    <cellStyle name="20% - Accent2 7 3 2 5" xfId="4851"/>
    <cellStyle name="20% - Accent2 7 3 2 5 2" xfId="4852"/>
    <cellStyle name="20% - Accent2 7 3 2 6" xfId="4853"/>
    <cellStyle name="20% - Accent2 7 3 3" xfId="4854"/>
    <cellStyle name="20% - Accent2 7 3 3 2" xfId="4855"/>
    <cellStyle name="20% - Accent2 7 3 3 2 2" xfId="4856"/>
    <cellStyle name="20% - Accent2 7 3 3 2 2 2" xfId="4857"/>
    <cellStyle name="20% - Accent2 7 3 3 2 2 2 2" xfId="4858"/>
    <cellStyle name="20% - Accent2 7 3 3 2 2 3" xfId="4859"/>
    <cellStyle name="20% - Accent2 7 3 3 2 3" xfId="4860"/>
    <cellStyle name="20% - Accent2 7 3 3 2 3 2" xfId="4861"/>
    <cellStyle name="20% - Accent2 7 3 3 2 4" xfId="4862"/>
    <cellStyle name="20% - Accent2 7 3 3 3" xfId="4863"/>
    <cellStyle name="20% - Accent2 7 3 3 3 2" xfId="4864"/>
    <cellStyle name="20% - Accent2 7 3 3 3 2 2" xfId="4865"/>
    <cellStyle name="20% - Accent2 7 3 3 3 3" xfId="4866"/>
    <cellStyle name="20% - Accent2 7 3 3 4" xfId="4867"/>
    <cellStyle name="20% - Accent2 7 3 3 4 2" xfId="4868"/>
    <cellStyle name="20% - Accent2 7 3 3 5" xfId="4869"/>
    <cellStyle name="20% - Accent2 7 3 3 5 2" xfId="4870"/>
    <cellStyle name="20% - Accent2 7 3 3 6" xfId="4871"/>
    <cellStyle name="20% - Accent2 7 3 4" xfId="4872"/>
    <cellStyle name="20% - Accent2 7 3 4 2" xfId="4873"/>
    <cellStyle name="20% - Accent2 7 3 4 2 2" xfId="4874"/>
    <cellStyle name="20% - Accent2 7 3 4 2 2 2" xfId="4875"/>
    <cellStyle name="20% - Accent2 7 3 4 2 3" xfId="4876"/>
    <cellStyle name="20% - Accent2 7 3 4 3" xfId="4877"/>
    <cellStyle name="20% - Accent2 7 3 4 3 2" xfId="4878"/>
    <cellStyle name="20% - Accent2 7 3 4 4" xfId="4879"/>
    <cellStyle name="20% - Accent2 7 3 5" xfId="4880"/>
    <cellStyle name="20% - Accent2 7 3 5 2" xfId="4881"/>
    <cellStyle name="20% - Accent2 7 3 5 2 2" xfId="4882"/>
    <cellStyle name="20% - Accent2 7 3 5 3" xfId="4883"/>
    <cellStyle name="20% - Accent2 7 3 6" xfId="4884"/>
    <cellStyle name="20% - Accent2 7 3 6 2" xfId="4885"/>
    <cellStyle name="20% - Accent2 7 3 7" xfId="4886"/>
    <cellStyle name="20% - Accent2 7 3 7 2" xfId="4887"/>
    <cellStyle name="20% - Accent2 7 3 8" xfId="4888"/>
    <cellStyle name="20% - Accent2 7 4" xfId="4889"/>
    <cellStyle name="20% - Accent2 7 4 2" xfId="4890"/>
    <cellStyle name="20% - Accent2 7 4 2 2" xfId="4891"/>
    <cellStyle name="20% - Accent2 7 4 2 2 2" xfId="4892"/>
    <cellStyle name="20% - Accent2 7 4 2 2 2 2" xfId="4893"/>
    <cellStyle name="20% - Accent2 7 4 2 2 3" xfId="4894"/>
    <cellStyle name="20% - Accent2 7 4 2 3" xfId="4895"/>
    <cellStyle name="20% - Accent2 7 4 2 3 2" xfId="4896"/>
    <cellStyle name="20% - Accent2 7 4 2 4" xfId="4897"/>
    <cellStyle name="20% - Accent2 7 4 3" xfId="4898"/>
    <cellStyle name="20% - Accent2 7 4 3 2" xfId="4899"/>
    <cellStyle name="20% - Accent2 7 4 3 2 2" xfId="4900"/>
    <cellStyle name="20% - Accent2 7 4 3 3" xfId="4901"/>
    <cellStyle name="20% - Accent2 7 4 4" xfId="4902"/>
    <cellStyle name="20% - Accent2 7 4 4 2" xfId="4903"/>
    <cellStyle name="20% - Accent2 7 4 5" xfId="4904"/>
    <cellStyle name="20% - Accent2 7 4 5 2" xfId="4905"/>
    <cellStyle name="20% - Accent2 7 4 6" xfId="4906"/>
    <cellStyle name="20% - Accent2 7 5" xfId="4907"/>
    <cellStyle name="20% - Accent2 7 5 2" xfId="4908"/>
    <cellStyle name="20% - Accent2 7 5 2 2" xfId="4909"/>
    <cellStyle name="20% - Accent2 7 5 2 2 2" xfId="4910"/>
    <cellStyle name="20% - Accent2 7 5 2 2 2 2" xfId="4911"/>
    <cellStyle name="20% - Accent2 7 5 2 2 3" xfId="4912"/>
    <cellStyle name="20% - Accent2 7 5 2 3" xfId="4913"/>
    <cellStyle name="20% - Accent2 7 5 2 3 2" xfId="4914"/>
    <cellStyle name="20% - Accent2 7 5 2 4" xfId="4915"/>
    <cellStyle name="20% - Accent2 7 5 3" xfId="4916"/>
    <cellStyle name="20% - Accent2 7 5 3 2" xfId="4917"/>
    <cellStyle name="20% - Accent2 7 5 3 2 2" xfId="4918"/>
    <cellStyle name="20% - Accent2 7 5 3 3" xfId="4919"/>
    <cellStyle name="20% - Accent2 7 5 4" xfId="4920"/>
    <cellStyle name="20% - Accent2 7 5 4 2" xfId="4921"/>
    <cellStyle name="20% - Accent2 7 5 5" xfId="4922"/>
    <cellStyle name="20% - Accent2 7 5 5 2" xfId="4923"/>
    <cellStyle name="20% - Accent2 7 5 6" xfId="4924"/>
    <cellStyle name="20% - Accent2 7 6" xfId="4925"/>
    <cellStyle name="20% - Accent2 7 6 2" xfId="4926"/>
    <cellStyle name="20% - Accent2 7 6 2 2" xfId="4927"/>
    <cellStyle name="20% - Accent2 7 6 2 2 2" xfId="4928"/>
    <cellStyle name="20% - Accent2 7 6 2 2 2 2" xfId="4929"/>
    <cellStyle name="20% - Accent2 7 6 2 2 3" xfId="4930"/>
    <cellStyle name="20% - Accent2 7 6 2 3" xfId="4931"/>
    <cellStyle name="20% - Accent2 7 6 2 3 2" xfId="4932"/>
    <cellStyle name="20% - Accent2 7 6 2 4" xfId="4933"/>
    <cellStyle name="20% - Accent2 7 6 3" xfId="4934"/>
    <cellStyle name="20% - Accent2 7 6 3 2" xfId="4935"/>
    <cellStyle name="20% - Accent2 7 6 3 2 2" xfId="4936"/>
    <cellStyle name="20% - Accent2 7 6 3 3" xfId="4937"/>
    <cellStyle name="20% - Accent2 7 6 4" xfId="4938"/>
    <cellStyle name="20% - Accent2 7 6 4 2" xfId="4939"/>
    <cellStyle name="20% - Accent2 7 6 5" xfId="4940"/>
    <cellStyle name="20% - Accent2 7 6 5 2" xfId="4941"/>
    <cellStyle name="20% - Accent2 7 6 6" xfId="4942"/>
    <cellStyle name="20% - Accent2 7 7" xfId="4943"/>
    <cellStyle name="20% - Accent2 7 7 2" xfId="4944"/>
    <cellStyle name="20% - Accent2 7 7 2 2" xfId="4945"/>
    <cellStyle name="20% - Accent2 7 7 2 2 2" xfId="4946"/>
    <cellStyle name="20% - Accent2 7 7 2 3" xfId="4947"/>
    <cellStyle name="20% - Accent2 7 7 3" xfId="4948"/>
    <cellStyle name="20% - Accent2 7 7 3 2" xfId="4949"/>
    <cellStyle name="20% - Accent2 7 7 4" xfId="4950"/>
    <cellStyle name="20% - Accent2 7 8" xfId="4951"/>
    <cellStyle name="20% - Accent2 7 8 2" xfId="4952"/>
    <cellStyle name="20% - Accent2 7 8 2 2" xfId="4953"/>
    <cellStyle name="20% - Accent2 7 8 3" xfId="4954"/>
    <cellStyle name="20% - Accent2 7 9" xfId="4955"/>
    <cellStyle name="20% - Accent2 7 9 2" xfId="4956"/>
    <cellStyle name="20% - Accent2 8" xfId="4957"/>
    <cellStyle name="20% - Accent2 8 2" xfId="4958"/>
    <cellStyle name="20% - Accent2 8 2 2" xfId="4959"/>
    <cellStyle name="20% - Accent2 8 2 2 2" xfId="4960"/>
    <cellStyle name="20% - Accent2 8 2 2 2 2" xfId="4961"/>
    <cellStyle name="20% - Accent2 8 2 2 2 2 2" xfId="4962"/>
    <cellStyle name="20% - Accent2 8 2 2 2 3" xfId="4963"/>
    <cellStyle name="20% - Accent2 8 2 2 3" xfId="4964"/>
    <cellStyle name="20% - Accent2 8 2 2 3 2" xfId="4965"/>
    <cellStyle name="20% - Accent2 8 2 2 4" xfId="4966"/>
    <cellStyle name="20% - Accent2 8 2 3" xfId="4967"/>
    <cellStyle name="20% - Accent2 8 2 3 2" xfId="4968"/>
    <cellStyle name="20% - Accent2 8 2 3 2 2" xfId="4969"/>
    <cellStyle name="20% - Accent2 8 2 3 3" xfId="4970"/>
    <cellStyle name="20% - Accent2 8 2 4" xfId="4971"/>
    <cellStyle name="20% - Accent2 8 2 4 2" xfId="4972"/>
    <cellStyle name="20% - Accent2 8 2 5" xfId="4973"/>
    <cellStyle name="20% - Accent2 8 2 5 2" xfId="4974"/>
    <cellStyle name="20% - Accent2 8 2 6" xfId="4975"/>
    <cellStyle name="20% - Accent2 8 3" xfId="4976"/>
    <cellStyle name="20% - Accent2 8 3 2" xfId="4977"/>
    <cellStyle name="20% - Accent2 8 3 2 2" xfId="4978"/>
    <cellStyle name="20% - Accent2 8 3 2 2 2" xfId="4979"/>
    <cellStyle name="20% - Accent2 8 3 2 2 2 2" xfId="4980"/>
    <cellStyle name="20% - Accent2 8 3 2 2 3" xfId="4981"/>
    <cellStyle name="20% - Accent2 8 3 2 3" xfId="4982"/>
    <cellStyle name="20% - Accent2 8 3 2 3 2" xfId="4983"/>
    <cellStyle name="20% - Accent2 8 3 2 4" xfId="4984"/>
    <cellStyle name="20% - Accent2 8 3 3" xfId="4985"/>
    <cellStyle name="20% - Accent2 8 3 3 2" xfId="4986"/>
    <cellStyle name="20% - Accent2 8 3 3 2 2" xfId="4987"/>
    <cellStyle name="20% - Accent2 8 3 3 3" xfId="4988"/>
    <cellStyle name="20% - Accent2 8 3 4" xfId="4989"/>
    <cellStyle name="20% - Accent2 8 3 4 2" xfId="4990"/>
    <cellStyle name="20% - Accent2 8 3 5" xfId="4991"/>
    <cellStyle name="20% - Accent2 8 3 5 2" xfId="4992"/>
    <cellStyle name="20% - Accent2 8 3 6" xfId="4993"/>
    <cellStyle name="20% - Accent2 8 4" xfId="4994"/>
    <cellStyle name="20% - Accent2 8 4 2" xfId="4995"/>
    <cellStyle name="20% - Accent2 8 4 2 2" xfId="4996"/>
    <cellStyle name="20% - Accent2 8 4 2 2 2" xfId="4997"/>
    <cellStyle name="20% - Accent2 8 4 2 3" xfId="4998"/>
    <cellStyle name="20% - Accent2 8 4 3" xfId="4999"/>
    <cellStyle name="20% - Accent2 8 4 3 2" xfId="5000"/>
    <cellStyle name="20% - Accent2 8 4 4" xfId="5001"/>
    <cellStyle name="20% - Accent2 8 5" xfId="5002"/>
    <cellStyle name="20% - Accent2 8 5 2" xfId="5003"/>
    <cellStyle name="20% - Accent2 8 5 2 2" xfId="5004"/>
    <cellStyle name="20% - Accent2 8 5 3" xfId="5005"/>
    <cellStyle name="20% - Accent2 8 6" xfId="5006"/>
    <cellStyle name="20% - Accent2 8 6 2" xfId="5007"/>
    <cellStyle name="20% - Accent2 8 7" xfId="5008"/>
    <cellStyle name="20% - Accent2 8 7 2" xfId="5009"/>
    <cellStyle name="20% - Accent2 8 8" xfId="5010"/>
    <cellStyle name="20% - Accent2 9" xfId="5011"/>
    <cellStyle name="20% - Accent2 9 2" xfId="5012"/>
    <cellStyle name="20% - Accent2 9 2 2" xfId="5013"/>
    <cellStyle name="20% - Accent2 9 2 2 2" xfId="5014"/>
    <cellStyle name="20% - Accent2 9 2 2 2 2" xfId="5015"/>
    <cellStyle name="20% - Accent2 9 2 2 2 2 2" xfId="5016"/>
    <cellStyle name="20% - Accent2 9 2 2 2 3" xfId="5017"/>
    <cellStyle name="20% - Accent2 9 2 2 3" xfId="5018"/>
    <cellStyle name="20% - Accent2 9 2 2 3 2" xfId="5019"/>
    <cellStyle name="20% - Accent2 9 2 2 4" xfId="5020"/>
    <cellStyle name="20% - Accent2 9 2 3" xfId="5021"/>
    <cellStyle name="20% - Accent2 9 2 3 2" xfId="5022"/>
    <cellStyle name="20% - Accent2 9 2 3 2 2" xfId="5023"/>
    <cellStyle name="20% - Accent2 9 2 3 3" xfId="5024"/>
    <cellStyle name="20% - Accent2 9 2 4" xfId="5025"/>
    <cellStyle name="20% - Accent2 9 2 4 2" xfId="5026"/>
    <cellStyle name="20% - Accent2 9 2 5" xfId="5027"/>
    <cellStyle name="20% - Accent2 9 2 5 2" xfId="5028"/>
    <cellStyle name="20% - Accent2 9 2 6" xfId="5029"/>
    <cellStyle name="20% - Accent2 9 3" xfId="5030"/>
    <cellStyle name="20% - Accent2 9 3 2" xfId="5031"/>
    <cellStyle name="20% - Accent2 9 3 2 2" xfId="5032"/>
    <cellStyle name="20% - Accent2 9 3 2 2 2" xfId="5033"/>
    <cellStyle name="20% - Accent2 9 3 2 2 2 2" xfId="5034"/>
    <cellStyle name="20% - Accent2 9 3 2 2 3" xfId="5035"/>
    <cellStyle name="20% - Accent2 9 3 2 3" xfId="5036"/>
    <cellStyle name="20% - Accent2 9 3 2 3 2" xfId="5037"/>
    <cellStyle name="20% - Accent2 9 3 2 4" xfId="5038"/>
    <cellStyle name="20% - Accent2 9 3 3" xfId="5039"/>
    <cellStyle name="20% - Accent2 9 3 3 2" xfId="5040"/>
    <cellStyle name="20% - Accent2 9 3 3 2 2" xfId="5041"/>
    <cellStyle name="20% - Accent2 9 3 3 3" xfId="5042"/>
    <cellStyle name="20% - Accent2 9 3 4" xfId="5043"/>
    <cellStyle name="20% - Accent2 9 3 4 2" xfId="5044"/>
    <cellStyle name="20% - Accent2 9 3 5" xfId="5045"/>
    <cellStyle name="20% - Accent2 9 3 5 2" xfId="5046"/>
    <cellStyle name="20% - Accent2 9 3 6" xfId="5047"/>
    <cellStyle name="20% - Accent2 9 4" xfId="5048"/>
    <cellStyle name="20% - Accent2 9 4 2" xfId="5049"/>
    <cellStyle name="20% - Accent2 9 4 2 2" xfId="5050"/>
    <cellStyle name="20% - Accent2 9 4 2 2 2" xfId="5051"/>
    <cellStyle name="20% - Accent2 9 4 2 3" xfId="5052"/>
    <cellStyle name="20% - Accent2 9 4 3" xfId="5053"/>
    <cellStyle name="20% - Accent2 9 4 3 2" xfId="5054"/>
    <cellStyle name="20% - Accent2 9 4 4" xfId="5055"/>
    <cellStyle name="20% - Accent2 9 5" xfId="5056"/>
    <cellStyle name="20% - Accent2 9 5 2" xfId="5057"/>
    <cellStyle name="20% - Accent2 9 5 2 2" xfId="5058"/>
    <cellStyle name="20% - Accent2 9 5 3" xfId="5059"/>
    <cellStyle name="20% - Accent2 9 6" xfId="5060"/>
    <cellStyle name="20% - Accent2 9 6 2" xfId="5061"/>
    <cellStyle name="20% - Accent2 9 7" xfId="5062"/>
    <cellStyle name="20% - Accent2 9 7 2" xfId="5063"/>
    <cellStyle name="20% - Accent2 9 8" xfId="5064"/>
    <cellStyle name="20% - Accent3 10" xfId="5065"/>
    <cellStyle name="20% - Accent3 10 2" xfId="5066"/>
    <cellStyle name="20% - Accent3 10 2 2" xfId="5067"/>
    <cellStyle name="20% - Accent3 10 2 2 2" xfId="5068"/>
    <cellStyle name="20% - Accent3 10 2 2 2 2" xfId="5069"/>
    <cellStyle name="20% - Accent3 10 2 2 3" xfId="5070"/>
    <cellStyle name="20% - Accent3 10 2 3" xfId="5071"/>
    <cellStyle name="20% - Accent3 10 2 3 2" xfId="5072"/>
    <cellStyle name="20% - Accent3 10 2 4" xfId="5073"/>
    <cellStyle name="20% - Accent3 10 3" xfId="5074"/>
    <cellStyle name="20% - Accent3 10 3 2" xfId="5075"/>
    <cellStyle name="20% - Accent3 10 3 2 2" xfId="5076"/>
    <cellStyle name="20% - Accent3 10 3 3" xfId="5077"/>
    <cellStyle name="20% - Accent3 10 4" xfId="5078"/>
    <cellStyle name="20% - Accent3 10 4 2" xfId="5079"/>
    <cellStyle name="20% - Accent3 10 5" xfId="5080"/>
    <cellStyle name="20% - Accent3 10 5 2" xfId="5081"/>
    <cellStyle name="20% - Accent3 10 6" xfId="5082"/>
    <cellStyle name="20% - Accent3 11" xfId="5083"/>
    <cellStyle name="20% - Accent3 11 2" xfId="5084"/>
    <cellStyle name="20% - Accent3 11 2 2" xfId="5085"/>
    <cellStyle name="20% - Accent3 11 2 2 2" xfId="5086"/>
    <cellStyle name="20% - Accent3 11 2 2 2 2" xfId="5087"/>
    <cellStyle name="20% - Accent3 11 2 2 3" xfId="5088"/>
    <cellStyle name="20% - Accent3 11 2 3" xfId="5089"/>
    <cellStyle name="20% - Accent3 11 2 3 2" xfId="5090"/>
    <cellStyle name="20% - Accent3 11 2 4" xfId="5091"/>
    <cellStyle name="20% - Accent3 11 3" xfId="5092"/>
    <cellStyle name="20% - Accent3 11 3 2" xfId="5093"/>
    <cellStyle name="20% - Accent3 11 3 2 2" xfId="5094"/>
    <cellStyle name="20% - Accent3 11 3 3" xfId="5095"/>
    <cellStyle name="20% - Accent3 11 4" xfId="5096"/>
    <cellStyle name="20% - Accent3 11 4 2" xfId="5097"/>
    <cellStyle name="20% - Accent3 11 5" xfId="5098"/>
    <cellStyle name="20% - Accent3 11 5 2" xfId="5099"/>
    <cellStyle name="20% - Accent3 11 6" xfId="5100"/>
    <cellStyle name="20% - Accent3 12" xfId="5101"/>
    <cellStyle name="20% - Accent3 12 2" xfId="5102"/>
    <cellStyle name="20% - Accent3 12 2 2" xfId="5103"/>
    <cellStyle name="20% - Accent3 12 2 2 2" xfId="5104"/>
    <cellStyle name="20% - Accent3 12 2 2 2 2" xfId="5105"/>
    <cellStyle name="20% - Accent3 12 2 2 3" xfId="5106"/>
    <cellStyle name="20% - Accent3 12 2 3" xfId="5107"/>
    <cellStyle name="20% - Accent3 12 2 3 2" xfId="5108"/>
    <cellStyle name="20% - Accent3 12 2 4" xfId="5109"/>
    <cellStyle name="20% - Accent3 12 3" xfId="5110"/>
    <cellStyle name="20% - Accent3 12 3 2" xfId="5111"/>
    <cellStyle name="20% - Accent3 12 3 2 2" xfId="5112"/>
    <cellStyle name="20% - Accent3 12 3 3" xfId="5113"/>
    <cellStyle name="20% - Accent3 12 4" xfId="5114"/>
    <cellStyle name="20% - Accent3 12 4 2" xfId="5115"/>
    <cellStyle name="20% - Accent3 12 5" xfId="5116"/>
    <cellStyle name="20% - Accent3 12 5 2" xfId="5117"/>
    <cellStyle name="20% - Accent3 12 6" xfId="5118"/>
    <cellStyle name="20% - Accent3 13" xfId="5119"/>
    <cellStyle name="20% - Accent3 13 2" xfId="5120"/>
    <cellStyle name="20% - Accent3 13 2 2" xfId="5121"/>
    <cellStyle name="20% - Accent3 13 2 2 2" xfId="5122"/>
    <cellStyle name="20% - Accent3 13 2 2 2 2" xfId="5123"/>
    <cellStyle name="20% - Accent3 13 2 2 3" xfId="5124"/>
    <cellStyle name="20% - Accent3 13 2 3" xfId="5125"/>
    <cellStyle name="20% - Accent3 13 2 3 2" xfId="5126"/>
    <cellStyle name="20% - Accent3 13 2 4" xfId="5127"/>
    <cellStyle name="20% - Accent3 13 3" xfId="5128"/>
    <cellStyle name="20% - Accent3 13 3 2" xfId="5129"/>
    <cellStyle name="20% - Accent3 13 3 2 2" xfId="5130"/>
    <cellStyle name="20% - Accent3 13 3 3" xfId="5131"/>
    <cellStyle name="20% - Accent3 13 4" xfId="5132"/>
    <cellStyle name="20% - Accent3 13 4 2" xfId="5133"/>
    <cellStyle name="20% - Accent3 13 5" xfId="5134"/>
    <cellStyle name="20% - Accent3 13 5 2" xfId="5135"/>
    <cellStyle name="20% - Accent3 13 6" xfId="5136"/>
    <cellStyle name="20% - Accent3 14" xfId="5137"/>
    <cellStyle name="20% - Accent3 14 2" xfId="5138"/>
    <cellStyle name="20% - Accent3 14 2 2" xfId="5139"/>
    <cellStyle name="20% - Accent3 14 2 2 2" xfId="5140"/>
    <cellStyle name="20% - Accent3 14 2 3" xfId="5141"/>
    <cellStyle name="20% - Accent3 14 3" xfId="5142"/>
    <cellStyle name="20% - Accent3 14 3 2" xfId="5143"/>
    <cellStyle name="20% - Accent3 14 4" xfId="5144"/>
    <cellStyle name="20% - Accent3 15" xfId="5145"/>
    <cellStyle name="20% - Accent3 15 2" xfId="5146"/>
    <cellStyle name="20% - Accent3 15 2 2" xfId="5147"/>
    <cellStyle name="20% - Accent3 15 3" xfId="5148"/>
    <cellStyle name="20% - Accent3 16" xfId="5149"/>
    <cellStyle name="20% - Accent3 16 2" xfId="5150"/>
    <cellStyle name="20% - Accent3 17" xfId="5151"/>
    <cellStyle name="20% - Accent3 17 2" xfId="5152"/>
    <cellStyle name="20% - Accent3 18" xfId="5153"/>
    <cellStyle name="20% - Accent3 2" xfId="5154"/>
    <cellStyle name="20% - Accent3 2 2" xfId="5155"/>
    <cellStyle name="20% - Accent3 3" xfId="5156"/>
    <cellStyle name="20% - Accent3 3 10" xfId="5157"/>
    <cellStyle name="20% - Accent3 3 10 2" xfId="5158"/>
    <cellStyle name="20% - Accent3 3 10 2 2" xfId="5159"/>
    <cellStyle name="20% - Accent3 3 10 2 2 2" xfId="5160"/>
    <cellStyle name="20% - Accent3 3 10 2 2 2 2" xfId="5161"/>
    <cellStyle name="20% - Accent3 3 10 2 2 3" xfId="5162"/>
    <cellStyle name="20% - Accent3 3 10 2 3" xfId="5163"/>
    <cellStyle name="20% - Accent3 3 10 2 3 2" xfId="5164"/>
    <cellStyle name="20% - Accent3 3 10 2 4" xfId="5165"/>
    <cellStyle name="20% - Accent3 3 10 3" xfId="5166"/>
    <cellStyle name="20% - Accent3 3 10 3 2" xfId="5167"/>
    <cellStyle name="20% - Accent3 3 10 3 2 2" xfId="5168"/>
    <cellStyle name="20% - Accent3 3 10 3 3" xfId="5169"/>
    <cellStyle name="20% - Accent3 3 10 4" xfId="5170"/>
    <cellStyle name="20% - Accent3 3 10 4 2" xfId="5171"/>
    <cellStyle name="20% - Accent3 3 10 5" xfId="5172"/>
    <cellStyle name="20% - Accent3 3 10 5 2" xfId="5173"/>
    <cellStyle name="20% - Accent3 3 10 6" xfId="5174"/>
    <cellStyle name="20% - Accent3 3 11" xfId="5175"/>
    <cellStyle name="20% - Accent3 3 11 2" xfId="5176"/>
    <cellStyle name="20% - Accent3 3 11 2 2" xfId="5177"/>
    <cellStyle name="20% - Accent3 3 11 2 2 2" xfId="5178"/>
    <cellStyle name="20% - Accent3 3 11 2 2 2 2" xfId="5179"/>
    <cellStyle name="20% - Accent3 3 11 2 2 3" xfId="5180"/>
    <cellStyle name="20% - Accent3 3 11 2 3" xfId="5181"/>
    <cellStyle name="20% - Accent3 3 11 2 3 2" xfId="5182"/>
    <cellStyle name="20% - Accent3 3 11 2 4" xfId="5183"/>
    <cellStyle name="20% - Accent3 3 11 3" xfId="5184"/>
    <cellStyle name="20% - Accent3 3 11 3 2" xfId="5185"/>
    <cellStyle name="20% - Accent3 3 11 3 2 2" xfId="5186"/>
    <cellStyle name="20% - Accent3 3 11 3 3" xfId="5187"/>
    <cellStyle name="20% - Accent3 3 11 4" xfId="5188"/>
    <cellStyle name="20% - Accent3 3 11 4 2" xfId="5189"/>
    <cellStyle name="20% - Accent3 3 11 5" xfId="5190"/>
    <cellStyle name="20% - Accent3 3 11 5 2" xfId="5191"/>
    <cellStyle name="20% - Accent3 3 11 6" xfId="5192"/>
    <cellStyle name="20% - Accent3 3 12" xfId="5193"/>
    <cellStyle name="20% - Accent3 3 12 2" xfId="5194"/>
    <cellStyle name="20% - Accent3 3 12 2 2" xfId="5195"/>
    <cellStyle name="20% - Accent3 3 12 2 2 2" xfId="5196"/>
    <cellStyle name="20% - Accent3 3 12 2 3" xfId="5197"/>
    <cellStyle name="20% - Accent3 3 12 3" xfId="5198"/>
    <cellStyle name="20% - Accent3 3 12 3 2" xfId="5199"/>
    <cellStyle name="20% - Accent3 3 12 4" xfId="5200"/>
    <cellStyle name="20% - Accent3 3 13" xfId="5201"/>
    <cellStyle name="20% - Accent3 3 13 2" xfId="5202"/>
    <cellStyle name="20% - Accent3 3 13 2 2" xfId="5203"/>
    <cellStyle name="20% - Accent3 3 13 3" xfId="5204"/>
    <cellStyle name="20% - Accent3 3 13 4" xfId="5205"/>
    <cellStyle name="20% - Accent3 3 14" xfId="5206"/>
    <cellStyle name="20% - Accent3 3 14 2" xfId="5207"/>
    <cellStyle name="20% - Accent3 3 15" xfId="5208"/>
    <cellStyle name="20% - Accent3 3 15 2" xfId="5209"/>
    <cellStyle name="20% - Accent3 3 16" xfId="5210"/>
    <cellStyle name="20% - Accent3 3 2" xfId="5211"/>
    <cellStyle name="20% - Accent3 3 2 10" xfId="5212"/>
    <cellStyle name="20% - Accent3 3 2 10 2" xfId="5213"/>
    <cellStyle name="20% - Accent3 3 2 10 2 2" xfId="5214"/>
    <cellStyle name="20% - Accent3 3 2 10 2 2 2" xfId="5215"/>
    <cellStyle name="20% - Accent3 3 2 10 2 2 2 2" xfId="5216"/>
    <cellStyle name="20% - Accent3 3 2 10 2 2 3" xfId="5217"/>
    <cellStyle name="20% - Accent3 3 2 10 2 3" xfId="5218"/>
    <cellStyle name="20% - Accent3 3 2 10 2 3 2" xfId="5219"/>
    <cellStyle name="20% - Accent3 3 2 10 2 4" xfId="5220"/>
    <cellStyle name="20% - Accent3 3 2 10 3" xfId="5221"/>
    <cellStyle name="20% - Accent3 3 2 10 3 2" xfId="5222"/>
    <cellStyle name="20% - Accent3 3 2 10 3 2 2" xfId="5223"/>
    <cellStyle name="20% - Accent3 3 2 10 3 3" xfId="5224"/>
    <cellStyle name="20% - Accent3 3 2 10 4" xfId="5225"/>
    <cellStyle name="20% - Accent3 3 2 10 4 2" xfId="5226"/>
    <cellStyle name="20% - Accent3 3 2 10 5" xfId="5227"/>
    <cellStyle name="20% - Accent3 3 2 10 5 2" xfId="5228"/>
    <cellStyle name="20% - Accent3 3 2 10 6" xfId="5229"/>
    <cellStyle name="20% - Accent3 3 2 11" xfId="5230"/>
    <cellStyle name="20% - Accent3 3 2 11 2" xfId="5231"/>
    <cellStyle name="20% - Accent3 3 2 11 2 2" xfId="5232"/>
    <cellStyle name="20% - Accent3 3 2 11 2 2 2" xfId="5233"/>
    <cellStyle name="20% - Accent3 3 2 11 2 3" xfId="5234"/>
    <cellStyle name="20% - Accent3 3 2 11 3" xfId="5235"/>
    <cellStyle name="20% - Accent3 3 2 11 3 2" xfId="5236"/>
    <cellStyle name="20% - Accent3 3 2 11 4" xfId="5237"/>
    <cellStyle name="20% - Accent3 3 2 12" xfId="5238"/>
    <cellStyle name="20% - Accent3 3 2 12 2" xfId="5239"/>
    <cellStyle name="20% - Accent3 3 2 12 2 2" xfId="5240"/>
    <cellStyle name="20% - Accent3 3 2 12 3" xfId="5241"/>
    <cellStyle name="20% - Accent3 3 2 13" xfId="5242"/>
    <cellStyle name="20% - Accent3 3 2 13 2" xfId="5243"/>
    <cellStyle name="20% - Accent3 3 2 14" xfId="5244"/>
    <cellStyle name="20% - Accent3 3 2 14 2" xfId="5245"/>
    <cellStyle name="20% - Accent3 3 2 15" xfId="5246"/>
    <cellStyle name="20% - Accent3 3 2 2" xfId="5247"/>
    <cellStyle name="20% - Accent3 3 2 2 10" xfId="5248"/>
    <cellStyle name="20% - Accent3 3 2 2 10 2" xfId="5249"/>
    <cellStyle name="20% - Accent3 3 2 2 11" xfId="5250"/>
    <cellStyle name="20% - Accent3 3 2 2 2" xfId="5251"/>
    <cellStyle name="20% - Accent3 3 2 2 2 2" xfId="5252"/>
    <cellStyle name="20% - Accent3 3 2 2 2 2 2" xfId="5253"/>
    <cellStyle name="20% - Accent3 3 2 2 2 2 2 2" xfId="5254"/>
    <cellStyle name="20% - Accent3 3 2 2 2 2 2 2 2" xfId="5255"/>
    <cellStyle name="20% - Accent3 3 2 2 2 2 2 2 2 2" xfId="5256"/>
    <cellStyle name="20% - Accent3 3 2 2 2 2 2 2 3" xfId="5257"/>
    <cellStyle name="20% - Accent3 3 2 2 2 2 2 3" xfId="5258"/>
    <cellStyle name="20% - Accent3 3 2 2 2 2 2 3 2" xfId="5259"/>
    <cellStyle name="20% - Accent3 3 2 2 2 2 2 4" xfId="5260"/>
    <cellStyle name="20% - Accent3 3 2 2 2 2 3" xfId="5261"/>
    <cellStyle name="20% - Accent3 3 2 2 2 2 3 2" xfId="5262"/>
    <cellStyle name="20% - Accent3 3 2 2 2 2 3 2 2" xfId="5263"/>
    <cellStyle name="20% - Accent3 3 2 2 2 2 3 3" xfId="5264"/>
    <cellStyle name="20% - Accent3 3 2 2 2 2 4" xfId="5265"/>
    <cellStyle name="20% - Accent3 3 2 2 2 2 4 2" xfId="5266"/>
    <cellStyle name="20% - Accent3 3 2 2 2 2 5" xfId="5267"/>
    <cellStyle name="20% - Accent3 3 2 2 2 2 5 2" xfId="5268"/>
    <cellStyle name="20% - Accent3 3 2 2 2 2 6" xfId="5269"/>
    <cellStyle name="20% - Accent3 3 2 2 2 3" xfId="5270"/>
    <cellStyle name="20% - Accent3 3 2 2 2 3 2" xfId="5271"/>
    <cellStyle name="20% - Accent3 3 2 2 2 3 2 2" xfId="5272"/>
    <cellStyle name="20% - Accent3 3 2 2 2 3 2 2 2" xfId="5273"/>
    <cellStyle name="20% - Accent3 3 2 2 2 3 2 2 2 2" xfId="5274"/>
    <cellStyle name="20% - Accent3 3 2 2 2 3 2 2 3" xfId="5275"/>
    <cellStyle name="20% - Accent3 3 2 2 2 3 2 3" xfId="5276"/>
    <cellStyle name="20% - Accent3 3 2 2 2 3 2 3 2" xfId="5277"/>
    <cellStyle name="20% - Accent3 3 2 2 2 3 2 4" xfId="5278"/>
    <cellStyle name="20% - Accent3 3 2 2 2 3 3" xfId="5279"/>
    <cellStyle name="20% - Accent3 3 2 2 2 3 3 2" xfId="5280"/>
    <cellStyle name="20% - Accent3 3 2 2 2 3 3 2 2" xfId="5281"/>
    <cellStyle name="20% - Accent3 3 2 2 2 3 3 3" xfId="5282"/>
    <cellStyle name="20% - Accent3 3 2 2 2 3 4" xfId="5283"/>
    <cellStyle name="20% - Accent3 3 2 2 2 3 4 2" xfId="5284"/>
    <cellStyle name="20% - Accent3 3 2 2 2 3 5" xfId="5285"/>
    <cellStyle name="20% - Accent3 3 2 2 2 3 5 2" xfId="5286"/>
    <cellStyle name="20% - Accent3 3 2 2 2 3 6" xfId="5287"/>
    <cellStyle name="20% - Accent3 3 2 2 2 4" xfId="5288"/>
    <cellStyle name="20% - Accent3 3 2 2 2 4 2" xfId="5289"/>
    <cellStyle name="20% - Accent3 3 2 2 2 4 2 2" xfId="5290"/>
    <cellStyle name="20% - Accent3 3 2 2 2 4 2 2 2" xfId="5291"/>
    <cellStyle name="20% - Accent3 3 2 2 2 4 2 3" xfId="5292"/>
    <cellStyle name="20% - Accent3 3 2 2 2 4 3" xfId="5293"/>
    <cellStyle name="20% - Accent3 3 2 2 2 4 3 2" xfId="5294"/>
    <cellStyle name="20% - Accent3 3 2 2 2 4 4" xfId="5295"/>
    <cellStyle name="20% - Accent3 3 2 2 2 5" xfId="5296"/>
    <cellStyle name="20% - Accent3 3 2 2 2 5 2" xfId="5297"/>
    <cellStyle name="20% - Accent3 3 2 2 2 5 2 2" xfId="5298"/>
    <cellStyle name="20% - Accent3 3 2 2 2 5 3" xfId="5299"/>
    <cellStyle name="20% - Accent3 3 2 2 2 6" xfId="5300"/>
    <cellStyle name="20% - Accent3 3 2 2 2 6 2" xfId="5301"/>
    <cellStyle name="20% - Accent3 3 2 2 2 7" xfId="5302"/>
    <cellStyle name="20% - Accent3 3 2 2 2 7 2" xfId="5303"/>
    <cellStyle name="20% - Accent3 3 2 2 2 8" xfId="5304"/>
    <cellStyle name="20% - Accent3 3 2 2 3" xfId="5305"/>
    <cellStyle name="20% - Accent3 3 2 2 3 2" xfId="5306"/>
    <cellStyle name="20% - Accent3 3 2 2 3 2 2" xfId="5307"/>
    <cellStyle name="20% - Accent3 3 2 2 3 2 2 2" xfId="5308"/>
    <cellStyle name="20% - Accent3 3 2 2 3 2 2 2 2" xfId="5309"/>
    <cellStyle name="20% - Accent3 3 2 2 3 2 2 2 2 2" xfId="5310"/>
    <cellStyle name="20% - Accent3 3 2 2 3 2 2 2 3" xfId="5311"/>
    <cellStyle name="20% - Accent3 3 2 2 3 2 2 3" xfId="5312"/>
    <cellStyle name="20% - Accent3 3 2 2 3 2 2 3 2" xfId="5313"/>
    <cellStyle name="20% - Accent3 3 2 2 3 2 2 4" xfId="5314"/>
    <cellStyle name="20% - Accent3 3 2 2 3 2 3" xfId="5315"/>
    <cellStyle name="20% - Accent3 3 2 2 3 2 3 2" xfId="5316"/>
    <cellStyle name="20% - Accent3 3 2 2 3 2 3 2 2" xfId="5317"/>
    <cellStyle name="20% - Accent3 3 2 2 3 2 3 3" xfId="5318"/>
    <cellStyle name="20% - Accent3 3 2 2 3 2 4" xfId="5319"/>
    <cellStyle name="20% - Accent3 3 2 2 3 2 4 2" xfId="5320"/>
    <cellStyle name="20% - Accent3 3 2 2 3 2 5" xfId="5321"/>
    <cellStyle name="20% - Accent3 3 2 2 3 2 5 2" xfId="5322"/>
    <cellStyle name="20% - Accent3 3 2 2 3 2 6" xfId="5323"/>
    <cellStyle name="20% - Accent3 3 2 2 3 3" xfId="5324"/>
    <cellStyle name="20% - Accent3 3 2 2 3 3 2" xfId="5325"/>
    <cellStyle name="20% - Accent3 3 2 2 3 3 2 2" xfId="5326"/>
    <cellStyle name="20% - Accent3 3 2 2 3 3 2 2 2" xfId="5327"/>
    <cellStyle name="20% - Accent3 3 2 2 3 3 2 2 2 2" xfId="5328"/>
    <cellStyle name="20% - Accent3 3 2 2 3 3 2 2 3" xfId="5329"/>
    <cellStyle name="20% - Accent3 3 2 2 3 3 2 3" xfId="5330"/>
    <cellStyle name="20% - Accent3 3 2 2 3 3 2 3 2" xfId="5331"/>
    <cellStyle name="20% - Accent3 3 2 2 3 3 2 4" xfId="5332"/>
    <cellStyle name="20% - Accent3 3 2 2 3 3 3" xfId="5333"/>
    <cellStyle name="20% - Accent3 3 2 2 3 3 3 2" xfId="5334"/>
    <cellStyle name="20% - Accent3 3 2 2 3 3 3 2 2" xfId="5335"/>
    <cellStyle name="20% - Accent3 3 2 2 3 3 3 3" xfId="5336"/>
    <cellStyle name="20% - Accent3 3 2 2 3 3 4" xfId="5337"/>
    <cellStyle name="20% - Accent3 3 2 2 3 3 4 2" xfId="5338"/>
    <cellStyle name="20% - Accent3 3 2 2 3 3 5" xfId="5339"/>
    <cellStyle name="20% - Accent3 3 2 2 3 3 5 2" xfId="5340"/>
    <cellStyle name="20% - Accent3 3 2 2 3 3 6" xfId="5341"/>
    <cellStyle name="20% - Accent3 3 2 2 3 4" xfId="5342"/>
    <cellStyle name="20% - Accent3 3 2 2 3 4 2" xfId="5343"/>
    <cellStyle name="20% - Accent3 3 2 2 3 4 2 2" xfId="5344"/>
    <cellStyle name="20% - Accent3 3 2 2 3 4 2 2 2" xfId="5345"/>
    <cellStyle name="20% - Accent3 3 2 2 3 4 2 3" xfId="5346"/>
    <cellStyle name="20% - Accent3 3 2 2 3 4 3" xfId="5347"/>
    <cellStyle name="20% - Accent3 3 2 2 3 4 3 2" xfId="5348"/>
    <cellStyle name="20% - Accent3 3 2 2 3 4 4" xfId="5349"/>
    <cellStyle name="20% - Accent3 3 2 2 3 5" xfId="5350"/>
    <cellStyle name="20% - Accent3 3 2 2 3 5 2" xfId="5351"/>
    <cellStyle name="20% - Accent3 3 2 2 3 5 2 2" xfId="5352"/>
    <cellStyle name="20% - Accent3 3 2 2 3 5 3" xfId="5353"/>
    <cellStyle name="20% - Accent3 3 2 2 3 6" xfId="5354"/>
    <cellStyle name="20% - Accent3 3 2 2 3 6 2" xfId="5355"/>
    <cellStyle name="20% - Accent3 3 2 2 3 7" xfId="5356"/>
    <cellStyle name="20% - Accent3 3 2 2 3 7 2" xfId="5357"/>
    <cellStyle name="20% - Accent3 3 2 2 3 8" xfId="5358"/>
    <cellStyle name="20% - Accent3 3 2 2 4" xfId="5359"/>
    <cellStyle name="20% - Accent3 3 2 2 4 2" xfId="5360"/>
    <cellStyle name="20% - Accent3 3 2 2 4 2 2" xfId="5361"/>
    <cellStyle name="20% - Accent3 3 2 2 4 2 2 2" xfId="5362"/>
    <cellStyle name="20% - Accent3 3 2 2 4 2 2 2 2" xfId="5363"/>
    <cellStyle name="20% - Accent3 3 2 2 4 2 2 3" xfId="5364"/>
    <cellStyle name="20% - Accent3 3 2 2 4 2 3" xfId="5365"/>
    <cellStyle name="20% - Accent3 3 2 2 4 2 3 2" xfId="5366"/>
    <cellStyle name="20% - Accent3 3 2 2 4 2 4" xfId="5367"/>
    <cellStyle name="20% - Accent3 3 2 2 4 3" xfId="5368"/>
    <cellStyle name="20% - Accent3 3 2 2 4 3 2" xfId="5369"/>
    <cellStyle name="20% - Accent3 3 2 2 4 3 2 2" xfId="5370"/>
    <cellStyle name="20% - Accent3 3 2 2 4 3 3" xfId="5371"/>
    <cellStyle name="20% - Accent3 3 2 2 4 4" xfId="5372"/>
    <cellStyle name="20% - Accent3 3 2 2 4 4 2" xfId="5373"/>
    <cellStyle name="20% - Accent3 3 2 2 4 5" xfId="5374"/>
    <cellStyle name="20% - Accent3 3 2 2 4 5 2" xfId="5375"/>
    <cellStyle name="20% - Accent3 3 2 2 4 6" xfId="5376"/>
    <cellStyle name="20% - Accent3 3 2 2 5" xfId="5377"/>
    <cellStyle name="20% - Accent3 3 2 2 5 2" xfId="5378"/>
    <cellStyle name="20% - Accent3 3 2 2 5 2 2" xfId="5379"/>
    <cellStyle name="20% - Accent3 3 2 2 5 2 2 2" xfId="5380"/>
    <cellStyle name="20% - Accent3 3 2 2 5 2 2 2 2" xfId="5381"/>
    <cellStyle name="20% - Accent3 3 2 2 5 2 2 3" xfId="5382"/>
    <cellStyle name="20% - Accent3 3 2 2 5 2 3" xfId="5383"/>
    <cellStyle name="20% - Accent3 3 2 2 5 2 3 2" xfId="5384"/>
    <cellStyle name="20% - Accent3 3 2 2 5 2 4" xfId="5385"/>
    <cellStyle name="20% - Accent3 3 2 2 5 3" xfId="5386"/>
    <cellStyle name="20% - Accent3 3 2 2 5 3 2" xfId="5387"/>
    <cellStyle name="20% - Accent3 3 2 2 5 3 2 2" xfId="5388"/>
    <cellStyle name="20% - Accent3 3 2 2 5 3 3" xfId="5389"/>
    <cellStyle name="20% - Accent3 3 2 2 5 4" xfId="5390"/>
    <cellStyle name="20% - Accent3 3 2 2 5 4 2" xfId="5391"/>
    <cellStyle name="20% - Accent3 3 2 2 5 5" xfId="5392"/>
    <cellStyle name="20% - Accent3 3 2 2 5 5 2" xfId="5393"/>
    <cellStyle name="20% - Accent3 3 2 2 5 6" xfId="5394"/>
    <cellStyle name="20% - Accent3 3 2 2 6" xfId="5395"/>
    <cellStyle name="20% - Accent3 3 2 2 6 2" xfId="5396"/>
    <cellStyle name="20% - Accent3 3 2 2 6 2 2" xfId="5397"/>
    <cellStyle name="20% - Accent3 3 2 2 6 2 2 2" xfId="5398"/>
    <cellStyle name="20% - Accent3 3 2 2 6 2 2 2 2" xfId="5399"/>
    <cellStyle name="20% - Accent3 3 2 2 6 2 2 3" xfId="5400"/>
    <cellStyle name="20% - Accent3 3 2 2 6 2 3" xfId="5401"/>
    <cellStyle name="20% - Accent3 3 2 2 6 2 3 2" xfId="5402"/>
    <cellStyle name="20% - Accent3 3 2 2 6 2 4" xfId="5403"/>
    <cellStyle name="20% - Accent3 3 2 2 6 3" xfId="5404"/>
    <cellStyle name="20% - Accent3 3 2 2 6 3 2" xfId="5405"/>
    <cellStyle name="20% - Accent3 3 2 2 6 3 2 2" xfId="5406"/>
    <cellStyle name="20% - Accent3 3 2 2 6 3 3" xfId="5407"/>
    <cellStyle name="20% - Accent3 3 2 2 6 4" xfId="5408"/>
    <cellStyle name="20% - Accent3 3 2 2 6 4 2" xfId="5409"/>
    <cellStyle name="20% - Accent3 3 2 2 6 5" xfId="5410"/>
    <cellStyle name="20% - Accent3 3 2 2 6 5 2" xfId="5411"/>
    <cellStyle name="20% - Accent3 3 2 2 6 6" xfId="5412"/>
    <cellStyle name="20% - Accent3 3 2 2 7" xfId="5413"/>
    <cellStyle name="20% - Accent3 3 2 2 7 2" xfId="5414"/>
    <cellStyle name="20% - Accent3 3 2 2 7 2 2" xfId="5415"/>
    <cellStyle name="20% - Accent3 3 2 2 7 2 2 2" xfId="5416"/>
    <cellStyle name="20% - Accent3 3 2 2 7 2 3" xfId="5417"/>
    <cellStyle name="20% - Accent3 3 2 2 7 3" xfId="5418"/>
    <cellStyle name="20% - Accent3 3 2 2 7 3 2" xfId="5419"/>
    <cellStyle name="20% - Accent3 3 2 2 7 4" xfId="5420"/>
    <cellStyle name="20% - Accent3 3 2 2 8" xfId="5421"/>
    <cellStyle name="20% - Accent3 3 2 2 8 2" xfId="5422"/>
    <cellStyle name="20% - Accent3 3 2 2 8 2 2" xfId="5423"/>
    <cellStyle name="20% - Accent3 3 2 2 8 3" xfId="5424"/>
    <cellStyle name="20% - Accent3 3 2 2 9" xfId="5425"/>
    <cellStyle name="20% - Accent3 3 2 2 9 2" xfId="5426"/>
    <cellStyle name="20% - Accent3 3 2 3" xfId="5427"/>
    <cellStyle name="20% - Accent3 3 2 3 10" xfId="5428"/>
    <cellStyle name="20% - Accent3 3 2 3 10 2" xfId="5429"/>
    <cellStyle name="20% - Accent3 3 2 3 11" xfId="5430"/>
    <cellStyle name="20% - Accent3 3 2 3 2" xfId="5431"/>
    <cellStyle name="20% - Accent3 3 2 3 2 2" xfId="5432"/>
    <cellStyle name="20% - Accent3 3 2 3 2 2 2" xfId="5433"/>
    <cellStyle name="20% - Accent3 3 2 3 2 2 2 2" xfId="5434"/>
    <cellStyle name="20% - Accent3 3 2 3 2 2 2 2 2" xfId="5435"/>
    <cellStyle name="20% - Accent3 3 2 3 2 2 2 2 2 2" xfId="5436"/>
    <cellStyle name="20% - Accent3 3 2 3 2 2 2 2 3" xfId="5437"/>
    <cellStyle name="20% - Accent3 3 2 3 2 2 2 3" xfId="5438"/>
    <cellStyle name="20% - Accent3 3 2 3 2 2 2 3 2" xfId="5439"/>
    <cellStyle name="20% - Accent3 3 2 3 2 2 2 4" xfId="5440"/>
    <cellStyle name="20% - Accent3 3 2 3 2 2 3" xfId="5441"/>
    <cellStyle name="20% - Accent3 3 2 3 2 2 3 2" xfId="5442"/>
    <cellStyle name="20% - Accent3 3 2 3 2 2 3 2 2" xfId="5443"/>
    <cellStyle name="20% - Accent3 3 2 3 2 2 3 3" xfId="5444"/>
    <cellStyle name="20% - Accent3 3 2 3 2 2 4" xfId="5445"/>
    <cellStyle name="20% - Accent3 3 2 3 2 2 4 2" xfId="5446"/>
    <cellStyle name="20% - Accent3 3 2 3 2 2 5" xfId="5447"/>
    <cellStyle name="20% - Accent3 3 2 3 2 2 5 2" xfId="5448"/>
    <cellStyle name="20% - Accent3 3 2 3 2 2 6" xfId="5449"/>
    <cellStyle name="20% - Accent3 3 2 3 2 3" xfId="5450"/>
    <cellStyle name="20% - Accent3 3 2 3 2 3 2" xfId="5451"/>
    <cellStyle name="20% - Accent3 3 2 3 2 3 2 2" xfId="5452"/>
    <cellStyle name="20% - Accent3 3 2 3 2 3 2 2 2" xfId="5453"/>
    <cellStyle name="20% - Accent3 3 2 3 2 3 2 2 2 2" xfId="5454"/>
    <cellStyle name="20% - Accent3 3 2 3 2 3 2 2 3" xfId="5455"/>
    <cellStyle name="20% - Accent3 3 2 3 2 3 2 3" xfId="5456"/>
    <cellStyle name="20% - Accent3 3 2 3 2 3 2 3 2" xfId="5457"/>
    <cellStyle name="20% - Accent3 3 2 3 2 3 2 4" xfId="5458"/>
    <cellStyle name="20% - Accent3 3 2 3 2 3 3" xfId="5459"/>
    <cellStyle name="20% - Accent3 3 2 3 2 3 3 2" xfId="5460"/>
    <cellStyle name="20% - Accent3 3 2 3 2 3 3 2 2" xfId="5461"/>
    <cellStyle name="20% - Accent3 3 2 3 2 3 3 3" xfId="5462"/>
    <cellStyle name="20% - Accent3 3 2 3 2 3 4" xfId="5463"/>
    <cellStyle name="20% - Accent3 3 2 3 2 3 4 2" xfId="5464"/>
    <cellStyle name="20% - Accent3 3 2 3 2 3 5" xfId="5465"/>
    <cellStyle name="20% - Accent3 3 2 3 2 3 5 2" xfId="5466"/>
    <cellStyle name="20% - Accent3 3 2 3 2 3 6" xfId="5467"/>
    <cellStyle name="20% - Accent3 3 2 3 2 4" xfId="5468"/>
    <cellStyle name="20% - Accent3 3 2 3 2 4 2" xfId="5469"/>
    <cellStyle name="20% - Accent3 3 2 3 2 4 2 2" xfId="5470"/>
    <cellStyle name="20% - Accent3 3 2 3 2 4 2 2 2" xfId="5471"/>
    <cellStyle name="20% - Accent3 3 2 3 2 4 2 3" xfId="5472"/>
    <cellStyle name="20% - Accent3 3 2 3 2 4 3" xfId="5473"/>
    <cellStyle name="20% - Accent3 3 2 3 2 4 3 2" xfId="5474"/>
    <cellStyle name="20% - Accent3 3 2 3 2 4 4" xfId="5475"/>
    <cellStyle name="20% - Accent3 3 2 3 2 5" xfId="5476"/>
    <cellStyle name="20% - Accent3 3 2 3 2 5 2" xfId="5477"/>
    <cellStyle name="20% - Accent3 3 2 3 2 5 2 2" xfId="5478"/>
    <cellStyle name="20% - Accent3 3 2 3 2 5 3" xfId="5479"/>
    <cellStyle name="20% - Accent3 3 2 3 2 6" xfId="5480"/>
    <cellStyle name="20% - Accent3 3 2 3 2 6 2" xfId="5481"/>
    <cellStyle name="20% - Accent3 3 2 3 2 7" xfId="5482"/>
    <cellStyle name="20% - Accent3 3 2 3 2 7 2" xfId="5483"/>
    <cellStyle name="20% - Accent3 3 2 3 2 8" xfId="5484"/>
    <cellStyle name="20% - Accent3 3 2 3 3" xfId="5485"/>
    <cellStyle name="20% - Accent3 3 2 3 3 2" xfId="5486"/>
    <cellStyle name="20% - Accent3 3 2 3 3 2 2" xfId="5487"/>
    <cellStyle name="20% - Accent3 3 2 3 3 2 2 2" xfId="5488"/>
    <cellStyle name="20% - Accent3 3 2 3 3 2 2 2 2" xfId="5489"/>
    <cellStyle name="20% - Accent3 3 2 3 3 2 2 2 2 2" xfId="5490"/>
    <cellStyle name="20% - Accent3 3 2 3 3 2 2 2 3" xfId="5491"/>
    <cellStyle name="20% - Accent3 3 2 3 3 2 2 3" xfId="5492"/>
    <cellStyle name="20% - Accent3 3 2 3 3 2 2 3 2" xfId="5493"/>
    <cellStyle name="20% - Accent3 3 2 3 3 2 2 4" xfId="5494"/>
    <cellStyle name="20% - Accent3 3 2 3 3 2 3" xfId="5495"/>
    <cellStyle name="20% - Accent3 3 2 3 3 2 3 2" xfId="5496"/>
    <cellStyle name="20% - Accent3 3 2 3 3 2 3 2 2" xfId="5497"/>
    <cellStyle name="20% - Accent3 3 2 3 3 2 3 3" xfId="5498"/>
    <cellStyle name="20% - Accent3 3 2 3 3 2 4" xfId="5499"/>
    <cellStyle name="20% - Accent3 3 2 3 3 2 4 2" xfId="5500"/>
    <cellStyle name="20% - Accent3 3 2 3 3 2 5" xfId="5501"/>
    <cellStyle name="20% - Accent3 3 2 3 3 2 5 2" xfId="5502"/>
    <cellStyle name="20% - Accent3 3 2 3 3 2 6" xfId="5503"/>
    <cellStyle name="20% - Accent3 3 2 3 3 3" xfId="5504"/>
    <cellStyle name="20% - Accent3 3 2 3 3 3 2" xfId="5505"/>
    <cellStyle name="20% - Accent3 3 2 3 3 3 2 2" xfId="5506"/>
    <cellStyle name="20% - Accent3 3 2 3 3 3 2 2 2" xfId="5507"/>
    <cellStyle name="20% - Accent3 3 2 3 3 3 2 2 2 2" xfId="5508"/>
    <cellStyle name="20% - Accent3 3 2 3 3 3 2 2 3" xfId="5509"/>
    <cellStyle name="20% - Accent3 3 2 3 3 3 2 3" xfId="5510"/>
    <cellStyle name="20% - Accent3 3 2 3 3 3 2 3 2" xfId="5511"/>
    <cellStyle name="20% - Accent3 3 2 3 3 3 2 4" xfId="5512"/>
    <cellStyle name="20% - Accent3 3 2 3 3 3 3" xfId="5513"/>
    <cellStyle name="20% - Accent3 3 2 3 3 3 3 2" xfId="5514"/>
    <cellStyle name="20% - Accent3 3 2 3 3 3 3 2 2" xfId="5515"/>
    <cellStyle name="20% - Accent3 3 2 3 3 3 3 3" xfId="5516"/>
    <cellStyle name="20% - Accent3 3 2 3 3 3 4" xfId="5517"/>
    <cellStyle name="20% - Accent3 3 2 3 3 3 4 2" xfId="5518"/>
    <cellStyle name="20% - Accent3 3 2 3 3 3 5" xfId="5519"/>
    <cellStyle name="20% - Accent3 3 2 3 3 3 5 2" xfId="5520"/>
    <cellStyle name="20% - Accent3 3 2 3 3 3 6" xfId="5521"/>
    <cellStyle name="20% - Accent3 3 2 3 3 4" xfId="5522"/>
    <cellStyle name="20% - Accent3 3 2 3 3 4 2" xfId="5523"/>
    <cellStyle name="20% - Accent3 3 2 3 3 4 2 2" xfId="5524"/>
    <cellStyle name="20% - Accent3 3 2 3 3 4 2 2 2" xfId="5525"/>
    <cellStyle name="20% - Accent3 3 2 3 3 4 2 3" xfId="5526"/>
    <cellStyle name="20% - Accent3 3 2 3 3 4 3" xfId="5527"/>
    <cellStyle name="20% - Accent3 3 2 3 3 4 3 2" xfId="5528"/>
    <cellStyle name="20% - Accent3 3 2 3 3 4 4" xfId="5529"/>
    <cellStyle name="20% - Accent3 3 2 3 3 5" xfId="5530"/>
    <cellStyle name="20% - Accent3 3 2 3 3 5 2" xfId="5531"/>
    <cellStyle name="20% - Accent3 3 2 3 3 5 2 2" xfId="5532"/>
    <cellStyle name="20% - Accent3 3 2 3 3 5 3" xfId="5533"/>
    <cellStyle name="20% - Accent3 3 2 3 3 6" xfId="5534"/>
    <cellStyle name="20% - Accent3 3 2 3 3 6 2" xfId="5535"/>
    <cellStyle name="20% - Accent3 3 2 3 3 7" xfId="5536"/>
    <cellStyle name="20% - Accent3 3 2 3 3 7 2" xfId="5537"/>
    <cellStyle name="20% - Accent3 3 2 3 3 8" xfId="5538"/>
    <cellStyle name="20% - Accent3 3 2 3 4" xfId="5539"/>
    <cellStyle name="20% - Accent3 3 2 3 4 2" xfId="5540"/>
    <cellStyle name="20% - Accent3 3 2 3 4 2 2" xfId="5541"/>
    <cellStyle name="20% - Accent3 3 2 3 4 2 2 2" xfId="5542"/>
    <cellStyle name="20% - Accent3 3 2 3 4 2 2 2 2" xfId="5543"/>
    <cellStyle name="20% - Accent3 3 2 3 4 2 2 3" xfId="5544"/>
    <cellStyle name="20% - Accent3 3 2 3 4 2 3" xfId="5545"/>
    <cellStyle name="20% - Accent3 3 2 3 4 2 3 2" xfId="5546"/>
    <cellStyle name="20% - Accent3 3 2 3 4 2 4" xfId="5547"/>
    <cellStyle name="20% - Accent3 3 2 3 4 3" xfId="5548"/>
    <cellStyle name="20% - Accent3 3 2 3 4 3 2" xfId="5549"/>
    <cellStyle name="20% - Accent3 3 2 3 4 3 2 2" xfId="5550"/>
    <cellStyle name="20% - Accent3 3 2 3 4 3 3" xfId="5551"/>
    <cellStyle name="20% - Accent3 3 2 3 4 4" xfId="5552"/>
    <cellStyle name="20% - Accent3 3 2 3 4 4 2" xfId="5553"/>
    <cellStyle name="20% - Accent3 3 2 3 4 5" xfId="5554"/>
    <cellStyle name="20% - Accent3 3 2 3 4 5 2" xfId="5555"/>
    <cellStyle name="20% - Accent3 3 2 3 4 6" xfId="5556"/>
    <cellStyle name="20% - Accent3 3 2 3 5" xfId="5557"/>
    <cellStyle name="20% - Accent3 3 2 3 5 2" xfId="5558"/>
    <cellStyle name="20% - Accent3 3 2 3 5 2 2" xfId="5559"/>
    <cellStyle name="20% - Accent3 3 2 3 5 2 2 2" xfId="5560"/>
    <cellStyle name="20% - Accent3 3 2 3 5 2 2 2 2" xfId="5561"/>
    <cellStyle name="20% - Accent3 3 2 3 5 2 2 3" xfId="5562"/>
    <cellStyle name="20% - Accent3 3 2 3 5 2 3" xfId="5563"/>
    <cellStyle name="20% - Accent3 3 2 3 5 2 3 2" xfId="5564"/>
    <cellStyle name="20% - Accent3 3 2 3 5 2 4" xfId="5565"/>
    <cellStyle name="20% - Accent3 3 2 3 5 3" xfId="5566"/>
    <cellStyle name="20% - Accent3 3 2 3 5 3 2" xfId="5567"/>
    <cellStyle name="20% - Accent3 3 2 3 5 3 2 2" xfId="5568"/>
    <cellStyle name="20% - Accent3 3 2 3 5 3 3" xfId="5569"/>
    <cellStyle name="20% - Accent3 3 2 3 5 4" xfId="5570"/>
    <cellStyle name="20% - Accent3 3 2 3 5 4 2" xfId="5571"/>
    <cellStyle name="20% - Accent3 3 2 3 5 5" xfId="5572"/>
    <cellStyle name="20% - Accent3 3 2 3 5 5 2" xfId="5573"/>
    <cellStyle name="20% - Accent3 3 2 3 5 6" xfId="5574"/>
    <cellStyle name="20% - Accent3 3 2 3 6" xfId="5575"/>
    <cellStyle name="20% - Accent3 3 2 3 6 2" xfId="5576"/>
    <cellStyle name="20% - Accent3 3 2 3 6 2 2" xfId="5577"/>
    <cellStyle name="20% - Accent3 3 2 3 6 2 2 2" xfId="5578"/>
    <cellStyle name="20% - Accent3 3 2 3 6 2 2 2 2" xfId="5579"/>
    <cellStyle name="20% - Accent3 3 2 3 6 2 2 3" xfId="5580"/>
    <cellStyle name="20% - Accent3 3 2 3 6 2 3" xfId="5581"/>
    <cellStyle name="20% - Accent3 3 2 3 6 2 3 2" xfId="5582"/>
    <cellStyle name="20% - Accent3 3 2 3 6 2 4" xfId="5583"/>
    <cellStyle name="20% - Accent3 3 2 3 6 3" xfId="5584"/>
    <cellStyle name="20% - Accent3 3 2 3 6 3 2" xfId="5585"/>
    <cellStyle name="20% - Accent3 3 2 3 6 3 2 2" xfId="5586"/>
    <cellStyle name="20% - Accent3 3 2 3 6 3 3" xfId="5587"/>
    <cellStyle name="20% - Accent3 3 2 3 6 4" xfId="5588"/>
    <cellStyle name="20% - Accent3 3 2 3 6 4 2" xfId="5589"/>
    <cellStyle name="20% - Accent3 3 2 3 6 5" xfId="5590"/>
    <cellStyle name="20% - Accent3 3 2 3 6 5 2" xfId="5591"/>
    <cellStyle name="20% - Accent3 3 2 3 6 6" xfId="5592"/>
    <cellStyle name="20% - Accent3 3 2 3 7" xfId="5593"/>
    <cellStyle name="20% - Accent3 3 2 3 7 2" xfId="5594"/>
    <cellStyle name="20% - Accent3 3 2 3 7 2 2" xfId="5595"/>
    <cellStyle name="20% - Accent3 3 2 3 7 2 2 2" xfId="5596"/>
    <cellStyle name="20% - Accent3 3 2 3 7 2 3" xfId="5597"/>
    <cellStyle name="20% - Accent3 3 2 3 7 3" xfId="5598"/>
    <cellStyle name="20% - Accent3 3 2 3 7 3 2" xfId="5599"/>
    <cellStyle name="20% - Accent3 3 2 3 7 4" xfId="5600"/>
    <cellStyle name="20% - Accent3 3 2 3 8" xfId="5601"/>
    <cellStyle name="20% - Accent3 3 2 3 8 2" xfId="5602"/>
    <cellStyle name="20% - Accent3 3 2 3 8 2 2" xfId="5603"/>
    <cellStyle name="20% - Accent3 3 2 3 8 3" xfId="5604"/>
    <cellStyle name="20% - Accent3 3 2 3 9" xfId="5605"/>
    <cellStyle name="20% - Accent3 3 2 3 9 2" xfId="5606"/>
    <cellStyle name="20% - Accent3 3 2 4" xfId="5607"/>
    <cellStyle name="20% - Accent3 3 2 4 10" xfId="5608"/>
    <cellStyle name="20% - Accent3 3 2 4 10 2" xfId="5609"/>
    <cellStyle name="20% - Accent3 3 2 4 11" xfId="5610"/>
    <cellStyle name="20% - Accent3 3 2 4 2" xfId="5611"/>
    <cellStyle name="20% - Accent3 3 2 4 2 2" xfId="5612"/>
    <cellStyle name="20% - Accent3 3 2 4 2 2 2" xfId="5613"/>
    <cellStyle name="20% - Accent3 3 2 4 2 2 2 2" xfId="5614"/>
    <cellStyle name="20% - Accent3 3 2 4 2 2 2 2 2" xfId="5615"/>
    <cellStyle name="20% - Accent3 3 2 4 2 2 2 2 2 2" xfId="5616"/>
    <cellStyle name="20% - Accent3 3 2 4 2 2 2 2 3" xfId="5617"/>
    <cellStyle name="20% - Accent3 3 2 4 2 2 2 3" xfId="5618"/>
    <cellStyle name="20% - Accent3 3 2 4 2 2 2 3 2" xfId="5619"/>
    <cellStyle name="20% - Accent3 3 2 4 2 2 2 4" xfId="5620"/>
    <cellStyle name="20% - Accent3 3 2 4 2 2 3" xfId="5621"/>
    <cellStyle name="20% - Accent3 3 2 4 2 2 3 2" xfId="5622"/>
    <cellStyle name="20% - Accent3 3 2 4 2 2 3 2 2" xfId="5623"/>
    <cellStyle name="20% - Accent3 3 2 4 2 2 3 3" xfId="5624"/>
    <cellStyle name="20% - Accent3 3 2 4 2 2 4" xfId="5625"/>
    <cellStyle name="20% - Accent3 3 2 4 2 2 4 2" xfId="5626"/>
    <cellStyle name="20% - Accent3 3 2 4 2 2 5" xfId="5627"/>
    <cellStyle name="20% - Accent3 3 2 4 2 2 5 2" xfId="5628"/>
    <cellStyle name="20% - Accent3 3 2 4 2 2 6" xfId="5629"/>
    <cellStyle name="20% - Accent3 3 2 4 2 3" xfId="5630"/>
    <cellStyle name="20% - Accent3 3 2 4 2 3 2" xfId="5631"/>
    <cellStyle name="20% - Accent3 3 2 4 2 3 2 2" xfId="5632"/>
    <cellStyle name="20% - Accent3 3 2 4 2 3 2 2 2" xfId="5633"/>
    <cellStyle name="20% - Accent3 3 2 4 2 3 2 2 2 2" xfId="5634"/>
    <cellStyle name="20% - Accent3 3 2 4 2 3 2 2 3" xfId="5635"/>
    <cellStyle name="20% - Accent3 3 2 4 2 3 2 3" xfId="5636"/>
    <cellStyle name="20% - Accent3 3 2 4 2 3 2 3 2" xfId="5637"/>
    <cellStyle name="20% - Accent3 3 2 4 2 3 2 4" xfId="5638"/>
    <cellStyle name="20% - Accent3 3 2 4 2 3 3" xfId="5639"/>
    <cellStyle name="20% - Accent3 3 2 4 2 3 3 2" xfId="5640"/>
    <cellStyle name="20% - Accent3 3 2 4 2 3 3 2 2" xfId="5641"/>
    <cellStyle name="20% - Accent3 3 2 4 2 3 3 3" xfId="5642"/>
    <cellStyle name="20% - Accent3 3 2 4 2 3 4" xfId="5643"/>
    <cellStyle name="20% - Accent3 3 2 4 2 3 4 2" xfId="5644"/>
    <cellStyle name="20% - Accent3 3 2 4 2 3 5" xfId="5645"/>
    <cellStyle name="20% - Accent3 3 2 4 2 3 5 2" xfId="5646"/>
    <cellStyle name="20% - Accent3 3 2 4 2 3 6" xfId="5647"/>
    <cellStyle name="20% - Accent3 3 2 4 2 4" xfId="5648"/>
    <cellStyle name="20% - Accent3 3 2 4 2 4 2" xfId="5649"/>
    <cellStyle name="20% - Accent3 3 2 4 2 4 2 2" xfId="5650"/>
    <cellStyle name="20% - Accent3 3 2 4 2 4 2 2 2" xfId="5651"/>
    <cellStyle name="20% - Accent3 3 2 4 2 4 2 3" xfId="5652"/>
    <cellStyle name="20% - Accent3 3 2 4 2 4 3" xfId="5653"/>
    <cellStyle name="20% - Accent3 3 2 4 2 4 3 2" xfId="5654"/>
    <cellStyle name="20% - Accent3 3 2 4 2 4 4" xfId="5655"/>
    <cellStyle name="20% - Accent3 3 2 4 2 5" xfId="5656"/>
    <cellStyle name="20% - Accent3 3 2 4 2 5 2" xfId="5657"/>
    <cellStyle name="20% - Accent3 3 2 4 2 5 2 2" xfId="5658"/>
    <cellStyle name="20% - Accent3 3 2 4 2 5 3" xfId="5659"/>
    <cellStyle name="20% - Accent3 3 2 4 2 6" xfId="5660"/>
    <cellStyle name="20% - Accent3 3 2 4 2 6 2" xfId="5661"/>
    <cellStyle name="20% - Accent3 3 2 4 2 7" xfId="5662"/>
    <cellStyle name="20% - Accent3 3 2 4 2 7 2" xfId="5663"/>
    <cellStyle name="20% - Accent3 3 2 4 2 8" xfId="5664"/>
    <cellStyle name="20% - Accent3 3 2 4 3" xfId="5665"/>
    <cellStyle name="20% - Accent3 3 2 4 3 2" xfId="5666"/>
    <cellStyle name="20% - Accent3 3 2 4 3 2 2" xfId="5667"/>
    <cellStyle name="20% - Accent3 3 2 4 3 2 2 2" xfId="5668"/>
    <cellStyle name="20% - Accent3 3 2 4 3 2 2 2 2" xfId="5669"/>
    <cellStyle name="20% - Accent3 3 2 4 3 2 2 2 2 2" xfId="5670"/>
    <cellStyle name="20% - Accent3 3 2 4 3 2 2 2 3" xfId="5671"/>
    <cellStyle name="20% - Accent3 3 2 4 3 2 2 3" xfId="5672"/>
    <cellStyle name="20% - Accent3 3 2 4 3 2 2 3 2" xfId="5673"/>
    <cellStyle name="20% - Accent3 3 2 4 3 2 2 4" xfId="5674"/>
    <cellStyle name="20% - Accent3 3 2 4 3 2 3" xfId="5675"/>
    <cellStyle name="20% - Accent3 3 2 4 3 2 3 2" xfId="5676"/>
    <cellStyle name="20% - Accent3 3 2 4 3 2 3 2 2" xfId="5677"/>
    <cellStyle name="20% - Accent3 3 2 4 3 2 3 3" xfId="5678"/>
    <cellStyle name="20% - Accent3 3 2 4 3 2 4" xfId="5679"/>
    <cellStyle name="20% - Accent3 3 2 4 3 2 4 2" xfId="5680"/>
    <cellStyle name="20% - Accent3 3 2 4 3 2 5" xfId="5681"/>
    <cellStyle name="20% - Accent3 3 2 4 3 2 5 2" xfId="5682"/>
    <cellStyle name="20% - Accent3 3 2 4 3 2 6" xfId="5683"/>
    <cellStyle name="20% - Accent3 3 2 4 3 3" xfId="5684"/>
    <cellStyle name="20% - Accent3 3 2 4 3 3 2" xfId="5685"/>
    <cellStyle name="20% - Accent3 3 2 4 3 3 2 2" xfId="5686"/>
    <cellStyle name="20% - Accent3 3 2 4 3 3 2 2 2" xfId="5687"/>
    <cellStyle name="20% - Accent3 3 2 4 3 3 2 2 2 2" xfId="5688"/>
    <cellStyle name="20% - Accent3 3 2 4 3 3 2 2 3" xfId="5689"/>
    <cellStyle name="20% - Accent3 3 2 4 3 3 2 3" xfId="5690"/>
    <cellStyle name="20% - Accent3 3 2 4 3 3 2 3 2" xfId="5691"/>
    <cellStyle name="20% - Accent3 3 2 4 3 3 2 4" xfId="5692"/>
    <cellStyle name="20% - Accent3 3 2 4 3 3 3" xfId="5693"/>
    <cellStyle name="20% - Accent3 3 2 4 3 3 3 2" xfId="5694"/>
    <cellStyle name="20% - Accent3 3 2 4 3 3 3 2 2" xfId="5695"/>
    <cellStyle name="20% - Accent3 3 2 4 3 3 3 3" xfId="5696"/>
    <cellStyle name="20% - Accent3 3 2 4 3 3 4" xfId="5697"/>
    <cellStyle name="20% - Accent3 3 2 4 3 3 4 2" xfId="5698"/>
    <cellStyle name="20% - Accent3 3 2 4 3 3 5" xfId="5699"/>
    <cellStyle name="20% - Accent3 3 2 4 3 3 5 2" xfId="5700"/>
    <cellStyle name="20% - Accent3 3 2 4 3 3 6" xfId="5701"/>
    <cellStyle name="20% - Accent3 3 2 4 3 4" xfId="5702"/>
    <cellStyle name="20% - Accent3 3 2 4 3 4 2" xfId="5703"/>
    <cellStyle name="20% - Accent3 3 2 4 3 4 2 2" xfId="5704"/>
    <cellStyle name="20% - Accent3 3 2 4 3 4 2 2 2" xfId="5705"/>
    <cellStyle name="20% - Accent3 3 2 4 3 4 2 3" xfId="5706"/>
    <cellStyle name="20% - Accent3 3 2 4 3 4 3" xfId="5707"/>
    <cellStyle name="20% - Accent3 3 2 4 3 4 3 2" xfId="5708"/>
    <cellStyle name="20% - Accent3 3 2 4 3 4 4" xfId="5709"/>
    <cellStyle name="20% - Accent3 3 2 4 3 5" xfId="5710"/>
    <cellStyle name="20% - Accent3 3 2 4 3 5 2" xfId="5711"/>
    <cellStyle name="20% - Accent3 3 2 4 3 5 2 2" xfId="5712"/>
    <cellStyle name="20% - Accent3 3 2 4 3 5 3" xfId="5713"/>
    <cellStyle name="20% - Accent3 3 2 4 3 6" xfId="5714"/>
    <cellStyle name="20% - Accent3 3 2 4 3 6 2" xfId="5715"/>
    <cellStyle name="20% - Accent3 3 2 4 3 7" xfId="5716"/>
    <cellStyle name="20% - Accent3 3 2 4 3 7 2" xfId="5717"/>
    <cellStyle name="20% - Accent3 3 2 4 3 8" xfId="5718"/>
    <cellStyle name="20% - Accent3 3 2 4 4" xfId="5719"/>
    <cellStyle name="20% - Accent3 3 2 4 4 2" xfId="5720"/>
    <cellStyle name="20% - Accent3 3 2 4 4 2 2" xfId="5721"/>
    <cellStyle name="20% - Accent3 3 2 4 4 2 2 2" xfId="5722"/>
    <cellStyle name="20% - Accent3 3 2 4 4 2 2 2 2" xfId="5723"/>
    <cellStyle name="20% - Accent3 3 2 4 4 2 2 3" xfId="5724"/>
    <cellStyle name="20% - Accent3 3 2 4 4 2 3" xfId="5725"/>
    <cellStyle name="20% - Accent3 3 2 4 4 2 3 2" xfId="5726"/>
    <cellStyle name="20% - Accent3 3 2 4 4 2 4" xfId="5727"/>
    <cellStyle name="20% - Accent3 3 2 4 4 3" xfId="5728"/>
    <cellStyle name="20% - Accent3 3 2 4 4 3 2" xfId="5729"/>
    <cellStyle name="20% - Accent3 3 2 4 4 3 2 2" xfId="5730"/>
    <cellStyle name="20% - Accent3 3 2 4 4 3 3" xfId="5731"/>
    <cellStyle name="20% - Accent3 3 2 4 4 4" xfId="5732"/>
    <cellStyle name="20% - Accent3 3 2 4 4 4 2" xfId="5733"/>
    <cellStyle name="20% - Accent3 3 2 4 4 5" xfId="5734"/>
    <cellStyle name="20% - Accent3 3 2 4 4 5 2" xfId="5735"/>
    <cellStyle name="20% - Accent3 3 2 4 4 6" xfId="5736"/>
    <cellStyle name="20% - Accent3 3 2 4 5" xfId="5737"/>
    <cellStyle name="20% - Accent3 3 2 4 5 2" xfId="5738"/>
    <cellStyle name="20% - Accent3 3 2 4 5 2 2" xfId="5739"/>
    <cellStyle name="20% - Accent3 3 2 4 5 2 2 2" xfId="5740"/>
    <cellStyle name="20% - Accent3 3 2 4 5 2 2 2 2" xfId="5741"/>
    <cellStyle name="20% - Accent3 3 2 4 5 2 2 3" xfId="5742"/>
    <cellStyle name="20% - Accent3 3 2 4 5 2 3" xfId="5743"/>
    <cellStyle name="20% - Accent3 3 2 4 5 2 3 2" xfId="5744"/>
    <cellStyle name="20% - Accent3 3 2 4 5 2 4" xfId="5745"/>
    <cellStyle name="20% - Accent3 3 2 4 5 3" xfId="5746"/>
    <cellStyle name="20% - Accent3 3 2 4 5 3 2" xfId="5747"/>
    <cellStyle name="20% - Accent3 3 2 4 5 3 2 2" xfId="5748"/>
    <cellStyle name="20% - Accent3 3 2 4 5 3 3" xfId="5749"/>
    <cellStyle name="20% - Accent3 3 2 4 5 4" xfId="5750"/>
    <cellStyle name="20% - Accent3 3 2 4 5 4 2" xfId="5751"/>
    <cellStyle name="20% - Accent3 3 2 4 5 5" xfId="5752"/>
    <cellStyle name="20% - Accent3 3 2 4 5 5 2" xfId="5753"/>
    <cellStyle name="20% - Accent3 3 2 4 5 6" xfId="5754"/>
    <cellStyle name="20% - Accent3 3 2 4 6" xfId="5755"/>
    <cellStyle name="20% - Accent3 3 2 4 6 2" xfId="5756"/>
    <cellStyle name="20% - Accent3 3 2 4 6 2 2" xfId="5757"/>
    <cellStyle name="20% - Accent3 3 2 4 6 2 2 2" xfId="5758"/>
    <cellStyle name="20% - Accent3 3 2 4 6 2 2 2 2" xfId="5759"/>
    <cellStyle name="20% - Accent3 3 2 4 6 2 2 3" xfId="5760"/>
    <cellStyle name="20% - Accent3 3 2 4 6 2 3" xfId="5761"/>
    <cellStyle name="20% - Accent3 3 2 4 6 2 3 2" xfId="5762"/>
    <cellStyle name="20% - Accent3 3 2 4 6 2 4" xfId="5763"/>
    <cellStyle name="20% - Accent3 3 2 4 6 3" xfId="5764"/>
    <cellStyle name="20% - Accent3 3 2 4 6 3 2" xfId="5765"/>
    <cellStyle name="20% - Accent3 3 2 4 6 3 2 2" xfId="5766"/>
    <cellStyle name="20% - Accent3 3 2 4 6 3 3" xfId="5767"/>
    <cellStyle name="20% - Accent3 3 2 4 6 4" xfId="5768"/>
    <cellStyle name="20% - Accent3 3 2 4 6 4 2" xfId="5769"/>
    <cellStyle name="20% - Accent3 3 2 4 6 5" xfId="5770"/>
    <cellStyle name="20% - Accent3 3 2 4 6 5 2" xfId="5771"/>
    <cellStyle name="20% - Accent3 3 2 4 6 6" xfId="5772"/>
    <cellStyle name="20% - Accent3 3 2 4 7" xfId="5773"/>
    <cellStyle name="20% - Accent3 3 2 4 7 2" xfId="5774"/>
    <cellStyle name="20% - Accent3 3 2 4 7 2 2" xfId="5775"/>
    <cellStyle name="20% - Accent3 3 2 4 7 2 2 2" xfId="5776"/>
    <cellStyle name="20% - Accent3 3 2 4 7 2 3" xfId="5777"/>
    <cellStyle name="20% - Accent3 3 2 4 7 3" xfId="5778"/>
    <cellStyle name="20% - Accent3 3 2 4 7 3 2" xfId="5779"/>
    <cellStyle name="20% - Accent3 3 2 4 7 4" xfId="5780"/>
    <cellStyle name="20% - Accent3 3 2 4 8" xfId="5781"/>
    <cellStyle name="20% - Accent3 3 2 4 8 2" xfId="5782"/>
    <cellStyle name="20% - Accent3 3 2 4 8 2 2" xfId="5783"/>
    <cellStyle name="20% - Accent3 3 2 4 8 3" xfId="5784"/>
    <cellStyle name="20% - Accent3 3 2 4 9" xfId="5785"/>
    <cellStyle name="20% - Accent3 3 2 4 9 2" xfId="5786"/>
    <cellStyle name="20% - Accent3 3 2 5" xfId="5787"/>
    <cellStyle name="20% - Accent3 3 2 5 2" xfId="5788"/>
    <cellStyle name="20% - Accent3 3 2 5 2 2" xfId="5789"/>
    <cellStyle name="20% - Accent3 3 2 5 2 2 2" xfId="5790"/>
    <cellStyle name="20% - Accent3 3 2 5 2 2 2 2" xfId="5791"/>
    <cellStyle name="20% - Accent3 3 2 5 2 2 2 2 2" xfId="5792"/>
    <cellStyle name="20% - Accent3 3 2 5 2 2 2 3" xfId="5793"/>
    <cellStyle name="20% - Accent3 3 2 5 2 2 3" xfId="5794"/>
    <cellStyle name="20% - Accent3 3 2 5 2 2 3 2" xfId="5795"/>
    <cellStyle name="20% - Accent3 3 2 5 2 2 4" xfId="5796"/>
    <cellStyle name="20% - Accent3 3 2 5 2 3" xfId="5797"/>
    <cellStyle name="20% - Accent3 3 2 5 2 3 2" xfId="5798"/>
    <cellStyle name="20% - Accent3 3 2 5 2 3 2 2" xfId="5799"/>
    <cellStyle name="20% - Accent3 3 2 5 2 3 3" xfId="5800"/>
    <cellStyle name="20% - Accent3 3 2 5 2 4" xfId="5801"/>
    <cellStyle name="20% - Accent3 3 2 5 2 4 2" xfId="5802"/>
    <cellStyle name="20% - Accent3 3 2 5 2 5" xfId="5803"/>
    <cellStyle name="20% - Accent3 3 2 5 2 5 2" xfId="5804"/>
    <cellStyle name="20% - Accent3 3 2 5 2 6" xfId="5805"/>
    <cellStyle name="20% - Accent3 3 2 5 3" xfId="5806"/>
    <cellStyle name="20% - Accent3 3 2 5 3 2" xfId="5807"/>
    <cellStyle name="20% - Accent3 3 2 5 3 2 2" xfId="5808"/>
    <cellStyle name="20% - Accent3 3 2 5 3 2 2 2" xfId="5809"/>
    <cellStyle name="20% - Accent3 3 2 5 3 2 2 2 2" xfId="5810"/>
    <cellStyle name="20% - Accent3 3 2 5 3 2 2 3" xfId="5811"/>
    <cellStyle name="20% - Accent3 3 2 5 3 2 3" xfId="5812"/>
    <cellStyle name="20% - Accent3 3 2 5 3 2 3 2" xfId="5813"/>
    <cellStyle name="20% - Accent3 3 2 5 3 2 4" xfId="5814"/>
    <cellStyle name="20% - Accent3 3 2 5 3 3" xfId="5815"/>
    <cellStyle name="20% - Accent3 3 2 5 3 3 2" xfId="5816"/>
    <cellStyle name="20% - Accent3 3 2 5 3 3 2 2" xfId="5817"/>
    <cellStyle name="20% - Accent3 3 2 5 3 3 3" xfId="5818"/>
    <cellStyle name="20% - Accent3 3 2 5 3 4" xfId="5819"/>
    <cellStyle name="20% - Accent3 3 2 5 3 4 2" xfId="5820"/>
    <cellStyle name="20% - Accent3 3 2 5 3 5" xfId="5821"/>
    <cellStyle name="20% - Accent3 3 2 5 3 5 2" xfId="5822"/>
    <cellStyle name="20% - Accent3 3 2 5 3 6" xfId="5823"/>
    <cellStyle name="20% - Accent3 3 2 5 4" xfId="5824"/>
    <cellStyle name="20% - Accent3 3 2 5 4 2" xfId="5825"/>
    <cellStyle name="20% - Accent3 3 2 5 4 2 2" xfId="5826"/>
    <cellStyle name="20% - Accent3 3 2 5 4 2 2 2" xfId="5827"/>
    <cellStyle name="20% - Accent3 3 2 5 4 2 3" xfId="5828"/>
    <cellStyle name="20% - Accent3 3 2 5 4 3" xfId="5829"/>
    <cellStyle name="20% - Accent3 3 2 5 4 3 2" xfId="5830"/>
    <cellStyle name="20% - Accent3 3 2 5 4 4" xfId="5831"/>
    <cellStyle name="20% - Accent3 3 2 5 5" xfId="5832"/>
    <cellStyle name="20% - Accent3 3 2 5 5 2" xfId="5833"/>
    <cellStyle name="20% - Accent3 3 2 5 5 2 2" xfId="5834"/>
    <cellStyle name="20% - Accent3 3 2 5 5 3" xfId="5835"/>
    <cellStyle name="20% - Accent3 3 2 5 6" xfId="5836"/>
    <cellStyle name="20% - Accent3 3 2 5 6 2" xfId="5837"/>
    <cellStyle name="20% - Accent3 3 2 5 7" xfId="5838"/>
    <cellStyle name="20% - Accent3 3 2 5 7 2" xfId="5839"/>
    <cellStyle name="20% - Accent3 3 2 5 8" xfId="5840"/>
    <cellStyle name="20% - Accent3 3 2 6" xfId="5841"/>
    <cellStyle name="20% - Accent3 3 2 6 2" xfId="5842"/>
    <cellStyle name="20% - Accent3 3 2 6 2 2" xfId="5843"/>
    <cellStyle name="20% - Accent3 3 2 6 2 2 2" xfId="5844"/>
    <cellStyle name="20% - Accent3 3 2 6 2 2 2 2" xfId="5845"/>
    <cellStyle name="20% - Accent3 3 2 6 2 2 2 2 2" xfId="5846"/>
    <cellStyle name="20% - Accent3 3 2 6 2 2 2 3" xfId="5847"/>
    <cellStyle name="20% - Accent3 3 2 6 2 2 3" xfId="5848"/>
    <cellStyle name="20% - Accent3 3 2 6 2 2 3 2" xfId="5849"/>
    <cellStyle name="20% - Accent3 3 2 6 2 2 4" xfId="5850"/>
    <cellStyle name="20% - Accent3 3 2 6 2 3" xfId="5851"/>
    <cellStyle name="20% - Accent3 3 2 6 2 3 2" xfId="5852"/>
    <cellStyle name="20% - Accent3 3 2 6 2 3 2 2" xfId="5853"/>
    <cellStyle name="20% - Accent3 3 2 6 2 3 3" xfId="5854"/>
    <cellStyle name="20% - Accent3 3 2 6 2 4" xfId="5855"/>
    <cellStyle name="20% - Accent3 3 2 6 2 4 2" xfId="5856"/>
    <cellStyle name="20% - Accent3 3 2 6 2 5" xfId="5857"/>
    <cellStyle name="20% - Accent3 3 2 6 2 5 2" xfId="5858"/>
    <cellStyle name="20% - Accent3 3 2 6 2 6" xfId="5859"/>
    <cellStyle name="20% - Accent3 3 2 6 3" xfId="5860"/>
    <cellStyle name="20% - Accent3 3 2 6 3 2" xfId="5861"/>
    <cellStyle name="20% - Accent3 3 2 6 3 2 2" xfId="5862"/>
    <cellStyle name="20% - Accent3 3 2 6 3 2 2 2" xfId="5863"/>
    <cellStyle name="20% - Accent3 3 2 6 3 2 2 2 2" xfId="5864"/>
    <cellStyle name="20% - Accent3 3 2 6 3 2 2 3" xfId="5865"/>
    <cellStyle name="20% - Accent3 3 2 6 3 2 3" xfId="5866"/>
    <cellStyle name="20% - Accent3 3 2 6 3 2 3 2" xfId="5867"/>
    <cellStyle name="20% - Accent3 3 2 6 3 2 4" xfId="5868"/>
    <cellStyle name="20% - Accent3 3 2 6 3 3" xfId="5869"/>
    <cellStyle name="20% - Accent3 3 2 6 3 3 2" xfId="5870"/>
    <cellStyle name="20% - Accent3 3 2 6 3 3 2 2" xfId="5871"/>
    <cellStyle name="20% - Accent3 3 2 6 3 3 3" xfId="5872"/>
    <cellStyle name="20% - Accent3 3 2 6 3 4" xfId="5873"/>
    <cellStyle name="20% - Accent3 3 2 6 3 4 2" xfId="5874"/>
    <cellStyle name="20% - Accent3 3 2 6 3 5" xfId="5875"/>
    <cellStyle name="20% - Accent3 3 2 6 3 5 2" xfId="5876"/>
    <cellStyle name="20% - Accent3 3 2 6 3 6" xfId="5877"/>
    <cellStyle name="20% - Accent3 3 2 6 4" xfId="5878"/>
    <cellStyle name="20% - Accent3 3 2 6 4 2" xfId="5879"/>
    <cellStyle name="20% - Accent3 3 2 6 4 2 2" xfId="5880"/>
    <cellStyle name="20% - Accent3 3 2 6 4 2 2 2" xfId="5881"/>
    <cellStyle name="20% - Accent3 3 2 6 4 2 3" xfId="5882"/>
    <cellStyle name="20% - Accent3 3 2 6 4 3" xfId="5883"/>
    <cellStyle name="20% - Accent3 3 2 6 4 3 2" xfId="5884"/>
    <cellStyle name="20% - Accent3 3 2 6 4 4" xfId="5885"/>
    <cellStyle name="20% - Accent3 3 2 6 5" xfId="5886"/>
    <cellStyle name="20% - Accent3 3 2 6 5 2" xfId="5887"/>
    <cellStyle name="20% - Accent3 3 2 6 5 2 2" xfId="5888"/>
    <cellStyle name="20% - Accent3 3 2 6 5 3" xfId="5889"/>
    <cellStyle name="20% - Accent3 3 2 6 6" xfId="5890"/>
    <cellStyle name="20% - Accent3 3 2 6 6 2" xfId="5891"/>
    <cellStyle name="20% - Accent3 3 2 6 7" xfId="5892"/>
    <cellStyle name="20% - Accent3 3 2 6 7 2" xfId="5893"/>
    <cellStyle name="20% - Accent3 3 2 6 8" xfId="5894"/>
    <cellStyle name="20% - Accent3 3 2 7" xfId="5895"/>
    <cellStyle name="20% - Accent3 3 2 7 2" xfId="5896"/>
    <cellStyle name="20% - Accent3 3 2 7 2 2" xfId="5897"/>
    <cellStyle name="20% - Accent3 3 2 7 2 2 2" xfId="5898"/>
    <cellStyle name="20% - Accent3 3 2 7 2 2 2 2" xfId="5899"/>
    <cellStyle name="20% - Accent3 3 2 7 2 2 3" xfId="5900"/>
    <cellStyle name="20% - Accent3 3 2 7 2 3" xfId="5901"/>
    <cellStyle name="20% - Accent3 3 2 7 2 3 2" xfId="5902"/>
    <cellStyle name="20% - Accent3 3 2 7 2 4" xfId="5903"/>
    <cellStyle name="20% - Accent3 3 2 7 3" xfId="5904"/>
    <cellStyle name="20% - Accent3 3 2 7 3 2" xfId="5905"/>
    <cellStyle name="20% - Accent3 3 2 7 3 2 2" xfId="5906"/>
    <cellStyle name="20% - Accent3 3 2 7 3 3" xfId="5907"/>
    <cellStyle name="20% - Accent3 3 2 7 4" xfId="5908"/>
    <cellStyle name="20% - Accent3 3 2 7 4 2" xfId="5909"/>
    <cellStyle name="20% - Accent3 3 2 7 5" xfId="5910"/>
    <cellStyle name="20% - Accent3 3 2 7 5 2" xfId="5911"/>
    <cellStyle name="20% - Accent3 3 2 7 6" xfId="5912"/>
    <cellStyle name="20% - Accent3 3 2 8" xfId="5913"/>
    <cellStyle name="20% - Accent3 3 2 8 2" xfId="5914"/>
    <cellStyle name="20% - Accent3 3 2 8 2 2" xfId="5915"/>
    <cellStyle name="20% - Accent3 3 2 8 2 2 2" xfId="5916"/>
    <cellStyle name="20% - Accent3 3 2 8 2 2 2 2" xfId="5917"/>
    <cellStyle name="20% - Accent3 3 2 8 2 2 3" xfId="5918"/>
    <cellStyle name="20% - Accent3 3 2 8 2 3" xfId="5919"/>
    <cellStyle name="20% - Accent3 3 2 8 2 3 2" xfId="5920"/>
    <cellStyle name="20% - Accent3 3 2 8 2 4" xfId="5921"/>
    <cellStyle name="20% - Accent3 3 2 8 3" xfId="5922"/>
    <cellStyle name="20% - Accent3 3 2 8 3 2" xfId="5923"/>
    <cellStyle name="20% - Accent3 3 2 8 3 2 2" xfId="5924"/>
    <cellStyle name="20% - Accent3 3 2 8 3 3" xfId="5925"/>
    <cellStyle name="20% - Accent3 3 2 8 4" xfId="5926"/>
    <cellStyle name="20% - Accent3 3 2 8 4 2" xfId="5927"/>
    <cellStyle name="20% - Accent3 3 2 8 5" xfId="5928"/>
    <cellStyle name="20% - Accent3 3 2 8 5 2" xfId="5929"/>
    <cellStyle name="20% - Accent3 3 2 8 6" xfId="5930"/>
    <cellStyle name="20% - Accent3 3 2 9" xfId="5931"/>
    <cellStyle name="20% - Accent3 3 2 9 2" xfId="5932"/>
    <cellStyle name="20% - Accent3 3 2 9 2 2" xfId="5933"/>
    <cellStyle name="20% - Accent3 3 2 9 2 2 2" xfId="5934"/>
    <cellStyle name="20% - Accent3 3 2 9 2 2 2 2" xfId="5935"/>
    <cellStyle name="20% - Accent3 3 2 9 2 2 3" xfId="5936"/>
    <cellStyle name="20% - Accent3 3 2 9 2 3" xfId="5937"/>
    <cellStyle name="20% - Accent3 3 2 9 2 3 2" xfId="5938"/>
    <cellStyle name="20% - Accent3 3 2 9 2 4" xfId="5939"/>
    <cellStyle name="20% - Accent3 3 2 9 3" xfId="5940"/>
    <cellStyle name="20% - Accent3 3 2 9 3 2" xfId="5941"/>
    <cellStyle name="20% - Accent3 3 2 9 3 2 2" xfId="5942"/>
    <cellStyle name="20% - Accent3 3 2 9 3 3" xfId="5943"/>
    <cellStyle name="20% - Accent3 3 2 9 4" xfId="5944"/>
    <cellStyle name="20% - Accent3 3 2 9 4 2" xfId="5945"/>
    <cellStyle name="20% - Accent3 3 2 9 5" xfId="5946"/>
    <cellStyle name="20% - Accent3 3 2 9 5 2" xfId="5947"/>
    <cellStyle name="20% - Accent3 3 2 9 6" xfId="5948"/>
    <cellStyle name="20% - Accent3 3 3" xfId="5949"/>
    <cellStyle name="20% - Accent3 3 3 10" xfId="5950"/>
    <cellStyle name="20% - Accent3 3 3 10 2" xfId="5951"/>
    <cellStyle name="20% - Accent3 3 3 11" xfId="5952"/>
    <cellStyle name="20% - Accent3 3 3 2" xfId="5953"/>
    <cellStyle name="20% - Accent3 3 3 2 2" xfId="5954"/>
    <cellStyle name="20% - Accent3 3 3 2 2 2" xfId="5955"/>
    <cellStyle name="20% - Accent3 3 3 2 2 2 2" xfId="5956"/>
    <cellStyle name="20% - Accent3 3 3 2 2 2 2 2" xfId="5957"/>
    <cellStyle name="20% - Accent3 3 3 2 2 2 2 2 2" xfId="5958"/>
    <cellStyle name="20% - Accent3 3 3 2 2 2 2 3" xfId="5959"/>
    <cellStyle name="20% - Accent3 3 3 2 2 2 3" xfId="5960"/>
    <cellStyle name="20% - Accent3 3 3 2 2 2 3 2" xfId="5961"/>
    <cellStyle name="20% - Accent3 3 3 2 2 2 4" xfId="5962"/>
    <cellStyle name="20% - Accent3 3 3 2 2 3" xfId="5963"/>
    <cellStyle name="20% - Accent3 3 3 2 2 3 2" xfId="5964"/>
    <cellStyle name="20% - Accent3 3 3 2 2 3 2 2" xfId="5965"/>
    <cellStyle name="20% - Accent3 3 3 2 2 3 3" xfId="5966"/>
    <cellStyle name="20% - Accent3 3 3 2 2 4" xfId="5967"/>
    <cellStyle name="20% - Accent3 3 3 2 2 4 2" xfId="5968"/>
    <cellStyle name="20% - Accent3 3 3 2 2 5" xfId="5969"/>
    <cellStyle name="20% - Accent3 3 3 2 2 5 2" xfId="5970"/>
    <cellStyle name="20% - Accent3 3 3 2 2 6" xfId="5971"/>
    <cellStyle name="20% - Accent3 3 3 2 3" xfId="5972"/>
    <cellStyle name="20% - Accent3 3 3 2 3 2" xfId="5973"/>
    <cellStyle name="20% - Accent3 3 3 2 3 2 2" xfId="5974"/>
    <cellStyle name="20% - Accent3 3 3 2 3 2 2 2" xfId="5975"/>
    <cellStyle name="20% - Accent3 3 3 2 3 2 2 2 2" xfId="5976"/>
    <cellStyle name="20% - Accent3 3 3 2 3 2 2 3" xfId="5977"/>
    <cellStyle name="20% - Accent3 3 3 2 3 2 3" xfId="5978"/>
    <cellStyle name="20% - Accent3 3 3 2 3 2 3 2" xfId="5979"/>
    <cellStyle name="20% - Accent3 3 3 2 3 2 4" xfId="5980"/>
    <cellStyle name="20% - Accent3 3 3 2 3 3" xfId="5981"/>
    <cellStyle name="20% - Accent3 3 3 2 3 3 2" xfId="5982"/>
    <cellStyle name="20% - Accent3 3 3 2 3 3 2 2" xfId="5983"/>
    <cellStyle name="20% - Accent3 3 3 2 3 3 3" xfId="5984"/>
    <cellStyle name="20% - Accent3 3 3 2 3 4" xfId="5985"/>
    <cellStyle name="20% - Accent3 3 3 2 3 4 2" xfId="5986"/>
    <cellStyle name="20% - Accent3 3 3 2 3 5" xfId="5987"/>
    <cellStyle name="20% - Accent3 3 3 2 3 5 2" xfId="5988"/>
    <cellStyle name="20% - Accent3 3 3 2 3 6" xfId="5989"/>
    <cellStyle name="20% - Accent3 3 3 2 4" xfId="5990"/>
    <cellStyle name="20% - Accent3 3 3 2 4 2" xfId="5991"/>
    <cellStyle name="20% - Accent3 3 3 2 4 2 2" xfId="5992"/>
    <cellStyle name="20% - Accent3 3 3 2 4 2 2 2" xfId="5993"/>
    <cellStyle name="20% - Accent3 3 3 2 4 2 3" xfId="5994"/>
    <cellStyle name="20% - Accent3 3 3 2 4 3" xfId="5995"/>
    <cellStyle name="20% - Accent3 3 3 2 4 3 2" xfId="5996"/>
    <cellStyle name="20% - Accent3 3 3 2 4 4" xfId="5997"/>
    <cellStyle name="20% - Accent3 3 3 2 5" xfId="5998"/>
    <cellStyle name="20% - Accent3 3 3 2 5 2" xfId="5999"/>
    <cellStyle name="20% - Accent3 3 3 2 5 2 2" xfId="6000"/>
    <cellStyle name="20% - Accent3 3 3 2 5 3" xfId="6001"/>
    <cellStyle name="20% - Accent3 3 3 2 6" xfId="6002"/>
    <cellStyle name="20% - Accent3 3 3 2 6 2" xfId="6003"/>
    <cellStyle name="20% - Accent3 3 3 2 7" xfId="6004"/>
    <cellStyle name="20% - Accent3 3 3 2 7 2" xfId="6005"/>
    <cellStyle name="20% - Accent3 3 3 2 8" xfId="6006"/>
    <cellStyle name="20% - Accent3 3 3 3" xfId="6007"/>
    <cellStyle name="20% - Accent3 3 3 3 2" xfId="6008"/>
    <cellStyle name="20% - Accent3 3 3 3 2 2" xfId="6009"/>
    <cellStyle name="20% - Accent3 3 3 3 2 2 2" xfId="6010"/>
    <cellStyle name="20% - Accent3 3 3 3 2 2 2 2" xfId="6011"/>
    <cellStyle name="20% - Accent3 3 3 3 2 2 2 2 2" xfId="6012"/>
    <cellStyle name="20% - Accent3 3 3 3 2 2 2 3" xfId="6013"/>
    <cellStyle name="20% - Accent3 3 3 3 2 2 3" xfId="6014"/>
    <cellStyle name="20% - Accent3 3 3 3 2 2 3 2" xfId="6015"/>
    <cellStyle name="20% - Accent3 3 3 3 2 2 4" xfId="6016"/>
    <cellStyle name="20% - Accent3 3 3 3 2 3" xfId="6017"/>
    <cellStyle name="20% - Accent3 3 3 3 2 3 2" xfId="6018"/>
    <cellStyle name="20% - Accent3 3 3 3 2 3 2 2" xfId="6019"/>
    <cellStyle name="20% - Accent3 3 3 3 2 3 3" xfId="6020"/>
    <cellStyle name="20% - Accent3 3 3 3 2 4" xfId="6021"/>
    <cellStyle name="20% - Accent3 3 3 3 2 4 2" xfId="6022"/>
    <cellStyle name="20% - Accent3 3 3 3 2 5" xfId="6023"/>
    <cellStyle name="20% - Accent3 3 3 3 2 5 2" xfId="6024"/>
    <cellStyle name="20% - Accent3 3 3 3 2 6" xfId="6025"/>
    <cellStyle name="20% - Accent3 3 3 3 3" xfId="6026"/>
    <cellStyle name="20% - Accent3 3 3 3 3 2" xfId="6027"/>
    <cellStyle name="20% - Accent3 3 3 3 3 2 2" xfId="6028"/>
    <cellStyle name="20% - Accent3 3 3 3 3 2 2 2" xfId="6029"/>
    <cellStyle name="20% - Accent3 3 3 3 3 2 2 2 2" xfId="6030"/>
    <cellStyle name="20% - Accent3 3 3 3 3 2 2 3" xfId="6031"/>
    <cellStyle name="20% - Accent3 3 3 3 3 2 3" xfId="6032"/>
    <cellStyle name="20% - Accent3 3 3 3 3 2 3 2" xfId="6033"/>
    <cellStyle name="20% - Accent3 3 3 3 3 2 4" xfId="6034"/>
    <cellStyle name="20% - Accent3 3 3 3 3 3" xfId="6035"/>
    <cellStyle name="20% - Accent3 3 3 3 3 3 2" xfId="6036"/>
    <cellStyle name="20% - Accent3 3 3 3 3 3 2 2" xfId="6037"/>
    <cellStyle name="20% - Accent3 3 3 3 3 3 3" xfId="6038"/>
    <cellStyle name="20% - Accent3 3 3 3 3 4" xfId="6039"/>
    <cellStyle name="20% - Accent3 3 3 3 3 4 2" xfId="6040"/>
    <cellStyle name="20% - Accent3 3 3 3 3 5" xfId="6041"/>
    <cellStyle name="20% - Accent3 3 3 3 3 5 2" xfId="6042"/>
    <cellStyle name="20% - Accent3 3 3 3 3 6" xfId="6043"/>
    <cellStyle name="20% - Accent3 3 3 3 4" xfId="6044"/>
    <cellStyle name="20% - Accent3 3 3 3 4 2" xfId="6045"/>
    <cellStyle name="20% - Accent3 3 3 3 4 2 2" xfId="6046"/>
    <cellStyle name="20% - Accent3 3 3 3 4 2 2 2" xfId="6047"/>
    <cellStyle name="20% - Accent3 3 3 3 4 2 3" xfId="6048"/>
    <cellStyle name="20% - Accent3 3 3 3 4 3" xfId="6049"/>
    <cellStyle name="20% - Accent3 3 3 3 4 3 2" xfId="6050"/>
    <cellStyle name="20% - Accent3 3 3 3 4 4" xfId="6051"/>
    <cellStyle name="20% - Accent3 3 3 3 5" xfId="6052"/>
    <cellStyle name="20% - Accent3 3 3 3 5 2" xfId="6053"/>
    <cellStyle name="20% - Accent3 3 3 3 5 2 2" xfId="6054"/>
    <cellStyle name="20% - Accent3 3 3 3 5 3" xfId="6055"/>
    <cellStyle name="20% - Accent3 3 3 3 6" xfId="6056"/>
    <cellStyle name="20% - Accent3 3 3 3 6 2" xfId="6057"/>
    <cellStyle name="20% - Accent3 3 3 3 7" xfId="6058"/>
    <cellStyle name="20% - Accent3 3 3 3 7 2" xfId="6059"/>
    <cellStyle name="20% - Accent3 3 3 3 8" xfId="6060"/>
    <cellStyle name="20% - Accent3 3 3 4" xfId="6061"/>
    <cellStyle name="20% - Accent3 3 3 4 2" xfId="6062"/>
    <cellStyle name="20% - Accent3 3 3 4 2 2" xfId="6063"/>
    <cellStyle name="20% - Accent3 3 3 4 2 2 2" xfId="6064"/>
    <cellStyle name="20% - Accent3 3 3 4 2 2 2 2" xfId="6065"/>
    <cellStyle name="20% - Accent3 3 3 4 2 2 3" xfId="6066"/>
    <cellStyle name="20% - Accent3 3 3 4 2 3" xfId="6067"/>
    <cellStyle name="20% - Accent3 3 3 4 2 3 2" xfId="6068"/>
    <cellStyle name="20% - Accent3 3 3 4 2 4" xfId="6069"/>
    <cellStyle name="20% - Accent3 3 3 4 3" xfId="6070"/>
    <cellStyle name="20% - Accent3 3 3 4 3 2" xfId="6071"/>
    <cellStyle name="20% - Accent3 3 3 4 3 2 2" xfId="6072"/>
    <cellStyle name="20% - Accent3 3 3 4 3 3" xfId="6073"/>
    <cellStyle name="20% - Accent3 3 3 4 4" xfId="6074"/>
    <cellStyle name="20% - Accent3 3 3 4 4 2" xfId="6075"/>
    <cellStyle name="20% - Accent3 3 3 4 5" xfId="6076"/>
    <cellStyle name="20% - Accent3 3 3 4 5 2" xfId="6077"/>
    <cellStyle name="20% - Accent3 3 3 4 6" xfId="6078"/>
    <cellStyle name="20% - Accent3 3 3 5" xfId="6079"/>
    <cellStyle name="20% - Accent3 3 3 5 2" xfId="6080"/>
    <cellStyle name="20% - Accent3 3 3 5 2 2" xfId="6081"/>
    <cellStyle name="20% - Accent3 3 3 5 2 2 2" xfId="6082"/>
    <cellStyle name="20% - Accent3 3 3 5 2 2 2 2" xfId="6083"/>
    <cellStyle name="20% - Accent3 3 3 5 2 2 3" xfId="6084"/>
    <cellStyle name="20% - Accent3 3 3 5 2 3" xfId="6085"/>
    <cellStyle name="20% - Accent3 3 3 5 2 3 2" xfId="6086"/>
    <cellStyle name="20% - Accent3 3 3 5 2 4" xfId="6087"/>
    <cellStyle name="20% - Accent3 3 3 5 3" xfId="6088"/>
    <cellStyle name="20% - Accent3 3 3 5 3 2" xfId="6089"/>
    <cellStyle name="20% - Accent3 3 3 5 3 2 2" xfId="6090"/>
    <cellStyle name="20% - Accent3 3 3 5 3 3" xfId="6091"/>
    <cellStyle name="20% - Accent3 3 3 5 4" xfId="6092"/>
    <cellStyle name="20% - Accent3 3 3 5 4 2" xfId="6093"/>
    <cellStyle name="20% - Accent3 3 3 5 5" xfId="6094"/>
    <cellStyle name="20% - Accent3 3 3 5 5 2" xfId="6095"/>
    <cellStyle name="20% - Accent3 3 3 5 6" xfId="6096"/>
    <cellStyle name="20% - Accent3 3 3 6" xfId="6097"/>
    <cellStyle name="20% - Accent3 3 3 6 2" xfId="6098"/>
    <cellStyle name="20% - Accent3 3 3 6 2 2" xfId="6099"/>
    <cellStyle name="20% - Accent3 3 3 6 2 2 2" xfId="6100"/>
    <cellStyle name="20% - Accent3 3 3 6 2 2 2 2" xfId="6101"/>
    <cellStyle name="20% - Accent3 3 3 6 2 2 3" xfId="6102"/>
    <cellStyle name="20% - Accent3 3 3 6 2 3" xfId="6103"/>
    <cellStyle name="20% - Accent3 3 3 6 2 3 2" xfId="6104"/>
    <cellStyle name="20% - Accent3 3 3 6 2 4" xfId="6105"/>
    <cellStyle name="20% - Accent3 3 3 6 3" xfId="6106"/>
    <cellStyle name="20% - Accent3 3 3 6 3 2" xfId="6107"/>
    <cellStyle name="20% - Accent3 3 3 6 3 2 2" xfId="6108"/>
    <cellStyle name="20% - Accent3 3 3 6 3 3" xfId="6109"/>
    <cellStyle name="20% - Accent3 3 3 6 4" xfId="6110"/>
    <cellStyle name="20% - Accent3 3 3 6 4 2" xfId="6111"/>
    <cellStyle name="20% - Accent3 3 3 6 5" xfId="6112"/>
    <cellStyle name="20% - Accent3 3 3 6 5 2" xfId="6113"/>
    <cellStyle name="20% - Accent3 3 3 6 6" xfId="6114"/>
    <cellStyle name="20% - Accent3 3 3 7" xfId="6115"/>
    <cellStyle name="20% - Accent3 3 3 7 2" xfId="6116"/>
    <cellStyle name="20% - Accent3 3 3 7 2 2" xfId="6117"/>
    <cellStyle name="20% - Accent3 3 3 7 2 2 2" xfId="6118"/>
    <cellStyle name="20% - Accent3 3 3 7 2 3" xfId="6119"/>
    <cellStyle name="20% - Accent3 3 3 7 3" xfId="6120"/>
    <cellStyle name="20% - Accent3 3 3 7 3 2" xfId="6121"/>
    <cellStyle name="20% - Accent3 3 3 7 4" xfId="6122"/>
    <cellStyle name="20% - Accent3 3 3 8" xfId="6123"/>
    <cellStyle name="20% - Accent3 3 3 8 2" xfId="6124"/>
    <cellStyle name="20% - Accent3 3 3 8 2 2" xfId="6125"/>
    <cellStyle name="20% - Accent3 3 3 8 3" xfId="6126"/>
    <cellStyle name="20% - Accent3 3 3 9" xfId="6127"/>
    <cellStyle name="20% - Accent3 3 3 9 2" xfId="6128"/>
    <cellStyle name="20% - Accent3 3 4" xfId="6129"/>
    <cellStyle name="20% - Accent3 3 4 10" xfId="6130"/>
    <cellStyle name="20% - Accent3 3 4 10 2" xfId="6131"/>
    <cellStyle name="20% - Accent3 3 4 11" xfId="6132"/>
    <cellStyle name="20% - Accent3 3 4 2" xfId="6133"/>
    <cellStyle name="20% - Accent3 3 4 2 2" xfId="6134"/>
    <cellStyle name="20% - Accent3 3 4 2 2 2" xfId="6135"/>
    <cellStyle name="20% - Accent3 3 4 2 2 2 2" xfId="6136"/>
    <cellStyle name="20% - Accent3 3 4 2 2 2 2 2" xfId="6137"/>
    <cellStyle name="20% - Accent3 3 4 2 2 2 2 2 2" xfId="6138"/>
    <cellStyle name="20% - Accent3 3 4 2 2 2 2 3" xfId="6139"/>
    <cellStyle name="20% - Accent3 3 4 2 2 2 3" xfId="6140"/>
    <cellStyle name="20% - Accent3 3 4 2 2 2 3 2" xfId="6141"/>
    <cellStyle name="20% - Accent3 3 4 2 2 2 4" xfId="6142"/>
    <cellStyle name="20% - Accent3 3 4 2 2 3" xfId="6143"/>
    <cellStyle name="20% - Accent3 3 4 2 2 3 2" xfId="6144"/>
    <cellStyle name="20% - Accent3 3 4 2 2 3 2 2" xfId="6145"/>
    <cellStyle name="20% - Accent3 3 4 2 2 3 3" xfId="6146"/>
    <cellStyle name="20% - Accent3 3 4 2 2 4" xfId="6147"/>
    <cellStyle name="20% - Accent3 3 4 2 2 4 2" xfId="6148"/>
    <cellStyle name="20% - Accent3 3 4 2 2 5" xfId="6149"/>
    <cellStyle name="20% - Accent3 3 4 2 2 5 2" xfId="6150"/>
    <cellStyle name="20% - Accent3 3 4 2 2 6" xfId="6151"/>
    <cellStyle name="20% - Accent3 3 4 2 3" xfId="6152"/>
    <cellStyle name="20% - Accent3 3 4 2 3 2" xfId="6153"/>
    <cellStyle name="20% - Accent3 3 4 2 3 2 2" xfId="6154"/>
    <cellStyle name="20% - Accent3 3 4 2 3 2 2 2" xfId="6155"/>
    <cellStyle name="20% - Accent3 3 4 2 3 2 2 2 2" xfId="6156"/>
    <cellStyle name="20% - Accent3 3 4 2 3 2 2 3" xfId="6157"/>
    <cellStyle name="20% - Accent3 3 4 2 3 2 3" xfId="6158"/>
    <cellStyle name="20% - Accent3 3 4 2 3 2 3 2" xfId="6159"/>
    <cellStyle name="20% - Accent3 3 4 2 3 2 4" xfId="6160"/>
    <cellStyle name="20% - Accent3 3 4 2 3 3" xfId="6161"/>
    <cellStyle name="20% - Accent3 3 4 2 3 3 2" xfId="6162"/>
    <cellStyle name="20% - Accent3 3 4 2 3 3 2 2" xfId="6163"/>
    <cellStyle name="20% - Accent3 3 4 2 3 3 3" xfId="6164"/>
    <cellStyle name="20% - Accent3 3 4 2 3 4" xfId="6165"/>
    <cellStyle name="20% - Accent3 3 4 2 3 4 2" xfId="6166"/>
    <cellStyle name="20% - Accent3 3 4 2 3 5" xfId="6167"/>
    <cellStyle name="20% - Accent3 3 4 2 3 5 2" xfId="6168"/>
    <cellStyle name="20% - Accent3 3 4 2 3 6" xfId="6169"/>
    <cellStyle name="20% - Accent3 3 4 2 4" xfId="6170"/>
    <cellStyle name="20% - Accent3 3 4 2 4 2" xfId="6171"/>
    <cellStyle name="20% - Accent3 3 4 2 4 2 2" xfId="6172"/>
    <cellStyle name="20% - Accent3 3 4 2 4 2 2 2" xfId="6173"/>
    <cellStyle name="20% - Accent3 3 4 2 4 2 3" xfId="6174"/>
    <cellStyle name="20% - Accent3 3 4 2 4 3" xfId="6175"/>
    <cellStyle name="20% - Accent3 3 4 2 4 3 2" xfId="6176"/>
    <cellStyle name="20% - Accent3 3 4 2 4 4" xfId="6177"/>
    <cellStyle name="20% - Accent3 3 4 2 5" xfId="6178"/>
    <cellStyle name="20% - Accent3 3 4 2 5 2" xfId="6179"/>
    <cellStyle name="20% - Accent3 3 4 2 5 2 2" xfId="6180"/>
    <cellStyle name="20% - Accent3 3 4 2 5 3" xfId="6181"/>
    <cellStyle name="20% - Accent3 3 4 2 6" xfId="6182"/>
    <cellStyle name="20% - Accent3 3 4 2 6 2" xfId="6183"/>
    <cellStyle name="20% - Accent3 3 4 2 7" xfId="6184"/>
    <cellStyle name="20% - Accent3 3 4 2 7 2" xfId="6185"/>
    <cellStyle name="20% - Accent3 3 4 2 8" xfId="6186"/>
    <cellStyle name="20% - Accent3 3 4 3" xfId="6187"/>
    <cellStyle name="20% - Accent3 3 4 3 2" xfId="6188"/>
    <cellStyle name="20% - Accent3 3 4 3 2 2" xfId="6189"/>
    <cellStyle name="20% - Accent3 3 4 3 2 2 2" xfId="6190"/>
    <cellStyle name="20% - Accent3 3 4 3 2 2 2 2" xfId="6191"/>
    <cellStyle name="20% - Accent3 3 4 3 2 2 2 2 2" xfId="6192"/>
    <cellStyle name="20% - Accent3 3 4 3 2 2 2 3" xfId="6193"/>
    <cellStyle name="20% - Accent3 3 4 3 2 2 3" xfId="6194"/>
    <cellStyle name="20% - Accent3 3 4 3 2 2 3 2" xfId="6195"/>
    <cellStyle name="20% - Accent3 3 4 3 2 2 4" xfId="6196"/>
    <cellStyle name="20% - Accent3 3 4 3 2 3" xfId="6197"/>
    <cellStyle name="20% - Accent3 3 4 3 2 3 2" xfId="6198"/>
    <cellStyle name="20% - Accent3 3 4 3 2 3 2 2" xfId="6199"/>
    <cellStyle name="20% - Accent3 3 4 3 2 3 3" xfId="6200"/>
    <cellStyle name="20% - Accent3 3 4 3 2 4" xfId="6201"/>
    <cellStyle name="20% - Accent3 3 4 3 2 4 2" xfId="6202"/>
    <cellStyle name="20% - Accent3 3 4 3 2 5" xfId="6203"/>
    <cellStyle name="20% - Accent3 3 4 3 2 5 2" xfId="6204"/>
    <cellStyle name="20% - Accent3 3 4 3 2 6" xfId="6205"/>
    <cellStyle name="20% - Accent3 3 4 3 3" xfId="6206"/>
    <cellStyle name="20% - Accent3 3 4 3 3 2" xfId="6207"/>
    <cellStyle name="20% - Accent3 3 4 3 3 2 2" xfId="6208"/>
    <cellStyle name="20% - Accent3 3 4 3 3 2 2 2" xfId="6209"/>
    <cellStyle name="20% - Accent3 3 4 3 3 2 2 2 2" xfId="6210"/>
    <cellStyle name="20% - Accent3 3 4 3 3 2 2 3" xfId="6211"/>
    <cellStyle name="20% - Accent3 3 4 3 3 2 3" xfId="6212"/>
    <cellStyle name="20% - Accent3 3 4 3 3 2 3 2" xfId="6213"/>
    <cellStyle name="20% - Accent3 3 4 3 3 2 4" xfId="6214"/>
    <cellStyle name="20% - Accent3 3 4 3 3 3" xfId="6215"/>
    <cellStyle name="20% - Accent3 3 4 3 3 3 2" xfId="6216"/>
    <cellStyle name="20% - Accent3 3 4 3 3 3 2 2" xfId="6217"/>
    <cellStyle name="20% - Accent3 3 4 3 3 3 3" xfId="6218"/>
    <cellStyle name="20% - Accent3 3 4 3 3 4" xfId="6219"/>
    <cellStyle name="20% - Accent3 3 4 3 3 4 2" xfId="6220"/>
    <cellStyle name="20% - Accent3 3 4 3 3 5" xfId="6221"/>
    <cellStyle name="20% - Accent3 3 4 3 3 5 2" xfId="6222"/>
    <cellStyle name="20% - Accent3 3 4 3 3 6" xfId="6223"/>
    <cellStyle name="20% - Accent3 3 4 3 4" xfId="6224"/>
    <cellStyle name="20% - Accent3 3 4 3 4 2" xfId="6225"/>
    <cellStyle name="20% - Accent3 3 4 3 4 2 2" xfId="6226"/>
    <cellStyle name="20% - Accent3 3 4 3 4 2 2 2" xfId="6227"/>
    <cellStyle name="20% - Accent3 3 4 3 4 2 3" xfId="6228"/>
    <cellStyle name="20% - Accent3 3 4 3 4 3" xfId="6229"/>
    <cellStyle name="20% - Accent3 3 4 3 4 3 2" xfId="6230"/>
    <cellStyle name="20% - Accent3 3 4 3 4 4" xfId="6231"/>
    <cellStyle name="20% - Accent3 3 4 3 5" xfId="6232"/>
    <cellStyle name="20% - Accent3 3 4 3 5 2" xfId="6233"/>
    <cellStyle name="20% - Accent3 3 4 3 5 2 2" xfId="6234"/>
    <cellStyle name="20% - Accent3 3 4 3 5 3" xfId="6235"/>
    <cellStyle name="20% - Accent3 3 4 3 6" xfId="6236"/>
    <cellStyle name="20% - Accent3 3 4 3 6 2" xfId="6237"/>
    <cellStyle name="20% - Accent3 3 4 3 7" xfId="6238"/>
    <cellStyle name="20% - Accent3 3 4 3 7 2" xfId="6239"/>
    <cellStyle name="20% - Accent3 3 4 3 8" xfId="6240"/>
    <cellStyle name="20% - Accent3 3 4 4" xfId="6241"/>
    <cellStyle name="20% - Accent3 3 4 4 2" xfId="6242"/>
    <cellStyle name="20% - Accent3 3 4 4 2 2" xfId="6243"/>
    <cellStyle name="20% - Accent3 3 4 4 2 2 2" xfId="6244"/>
    <cellStyle name="20% - Accent3 3 4 4 2 2 2 2" xfId="6245"/>
    <cellStyle name="20% - Accent3 3 4 4 2 2 3" xfId="6246"/>
    <cellStyle name="20% - Accent3 3 4 4 2 3" xfId="6247"/>
    <cellStyle name="20% - Accent3 3 4 4 2 3 2" xfId="6248"/>
    <cellStyle name="20% - Accent3 3 4 4 2 4" xfId="6249"/>
    <cellStyle name="20% - Accent3 3 4 4 3" xfId="6250"/>
    <cellStyle name="20% - Accent3 3 4 4 3 2" xfId="6251"/>
    <cellStyle name="20% - Accent3 3 4 4 3 2 2" xfId="6252"/>
    <cellStyle name="20% - Accent3 3 4 4 3 3" xfId="6253"/>
    <cellStyle name="20% - Accent3 3 4 4 4" xfId="6254"/>
    <cellStyle name="20% - Accent3 3 4 4 4 2" xfId="6255"/>
    <cellStyle name="20% - Accent3 3 4 4 5" xfId="6256"/>
    <cellStyle name="20% - Accent3 3 4 4 5 2" xfId="6257"/>
    <cellStyle name="20% - Accent3 3 4 4 6" xfId="6258"/>
    <cellStyle name="20% - Accent3 3 4 5" xfId="6259"/>
    <cellStyle name="20% - Accent3 3 4 5 2" xfId="6260"/>
    <cellStyle name="20% - Accent3 3 4 5 2 2" xfId="6261"/>
    <cellStyle name="20% - Accent3 3 4 5 2 2 2" xfId="6262"/>
    <cellStyle name="20% - Accent3 3 4 5 2 2 2 2" xfId="6263"/>
    <cellStyle name="20% - Accent3 3 4 5 2 2 3" xfId="6264"/>
    <cellStyle name="20% - Accent3 3 4 5 2 3" xfId="6265"/>
    <cellStyle name="20% - Accent3 3 4 5 2 3 2" xfId="6266"/>
    <cellStyle name="20% - Accent3 3 4 5 2 4" xfId="6267"/>
    <cellStyle name="20% - Accent3 3 4 5 3" xfId="6268"/>
    <cellStyle name="20% - Accent3 3 4 5 3 2" xfId="6269"/>
    <cellStyle name="20% - Accent3 3 4 5 3 2 2" xfId="6270"/>
    <cellStyle name="20% - Accent3 3 4 5 3 3" xfId="6271"/>
    <cellStyle name="20% - Accent3 3 4 5 4" xfId="6272"/>
    <cellStyle name="20% - Accent3 3 4 5 4 2" xfId="6273"/>
    <cellStyle name="20% - Accent3 3 4 5 5" xfId="6274"/>
    <cellStyle name="20% - Accent3 3 4 5 5 2" xfId="6275"/>
    <cellStyle name="20% - Accent3 3 4 5 6" xfId="6276"/>
    <cellStyle name="20% - Accent3 3 4 6" xfId="6277"/>
    <cellStyle name="20% - Accent3 3 4 6 2" xfId="6278"/>
    <cellStyle name="20% - Accent3 3 4 6 2 2" xfId="6279"/>
    <cellStyle name="20% - Accent3 3 4 6 2 2 2" xfId="6280"/>
    <cellStyle name="20% - Accent3 3 4 6 2 2 2 2" xfId="6281"/>
    <cellStyle name="20% - Accent3 3 4 6 2 2 3" xfId="6282"/>
    <cellStyle name="20% - Accent3 3 4 6 2 3" xfId="6283"/>
    <cellStyle name="20% - Accent3 3 4 6 2 3 2" xfId="6284"/>
    <cellStyle name="20% - Accent3 3 4 6 2 4" xfId="6285"/>
    <cellStyle name="20% - Accent3 3 4 6 3" xfId="6286"/>
    <cellStyle name="20% - Accent3 3 4 6 3 2" xfId="6287"/>
    <cellStyle name="20% - Accent3 3 4 6 3 2 2" xfId="6288"/>
    <cellStyle name="20% - Accent3 3 4 6 3 3" xfId="6289"/>
    <cellStyle name="20% - Accent3 3 4 6 4" xfId="6290"/>
    <cellStyle name="20% - Accent3 3 4 6 4 2" xfId="6291"/>
    <cellStyle name="20% - Accent3 3 4 6 5" xfId="6292"/>
    <cellStyle name="20% - Accent3 3 4 6 5 2" xfId="6293"/>
    <cellStyle name="20% - Accent3 3 4 6 6" xfId="6294"/>
    <cellStyle name="20% - Accent3 3 4 7" xfId="6295"/>
    <cellStyle name="20% - Accent3 3 4 7 2" xfId="6296"/>
    <cellStyle name="20% - Accent3 3 4 7 2 2" xfId="6297"/>
    <cellStyle name="20% - Accent3 3 4 7 2 2 2" xfId="6298"/>
    <cellStyle name="20% - Accent3 3 4 7 2 3" xfId="6299"/>
    <cellStyle name="20% - Accent3 3 4 7 3" xfId="6300"/>
    <cellStyle name="20% - Accent3 3 4 7 3 2" xfId="6301"/>
    <cellStyle name="20% - Accent3 3 4 7 4" xfId="6302"/>
    <cellStyle name="20% - Accent3 3 4 8" xfId="6303"/>
    <cellStyle name="20% - Accent3 3 4 8 2" xfId="6304"/>
    <cellStyle name="20% - Accent3 3 4 8 2 2" xfId="6305"/>
    <cellStyle name="20% - Accent3 3 4 8 3" xfId="6306"/>
    <cellStyle name="20% - Accent3 3 4 9" xfId="6307"/>
    <cellStyle name="20% - Accent3 3 4 9 2" xfId="6308"/>
    <cellStyle name="20% - Accent3 3 5" xfId="6309"/>
    <cellStyle name="20% - Accent3 3 5 10" xfId="6310"/>
    <cellStyle name="20% - Accent3 3 5 10 2" xfId="6311"/>
    <cellStyle name="20% - Accent3 3 5 11" xfId="6312"/>
    <cellStyle name="20% - Accent3 3 5 2" xfId="6313"/>
    <cellStyle name="20% - Accent3 3 5 2 2" xfId="6314"/>
    <cellStyle name="20% - Accent3 3 5 2 2 2" xfId="6315"/>
    <cellStyle name="20% - Accent3 3 5 2 2 2 2" xfId="6316"/>
    <cellStyle name="20% - Accent3 3 5 2 2 2 2 2" xfId="6317"/>
    <cellStyle name="20% - Accent3 3 5 2 2 2 2 2 2" xfId="6318"/>
    <cellStyle name="20% - Accent3 3 5 2 2 2 2 3" xfId="6319"/>
    <cellStyle name="20% - Accent3 3 5 2 2 2 3" xfId="6320"/>
    <cellStyle name="20% - Accent3 3 5 2 2 2 3 2" xfId="6321"/>
    <cellStyle name="20% - Accent3 3 5 2 2 2 4" xfId="6322"/>
    <cellStyle name="20% - Accent3 3 5 2 2 3" xfId="6323"/>
    <cellStyle name="20% - Accent3 3 5 2 2 3 2" xfId="6324"/>
    <cellStyle name="20% - Accent3 3 5 2 2 3 2 2" xfId="6325"/>
    <cellStyle name="20% - Accent3 3 5 2 2 3 3" xfId="6326"/>
    <cellStyle name="20% - Accent3 3 5 2 2 4" xfId="6327"/>
    <cellStyle name="20% - Accent3 3 5 2 2 4 2" xfId="6328"/>
    <cellStyle name="20% - Accent3 3 5 2 2 5" xfId="6329"/>
    <cellStyle name="20% - Accent3 3 5 2 2 5 2" xfId="6330"/>
    <cellStyle name="20% - Accent3 3 5 2 2 6" xfId="6331"/>
    <cellStyle name="20% - Accent3 3 5 2 3" xfId="6332"/>
    <cellStyle name="20% - Accent3 3 5 2 3 2" xfId="6333"/>
    <cellStyle name="20% - Accent3 3 5 2 3 2 2" xfId="6334"/>
    <cellStyle name="20% - Accent3 3 5 2 3 2 2 2" xfId="6335"/>
    <cellStyle name="20% - Accent3 3 5 2 3 2 2 2 2" xfId="6336"/>
    <cellStyle name="20% - Accent3 3 5 2 3 2 2 3" xfId="6337"/>
    <cellStyle name="20% - Accent3 3 5 2 3 2 3" xfId="6338"/>
    <cellStyle name="20% - Accent3 3 5 2 3 2 3 2" xfId="6339"/>
    <cellStyle name="20% - Accent3 3 5 2 3 2 4" xfId="6340"/>
    <cellStyle name="20% - Accent3 3 5 2 3 3" xfId="6341"/>
    <cellStyle name="20% - Accent3 3 5 2 3 3 2" xfId="6342"/>
    <cellStyle name="20% - Accent3 3 5 2 3 3 2 2" xfId="6343"/>
    <cellStyle name="20% - Accent3 3 5 2 3 3 3" xfId="6344"/>
    <cellStyle name="20% - Accent3 3 5 2 3 4" xfId="6345"/>
    <cellStyle name="20% - Accent3 3 5 2 3 4 2" xfId="6346"/>
    <cellStyle name="20% - Accent3 3 5 2 3 5" xfId="6347"/>
    <cellStyle name="20% - Accent3 3 5 2 3 5 2" xfId="6348"/>
    <cellStyle name="20% - Accent3 3 5 2 3 6" xfId="6349"/>
    <cellStyle name="20% - Accent3 3 5 2 4" xfId="6350"/>
    <cellStyle name="20% - Accent3 3 5 2 4 2" xfId="6351"/>
    <cellStyle name="20% - Accent3 3 5 2 4 2 2" xfId="6352"/>
    <cellStyle name="20% - Accent3 3 5 2 4 2 2 2" xfId="6353"/>
    <cellStyle name="20% - Accent3 3 5 2 4 2 3" xfId="6354"/>
    <cellStyle name="20% - Accent3 3 5 2 4 3" xfId="6355"/>
    <cellStyle name="20% - Accent3 3 5 2 4 3 2" xfId="6356"/>
    <cellStyle name="20% - Accent3 3 5 2 4 4" xfId="6357"/>
    <cellStyle name="20% - Accent3 3 5 2 5" xfId="6358"/>
    <cellStyle name="20% - Accent3 3 5 2 5 2" xfId="6359"/>
    <cellStyle name="20% - Accent3 3 5 2 5 2 2" xfId="6360"/>
    <cellStyle name="20% - Accent3 3 5 2 5 3" xfId="6361"/>
    <cellStyle name="20% - Accent3 3 5 2 6" xfId="6362"/>
    <cellStyle name="20% - Accent3 3 5 2 6 2" xfId="6363"/>
    <cellStyle name="20% - Accent3 3 5 2 7" xfId="6364"/>
    <cellStyle name="20% - Accent3 3 5 2 7 2" xfId="6365"/>
    <cellStyle name="20% - Accent3 3 5 2 8" xfId="6366"/>
    <cellStyle name="20% - Accent3 3 5 3" xfId="6367"/>
    <cellStyle name="20% - Accent3 3 5 3 2" xfId="6368"/>
    <cellStyle name="20% - Accent3 3 5 3 2 2" xfId="6369"/>
    <cellStyle name="20% - Accent3 3 5 3 2 2 2" xfId="6370"/>
    <cellStyle name="20% - Accent3 3 5 3 2 2 2 2" xfId="6371"/>
    <cellStyle name="20% - Accent3 3 5 3 2 2 2 2 2" xfId="6372"/>
    <cellStyle name="20% - Accent3 3 5 3 2 2 2 3" xfId="6373"/>
    <cellStyle name="20% - Accent3 3 5 3 2 2 3" xfId="6374"/>
    <cellStyle name="20% - Accent3 3 5 3 2 2 3 2" xfId="6375"/>
    <cellStyle name="20% - Accent3 3 5 3 2 2 4" xfId="6376"/>
    <cellStyle name="20% - Accent3 3 5 3 2 3" xfId="6377"/>
    <cellStyle name="20% - Accent3 3 5 3 2 3 2" xfId="6378"/>
    <cellStyle name="20% - Accent3 3 5 3 2 3 2 2" xfId="6379"/>
    <cellStyle name="20% - Accent3 3 5 3 2 3 3" xfId="6380"/>
    <cellStyle name="20% - Accent3 3 5 3 2 4" xfId="6381"/>
    <cellStyle name="20% - Accent3 3 5 3 2 4 2" xfId="6382"/>
    <cellStyle name="20% - Accent3 3 5 3 2 5" xfId="6383"/>
    <cellStyle name="20% - Accent3 3 5 3 2 5 2" xfId="6384"/>
    <cellStyle name="20% - Accent3 3 5 3 2 6" xfId="6385"/>
    <cellStyle name="20% - Accent3 3 5 3 3" xfId="6386"/>
    <cellStyle name="20% - Accent3 3 5 3 3 2" xfId="6387"/>
    <cellStyle name="20% - Accent3 3 5 3 3 2 2" xfId="6388"/>
    <cellStyle name="20% - Accent3 3 5 3 3 2 2 2" xfId="6389"/>
    <cellStyle name="20% - Accent3 3 5 3 3 2 2 2 2" xfId="6390"/>
    <cellStyle name="20% - Accent3 3 5 3 3 2 2 3" xfId="6391"/>
    <cellStyle name="20% - Accent3 3 5 3 3 2 3" xfId="6392"/>
    <cellStyle name="20% - Accent3 3 5 3 3 2 3 2" xfId="6393"/>
    <cellStyle name="20% - Accent3 3 5 3 3 2 4" xfId="6394"/>
    <cellStyle name="20% - Accent3 3 5 3 3 3" xfId="6395"/>
    <cellStyle name="20% - Accent3 3 5 3 3 3 2" xfId="6396"/>
    <cellStyle name="20% - Accent3 3 5 3 3 3 2 2" xfId="6397"/>
    <cellStyle name="20% - Accent3 3 5 3 3 3 3" xfId="6398"/>
    <cellStyle name="20% - Accent3 3 5 3 3 4" xfId="6399"/>
    <cellStyle name="20% - Accent3 3 5 3 3 4 2" xfId="6400"/>
    <cellStyle name="20% - Accent3 3 5 3 3 5" xfId="6401"/>
    <cellStyle name="20% - Accent3 3 5 3 3 5 2" xfId="6402"/>
    <cellStyle name="20% - Accent3 3 5 3 3 6" xfId="6403"/>
    <cellStyle name="20% - Accent3 3 5 3 4" xfId="6404"/>
    <cellStyle name="20% - Accent3 3 5 3 4 2" xfId="6405"/>
    <cellStyle name="20% - Accent3 3 5 3 4 2 2" xfId="6406"/>
    <cellStyle name="20% - Accent3 3 5 3 4 2 2 2" xfId="6407"/>
    <cellStyle name="20% - Accent3 3 5 3 4 2 3" xfId="6408"/>
    <cellStyle name="20% - Accent3 3 5 3 4 3" xfId="6409"/>
    <cellStyle name="20% - Accent3 3 5 3 4 3 2" xfId="6410"/>
    <cellStyle name="20% - Accent3 3 5 3 4 4" xfId="6411"/>
    <cellStyle name="20% - Accent3 3 5 3 5" xfId="6412"/>
    <cellStyle name="20% - Accent3 3 5 3 5 2" xfId="6413"/>
    <cellStyle name="20% - Accent3 3 5 3 5 2 2" xfId="6414"/>
    <cellStyle name="20% - Accent3 3 5 3 5 3" xfId="6415"/>
    <cellStyle name="20% - Accent3 3 5 3 6" xfId="6416"/>
    <cellStyle name="20% - Accent3 3 5 3 6 2" xfId="6417"/>
    <cellStyle name="20% - Accent3 3 5 3 7" xfId="6418"/>
    <cellStyle name="20% - Accent3 3 5 3 7 2" xfId="6419"/>
    <cellStyle name="20% - Accent3 3 5 3 8" xfId="6420"/>
    <cellStyle name="20% - Accent3 3 5 4" xfId="6421"/>
    <cellStyle name="20% - Accent3 3 5 4 2" xfId="6422"/>
    <cellStyle name="20% - Accent3 3 5 4 2 2" xfId="6423"/>
    <cellStyle name="20% - Accent3 3 5 4 2 2 2" xfId="6424"/>
    <cellStyle name="20% - Accent3 3 5 4 2 2 2 2" xfId="6425"/>
    <cellStyle name="20% - Accent3 3 5 4 2 2 3" xfId="6426"/>
    <cellStyle name="20% - Accent3 3 5 4 2 3" xfId="6427"/>
    <cellStyle name="20% - Accent3 3 5 4 2 3 2" xfId="6428"/>
    <cellStyle name="20% - Accent3 3 5 4 2 4" xfId="6429"/>
    <cellStyle name="20% - Accent3 3 5 4 3" xfId="6430"/>
    <cellStyle name="20% - Accent3 3 5 4 3 2" xfId="6431"/>
    <cellStyle name="20% - Accent3 3 5 4 3 2 2" xfId="6432"/>
    <cellStyle name="20% - Accent3 3 5 4 3 3" xfId="6433"/>
    <cellStyle name="20% - Accent3 3 5 4 4" xfId="6434"/>
    <cellStyle name="20% - Accent3 3 5 4 4 2" xfId="6435"/>
    <cellStyle name="20% - Accent3 3 5 4 5" xfId="6436"/>
    <cellStyle name="20% - Accent3 3 5 4 5 2" xfId="6437"/>
    <cellStyle name="20% - Accent3 3 5 4 6" xfId="6438"/>
    <cellStyle name="20% - Accent3 3 5 5" xfId="6439"/>
    <cellStyle name="20% - Accent3 3 5 5 2" xfId="6440"/>
    <cellStyle name="20% - Accent3 3 5 5 2 2" xfId="6441"/>
    <cellStyle name="20% - Accent3 3 5 5 2 2 2" xfId="6442"/>
    <cellStyle name="20% - Accent3 3 5 5 2 2 2 2" xfId="6443"/>
    <cellStyle name="20% - Accent3 3 5 5 2 2 3" xfId="6444"/>
    <cellStyle name="20% - Accent3 3 5 5 2 3" xfId="6445"/>
    <cellStyle name="20% - Accent3 3 5 5 2 3 2" xfId="6446"/>
    <cellStyle name="20% - Accent3 3 5 5 2 4" xfId="6447"/>
    <cellStyle name="20% - Accent3 3 5 5 3" xfId="6448"/>
    <cellStyle name="20% - Accent3 3 5 5 3 2" xfId="6449"/>
    <cellStyle name="20% - Accent3 3 5 5 3 2 2" xfId="6450"/>
    <cellStyle name="20% - Accent3 3 5 5 3 3" xfId="6451"/>
    <cellStyle name="20% - Accent3 3 5 5 4" xfId="6452"/>
    <cellStyle name="20% - Accent3 3 5 5 4 2" xfId="6453"/>
    <cellStyle name="20% - Accent3 3 5 5 5" xfId="6454"/>
    <cellStyle name="20% - Accent3 3 5 5 5 2" xfId="6455"/>
    <cellStyle name="20% - Accent3 3 5 5 6" xfId="6456"/>
    <cellStyle name="20% - Accent3 3 5 6" xfId="6457"/>
    <cellStyle name="20% - Accent3 3 5 6 2" xfId="6458"/>
    <cellStyle name="20% - Accent3 3 5 6 2 2" xfId="6459"/>
    <cellStyle name="20% - Accent3 3 5 6 2 2 2" xfId="6460"/>
    <cellStyle name="20% - Accent3 3 5 6 2 2 2 2" xfId="6461"/>
    <cellStyle name="20% - Accent3 3 5 6 2 2 3" xfId="6462"/>
    <cellStyle name="20% - Accent3 3 5 6 2 3" xfId="6463"/>
    <cellStyle name="20% - Accent3 3 5 6 2 3 2" xfId="6464"/>
    <cellStyle name="20% - Accent3 3 5 6 2 4" xfId="6465"/>
    <cellStyle name="20% - Accent3 3 5 6 3" xfId="6466"/>
    <cellStyle name="20% - Accent3 3 5 6 3 2" xfId="6467"/>
    <cellStyle name="20% - Accent3 3 5 6 3 2 2" xfId="6468"/>
    <cellStyle name="20% - Accent3 3 5 6 3 3" xfId="6469"/>
    <cellStyle name="20% - Accent3 3 5 6 4" xfId="6470"/>
    <cellStyle name="20% - Accent3 3 5 6 4 2" xfId="6471"/>
    <cellStyle name="20% - Accent3 3 5 6 5" xfId="6472"/>
    <cellStyle name="20% - Accent3 3 5 6 5 2" xfId="6473"/>
    <cellStyle name="20% - Accent3 3 5 6 6" xfId="6474"/>
    <cellStyle name="20% - Accent3 3 5 7" xfId="6475"/>
    <cellStyle name="20% - Accent3 3 5 7 2" xfId="6476"/>
    <cellStyle name="20% - Accent3 3 5 7 2 2" xfId="6477"/>
    <cellStyle name="20% - Accent3 3 5 7 2 2 2" xfId="6478"/>
    <cellStyle name="20% - Accent3 3 5 7 2 3" xfId="6479"/>
    <cellStyle name="20% - Accent3 3 5 7 3" xfId="6480"/>
    <cellStyle name="20% - Accent3 3 5 7 3 2" xfId="6481"/>
    <cellStyle name="20% - Accent3 3 5 7 4" xfId="6482"/>
    <cellStyle name="20% - Accent3 3 5 8" xfId="6483"/>
    <cellStyle name="20% - Accent3 3 5 8 2" xfId="6484"/>
    <cellStyle name="20% - Accent3 3 5 8 2 2" xfId="6485"/>
    <cellStyle name="20% - Accent3 3 5 8 3" xfId="6486"/>
    <cellStyle name="20% - Accent3 3 5 9" xfId="6487"/>
    <cellStyle name="20% - Accent3 3 5 9 2" xfId="6488"/>
    <cellStyle name="20% - Accent3 3 6" xfId="6489"/>
    <cellStyle name="20% - Accent3 3 6 2" xfId="6490"/>
    <cellStyle name="20% - Accent3 3 6 2 2" xfId="6491"/>
    <cellStyle name="20% - Accent3 3 6 2 2 2" xfId="6492"/>
    <cellStyle name="20% - Accent3 3 6 2 2 2 2" xfId="6493"/>
    <cellStyle name="20% - Accent3 3 6 2 2 2 2 2" xfId="6494"/>
    <cellStyle name="20% - Accent3 3 6 2 2 2 3" xfId="6495"/>
    <cellStyle name="20% - Accent3 3 6 2 2 3" xfId="6496"/>
    <cellStyle name="20% - Accent3 3 6 2 2 3 2" xfId="6497"/>
    <cellStyle name="20% - Accent3 3 6 2 2 4" xfId="6498"/>
    <cellStyle name="20% - Accent3 3 6 2 3" xfId="6499"/>
    <cellStyle name="20% - Accent3 3 6 2 3 2" xfId="6500"/>
    <cellStyle name="20% - Accent3 3 6 2 3 2 2" xfId="6501"/>
    <cellStyle name="20% - Accent3 3 6 2 3 3" xfId="6502"/>
    <cellStyle name="20% - Accent3 3 6 2 4" xfId="6503"/>
    <cellStyle name="20% - Accent3 3 6 2 4 2" xfId="6504"/>
    <cellStyle name="20% - Accent3 3 6 2 5" xfId="6505"/>
    <cellStyle name="20% - Accent3 3 6 2 5 2" xfId="6506"/>
    <cellStyle name="20% - Accent3 3 6 2 6" xfId="6507"/>
    <cellStyle name="20% - Accent3 3 6 3" xfId="6508"/>
    <cellStyle name="20% - Accent3 3 6 3 2" xfId="6509"/>
    <cellStyle name="20% - Accent3 3 6 3 2 2" xfId="6510"/>
    <cellStyle name="20% - Accent3 3 6 3 2 2 2" xfId="6511"/>
    <cellStyle name="20% - Accent3 3 6 3 2 2 2 2" xfId="6512"/>
    <cellStyle name="20% - Accent3 3 6 3 2 2 3" xfId="6513"/>
    <cellStyle name="20% - Accent3 3 6 3 2 3" xfId="6514"/>
    <cellStyle name="20% - Accent3 3 6 3 2 3 2" xfId="6515"/>
    <cellStyle name="20% - Accent3 3 6 3 2 4" xfId="6516"/>
    <cellStyle name="20% - Accent3 3 6 3 3" xfId="6517"/>
    <cellStyle name="20% - Accent3 3 6 3 3 2" xfId="6518"/>
    <cellStyle name="20% - Accent3 3 6 3 3 2 2" xfId="6519"/>
    <cellStyle name="20% - Accent3 3 6 3 3 3" xfId="6520"/>
    <cellStyle name="20% - Accent3 3 6 3 4" xfId="6521"/>
    <cellStyle name="20% - Accent3 3 6 3 4 2" xfId="6522"/>
    <cellStyle name="20% - Accent3 3 6 3 5" xfId="6523"/>
    <cellStyle name="20% - Accent3 3 6 3 5 2" xfId="6524"/>
    <cellStyle name="20% - Accent3 3 6 3 6" xfId="6525"/>
    <cellStyle name="20% - Accent3 3 6 4" xfId="6526"/>
    <cellStyle name="20% - Accent3 3 6 4 2" xfId="6527"/>
    <cellStyle name="20% - Accent3 3 6 4 2 2" xfId="6528"/>
    <cellStyle name="20% - Accent3 3 6 4 2 2 2" xfId="6529"/>
    <cellStyle name="20% - Accent3 3 6 4 2 3" xfId="6530"/>
    <cellStyle name="20% - Accent3 3 6 4 3" xfId="6531"/>
    <cellStyle name="20% - Accent3 3 6 4 3 2" xfId="6532"/>
    <cellStyle name="20% - Accent3 3 6 4 4" xfId="6533"/>
    <cellStyle name="20% - Accent3 3 6 5" xfId="6534"/>
    <cellStyle name="20% - Accent3 3 6 5 2" xfId="6535"/>
    <cellStyle name="20% - Accent3 3 6 5 2 2" xfId="6536"/>
    <cellStyle name="20% - Accent3 3 6 5 3" xfId="6537"/>
    <cellStyle name="20% - Accent3 3 6 6" xfId="6538"/>
    <cellStyle name="20% - Accent3 3 6 6 2" xfId="6539"/>
    <cellStyle name="20% - Accent3 3 6 7" xfId="6540"/>
    <cellStyle name="20% - Accent3 3 6 7 2" xfId="6541"/>
    <cellStyle name="20% - Accent3 3 6 8" xfId="6542"/>
    <cellStyle name="20% - Accent3 3 7" xfId="6543"/>
    <cellStyle name="20% - Accent3 3 7 2" xfId="6544"/>
    <cellStyle name="20% - Accent3 3 7 2 2" xfId="6545"/>
    <cellStyle name="20% - Accent3 3 7 2 2 2" xfId="6546"/>
    <cellStyle name="20% - Accent3 3 7 2 2 2 2" xfId="6547"/>
    <cellStyle name="20% - Accent3 3 7 2 2 2 2 2" xfId="6548"/>
    <cellStyle name="20% - Accent3 3 7 2 2 2 3" xfId="6549"/>
    <cellStyle name="20% - Accent3 3 7 2 2 3" xfId="6550"/>
    <cellStyle name="20% - Accent3 3 7 2 2 3 2" xfId="6551"/>
    <cellStyle name="20% - Accent3 3 7 2 2 4" xfId="6552"/>
    <cellStyle name="20% - Accent3 3 7 2 3" xfId="6553"/>
    <cellStyle name="20% - Accent3 3 7 2 3 2" xfId="6554"/>
    <cellStyle name="20% - Accent3 3 7 2 3 2 2" xfId="6555"/>
    <cellStyle name="20% - Accent3 3 7 2 3 3" xfId="6556"/>
    <cellStyle name="20% - Accent3 3 7 2 4" xfId="6557"/>
    <cellStyle name="20% - Accent3 3 7 2 4 2" xfId="6558"/>
    <cellStyle name="20% - Accent3 3 7 2 5" xfId="6559"/>
    <cellStyle name="20% - Accent3 3 7 2 5 2" xfId="6560"/>
    <cellStyle name="20% - Accent3 3 7 2 6" xfId="6561"/>
    <cellStyle name="20% - Accent3 3 7 3" xfId="6562"/>
    <cellStyle name="20% - Accent3 3 7 3 2" xfId="6563"/>
    <cellStyle name="20% - Accent3 3 7 3 2 2" xfId="6564"/>
    <cellStyle name="20% - Accent3 3 7 3 2 2 2" xfId="6565"/>
    <cellStyle name="20% - Accent3 3 7 3 2 2 2 2" xfId="6566"/>
    <cellStyle name="20% - Accent3 3 7 3 2 2 3" xfId="6567"/>
    <cellStyle name="20% - Accent3 3 7 3 2 3" xfId="6568"/>
    <cellStyle name="20% - Accent3 3 7 3 2 3 2" xfId="6569"/>
    <cellStyle name="20% - Accent3 3 7 3 2 4" xfId="6570"/>
    <cellStyle name="20% - Accent3 3 7 3 3" xfId="6571"/>
    <cellStyle name="20% - Accent3 3 7 3 3 2" xfId="6572"/>
    <cellStyle name="20% - Accent3 3 7 3 3 2 2" xfId="6573"/>
    <cellStyle name="20% - Accent3 3 7 3 3 3" xfId="6574"/>
    <cellStyle name="20% - Accent3 3 7 3 4" xfId="6575"/>
    <cellStyle name="20% - Accent3 3 7 3 4 2" xfId="6576"/>
    <cellStyle name="20% - Accent3 3 7 3 5" xfId="6577"/>
    <cellStyle name="20% - Accent3 3 7 3 5 2" xfId="6578"/>
    <cellStyle name="20% - Accent3 3 7 3 6" xfId="6579"/>
    <cellStyle name="20% - Accent3 3 7 4" xfId="6580"/>
    <cellStyle name="20% - Accent3 3 7 4 2" xfId="6581"/>
    <cellStyle name="20% - Accent3 3 7 4 2 2" xfId="6582"/>
    <cellStyle name="20% - Accent3 3 7 4 2 2 2" xfId="6583"/>
    <cellStyle name="20% - Accent3 3 7 4 2 3" xfId="6584"/>
    <cellStyle name="20% - Accent3 3 7 4 3" xfId="6585"/>
    <cellStyle name="20% - Accent3 3 7 4 3 2" xfId="6586"/>
    <cellStyle name="20% - Accent3 3 7 4 4" xfId="6587"/>
    <cellStyle name="20% - Accent3 3 7 5" xfId="6588"/>
    <cellStyle name="20% - Accent3 3 7 5 2" xfId="6589"/>
    <cellStyle name="20% - Accent3 3 7 5 2 2" xfId="6590"/>
    <cellStyle name="20% - Accent3 3 7 5 3" xfId="6591"/>
    <cellStyle name="20% - Accent3 3 7 6" xfId="6592"/>
    <cellStyle name="20% - Accent3 3 7 6 2" xfId="6593"/>
    <cellStyle name="20% - Accent3 3 7 7" xfId="6594"/>
    <cellStyle name="20% - Accent3 3 7 7 2" xfId="6595"/>
    <cellStyle name="20% - Accent3 3 7 8" xfId="6596"/>
    <cellStyle name="20% - Accent3 3 8" xfId="6597"/>
    <cellStyle name="20% - Accent3 3 8 2" xfId="6598"/>
    <cellStyle name="20% - Accent3 3 8 2 2" xfId="6599"/>
    <cellStyle name="20% - Accent3 3 8 2 2 2" xfId="6600"/>
    <cellStyle name="20% - Accent3 3 8 2 2 2 2" xfId="6601"/>
    <cellStyle name="20% - Accent3 3 8 2 2 3" xfId="6602"/>
    <cellStyle name="20% - Accent3 3 8 2 3" xfId="6603"/>
    <cellStyle name="20% - Accent3 3 8 2 3 2" xfId="6604"/>
    <cellStyle name="20% - Accent3 3 8 2 4" xfId="6605"/>
    <cellStyle name="20% - Accent3 3 8 3" xfId="6606"/>
    <cellStyle name="20% - Accent3 3 8 3 2" xfId="6607"/>
    <cellStyle name="20% - Accent3 3 8 3 2 2" xfId="6608"/>
    <cellStyle name="20% - Accent3 3 8 3 3" xfId="6609"/>
    <cellStyle name="20% - Accent3 3 8 4" xfId="6610"/>
    <cellStyle name="20% - Accent3 3 8 4 2" xfId="6611"/>
    <cellStyle name="20% - Accent3 3 8 5" xfId="6612"/>
    <cellStyle name="20% - Accent3 3 8 5 2" xfId="6613"/>
    <cellStyle name="20% - Accent3 3 8 6" xfId="6614"/>
    <cellStyle name="20% - Accent3 3 9" xfId="6615"/>
    <cellStyle name="20% - Accent3 3 9 2" xfId="6616"/>
    <cellStyle name="20% - Accent3 3 9 2 2" xfId="6617"/>
    <cellStyle name="20% - Accent3 3 9 2 2 2" xfId="6618"/>
    <cellStyle name="20% - Accent3 3 9 2 2 2 2" xfId="6619"/>
    <cellStyle name="20% - Accent3 3 9 2 2 3" xfId="6620"/>
    <cellStyle name="20% - Accent3 3 9 2 3" xfId="6621"/>
    <cellStyle name="20% - Accent3 3 9 2 3 2" xfId="6622"/>
    <cellStyle name="20% - Accent3 3 9 2 4" xfId="6623"/>
    <cellStyle name="20% - Accent3 3 9 3" xfId="6624"/>
    <cellStyle name="20% - Accent3 3 9 3 2" xfId="6625"/>
    <cellStyle name="20% - Accent3 3 9 3 2 2" xfId="6626"/>
    <cellStyle name="20% - Accent3 3 9 3 3" xfId="6627"/>
    <cellStyle name="20% - Accent3 3 9 4" xfId="6628"/>
    <cellStyle name="20% - Accent3 3 9 4 2" xfId="6629"/>
    <cellStyle name="20% - Accent3 3 9 5" xfId="6630"/>
    <cellStyle name="20% - Accent3 3 9 5 2" xfId="6631"/>
    <cellStyle name="20% - Accent3 3 9 6" xfId="6632"/>
    <cellStyle name="20% - Accent3 4" xfId="6633"/>
    <cellStyle name="20% - Accent3 5" xfId="6634"/>
    <cellStyle name="20% - Accent3 5 10" xfId="6635"/>
    <cellStyle name="20% - Accent3 5 10 2" xfId="6636"/>
    <cellStyle name="20% - Accent3 5 11" xfId="6637"/>
    <cellStyle name="20% - Accent3 5 2" xfId="6638"/>
    <cellStyle name="20% - Accent3 5 2 2" xfId="6639"/>
    <cellStyle name="20% - Accent3 5 2 2 2" xfId="6640"/>
    <cellStyle name="20% - Accent3 5 2 2 2 2" xfId="6641"/>
    <cellStyle name="20% - Accent3 5 2 2 2 2 2" xfId="6642"/>
    <cellStyle name="20% - Accent3 5 2 2 2 2 2 2" xfId="6643"/>
    <cellStyle name="20% - Accent3 5 2 2 2 2 3" xfId="6644"/>
    <cellStyle name="20% - Accent3 5 2 2 2 3" xfId="6645"/>
    <cellStyle name="20% - Accent3 5 2 2 2 3 2" xfId="6646"/>
    <cellStyle name="20% - Accent3 5 2 2 2 4" xfId="6647"/>
    <cellStyle name="20% - Accent3 5 2 2 3" xfId="6648"/>
    <cellStyle name="20% - Accent3 5 2 2 3 2" xfId="6649"/>
    <cellStyle name="20% - Accent3 5 2 2 3 2 2" xfId="6650"/>
    <cellStyle name="20% - Accent3 5 2 2 3 3" xfId="6651"/>
    <cellStyle name="20% - Accent3 5 2 2 4" xfId="6652"/>
    <cellStyle name="20% - Accent3 5 2 2 4 2" xfId="6653"/>
    <cellStyle name="20% - Accent3 5 2 2 5" xfId="6654"/>
    <cellStyle name="20% - Accent3 5 2 2 5 2" xfId="6655"/>
    <cellStyle name="20% - Accent3 5 2 2 6" xfId="6656"/>
    <cellStyle name="20% - Accent3 5 2 3" xfId="6657"/>
    <cellStyle name="20% - Accent3 5 2 3 2" xfId="6658"/>
    <cellStyle name="20% - Accent3 5 2 3 2 2" xfId="6659"/>
    <cellStyle name="20% - Accent3 5 2 3 2 2 2" xfId="6660"/>
    <cellStyle name="20% - Accent3 5 2 3 2 2 2 2" xfId="6661"/>
    <cellStyle name="20% - Accent3 5 2 3 2 2 3" xfId="6662"/>
    <cellStyle name="20% - Accent3 5 2 3 2 3" xfId="6663"/>
    <cellStyle name="20% - Accent3 5 2 3 2 3 2" xfId="6664"/>
    <cellStyle name="20% - Accent3 5 2 3 2 4" xfId="6665"/>
    <cellStyle name="20% - Accent3 5 2 3 3" xfId="6666"/>
    <cellStyle name="20% - Accent3 5 2 3 3 2" xfId="6667"/>
    <cellStyle name="20% - Accent3 5 2 3 3 2 2" xfId="6668"/>
    <cellStyle name="20% - Accent3 5 2 3 3 3" xfId="6669"/>
    <cellStyle name="20% - Accent3 5 2 3 4" xfId="6670"/>
    <cellStyle name="20% - Accent3 5 2 3 4 2" xfId="6671"/>
    <cellStyle name="20% - Accent3 5 2 3 5" xfId="6672"/>
    <cellStyle name="20% - Accent3 5 2 3 5 2" xfId="6673"/>
    <cellStyle name="20% - Accent3 5 2 3 6" xfId="6674"/>
    <cellStyle name="20% - Accent3 5 2 4" xfId="6675"/>
    <cellStyle name="20% - Accent3 5 2 4 2" xfId="6676"/>
    <cellStyle name="20% - Accent3 5 2 4 2 2" xfId="6677"/>
    <cellStyle name="20% - Accent3 5 2 4 2 2 2" xfId="6678"/>
    <cellStyle name="20% - Accent3 5 2 4 2 3" xfId="6679"/>
    <cellStyle name="20% - Accent3 5 2 4 3" xfId="6680"/>
    <cellStyle name="20% - Accent3 5 2 4 3 2" xfId="6681"/>
    <cellStyle name="20% - Accent3 5 2 4 4" xfId="6682"/>
    <cellStyle name="20% - Accent3 5 2 5" xfId="6683"/>
    <cellStyle name="20% - Accent3 5 2 5 2" xfId="6684"/>
    <cellStyle name="20% - Accent3 5 2 5 2 2" xfId="6685"/>
    <cellStyle name="20% - Accent3 5 2 5 3" xfId="6686"/>
    <cellStyle name="20% - Accent3 5 2 6" xfId="6687"/>
    <cellStyle name="20% - Accent3 5 2 6 2" xfId="6688"/>
    <cellStyle name="20% - Accent3 5 2 7" xfId="6689"/>
    <cellStyle name="20% - Accent3 5 2 7 2" xfId="6690"/>
    <cellStyle name="20% - Accent3 5 2 8" xfId="6691"/>
    <cellStyle name="20% - Accent3 5 3" xfId="6692"/>
    <cellStyle name="20% - Accent3 5 3 2" xfId="6693"/>
    <cellStyle name="20% - Accent3 5 3 2 2" xfId="6694"/>
    <cellStyle name="20% - Accent3 5 3 2 2 2" xfId="6695"/>
    <cellStyle name="20% - Accent3 5 3 2 2 2 2" xfId="6696"/>
    <cellStyle name="20% - Accent3 5 3 2 2 2 2 2" xfId="6697"/>
    <cellStyle name="20% - Accent3 5 3 2 2 2 3" xfId="6698"/>
    <cellStyle name="20% - Accent3 5 3 2 2 3" xfId="6699"/>
    <cellStyle name="20% - Accent3 5 3 2 2 3 2" xfId="6700"/>
    <cellStyle name="20% - Accent3 5 3 2 2 4" xfId="6701"/>
    <cellStyle name="20% - Accent3 5 3 2 3" xfId="6702"/>
    <cellStyle name="20% - Accent3 5 3 2 3 2" xfId="6703"/>
    <cellStyle name="20% - Accent3 5 3 2 3 2 2" xfId="6704"/>
    <cellStyle name="20% - Accent3 5 3 2 3 3" xfId="6705"/>
    <cellStyle name="20% - Accent3 5 3 2 4" xfId="6706"/>
    <cellStyle name="20% - Accent3 5 3 2 4 2" xfId="6707"/>
    <cellStyle name="20% - Accent3 5 3 2 5" xfId="6708"/>
    <cellStyle name="20% - Accent3 5 3 2 5 2" xfId="6709"/>
    <cellStyle name="20% - Accent3 5 3 2 6" xfId="6710"/>
    <cellStyle name="20% - Accent3 5 3 3" xfId="6711"/>
    <cellStyle name="20% - Accent3 5 3 3 2" xfId="6712"/>
    <cellStyle name="20% - Accent3 5 3 3 2 2" xfId="6713"/>
    <cellStyle name="20% - Accent3 5 3 3 2 2 2" xfId="6714"/>
    <cellStyle name="20% - Accent3 5 3 3 2 2 2 2" xfId="6715"/>
    <cellStyle name="20% - Accent3 5 3 3 2 2 3" xfId="6716"/>
    <cellStyle name="20% - Accent3 5 3 3 2 3" xfId="6717"/>
    <cellStyle name="20% - Accent3 5 3 3 2 3 2" xfId="6718"/>
    <cellStyle name="20% - Accent3 5 3 3 2 4" xfId="6719"/>
    <cellStyle name="20% - Accent3 5 3 3 3" xfId="6720"/>
    <cellStyle name="20% - Accent3 5 3 3 3 2" xfId="6721"/>
    <cellStyle name="20% - Accent3 5 3 3 3 2 2" xfId="6722"/>
    <cellStyle name="20% - Accent3 5 3 3 3 3" xfId="6723"/>
    <cellStyle name="20% - Accent3 5 3 3 4" xfId="6724"/>
    <cellStyle name="20% - Accent3 5 3 3 4 2" xfId="6725"/>
    <cellStyle name="20% - Accent3 5 3 3 5" xfId="6726"/>
    <cellStyle name="20% - Accent3 5 3 3 5 2" xfId="6727"/>
    <cellStyle name="20% - Accent3 5 3 3 6" xfId="6728"/>
    <cellStyle name="20% - Accent3 5 3 4" xfId="6729"/>
    <cellStyle name="20% - Accent3 5 3 4 2" xfId="6730"/>
    <cellStyle name="20% - Accent3 5 3 4 2 2" xfId="6731"/>
    <cellStyle name="20% - Accent3 5 3 4 2 2 2" xfId="6732"/>
    <cellStyle name="20% - Accent3 5 3 4 2 3" xfId="6733"/>
    <cellStyle name="20% - Accent3 5 3 4 3" xfId="6734"/>
    <cellStyle name="20% - Accent3 5 3 4 3 2" xfId="6735"/>
    <cellStyle name="20% - Accent3 5 3 4 4" xfId="6736"/>
    <cellStyle name="20% - Accent3 5 3 5" xfId="6737"/>
    <cellStyle name="20% - Accent3 5 3 5 2" xfId="6738"/>
    <cellStyle name="20% - Accent3 5 3 5 2 2" xfId="6739"/>
    <cellStyle name="20% - Accent3 5 3 5 3" xfId="6740"/>
    <cellStyle name="20% - Accent3 5 3 6" xfId="6741"/>
    <cellStyle name="20% - Accent3 5 3 6 2" xfId="6742"/>
    <cellStyle name="20% - Accent3 5 3 7" xfId="6743"/>
    <cellStyle name="20% - Accent3 5 3 7 2" xfId="6744"/>
    <cellStyle name="20% - Accent3 5 3 8" xfId="6745"/>
    <cellStyle name="20% - Accent3 5 4" xfId="6746"/>
    <cellStyle name="20% - Accent3 5 4 2" xfId="6747"/>
    <cellStyle name="20% - Accent3 5 4 2 2" xfId="6748"/>
    <cellStyle name="20% - Accent3 5 4 2 2 2" xfId="6749"/>
    <cellStyle name="20% - Accent3 5 4 2 2 2 2" xfId="6750"/>
    <cellStyle name="20% - Accent3 5 4 2 2 3" xfId="6751"/>
    <cellStyle name="20% - Accent3 5 4 2 3" xfId="6752"/>
    <cellStyle name="20% - Accent3 5 4 2 3 2" xfId="6753"/>
    <cellStyle name="20% - Accent3 5 4 2 4" xfId="6754"/>
    <cellStyle name="20% - Accent3 5 4 3" xfId="6755"/>
    <cellStyle name="20% - Accent3 5 4 3 2" xfId="6756"/>
    <cellStyle name="20% - Accent3 5 4 3 2 2" xfId="6757"/>
    <cellStyle name="20% - Accent3 5 4 3 3" xfId="6758"/>
    <cellStyle name="20% - Accent3 5 4 4" xfId="6759"/>
    <cellStyle name="20% - Accent3 5 4 4 2" xfId="6760"/>
    <cellStyle name="20% - Accent3 5 4 5" xfId="6761"/>
    <cellStyle name="20% - Accent3 5 4 5 2" xfId="6762"/>
    <cellStyle name="20% - Accent3 5 4 6" xfId="6763"/>
    <cellStyle name="20% - Accent3 5 5" xfId="6764"/>
    <cellStyle name="20% - Accent3 5 5 2" xfId="6765"/>
    <cellStyle name="20% - Accent3 5 5 2 2" xfId="6766"/>
    <cellStyle name="20% - Accent3 5 5 2 2 2" xfId="6767"/>
    <cellStyle name="20% - Accent3 5 5 2 2 2 2" xfId="6768"/>
    <cellStyle name="20% - Accent3 5 5 2 2 3" xfId="6769"/>
    <cellStyle name="20% - Accent3 5 5 2 3" xfId="6770"/>
    <cellStyle name="20% - Accent3 5 5 2 3 2" xfId="6771"/>
    <cellStyle name="20% - Accent3 5 5 2 4" xfId="6772"/>
    <cellStyle name="20% - Accent3 5 5 3" xfId="6773"/>
    <cellStyle name="20% - Accent3 5 5 3 2" xfId="6774"/>
    <cellStyle name="20% - Accent3 5 5 3 2 2" xfId="6775"/>
    <cellStyle name="20% - Accent3 5 5 3 3" xfId="6776"/>
    <cellStyle name="20% - Accent3 5 5 4" xfId="6777"/>
    <cellStyle name="20% - Accent3 5 5 4 2" xfId="6778"/>
    <cellStyle name="20% - Accent3 5 5 5" xfId="6779"/>
    <cellStyle name="20% - Accent3 5 5 5 2" xfId="6780"/>
    <cellStyle name="20% - Accent3 5 5 6" xfId="6781"/>
    <cellStyle name="20% - Accent3 5 6" xfId="6782"/>
    <cellStyle name="20% - Accent3 5 6 2" xfId="6783"/>
    <cellStyle name="20% - Accent3 5 6 2 2" xfId="6784"/>
    <cellStyle name="20% - Accent3 5 6 2 2 2" xfId="6785"/>
    <cellStyle name="20% - Accent3 5 6 2 2 2 2" xfId="6786"/>
    <cellStyle name="20% - Accent3 5 6 2 2 3" xfId="6787"/>
    <cellStyle name="20% - Accent3 5 6 2 3" xfId="6788"/>
    <cellStyle name="20% - Accent3 5 6 2 3 2" xfId="6789"/>
    <cellStyle name="20% - Accent3 5 6 2 4" xfId="6790"/>
    <cellStyle name="20% - Accent3 5 6 3" xfId="6791"/>
    <cellStyle name="20% - Accent3 5 6 3 2" xfId="6792"/>
    <cellStyle name="20% - Accent3 5 6 3 2 2" xfId="6793"/>
    <cellStyle name="20% - Accent3 5 6 3 3" xfId="6794"/>
    <cellStyle name="20% - Accent3 5 6 4" xfId="6795"/>
    <cellStyle name="20% - Accent3 5 6 4 2" xfId="6796"/>
    <cellStyle name="20% - Accent3 5 6 5" xfId="6797"/>
    <cellStyle name="20% - Accent3 5 6 5 2" xfId="6798"/>
    <cellStyle name="20% - Accent3 5 6 6" xfId="6799"/>
    <cellStyle name="20% - Accent3 5 7" xfId="6800"/>
    <cellStyle name="20% - Accent3 5 7 2" xfId="6801"/>
    <cellStyle name="20% - Accent3 5 7 2 2" xfId="6802"/>
    <cellStyle name="20% - Accent3 5 7 2 2 2" xfId="6803"/>
    <cellStyle name="20% - Accent3 5 7 2 3" xfId="6804"/>
    <cellStyle name="20% - Accent3 5 7 3" xfId="6805"/>
    <cellStyle name="20% - Accent3 5 7 3 2" xfId="6806"/>
    <cellStyle name="20% - Accent3 5 7 4" xfId="6807"/>
    <cellStyle name="20% - Accent3 5 8" xfId="6808"/>
    <cellStyle name="20% - Accent3 5 8 2" xfId="6809"/>
    <cellStyle name="20% - Accent3 5 8 2 2" xfId="6810"/>
    <cellStyle name="20% - Accent3 5 8 3" xfId="6811"/>
    <cellStyle name="20% - Accent3 5 9" xfId="6812"/>
    <cellStyle name="20% - Accent3 5 9 2" xfId="6813"/>
    <cellStyle name="20% - Accent3 6" xfId="6814"/>
    <cellStyle name="20% - Accent3 6 10" xfId="6815"/>
    <cellStyle name="20% - Accent3 6 10 2" xfId="6816"/>
    <cellStyle name="20% - Accent3 6 11" xfId="6817"/>
    <cellStyle name="20% - Accent3 6 2" xfId="6818"/>
    <cellStyle name="20% - Accent3 6 2 2" xfId="6819"/>
    <cellStyle name="20% - Accent3 6 2 2 2" xfId="6820"/>
    <cellStyle name="20% - Accent3 6 2 2 2 2" xfId="6821"/>
    <cellStyle name="20% - Accent3 6 2 2 2 2 2" xfId="6822"/>
    <cellStyle name="20% - Accent3 6 2 2 2 2 2 2" xfId="6823"/>
    <cellStyle name="20% - Accent3 6 2 2 2 2 3" xfId="6824"/>
    <cellStyle name="20% - Accent3 6 2 2 2 3" xfId="6825"/>
    <cellStyle name="20% - Accent3 6 2 2 2 3 2" xfId="6826"/>
    <cellStyle name="20% - Accent3 6 2 2 2 4" xfId="6827"/>
    <cellStyle name="20% - Accent3 6 2 2 3" xfId="6828"/>
    <cellStyle name="20% - Accent3 6 2 2 3 2" xfId="6829"/>
    <cellStyle name="20% - Accent3 6 2 2 3 2 2" xfId="6830"/>
    <cellStyle name="20% - Accent3 6 2 2 3 3" xfId="6831"/>
    <cellStyle name="20% - Accent3 6 2 2 4" xfId="6832"/>
    <cellStyle name="20% - Accent3 6 2 2 4 2" xfId="6833"/>
    <cellStyle name="20% - Accent3 6 2 2 5" xfId="6834"/>
    <cellStyle name="20% - Accent3 6 2 2 5 2" xfId="6835"/>
    <cellStyle name="20% - Accent3 6 2 2 6" xfId="6836"/>
    <cellStyle name="20% - Accent3 6 2 3" xfId="6837"/>
    <cellStyle name="20% - Accent3 6 2 3 2" xfId="6838"/>
    <cellStyle name="20% - Accent3 6 2 3 2 2" xfId="6839"/>
    <cellStyle name="20% - Accent3 6 2 3 2 2 2" xfId="6840"/>
    <cellStyle name="20% - Accent3 6 2 3 2 2 2 2" xfId="6841"/>
    <cellStyle name="20% - Accent3 6 2 3 2 2 3" xfId="6842"/>
    <cellStyle name="20% - Accent3 6 2 3 2 3" xfId="6843"/>
    <cellStyle name="20% - Accent3 6 2 3 2 3 2" xfId="6844"/>
    <cellStyle name="20% - Accent3 6 2 3 2 4" xfId="6845"/>
    <cellStyle name="20% - Accent3 6 2 3 3" xfId="6846"/>
    <cellStyle name="20% - Accent3 6 2 3 3 2" xfId="6847"/>
    <cellStyle name="20% - Accent3 6 2 3 3 2 2" xfId="6848"/>
    <cellStyle name="20% - Accent3 6 2 3 3 3" xfId="6849"/>
    <cellStyle name="20% - Accent3 6 2 3 4" xfId="6850"/>
    <cellStyle name="20% - Accent3 6 2 3 4 2" xfId="6851"/>
    <cellStyle name="20% - Accent3 6 2 3 5" xfId="6852"/>
    <cellStyle name="20% - Accent3 6 2 3 5 2" xfId="6853"/>
    <cellStyle name="20% - Accent3 6 2 3 6" xfId="6854"/>
    <cellStyle name="20% - Accent3 6 2 4" xfId="6855"/>
    <cellStyle name="20% - Accent3 6 2 4 2" xfId="6856"/>
    <cellStyle name="20% - Accent3 6 2 4 2 2" xfId="6857"/>
    <cellStyle name="20% - Accent3 6 2 4 2 2 2" xfId="6858"/>
    <cellStyle name="20% - Accent3 6 2 4 2 3" xfId="6859"/>
    <cellStyle name="20% - Accent3 6 2 4 3" xfId="6860"/>
    <cellStyle name="20% - Accent3 6 2 4 3 2" xfId="6861"/>
    <cellStyle name="20% - Accent3 6 2 4 4" xfId="6862"/>
    <cellStyle name="20% - Accent3 6 2 5" xfId="6863"/>
    <cellStyle name="20% - Accent3 6 2 5 2" xfId="6864"/>
    <cellStyle name="20% - Accent3 6 2 5 2 2" xfId="6865"/>
    <cellStyle name="20% - Accent3 6 2 5 3" xfId="6866"/>
    <cellStyle name="20% - Accent3 6 2 6" xfId="6867"/>
    <cellStyle name="20% - Accent3 6 2 6 2" xfId="6868"/>
    <cellStyle name="20% - Accent3 6 2 7" xfId="6869"/>
    <cellStyle name="20% - Accent3 6 2 7 2" xfId="6870"/>
    <cellStyle name="20% - Accent3 6 2 8" xfId="6871"/>
    <cellStyle name="20% - Accent3 6 3" xfId="6872"/>
    <cellStyle name="20% - Accent3 6 3 2" xfId="6873"/>
    <cellStyle name="20% - Accent3 6 3 2 2" xfId="6874"/>
    <cellStyle name="20% - Accent3 6 3 2 2 2" xfId="6875"/>
    <cellStyle name="20% - Accent3 6 3 2 2 2 2" xfId="6876"/>
    <cellStyle name="20% - Accent3 6 3 2 2 2 2 2" xfId="6877"/>
    <cellStyle name="20% - Accent3 6 3 2 2 2 3" xfId="6878"/>
    <cellStyle name="20% - Accent3 6 3 2 2 3" xfId="6879"/>
    <cellStyle name="20% - Accent3 6 3 2 2 3 2" xfId="6880"/>
    <cellStyle name="20% - Accent3 6 3 2 2 4" xfId="6881"/>
    <cellStyle name="20% - Accent3 6 3 2 3" xfId="6882"/>
    <cellStyle name="20% - Accent3 6 3 2 3 2" xfId="6883"/>
    <cellStyle name="20% - Accent3 6 3 2 3 2 2" xfId="6884"/>
    <cellStyle name="20% - Accent3 6 3 2 3 3" xfId="6885"/>
    <cellStyle name="20% - Accent3 6 3 2 4" xfId="6886"/>
    <cellStyle name="20% - Accent3 6 3 2 4 2" xfId="6887"/>
    <cellStyle name="20% - Accent3 6 3 2 5" xfId="6888"/>
    <cellStyle name="20% - Accent3 6 3 2 5 2" xfId="6889"/>
    <cellStyle name="20% - Accent3 6 3 2 6" xfId="6890"/>
    <cellStyle name="20% - Accent3 6 3 3" xfId="6891"/>
    <cellStyle name="20% - Accent3 6 3 3 2" xfId="6892"/>
    <cellStyle name="20% - Accent3 6 3 3 2 2" xfId="6893"/>
    <cellStyle name="20% - Accent3 6 3 3 2 2 2" xfId="6894"/>
    <cellStyle name="20% - Accent3 6 3 3 2 2 2 2" xfId="6895"/>
    <cellStyle name="20% - Accent3 6 3 3 2 2 3" xfId="6896"/>
    <cellStyle name="20% - Accent3 6 3 3 2 3" xfId="6897"/>
    <cellStyle name="20% - Accent3 6 3 3 2 3 2" xfId="6898"/>
    <cellStyle name="20% - Accent3 6 3 3 2 4" xfId="6899"/>
    <cellStyle name="20% - Accent3 6 3 3 3" xfId="6900"/>
    <cellStyle name="20% - Accent3 6 3 3 3 2" xfId="6901"/>
    <cellStyle name="20% - Accent3 6 3 3 3 2 2" xfId="6902"/>
    <cellStyle name="20% - Accent3 6 3 3 3 3" xfId="6903"/>
    <cellStyle name="20% - Accent3 6 3 3 4" xfId="6904"/>
    <cellStyle name="20% - Accent3 6 3 3 4 2" xfId="6905"/>
    <cellStyle name="20% - Accent3 6 3 3 5" xfId="6906"/>
    <cellStyle name="20% - Accent3 6 3 3 5 2" xfId="6907"/>
    <cellStyle name="20% - Accent3 6 3 3 6" xfId="6908"/>
    <cellStyle name="20% - Accent3 6 3 4" xfId="6909"/>
    <cellStyle name="20% - Accent3 6 3 4 2" xfId="6910"/>
    <cellStyle name="20% - Accent3 6 3 4 2 2" xfId="6911"/>
    <cellStyle name="20% - Accent3 6 3 4 2 2 2" xfId="6912"/>
    <cellStyle name="20% - Accent3 6 3 4 2 3" xfId="6913"/>
    <cellStyle name="20% - Accent3 6 3 4 3" xfId="6914"/>
    <cellStyle name="20% - Accent3 6 3 4 3 2" xfId="6915"/>
    <cellStyle name="20% - Accent3 6 3 4 4" xfId="6916"/>
    <cellStyle name="20% - Accent3 6 3 5" xfId="6917"/>
    <cellStyle name="20% - Accent3 6 3 5 2" xfId="6918"/>
    <cellStyle name="20% - Accent3 6 3 5 2 2" xfId="6919"/>
    <cellStyle name="20% - Accent3 6 3 5 3" xfId="6920"/>
    <cellStyle name="20% - Accent3 6 3 6" xfId="6921"/>
    <cellStyle name="20% - Accent3 6 3 6 2" xfId="6922"/>
    <cellStyle name="20% - Accent3 6 3 7" xfId="6923"/>
    <cellStyle name="20% - Accent3 6 3 7 2" xfId="6924"/>
    <cellStyle name="20% - Accent3 6 3 8" xfId="6925"/>
    <cellStyle name="20% - Accent3 6 4" xfId="6926"/>
    <cellStyle name="20% - Accent3 6 4 2" xfId="6927"/>
    <cellStyle name="20% - Accent3 6 4 2 2" xfId="6928"/>
    <cellStyle name="20% - Accent3 6 4 2 2 2" xfId="6929"/>
    <cellStyle name="20% - Accent3 6 4 2 2 2 2" xfId="6930"/>
    <cellStyle name="20% - Accent3 6 4 2 2 3" xfId="6931"/>
    <cellStyle name="20% - Accent3 6 4 2 3" xfId="6932"/>
    <cellStyle name="20% - Accent3 6 4 2 3 2" xfId="6933"/>
    <cellStyle name="20% - Accent3 6 4 2 4" xfId="6934"/>
    <cellStyle name="20% - Accent3 6 4 3" xfId="6935"/>
    <cellStyle name="20% - Accent3 6 4 3 2" xfId="6936"/>
    <cellStyle name="20% - Accent3 6 4 3 2 2" xfId="6937"/>
    <cellStyle name="20% - Accent3 6 4 3 3" xfId="6938"/>
    <cellStyle name="20% - Accent3 6 4 4" xfId="6939"/>
    <cellStyle name="20% - Accent3 6 4 4 2" xfId="6940"/>
    <cellStyle name="20% - Accent3 6 4 5" xfId="6941"/>
    <cellStyle name="20% - Accent3 6 4 5 2" xfId="6942"/>
    <cellStyle name="20% - Accent3 6 4 6" xfId="6943"/>
    <cellStyle name="20% - Accent3 6 5" xfId="6944"/>
    <cellStyle name="20% - Accent3 6 5 2" xfId="6945"/>
    <cellStyle name="20% - Accent3 6 5 2 2" xfId="6946"/>
    <cellStyle name="20% - Accent3 6 5 2 2 2" xfId="6947"/>
    <cellStyle name="20% - Accent3 6 5 2 2 2 2" xfId="6948"/>
    <cellStyle name="20% - Accent3 6 5 2 2 3" xfId="6949"/>
    <cellStyle name="20% - Accent3 6 5 2 3" xfId="6950"/>
    <cellStyle name="20% - Accent3 6 5 2 3 2" xfId="6951"/>
    <cellStyle name="20% - Accent3 6 5 2 4" xfId="6952"/>
    <cellStyle name="20% - Accent3 6 5 3" xfId="6953"/>
    <cellStyle name="20% - Accent3 6 5 3 2" xfId="6954"/>
    <cellStyle name="20% - Accent3 6 5 3 2 2" xfId="6955"/>
    <cellStyle name="20% - Accent3 6 5 3 3" xfId="6956"/>
    <cellStyle name="20% - Accent3 6 5 4" xfId="6957"/>
    <cellStyle name="20% - Accent3 6 5 4 2" xfId="6958"/>
    <cellStyle name="20% - Accent3 6 5 5" xfId="6959"/>
    <cellStyle name="20% - Accent3 6 5 5 2" xfId="6960"/>
    <cellStyle name="20% - Accent3 6 5 6" xfId="6961"/>
    <cellStyle name="20% - Accent3 6 6" xfId="6962"/>
    <cellStyle name="20% - Accent3 6 6 2" xfId="6963"/>
    <cellStyle name="20% - Accent3 6 6 2 2" xfId="6964"/>
    <cellStyle name="20% - Accent3 6 6 2 2 2" xfId="6965"/>
    <cellStyle name="20% - Accent3 6 6 2 2 2 2" xfId="6966"/>
    <cellStyle name="20% - Accent3 6 6 2 2 3" xfId="6967"/>
    <cellStyle name="20% - Accent3 6 6 2 3" xfId="6968"/>
    <cellStyle name="20% - Accent3 6 6 2 3 2" xfId="6969"/>
    <cellStyle name="20% - Accent3 6 6 2 4" xfId="6970"/>
    <cellStyle name="20% - Accent3 6 6 3" xfId="6971"/>
    <cellStyle name="20% - Accent3 6 6 3 2" xfId="6972"/>
    <cellStyle name="20% - Accent3 6 6 3 2 2" xfId="6973"/>
    <cellStyle name="20% - Accent3 6 6 3 3" xfId="6974"/>
    <cellStyle name="20% - Accent3 6 6 4" xfId="6975"/>
    <cellStyle name="20% - Accent3 6 6 4 2" xfId="6976"/>
    <cellStyle name="20% - Accent3 6 6 5" xfId="6977"/>
    <cellStyle name="20% - Accent3 6 6 5 2" xfId="6978"/>
    <cellStyle name="20% - Accent3 6 6 6" xfId="6979"/>
    <cellStyle name="20% - Accent3 6 7" xfId="6980"/>
    <cellStyle name="20% - Accent3 6 7 2" xfId="6981"/>
    <cellStyle name="20% - Accent3 6 7 2 2" xfId="6982"/>
    <cellStyle name="20% - Accent3 6 7 2 2 2" xfId="6983"/>
    <cellStyle name="20% - Accent3 6 7 2 3" xfId="6984"/>
    <cellStyle name="20% - Accent3 6 7 3" xfId="6985"/>
    <cellStyle name="20% - Accent3 6 7 3 2" xfId="6986"/>
    <cellStyle name="20% - Accent3 6 7 4" xfId="6987"/>
    <cellStyle name="20% - Accent3 6 8" xfId="6988"/>
    <cellStyle name="20% - Accent3 6 8 2" xfId="6989"/>
    <cellStyle name="20% - Accent3 6 8 2 2" xfId="6990"/>
    <cellStyle name="20% - Accent3 6 8 3" xfId="6991"/>
    <cellStyle name="20% - Accent3 6 9" xfId="6992"/>
    <cellStyle name="20% - Accent3 6 9 2" xfId="6993"/>
    <cellStyle name="20% - Accent3 7" xfId="6994"/>
    <cellStyle name="20% - Accent3 7 10" xfId="6995"/>
    <cellStyle name="20% - Accent3 7 10 2" xfId="6996"/>
    <cellStyle name="20% - Accent3 7 11" xfId="6997"/>
    <cellStyle name="20% - Accent3 7 2" xfId="6998"/>
    <cellStyle name="20% - Accent3 7 2 2" xfId="6999"/>
    <cellStyle name="20% - Accent3 7 2 2 2" xfId="7000"/>
    <cellStyle name="20% - Accent3 7 2 2 2 2" xfId="7001"/>
    <cellStyle name="20% - Accent3 7 2 2 2 2 2" xfId="7002"/>
    <cellStyle name="20% - Accent3 7 2 2 2 2 2 2" xfId="7003"/>
    <cellStyle name="20% - Accent3 7 2 2 2 2 3" xfId="7004"/>
    <cellStyle name="20% - Accent3 7 2 2 2 3" xfId="7005"/>
    <cellStyle name="20% - Accent3 7 2 2 2 3 2" xfId="7006"/>
    <cellStyle name="20% - Accent3 7 2 2 2 4" xfId="7007"/>
    <cellStyle name="20% - Accent3 7 2 2 3" xfId="7008"/>
    <cellStyle name="20% - Accent3 7 2 2 3 2" xfId="7009"/>
    <cellStyle name="20% - Accent3 7 2 2 3 2 2" xfId="7010"/>
    <cellStyle name="20% - Accent3 7 2 2 3 3" xfId="7011"/>
    <cellStyle name="20% - Accent3 7 2 2 4" xfId="7012"/>
    <cellStyle name="20% - Accent3 7 2 2 4 2" xfId="7013"/>
    <cellStyle name="20% - Accent3 7 2 2 5" xfId="7014"/>
    <cellStyle name="20% - Accent3 7 2 2 5 2" xfId="7015"/>
    <cellStyle name="20% - Accent3 7 2 2 6" xfId="7016"/>
    <cellStyle name="20% - Accent3 7 2 3" xfId="7017"/>
    <cellStyle name="20% - Accent3 7 2 3 2" xfId="7018"/>
    <cellStyle name="20% - Accent3 7 2 3 2 2" xfId="7019"/>
    <cellStyle name="20% - Accent3 7 2 3 2 2 2" xfId="7020"/>
    <cellStyle name="20% - Accent3 7 2 3 2 2 2 2" xfId="7021"/>
    <cellStyle name="20% - Accent3 7 2 3 2 2 3" xfId="7022"/>
    <cellStyle name="20% - Accent3 7 2 3 2 3" xfId="7023"/>
    <cellStyle name="20% - Accent3 7 2 3 2 3 2" xfId="7024"/>
    <cellStyle name="20% - Accent3 7 2 3 2 4" xfId="7025"/>
    <cellStyle name="20% - Accent3 7 2 3 3" xfId="7026"/>
    <cellStyle name="20% - Accent3 7 2 3 3 2" xfId="7027"/>
    <cellStyle name="20% - Accent3 7 2 3 3 2 2" xfId="7028"/>
    <cellStyle name="20% - Accent3 7 2 3 3 3" xfId="7029"/>
    <cellStyle name="20% - Accent3 7 2 3 4" xfId="7030"/>
    <cellStyle name="20% - Accent3 7 2 3 4 2" xfId="7031"/>
    <cellStyle name="20% - Accent3 7 2 3 5" xfId="7032"/>
    <cellStyle name="20% - Accent3 7 2 3 5 2" xfId="7033"/>
    <cellStyle name="20% - Accent3 7 2 3 6" xfId="7034"/>
    <cellStyle name="20% - Accent3 7 2 4" xfId="7035"/>
    <cellStyle name="20% - Accent3 7 2 4 2" xfId="7036"/>
    <cellStyle name="20% - Accent3 7 2 4 2 2" xfId="7037"/>
    <cellStyle name="20% - Accent3 7 2 4 2 2 2" xfId="7038"/>
    <cellStyle name="20% - Accent3 7 2 4 2 3" xfId="7039"/>
    <cellStyle name="20% - Accent3 7 2 4 3" xfId="7040"/>
    <cellStyle name="20% - Accent3 7 2 4 3 2" xfId="7041"/>
    <cellStyle name="20% - Accent3 7 2 4 4" xfId="7042"/>
    <cellStyle name="20% - Accent3 7 2 5" xfId="7043"/>
    <cellStyle name="20% - Accent3 7 2 5 2" xfId="7044"/>
    <cellStyle name="20% - Accent3 7 2 5 2 2" xfId="7045"/>
    <cellStyle name="20% - Accent3 7 2 5 3" xfId="7046"/>
    <cellStyle name="20% - Accent3 7 2 6" xfId="7047"/>
    <cellStyle name="20% - Accent3 7 2 6 2" xfId="7048"/>
    <cellStyle name="20% - Accent3 7 2 7" xfId="7049"/>
    <cellStyle name="20% - Accent3 7 2 7 2" xfId="7050"/>
    <cellStyle name="20% - Accent3 7 2 8" xfId="7051"/>
    <cellStyle name="20% - Accent3 7 3" xfId="7052"/>
    <cellStyle name="20% - Accent3 7 3 2" xfId="7053"/>
    <cellStyle name="20% - Accent3 7 3 2 2" xfId="7054"/>
    <cellStyle name="20% - Accent3 7 3 2 2 2" xfId="7055"/>
    <cellStyle name="20% - Accent3 7 3 2 2 2 2" xfId="7056"/>
    <cellStyle name="20% - Accent3 7 3 2 2 2 2 2" xfId="7057"/>
    <cellStyle name="20% - Accent3 7 3 2 2 2 3" xfId="7058"/>
    <cellStyle name="20% - Accent3 7 3 2 2 3" xfId="7059"/>
    <cellStyle name="20% - Accent3 7 3 2 2 3 2" xfId="7060"/>
    <cellStyle name="20% - Accent3 7 3 2 2 4" xfId="7061"/>
    <cellStyle name="20% - Accent3 7 3 2 3" xfId="7062"/>
    <cellStyle name="20% - Accent3 7 3 2 3 2" xfId="7063"/>
    <cellStyle name="20% - Accent3 7 3 2 3 2 2" xfId="7064"/>
    <cellStyle name="20% - Accent3 7 3 2 3 3" xfId="7065"/>
    <cellStyle name="20% - Accent3 7 3 2 4" xfId="7066"/>
    <cellStyle name="20% - Accent3 7 3 2 4 2" xfId="7067"/>
    <cellStyle name="20% - Accent3 7 3 2 5" xfId="7068"/>
    <cellStyle name="20% - Accent3 7 3 2 5 2" xfId="7069"/>
    <cellStyle name="20% - Accent3 7 3 2 6" xfId="7070"/>
    <cellStyle name="20% - Accent3 7 3 3" xfId="7071"/>
    <cellStyle name="20% - Accent3 7 3 3 2" xfId="7072"/>
    <cellStyle name="20% - Accent3 7 3 3 2 2" xfId="7073"/>
    <cellStyle name="20% - Accent3 7 3 3 2 2 2" xfId="7074"/>
    <cellStyle name="20% - Accent3 7 3 3 2 2 2 2" xfId="7075"/>
    <cellStyle name="20% - Accent3 7 3 3 2 2 3" xfId="7076"/>
    <cellStyle name="20% - Accent3 7 3 3 2 3" xfId="7077"/>
    <cellStyle name="20% - Accent3 7 3 3 2 3 2" xfId="7078"/>
    <cellStyle name="20% - Accent3 7 3 3 2 4" xfId="7079"/>
    <cellStyle name="20% - Accent3 7 3 3 3" xfId="7080"/>
    <cellStyle name="20% - Accent3 7 3 3 3 2" xfId="7081"/>
    <cellStyle name="20% - Accent3 7 3 3 3 2 2" xfId="7082"/>
    <cellStyle name="20% - Accent3 7 3 3 3 3" xfId="7083"/>
    <cellStyle name="20% - Accent3 7 3 3 4" xfId="7084"/>
    <cellStyle name="20% - Accent3 7 3 3 4 2" xfId="7085"/>
    <cellStyle name="20% - Accent3 7 3 3 5" xfId="7086"/>
    <cellStyle name="20% - Accent3 7 3 3 5 2" xfId="7087"/>
    <cellStyle name="20% - Accent3 7 3 3 6" xfId="7088"/>
    <cellStyle name="20% - Accent3 7 3 4" xfId="7089"/>
    <cellStyle name="20% - Accent3 7 3 4 2" xfId="7090"/>
    <cellStyle name="20% - Accent3 7 3 4 2 2" xfId="7091"/>
    <cellStyle name="20% - Accent3 7 3 4 2 2 2" xfId="7092"/>
    <cellStyle name="20% - Accent3 7 3 4 2 3" xfId="7093"/>
    <cellStyle name="20% - Accent3 7 3 4 3" xfId="7094"/>
    <cellStyle name="20% - Accent3 7 3 4 3 2" xfId="7095"/>
    <cellStyle name="20% - Accent3 7 3 4 4" xfId="7096"/>
    <cellStyle name="20% - Accent3 7 3 5" xfId="7097"/>
    <cellStyle name="20% - Accent3 7 3 5 2" xfId="7098"/>
    <cellStyle name="20% - Accent3 7 3 5 2 2" xfId="7099"/>
    <cellStyle name="20% - Accent3 7 3 5 3" xfId="7100"/>
    <cellStyle name="20% - Accent3 7 3 6" xfId="7101"/>
    <cellStyle name="20% - Accent3 7 3 6 2" xfId="7102"/>
    <cellStyle name="20% - Accent3 7 3 7" xfId="7103"/>
    <cellStyle name="20% - Accent3 7 3 7 2" xfId="7104"/>
    <cellStyle name="20% - Accent3 7 3 8" xfId="7105"/>
    <cellStyle name="20% - Accent3 7 4" xfId="7106"/>
    <cellStyle name="20% - Accent3 7 4 2" xfId="7107"/>
    <cellStyle name="20% - Accent3 7 4 2 2" xfId="7108"/>
    <cellStyle name="20% - Accent3 7 4 2 2 2" xfId="7109"/>
    <cellStyle name="20% - Accent3 7 4 2 2 2 2" xfId="7110"/>
    <cellStyle name="20% - Accent3 7 4 2 2 3" xfId="7111"/>
    <cellStyle name="20% - Accent3 7 4 2 3" xfId="7112"/>
    <cellStyle name="20% - Accent3 7 4 2 3 2" xfId="7113"/>
    <cellStyle name="20% - Accent3 7 4 2 4" xfId="7114"/>
    <cellStyle name="20% - Accent3 7 4 3" xfId="7115"/>
    <cellStyle name="20% - Accent3 7 4 3 2" xfId="7116"/>
    <cellStyle name="20% - Accent3 7 4 3 2 2" xfId="7117"/>
    <cellStyle name="20% - Accent3 7 4 3 3" xfId="7118"/>
    <cellStyle name="20% - Accent3 7 4 4" xfId="7119"/>
    <cellStyle name="20% - Accent3 7 4 4 2" xfId="7120"/>
    <cellStyle name="20% - Accent3 7 4 5" xfId="7121"/>
    <cellStyle name="20% - Accent3 7 4 5 2" xfId="7122"/>
    <cellStyle name="20% - Accent3 7 4 6" xfId="7123"/>
    <cellStyle name="20% - Accent3 7 5" xfId="7124"/>
    <cellStyle name="20% - Accent3 7 5 2" xfId="7125"/>
    <cellStyle name="20% - Accent3 7 5 2 2" xfId="7126"/>
    <cellStyle name="20% - Accent3 7 5 2 2 2" xfId="7127"/>
    <cellStyle name="20% - Accent3 7 5 2 2 2 2" xfId="7128"/>
    <cellStyle name="20% - Accent3 7 5 2 2 3" xfId="7129"/>
    <cellStyle name="20% - Accent3 7 5 2 3" xfId="7130"/>
    <cellStyle name="20% - Accent3 7 5 2 3 2" xfId="7131"/>
    <cellStyle name="20% - Accent3 7 5 2 4" xfId="7132"/>
    <cellStyle name="20% - Accent3 7 5 3" xfId="7133"/>
    <cellStyle name="20% - Accent3 7 5 3 2" xfId="7134"/>
    <cellStyle name="20% - Accent3 7 5 3 2 2" xfId="7135"/>
    <cellStyle name="20% - Accent3 7 5 3 3" xfId="7136"/>
    <cellStyle name="20% - Accent3 7 5 4" xfId="7137"/>
    <cellStyle name="20% - Accent3 7 5 4 2" xfId="7138"/>
    <cellStyle name="20% - Accent3 7 5 5" xfId="7139"/>
    <cellStyle name="20% - Accent3 7 5 5 2" xfId="7140"/>
    <cellStyle name="20% - Accent3 7 5 6" xfId="7141"/>
    <cellStyle name="20% - Accent3 7 6" xfId="7142"/>
    <cellStyle name="20% - Accent3 7 6 2" xfId="7143"/>
    <cellStyle name="20% - Accent3 7 6 2 2" xfId="7144"/>
    <cellStyle name="20% - Accent3 7 6 2 2 2" xfId="7145"/>
    <cellStyle name="20% - Accent3 7 6 2 2 2 2" xfId="7146"/>
    <cellStyle name="20% - Accent3 7 6 2 2 3" xfId="7147"/>
    <cellStyle name="20% - Accent3 7 6 2 3" xfId="7148"/>
    <cellStyle name="20% - Accent3 7 6 2 3 2" xfId="7149"/>
    <cellStyle name="20% - Accent3 7 6 2 4" xfId="7150"/>
    <cellStyle name="20% - Accent3 7 6 3" xfId="7151"/>
    <cellStyle name="20% - Accent3 7 6 3 2" xfId="7152"/>
    <cellStyle name="20% - Accent3 7 6 3 2 2" xfId="7153"/>
    <cellStyle name="20% - Accent3 7 6 3 3" xfId="7154"/>
    <cellStyle name="20% - Accent3 7 6 4" xfId="7155"/>
    <cellStyle name="20% - Accent3 7 6 4 2" xfId="7156"/>
    <cellStyle name="20% - Accent3 7 6 5" xfId="7157"/>
    <cellStyle name="20% - Accent3 7 6 5 2" xfId="7158"/>
    <cellStyle name="20% - Accent3 7 6 6" xfId="7159"/>
    <cellStyle name="20% - Accent3 7 7" xfId="7160"/>
    <cellStyle name="20% - Accent3 7 7 2" xfId="7161"/>
    <cellStyle name="20% - Accent3 7 7 2 2" xfId="7162"/>
    <cellStyle name="20% - Accent3 7 7 2 2 2" xfId="7163"/>
    <cellStyle name="20% - Accent3 7 7 2 3" xfId="7164"/>
    <cellStyle name="20% - Accent3 7 7 3" xfId="7165"/>
    <cellStyle name="20% - Accent3 7 7 3 2" xfId="7166"/>
    <cellStyle name="20% - Accent3 7 7 4" xfId="7167"/>
    <cellStyle name="20% - Accent3 7 8" xfId="7168"/>
    <cellStyle name="20% - Accent3 7 8 2" xfId="7169"/>
    <cellStyle name="20% - Accent3 7 8 2 2" xfId="7170"/>
    <cellStyle name="20% - Accent3 7 8 3" xfId="7171"/>
    <cellStyle name="20% - Accent3 7 9" xfId="7172"/>
    <cellStyle name="20% - Accent3 7 9 2" xfId="7173"/>
    <cellStyle name="20% - Accent3 8" xfId="7174"/>
    <cellStyle name="20% - Accent3 8 2" xfId="7175"/>
    <cellStyle name="20% - Accent3 8 2 2" xfId="7176"/>
    <cellStyle name="20% - Accent3 8 2 2 2" xfId="7177"/>
    <cellStyle name="20% - Accent3 8 2 2 2 2" xfId="7178"/>
    <cellStyle name="20% - Accent3 8 2 2 2 2 2" xfId="7179"/>
    <cellStyle name="20% - Accent3 8 2 2 2 3" xfId="7180"/>
    <cellStyle name="20% - Accent3 8 2 2 3" xfId="7181"/>
    <cellStyle name="20% - Accent3 8 2 2 3 2" xfId="7182"/>
    <cellStyle name="20% - Accent3 8 2 2 4" xfId="7183"/>
    <cellStyle name="20% - Accent3 8 2 3" xfId="7184"/>
    <cellStyle name="20% - Accent3 8 2 3 2" xfId="7185"/>
    <cellStyle name="20% - Accent3 8 2 3 2 2" xfId="7186"/>
    <cellStyle name="20% - Accent3 8 2 3 3" xfId="7187"/>
    <cellStyle name="20% - Accent3 8 2 4" xfId="7188"/>
    <cellStyle name="20% - Accent3 8 2 4 2" xfId="7189"/>
    <cellStyle name="20% - Accent3 8 2 5" xfId="7190"/>
    <cellStyle name="20% - Accent3 8 2 5 2" xfId="7191"/>
    <cellStyle name="20% - Accent3 8 2 6" xfId="7192"/>
    <cellStyle name="20% - Accent3 8 3" xfId="7193"/>
    <cellStyle name="20% - Accent3 8 3 2" xfId="7194"/>
    <cellStyle name="20% - Accent3 8 3 2 2" xfId="7195"/>
    <cellStyle name="20% - Accent3 8 3 2 2 2" xfId="7196"/>
    <cellStyle name="20% - Accent3 8 3 2 2 2 2" xfId="7197"/>
    <cellStyle name="20% - Accent3 8 3 2 2 3" xfId="7198"/>
    <cellStyle name="20% - Accent3 8 3 2 3" xfId="7199"/>
    <cellStyle name="20% - Accent3 8 3 2 3 2" xfId="7200"/>
    <cellStyle name="20% - Accent3 8 3 2 4" xfId="7201"/>
    <cellStyle name="20% - Accent3 8 3 3" xfId="7202"/>
    <cellStyle name="20% - Accent3 8 3 3 2" xfId="7203"/>
    <cellStyle name="20% - Accent3 8 3 3 2 2" xfId="7204"/>
    <cellStyle name="20% - Accent3 8 3 3 3" xfId="7205"/>
    <cellStyle name="20% - Accent3 8 3 4" xfId="7206"/>
    <cellStyle name="20% - Accent3 8 3 4 2" xfId="7207"/>
    <cellStyle name="20% - Accent3 8 3 5" xfId="7208"/>
    <cellStyle name="20% - Accent3 8 3 5 2" xfId="7209"/>
    <cellStyle name="20% - Accent3 8 3 6" xfId="7210"/>
    <cellStyle name="20% - Accent3 8 4" xfId="7211"/>
    <cellStyle name="20% - Accent3 8 4 2" xfId="7212"/>
    <cellStyle name="20% - Accent3 8 4 2 2" xfId="7213"/>
    <cellStyle name="20% - Accent3 8 4 2 2 2" xfId="7214"/>
    <cellStyle name="20% - Accent3 8 4 2 3" xfId="7215"/>
    <cellStyle name="20% - Accent3 8 4 3" xfId="7216"/>
    <cellStyle name="20% - Accent3 8 4 3 2" xfId="7217"/>
    <cellStyle name="20% - Accent3 8 4 4" xfId="7218"/>
    <cellStyle name="20% - Accent3 8 5" xfId="7219"/>
    <cellStyle name="20% - Accent3 8 5 2" xfId="7220"/>
    <cellStyle name="20% - Accent3 8 5 2 2" xfId="7221"/>
    <cellStyle name="20% - Accent3 8 5 3" xfId="7222"/>
    <cellStyle name="20% - Accent3 8 6" xfId="7223"/>
    <cellStyle name="20% - Accent3 8 6 2" xfId="7224"/>
    <cellStyle name="20% - Accent3 8 7" xfId="7225"/>
    <cellStyle name="20% - Accent3 8 7 2" xfId="7226"/>
    <cellStyle name="20% - Accent3 8 8" xfId="7227"/>
    <cellStyle name="20% - Accent3 9" xfId="7228"/>
    <cellStyle name="20% - Accent3 9 2" xfId="7229"/>
    <cellStyle name="20% - Accent3 9 2 2" xfId="7230"/>
    <cellStyle name="20% - Accent3 9 2 2 2" xfId="7231"/>
    <cellStyle name="20% - Accent3 9 2 2 2 2" xfId="7232"/>
    <cellStyle name="20% - Accent3 9 2 2 2 2 2" xfId="7233"/>
    <cellStyle name="20% - Accent3 9 2 2 2 3" xfId="7234"/>
    <cellStyle name="20% - Accent3 9 2 2 3" xfId="7235"/>
    <cellStyle name="20% - Accent3 9 2 2 3 2" xfId="7236"/>
    <cellStyle name="20% - Accent3 9 2 2 4" xfId="7237"/>
    <cellStyle name="20% - Accent3 9 2 3" xfId="7238"/>
    <cellStyle name="20% - Accent3 9 2 3 2" xfId="7239"/>
    <cellStyle name="20% - Accent3 9 2 3 2 2" xfId="7240"/>
    <cellStyle name="20% - Accent3 9 2 3 3" xfId="7241"/>
    <cellStyle name="20% - Accent3 9 2 4" xfId="7242"/>
    <cellStyle name="20% - Accent3 9 2 4 2" xfId="7243"/>
    <cellStyle name="20% - Accent3 9 2 5" xfId="7244"/>
    <cellStyle name="20% - Accent3 9 2 5 2" xfId="7245"/>
    <cellStyle name="20% - Accent3 9 2 6" xfId="7246"/>
    <cellStyle name="20% - Accent3 9 3" xfId="7247"/>
    <cellStyle name="20% - Accent3 9 3 2" xfId="7248"/>
    <cellStyle name="20% - Accent3 9 3 2 2" xfId="7249"/>
    <cellStyle name="20% - Accent3 9 3 2 2 2" xfId="7250"/>
    <cellStyle name="20% - Accent3 9 3 2 2 2 2" xfId="7251"/>
    <cellStyle name="20% - Accent3 9 3 2 2 3" xfId="7252"/>
    <cellStyle name="20% - Accent3 9 3 2 3" xfId="7253"/>
    <cellStyle name="20% - Accent3 9 3 2 3 2" xfId="7254"/>
    <cellStyle name="20% - Accent3 9 3 2 4" xfId="7255"/>
    <cellStyle name="20% - Accent3 9 3 3" xfId="7256"/>
    <cellStyle name="20% - Accent3 9 3 3 2" xfId="7257"/>
    <cellStyle name="20% - Accent3 9 3 3 2 2" xfId="7258"/>
    <cellStyle name="20% - Accent3 9 3 3 3" xfId="7259"/>
    <cellStyle name="20% - Accent3 9 3 4" xfId="7260"/>
    <cellStyle name="20% - Accent3 9 3 4 2" xfId="7261"/>
    <cellStyle name="20% - Accent3 9 3 5" xfId="7262"/>
    <cellStyle name="20% - Accent3 9 3 5 2" xfId="7263"/>
    <cellStyle name="20% - Accent3 9 3 6" xfId="7264"/>
    <cellStyle name="20% - Accent3 9 4" xfId="7265"/>
    <cellStyle name="20% - Accent3 9 4 2" xfId="7266"/>
    <cellStyle name="20% - Accent3 9 4 2 2" xfId="7267"/>
    <cellStyle name="20% - Accent3 9 4 2 2 2" xfId="7268"/>
    <cellStyle name="20% - Accent3 9 4 2 3" xfId="7269"/>
    <cellStyle name="20% - Accent3 9 4 3" xfId="7270"/>
    <cellStyle name="20% - Accent3 9 4 3 2" xfId="7271"/>
    <cellStyle name="20% - Accent3 9 4 4" xfId="7272"/>
    <cellStyle name="20% - Accent3 9 5" xfId="7273"/>
    <cellStyle name="20% - Accent3 9 5 2" xfId="7274"/>
    <cellStyle name="20% - Accent3 9 5 2 2" xfId="7275"/>
    <cellStyle name="20% - Accent3 9 5 3" xfId="7276"/>
    <cellStyle name="20% - Accent3 9 6" xfId="7277"/>
    <cellStyle name="20% - Accent3 9 6 2" xfId="7278"/>
    <cellStyle name="20% - Accent3 9 7" xfId="7279"/>
    <cellStyle name="20% - Accent3 9 7 2" xfId="7280"/>
    <cellStyle name="20% - Accent3 9 8" xfId="7281"/>
    <cellStyle name="20% - Accent4 10" xfId="7282"/>
    <cellStyle name="20% - Accent4 10 2" xfId="7283"/>
    <cellStyle name="20% - Accent4 10 2 2" xfId="7284"/>
    <cellStyle name="20% - Accent4 10 2 2 2" xfId="7285"/>
    <cellStyle name="20% - Accent4 10 2 2 2 2" xfId="7286"/>
    <cellStyle name="20% - Accent4 10 2 2 3" xfId="7287"/>
    <cellStyle name="20% - Accent4 10 2 3" xfId="7288"/>
    <cellStyle name="20% - Accent4 10 2 3 2" xfId="7289"/>
    <cellStyle name="20% - Accent4 10 2 4" xfId="7290"/>
    <cellStyle name="20% - Accent4 10 3" xfId="7291"/>
    <cellStyle name="20% - Accent4 10 3 2" xfId="7292"/>
    <cellStyle name="20% - Accent4 10 3 2 2" xfId="7293"/>
    <cellStyle name="20% - Accent4 10 3 3" xfId="7294"/>
    <cellStyle name="20% - Accent4 10 4" xfId="7295"/>
    <cellStyle name="20% - Accent4 10 4 2" xfId="7296"/>
    <cellStyle name="20% - Accent4 10 5" xfId="7297"/>
    <cellStyle name="20% - Accent4 10 5 2" xfId="7298"/>
    <cellStyle name="20% - Accent4 10 6" xfId="7299"/>
    <cellStyle name="20% - Accent4 11" xfId="7300"/>
    <cellStyle name="20% - Accent4 11 2" xfId="7301"/>
    <cellStyle name="20% - Accent4 11 2 2" xfId="7302"/>
    <cellStyle name="20% - Accent4 11 2 2 2" xfId="7303"/>
    <cellStyle name="20% - Accent4 11 2 2 2 2" xfId="7304"/>
    <cellStyle name="20% - Accent4 11 2 2 3" xfId="7305"/>
    <cellStyle name="20% - Accent4 11 2 3" xfId="7306"/>
    <cellStyle name="20% - Accent4 11 2 3 2" xfId="7307"/>
    <cellStyle name="20% - Accent4 11 2 4" xfId="7308"/>
    <cellStyle name="20% - Accent4 11 3" xfId="7309"/>
    <cellStyle name="20% - Accent4 11 3 2" xfId="7310"/>
    <cellStyle name="20% - Accent4 11 3 2 2" xfId="7311"/>
    <cellStyle name="20% - Accent4 11 3 3" xfId="7312"/>
    <cellStyle name="20% - Accent4 11 4" xfId="7313"/>
    <cellStyle name="20% - Accent4 11 4 2" xfId="7314"/>
    <cellStyle name="20% - Accent4 11 5" xfId="7315"/>
    <cellStyle name="20% - Accent4 11 5 2" xfId="7316"/>
    <cellStyle name="20% - Accent4 11 6" xfId="7317"/>
    <cellStyle name="20% - Accent4 12" xfId="7318"/>
    <cellStyle name="20% - Accent4 12 2" xfId="7319"/>
    <cellStyle name="20% - Accent4 12 2 2" xfId="7320"/>
    <cellStyle name="20% - Accent4 12 2 2 2" xfId="7321"/>
    <cellStyle name="20% - Accent4 12 2 2 2 2" xfId="7322"/>
    <cellStyle name="20% - Accent4 12 2 2 3" xfId="7323"/>
    <cellStyle name="20% - Accent4 12 2 3" xfId="7324"/>
    <cellStyle name="20% - Accent4 12 2 3 2" xfId="7325"/>
    <cellStyle name="20% - Accent4 12 2 4" xfId="7326"/>
    <cellStyle name="20% - Accent4 12 3" xfId="7327"/>
    <cellStyle name="20% - Accent4 12 3 2" xfId="7328"/>
    <cellStyle name="20% - Accent4 12 3 2 2" xfId="7329"/>
    <cellStyle name="20% - Accent4 12 3 3" xfId="7330"/>
    <cellStyle name="20% - Accent4 12 4" xfId="7331"/>
    <cellStyle name="20% - Accent4 12 4 2" xfId="7332"/>
    <cellStyle name="20% - Accent4 12 5" xfId="7333"/>
    <cellStyle name="20% - Accent4 12 5 2" xfId="7334"/>
    <cellStyle name="20% - Accent4 12 6" xfId="7335"/>
    <cellStyle name="20% - Accent4 13" xfId="7336"/>
    <cellStyle name="20% - Accent4 13 2" xfId="7337"/>
    <cellStyle name="20% - Accent4 13 2 2" xfId="7338"/>
    <cellStyle name="20% - Accent4 13 2 2 2" xfId="7339"/>
    <cellStyle name="20% - Accent4 13 2 2 2 2" xfId="7340"/>
    <cellStyle name="20% - Accent4 13 2 2 3" xfId="7341"/>
    <cellStyle name="20% - Accent4 13 2 3" xfId="7342"/>
    <cellStyle name="20% - Accent4 13 2 3 2" xfId="7343"/>
    <cellStyle name="20% - Accent4 13 2 4" xfId="7344"/>
    <cellStyle name="20% - Accent4 13 3" xfId="7345"/>
    <cellStyle name="20% - Accent4 13 3 2" xfId="7346"/>
    <cellStyle name="20% - Accent4 13 3 2 2" xfId="7347"/>
    <cellStyle name="20% - Accent4 13 3 3" xfId="7348"/>
    <cellStyle name="20% - Accent4 13 4" xfId="7349"/>
    <cellStyle name="20% - Accent4 13 4 2" xfId="7350"/>
    <cellStyle name="20% - Accent4 13 5" xfId="7351"/>
    <cellStyle name="20% - Accent4 13 5 2" xfId="7352"/>
    <cellStyle name="20% - Accent4 13 6" xfId="7353"/>
    <cellStyle name="20% - Accent4 14" xfId="7354"/>
    <cellStyle name="20% - Accent4 14 2" xfId="7355"/>
    <cellStyle name="20% - Accent4 14 2 2" xfId="7356"/>
    <cellStyle name="20% - Accent4 14 2 2 2" xfId="7357"/>
    <cellStyle name="20% - Accent4 14 2 3" xfId="7358"/>
    <cellStyle name="20% - Accent4 14 3" xfId="7359"/>
    <cellStyle name="20% - Accent4 14 3 2" xfId="7360"/>
    <cellStyle name="20% - Accent4 14 4" xfId="7361"/>
    <cellStyle name="20% - Accent4 15" xfId="7362"/>
    <cellStyle name="20% - Accent4 15 2" xfId="7363"/>
    <cellStyle name="20% - Accent4 15 2 2" xfId="7364"/>
    <cellStyle name="20% - Accent4 15 3" xfId="7365"/>
    <cellStyle name="20% - Accent4 16" xfId="7366"/>
    <cellStyle name="20% - Accent4 16 2" xfId="7367"/>
    <cellStyle name="20% - Accent4 17" xfId="7368"/>
    <cellStyle name="20% - Accent4 17 2" xfId="7369"/>
    <cellStyle name="20% - Accent4 18" xfId="7370"/>
    <cellStyle name="20% - Accent4 2" xfId="7371"/>
    <cellStyle name="20% - Accent4 2 2" xfId="7372"/>
    <cellStyle name="20% - Accent4 3" xfId="7373"/>
    <cellStyle name="20% - Accent4 3 10" xfId="7374"/>
    <cellStyle name="20% - Accent4 3 10 2" xfId="7375"/>
    <cellStyle name="20% - Accent4 3 10 2 2" xfId="7376"/>
    <cellStyle name="20% - Accent4 3 10 2 2 2" xfId="7377"/>
    <cellStyle name="20% - Accent4 3 10 2 2 2 2" xfId="7378"/>
    <cellStyle name="20% - Accent4 3 10 2 2 3" xfId="7379"/>
    <cellStyle name="20% - Accent4 3 10 2 3" xfId="7380"/>
    <cellStyle name="20% - Accent4 3 10 2 3 2" xfId="7381"/>
    <cellStyle name="20% - Accent4 3 10 2 4" xfId="7382"/>
    <cellStyle name="20% - Accent4 3 10 3" xfId="7383"/>
    <cellStyle name="20% - Accent4 3 10 3 2" xfId="7384"/>
    <cellStyle name="20% - Accent4 3 10 3 2 2" xfId="7385"/>
    <cellStyle name="20% - Accent4 3 10 3 3" xfId="7386"/>
    <cellStyle name="20% - Accent4 3 10 4" xfId="7387"/>
    <cellStyle name="20% - Accent4 3 10 4 2" xfId="7388"/>
    <cellStyle name="20% - Accent4 3 10 5" xfId="7389"/>
    <cellStyle name="20% - Accent4 3 10 5 2" xfId="7390"/>
    <cellStyle name="20% - Accent4 3 10 6" xfId="7391"/>
    <cellStyle name="20% - Accent4 3 11" xfId="7392"/>
    <cellStyle name="20% - Accent4 3 11 2" xfId="7393"/>
    <cellStyle name="20% - Accent4 3 11 2 2" xfId="7394"/>
    <cellStyle name="20% - Accent4 3 11 2 2 2" xfId="7395"/>
    <cellStyle name="20% - Accent4 3 11 2 2 2 2" xfId="7396"/>
    <cellStyle name="20% - Accent4 3 11 2 2 3" xfId="7397"/>
    <cellStyle name="20% - Accent4 3 11 2 3" xfId="7398"/>
    <cellStyle name="20% - Accent4 3 11 2 3 2" xfId="7399"/>
    <cellStyle name="20% - Accent4 3 11 2 4" xfId="7400"/>
    <cellStyle name="20% - Accent4 3 11 3" xfId="7401"/>
    <cellStyle name="20% - Accent4 3 11 3 2" xfId="7402"/>
    <cellStyle name="20% - Accent4 3 11 3 2 2" xfId="7403"/>
    <cellStyle name="20% - Accent4 3 11 3 3" xfId="7404"/>
    <cellStyle name="20% - Accent4 3 11 4" xfId="7405"/>
    <cellStyle name="20% - Accent4 3 11 4 2" xfId="7406"/>
    <cellStyle name="20% - Accent4 3 11 5" xfId="7407"/>
    <cellStyle name="20% - Accent4 3 11 5 2" xfId="7408"/>
    <cellStyle name="20% - Accent4 3 11 6" xfId="7409"/>
    <cellStyle name="20% - Accent4 3 12" xfId="7410"/>
    <cellStyle name="20% - Accent4 3 12 2" xfId="7411"/>
    <cellStyle name="20% - Accent4 3 12 2 2" xfId="7412"/>
    <cellStyle name="20% - Accent4 3 12 2 2 2" xfId="7413"/>
    <cellStyle name="20% - Accent4 3 12 2 3" xfId="7414"/>
    <cellStyle name="20% - Accent4 3 12 3" xfId="7415"/>
    <cellStyle name="20% - Accent4 3 12 3 2" xfId="7416"/>
    <cellStyle name="20% - Accent4 3 12 4" xfId="7417"/>
    <cellStyle name="20% - Accent4 3 13" xfId="7418"/>
    <cellStyle name="20% - Accent4 3 13 2" xfId="7419"/>
    <cellStyle name="20% - Accent4 3 13 2 2" xfId="7420"/>
    <cellStyle name="20% - Accent4 3 13 3" xfId="7421"/>
    <cellStyle name="20% - Accent4 3 13 4" xfId="7422"/>
    <cellStyle name="20% - Accent4 3 14" xfId="7423"/>
    <cellStyle name="20% - Accent4 3 14 2" xfId="7424"/>
    <cellStyle name="20% - Accent4 3 15" xfId="7425"/>
    <cellStyle name="20% - Accent4 3 15 2" xfId="7426"/>
    <cellStyle name="20% - Accent4 3 16" xfId="7427"/>
    <cellStyle name="20% - Accent4 3 2" xfId="7428"/>
    <cellStyle name="20% - Accent4 3 2 10" xfId="7429"/>
    <cellStyle name="20% - Accent4 3 2 10 2" xfId="7430"/>
    <cellStyle name="20% - Accent4 3 2 10 2 2" xfId="7431"/>
    <cellStyle name="20% - Accent4 3 2 10 2 2 2" xfId="7432"/>
    <cellStyle name="20% - Accent4 3 2 10 2 2 2 2" xfId="7433"/>
    <cellStyle name="20% - Accent4 3 2 10 2 2 3" xfId="7434"/>
    <cellStyle name="20% - Accent4 3 2 10 2 3" xfId="7435"/>
    <cellStyle name="20% - Accent4 3 2 10 2 3 2" xfId="7436"/>
    <cellStyle name="20% - Accent4 3 2 10 2 4" xfId="7437"/>
    <cellStyle name="20% - Accent4 3 2 10 3" xfId="7438"/>
    <cellStyle name="20% - Accent4 3 2 10 3 2" xfId="7439"/>
    <cellStyle name="20% - Accent4 3 2 10 3 2 2" xfId="7440"/>
    <cellStyle name="20% - Accent4 3 2 10 3 3" xfId="7441"/>
    <cellStyle name="20% - Accent4 3 2 10 4" xfId="7442"/>
    <cellStyle name="20% - Accent4 3 2 10 4 2" xfId="7443"/>
    <cellStyle name="20% - Accent4 3 2 10 5" xfId="7444"/>
    <cellStyle name="20% - Accent4 3 2 10 5 2" xfId="7445"/>
    <cellStyle name="20% - Accent4 3 2 10 6" xfId="7446"/>
    <cellStyle name="20% - Accent4 3 2 11" xfId="7447"/>
    <cellStyle name="20% - Accent4 3 2 11 2" xfId="7448"/>
    <cellStyle name="20% - Accent4 3 2 11 2 2" xfId="7449"/>
    <cellStyle name="20% - Accent4 3 2 11 2 2 2" xfId="7450"/>
    <cellStyle name="20% - Accent4 3 2 11 2 3" xfId="7451"/>
    <cellStyle name="20% - Accent4 3 2 11 3" xfId="7452"/>
    <cellStyle name="20% - Accent4 3 2 11 3 2" xfId="7453"/>
    <cellStyle name="20% - Accent4 3 2 11 4" xfId="7454"/>
    <cellStyle name="20% - Accent4 3 2 12" xfId="7455"/>
    <cellStyle name="20% - Accent4 3 2 12 2" xfId="7456"/>
    <cellStyle name="20% - Accent4 3 2 12 2 2" xfId="7457"/>
    <cellStyle name="20% - Accent4 3 2 12 3" xfId="7458"/>
    <cellStyle name="20% - Accent4 3 2 13" xfId="7459"/>
    <cellStyle name="20% - Accent4 3 2 13 2" xfId="7460"/>
    <cellStyle name="20% - Accent4 3 2 14" xfId="7461"/>
    <cellStyle name="20% - Accent4 3 2 14 2" xfId="7462"/>
    <cellStyle name="20% - Accent4 3 2 15" xfId="7463"/>
    <cellStyle name="20% - Accent4 3 2 2" xfId="7464"/>
    <cellStyle name="20% - Accent4 3 2 2 10" xfId="7465"/>
    <cellStyle name="20% - Accent4 3 2 2 10 2" xfId="7466"/>
    <cellStyle name="20% - Accent4 3 2 2 11" xfId="7467"/>
    <cellStyle name="20% - Accent4 3 2 2 2" xfId="7468"/>
    <cellStyle name="20% - Accent4 3 2 2 2 2" xfId="7469"/>
    <cellStyle name="20% - Accent4 3 2 2 2 2 2" xfId="7470"/>
    <cellStyle name="20% - Accent4 3 2 2 2 2 2 2" xfId="7471"/>
    <cellStyle name="20% - Accent4 3 2 2 2 2 2 2 2" xfId="7472"/>
    <cellStyle name="20% - Accent4 3 2 2 2 2 2 2 2 2" xfId="7473"/>
    <cellStyle name="20% - Accent4 3 2 2 2 2 2 2 3" xfId="7474"/>
    <cellStyle name="20% - Accent4 3 2 2 2 2 2 3" xfId="7475"/>
    <cellStyle name="20% - Accent4 3 2 2 2 2 2 3 2" xfId="7476"/>
    <cellStyle name="20% - Accent4 3 2 2 2 2 2 4" xfId="7477"/>
    <cellStyle name="20% - Accent4 3 2 2 2 2 3" xfId="7478"/>
    <cellStyle name="20% - Accent4 3 2 2 2 2 3 2" xfId="7479"/>
    <cellStyle name="20% - Accent4 3 2 2 2 2 3 2 2" xfId="7480"/>
    <cellStyle name="20% - Accent4 3 2 2 2 2 3 3" xfId="7481"/>
    <cellStyle name="20% - Accent4 3 2 2 2 2 4" xfId="7482"/>
    <cellStyle name="20% - Accent4 3 2 2 2 2 4 2" xfId="7483"/>
    <cellStyle name="20% - Accent4 3 2 2 2 2 5" xfId="7484"/>
    <cellStyle name="20% - Accent4 3 2 2 2 2 5 2" xfId="7485"/>
    <cellStyle name="20% - Accent4 3 2 2 2 2 6" xfId="7486"/>
    <cellStyle name="20% - Accent4 3 2 2 2 3" xfId="7487"/>
    <cellStyle name="20% - Accent4 3 2 2 2 3 2" xfId="7488"/>
    <cellStyle name="20% - Accent4 3 2 2 2 3 2 2" xfId="7489"/>
    <cellStyle name="20% - Accent4 3 2 2 2 3 2 2 2" xfId="7490"/>
    <cellStyle name="20% - Accent4 3 2 2 2 3 2 2 2 2" xfId="7491"/>
    <cellStyle name="20% - Accent4 3 2 2 2 3 2 2 3" xfId="7492"/>
    <cellStyle name="20% - Accent4 3 2 2 2 3 2 3" xfId="7493"/>
    <cellStyle name="20% - Accent4 3 2 2 2 3 2 3 2" xfId="7494"/>
    <cellStyle name="20% - Accent4 3 2 2 2 3 2 4" xfId="7495"/>
    <cellStyle name="20% - Accent4 3 2 2 2 3 3" xfId="7496"/>
    <cellStyle name="20% - Accent4 3 2 2 2 3 3 2" xfId="7497"/>
    <cellStyle name="20% - Accent4 3 2 2 2 3 3 2 2" xfId="7498"/>
    <cellStyle name="20% - Accent4 3 2 2 2 3 3 3" xfId="7499"/>
    <cellStyle name="20% - Accent4 3 2 2 2 3 4" xfId="7500"/>
    <cellStyle name="20% - Accent4 3 2 2 2 3 4 2" xfId="7501"/>
    <cellStyle name="20% - Accent4 3 2 2 2 3 5" xfId="7502"/>
    <cellStyle name="20% - Accent4 3 2 2 2 3 5 2" xfId="7503"/>
    <cellStyle name="20% - Accent4 3 2 2 2 3 6" xfId="7504"/>
    <cellStyle name="20% - Accent4 3 2 2 2 4" xfId="7505"/>
    <cellStyle name="20% - Accent4 3 2 2 2 4 2" xfId="7506"/>
    <cellStyle name="20% - Accent4 3 2 2 2 4 2 2" xfId="7507"/>
    <cellStyle name="20% - Accent4 3 2 2 2 4 2 2 2" xfId="7508"/>
    <cellStyle name="20% - Accent4 3 2 2 2 4 2 3" xfId="7509"/>
    <cellStyle name="20% - Accent4 3 2 2 2 4 3" xfId="7510"/>
    <cellStyle name="20% - Accent4 3 2 2 2 4 3 2" xfId="7511"/>
    <cellStyle name="20% - Accent4 3 2 2 2 4 4" xfId="7512"/>
    <cellStyle name="20% - Accent4 3 2 2 2 5" xfId="7513"/>
    <cellStyle name="20% - Accent4 3 2 2 2 5 2" xfId="7514"/>
    <cellStyle name="20% - Accent4 3 2 2 2 5 2 2" xfId="7515"/>
    <cellStyle name="20% - Accent4 3 2 2 2 5 3" xfId="7516"/>
    <cellStyle name="20% - Accent4 3 2 2 2 6" xfId="7517"/>
    <cellStyle name="20% - Accent4 3 2 2 2 6 2" xfId="7518"/>
    <cellStyle name="20% - Accent4 3 2 2 2 7" xfId="7519"/>
    <cellStyle name="20% - Accent4 3 2 2 2 7 2" xfId="7520"/>
    <cellStyle name="20% - Accent4 3 2 2 2 8" xfId="7521"/>
    <cellStyle name="20% - Accent4 3 2 2 3" xfId="7522"/>
    <cellStyle name="20% - Accent4 3 2 2 3 2" xfId="7523"/>
    <cellStyle name="20% - Accent4 3 2 2 3 2 2" xfId="7524"/>
    <cellStyle name="20% - Accent4 3 2 2 3 2 2 2" xfId="7525"/>
    <cellStyle name="20% - Accent4 3 2 2 3 2 2 2 2" xfId="7526"/>
    <cellStyle name="20% - Accent4 3 2 2 3 2 2 2 2 2" xfId="7527"/>
    <cellStyle name="20% - Accent4 3 2 2 3 2 2 2 3" xfId="7528"/>
    <cellStyle name="20% - Accent4 3 2 2 3 2 2 3" xfId="7529"/>
    <cellStyle name="20% - Accent4 3 2 2 3 2 2 3 2" xfId="7530"/>
    <cellStyle name="20% - Accent4 3 2 2 3 2 2 4" xfId="7531"/>
    <cellStyle name="20% - Accent4 3 2 2 3 2 3" xfId="7532"/>
    <cellStyle name="20% - Accent4 3 2 2 3 2 3 2" xfId="7533"/>
    <cellStyle name="20% - Accent4 3 2 2 3 2 3 2 2" xfId="7534"/>
    <cellStyle name="20% - Accent4 3 2 2 3 2 3 3" xfId="7535"/>
    <cellStyle name="20% - Accent4 3 2 2 3 2 4" xfId="7536"/>
    <cellStyle name="20% - Accent4 3 2 2 3 2 4 2" xfId="7537"/>
    <cellStyle name="20% - Accent4 3 2 2 3 2 5" xfId="7538"/>
    <cellStyle name="20% - Accent4 3 2 2 3 2 5 2" xfId="7539"/>
    <cellStyle name="20% - Accent4 3 2 2 3 2 6" xfId="7540"/>
    <cellStyle name="20% - Accent4 3 2 2 3 3" xfId="7541"/>
    <cellStyle name="20% - Accent4 3 2 2 3 3 2" xfId="7542"/>
    <cellStyle name="20% - Accent4 3 2 2 3 3 2 2" xfId="7543"/>
    <cellStyle name="20% - Accent4 3 2 2 3 3 2 2 2" xfId="7544"/>
    <cellStyle name="20% - Accent4 3 2 2 3 3 2 2 2 2" xfId="7545"/>
    <cellStyle name="20% - Accent4 3 2 2 3 3 2 2 3" xfId="7546"/>
    <cellStyle name="20% - Accent4 3 2 2 3 3 2 3" xfId="7547"/>
    <cellStyle name="20% - Accent4 3 2 2 3 3 2 3 2" xfId="7548"/>
    <cellStyle name="20% - Accent4 3 2 2 3 3 2 4" xfId="7549"/>
    <cellStyle name="20% - Accent4 3 2 2 3 3 3" xfId="7550"/>
    <cellStyle name="20% - Accent4 3 2 2 3 3 3 2" xfId="7551"/>
    <cellStyle name="20% - Accent4 3 2 2 3 3 3 2 2" xfId="7552"/>
    <cellStyle name="20% - Accent4 3 2 2 3 3 3 3" xfId="7553"/>
    <cellStyle name="20% - Accent4 3 2 2 3 3 4" xfId="7554"/>
    <cellStyle name="20% - Accent4 3 2 2 3 3 4 2" xfId="7555"/>
    <cellStyle name="20% - Accent4 3 2 2 3 3 5" xfId="7556"/>
    <cellStyle name="20% - Accent4 3 2 2 3 3 5 2" xfId="7557"/>
    <cellStyle name="20% - Accent4 3 2 2 3 3 6" xfId="7558"/>
    <cellStyle name="20% - Accent4 3 2 2 3 4" xfId="7559"/>
    <cellStyle name="20% - Accent4 3 2 2 3 4 2" xfId="7560"/>
    <cellStyle name="20% - Accent4 3 2 2 3 4 2 2" xfId="7561"/>
    <cellStyle name="20% - Accent4 3 2 2 3 4 2 2 2" xfId="7562"/>
    <cellStyle name="20% - Accent4 3 2 2 3 4 2 3" xfId="7563"/>
    <cellStyle name="20% - Accent4 3 2 2 3 4 3" xfId="7564"/>
    <cellStyle name="20% - Accent4 3 2 2 3 4 3 2" xfId="7565"/>
    <cellStyle name="20% - Accent4 3 2 2 3 4 4" xfId="7566"/>
    <cellStyle name="20% - Accent4 3 2 2 3 5" xfId="7567"/>
    <cellStyle name="20% - Accent4 3 2 2 3 5 2" xfId="7568"/>
    <cellStyle name="20% - Accent4 3 2 2 3 5 2 2" xfId="7569"/>
    <cellStyle name="20% - Accent4 3 2 2 3 5 3" xfId="7570"/>
    <cellStyle name="20% - Accent4 3 2 2 3 6" xfId="7571"/>
    <cellStyle name="20% - Accent4 3 2 2 3 6 2" xfId="7572"/>
    <cellStyle name="20% - Accent4 3 2 2 3 7" xfId="7573"/>
    <cellStyle name="20% - Accent4 3 2 2 3 7 2" xfId="7574"/>
    <cellStyle name="20% - Accent4 3 2 2 3 8" xfId="7575"/>
    <cellStyle name="20% - Accent4 3 2 2 4" xfId="7576"/>
    <cellStyle name="20% - Accent4 3 2 2 4 2" xfId="7577"/>
    <cellStyle name="20% - Accent4 3 2 2 4 2 2" xfId="7578"/>
    <cellStyle name="20% - Accent4 3 2 2 4 2 2 2" xfId="7579"/>
    <cellStyle name="20% - Accent4 3 2 2 4 2 2 2 2" xfId="7580"/>
    <cellStyle name="20% - Accent4 3 2 2 4 2 2 3" xfId="7581"/>
    <cellStyle name="20% - Accent4 3 2 2 4 2 3" xfId="7582"/>
    <cellStyle name="20% - Accent4 3 2 2 4 2 3 2" xfId="7583"/>
    <cellStyle name="20% - Accent4 3 2 2 4 2 4" xfId="7584"/>
    <cellStyle name="20% - Accent4 3 2 2 4 3" xfId="7585"/>
    <cellStyle name="20% - Accent4 3 2 2 4 3 2" xfId="7586"/>
    <cellStyle name="20% - Accent4 3 2 2 4 3 2 2" xfId="7587"/>
    <cellStyle name="20% - Accent4 3 2 2 4 3 3" xfId="7588"/>
    <cellStyle name="20% - Accent4 3 2 2 4 4" xfId="7589"/>
    <cellStyle name="20% - Accent4 3 2 2 4 4 2" xfId="7590"/>
    <cellStyle name="20% - Accent4 3 2 2 4 5" xfId="7591"/>
    <cellStyle name="20% - Accent4 3 2 2 4 5 2" xfId="7592"/>
    <cellStyle name="20% - Accent4 3 2 2 4 6" xfId="7593"/>
    <cellStyle name="20% - Accent4 3 2 2 5" xfId="7594"/>
    <cellStyle name="20% - Accent4 3 2 2 5 2" xfId="7595"/>
    <cellStyle name="20% - Accent4 3 2 2 5 2 2" xfId="7596"/>
    <cellStyle name="20% - Accent4 3 2 2 5 2 2 2" xfId="7597"/>
    <cellStyle name="20% - Accent4 3 2 2 5 2 2 2 2" xfId="7598"/>
    <cellStyle name="20% - Accent4 3 2 2 5 2 2 3" xfId="7599"/>
    <cellStyle name="20% - Accent4 3 2 2 5 2 3" xfId="7600"/>
    <cellStyle name="20% - Accent4 3 2 2 5 2 3 2" xfId="7601"/>
    <cellStyle name="20% - Accent4 3 2 2 5 2 4" xfId="7602"/>
    <cellStyle name="20% - Accent4 3 2 2 5 3" xfId="7603"/>
    <cellStyle name="20% - Accent4 3 2 2 5 3 2" xfId="7604"/>
    <cellStyle name="20% - Accent4 3 2 2 5 3 2 2" xfId="7605"/>
    <cellStyle name="20% - Accent4 3 2 2 5 3 3" xfId="7606"/>
    <cellStyle name="20% - Accent4 3 2 2 5 4" xfId="7607"/>
    <cellStyle name="20% - Accent4 3 2 2 5 4 2" xfId="7608"/>
    <cellStyle name="20% - Accent4 3 2 2 5 5" xfId="7609"/>
    <cellStyle name="20% - Accent4 3 2 2 5 5 2" xfId="7610"/>
    <cellStyle name="20% - Accent4 3 2 2 5 6" xfId="7611"/>
    <cellStyle name="20% - Accent4 3 2 2 6" xfId="7612"/>
    <cellStyle name="20% - Accent4 3 2 2 6 2" xfId="7613"/>
    <cellStyle name="20% - Accent4 3 2 2 6 2 2" xfId="7614"/>
    <cellStyle name="20% - Accent4 3 2 2 6 2 2 2" xfId="7615"/>
    <cellStyle name="20% - Accent4 3 2 2 6 2 2 2 2" xfId="7616"/>
    <cellStyle name="20% - Accent4 3 2 2 6 2 2 3" xfId="7617"/>
    <cellStyle name="20% - Accent4 3 2 2 6 2 3" xfId="7618"/>
    <cellStyle name="20% - Accent4 3 2 2 6 2 3 2" xfId="7619"/>
    <cellStyle name="20% - Accent4 3 2 2 6 2 4" xfId="7620"/>
    <cellStyle name="20% - Accent4 3 2 2 6 3" xfId="7621"/>
    <cellStyle name="20% - Accent4 3 2 2 6 3 2" xfId="7622"/>
    <cellStyle name="20% - Accent4 3 2 2 6 3 2 2" xfId="7623"/>
    <cellStyle name="20% - Accent4 3 2 2 6 3 3" xfId="7624"/>
    <cellStyle name="20% - Accent4 3 2 2 6 4" xfId="7625"/>
    <cellStyle name="20% - Accent4 3 2 2 6 4 2" xfId="7626"/>
    <cellStyle name="20% - Accent4 3 2 2 6 5" xfId="7627"/>
    <cellStyle name="20% - Accent4 3 2 2 6 5 2" xfId="7628"/>
    <cellStyle name="20% - Accent4 3 2 2 6 6" xfId="7629"/>
    <cellStyle name="20% - Accent4 3 2 2 7" xfId="7630"/>
    <cellStyle name="20% - Accent4 3 2 2 7 2" xfId="7631"/>
    <cellStyle name="20% - Accent4 3 2 2 7 2 2" xfId="7632"/>
    <cellStyle name="20% - Accent4 3 2 2 7 2 2 2" xfId="7633"/>
    <cellStyle name="20% - Accent4 3 2 2 7 2 3" xfId="7634"/>
    <cellStyle name="20% - Accent4 3 2 2 7 3" xfId="7635"/>
    <cellStyle name="20% - Accent4 3 2 2 7 3 2" xfId="7636"/>
    <cellStyle name="20% - Accent4 3 2 2 7 4" xfId="7637"/>
    <cellStyle name="20% - Accent4 3 2 2 8" xfId="7638"/>
    <cellStyle name="20% - Accent4 3 2 2 8 2" xfId="7639"/>
    <cellStyle name="20% - Accent4 3 2 2 8 2 2" xfId="7640"/>
    <cellStyle name="20% - Accent4 3 2 2 8 3" xfId="7641"/>
    <cellStyle name="20% - Accent4 3 2 2 9" xfId="7642"/>
    <cellStyle name="20% - Accent4 3 2 2 9 2" xfId="7643"/>
    <cellStyle name="20% - Accent4 3 2 3" xfId="7644"/>
    <cellStyle name="20% - Accent4 3 2 3 10" xfId="7645"/>
    <cellStyle name="20% - Accent4 3 2 3 10 2" xfId="7646"/>
    <cellStyle name="20% - Accent4 3 2 3 11" xfId="7647"/>
    <cellStyle name="20% - Accent4 3 2 3 2" xfId="7648"/>
    <cellStyle name="20% - Accent4 3 2 3 2 2" xfId="7649"/>
    <cellStyle name="20% - Accent4 3 2 3 2 2 2" xfId="7650"/>
    <cellStyle name="20% - Accent4 3 2 3 2 2 2 2" xfId="7651"/>
    <cellStyle name="20% - Accent4 3 2 3 2 2 2 2 2" xfId="7652"/>
    <cellStyle name="20% - Accent4 3 2 3 2 2 2 2 2 2" xfId="7653"/>
    <cellStyle name="20% - Accent4 3 2 3 2 2 2 2 3" xfId="7654"/>
    <cellStyle name="20% - Accent4 3 2 3 2 2 2 3" xfId="7655"/>
    <cellStyle name="20% - Accent4 3 2 3 2 2 2 3 2" xfId="7656"/>
    <cellStyle name="20% - Accent4 3 2 3 2 2 2 4" xfId="7657"/>
    <cellStyle name="20% - Accent4 3 2 3 2 2 3" xfId="7658"/>
    <cellStyle name="20% - Accent4 3 2 3 2 2 3 2" xfId="7659"/>
    <cellStyle name="20% - Accent4 3 2 3 2 2 3 2 2" xfId="7660"/>
    <cellStyle name="20% - Accent4 3 2 3 2 2 3 3" xfId="7661"/>
    <cellStyle name="20% - Accent4 3 2 3 2 2 4" xfId="7662"/>
    <cellStyle name="20% - Accent4 3 2 3 2 2 4 2" xfId="7663"/>
    <cellStyle name="20% - Accent4 3 2 3 2 2 5" xfId="7664"/>
    <cellStyle name="20% - Accent4 3 2 3 2 2 5 2" xfId="7665"/>
    <cellStyle name="20% - Accent4 3 2 3 2 2 6" xfId="7666"/>
    <cellStyle name="20% - Accent4 3 2 3 2 3" xfId="7667"/>
    <cellStyle name="20% - Accent4 3 2 3 2 3 2" xfId="7668"/>
    <cellStyle name="20% - Accent4 3 2 3 2 3 2 2" xfId="7669"/>
    <cellStyle name="20% - Accent4 3 2 3 2 3 2 2 2" xfId="7670"/>
    <cellStyle name="20% - Accent4 3 2 3 2 3 2 2 2 2" xfId="7671"/>
    <cellStyle name="20% - Accent4 3 2 3 2 3 2 2 3" xfId="7672"/>
    <cellStyle name="20% - Accent4 3 2 3 2 3 2 3" xfId="7673"/>
    <cellStyle name="20% - Accent4 3 2 3 2 3 2 3 2" xfId="7674"/>
    <cellStyle name="20% - Accent4 3 2 3 2 3 2 4" xfId="7675"/>
    <cellStyle name="20% - Accent4 3 2 3 2 3 3" xfId="7676"/>
    <cellStyle name="20% - Accent4 3 2 3 2 3 3 2" xfId="7677"/>
    <cellStyle name="20% - Accent4 3 2 3 2 3 3 2 2" xfId="7678"/>
    <cellStyle name="20% - Accent4 3 2 3 2 3 3 3" xfId="7679"/>
    <cellStyle name="20% - Accent4 3 2 3 2 3 4" xfId="7680"/>
    <cellStyle name="20% - Accent4 3 2 3 2 3 4 2" xfId="7681"/>
    <cellStyle name="20% - Accent4 3 2 3 2 3 5" xfId="7682"/>
    <cellStyle name="20% - Accent4 3 2 3 2 3 5 2" xfId="7683"/>
    <cellStyle name="20% - Accent4 3 2 3 2 3 6" xfId="7684"/>
    <cellStyle name="20% - Accent4 3 2 3 2 4" xfId="7685"/>
    <cellStyle name="20% - Accent4 3 2 3 2 4 2" xfId="7686"/>
    <cellStyle name="20% - Accent4 3 2 3 2 4 2 2" xfId="7687"/>
    <cellStyle name="20% - Accent4 3 2 3 2 4 2 2 2" xfId="7688"/>
    <cellStyle name="20% - Accent4 3 2 3 2 4 2 3" xfId="7689"/>
    <cellStyle name="20% - Accent4 3 2 3 2 4 3" xfId="7690"/>
    <cellStyle name="20% - Accent4 3 2 3 2 4 3 2" xfId="7691"/>
    <cellStyle name="20% - Accent4 3 2 3 2 4 4" xfId="7692"/>
    <cellStyle name="20% - Accent4 3 2 3 2 5" xfId="7693"/>
    <cellStyle name="20% - Accent4 3 2 3 2 5 2" xfId="7694"/>
    <cellStyle name="20% - Accent4 3 2 3 2 5 2 2" xfId="7695"/>
    <cellStyle name="20% - Accent4 3 2 3 2 5 3" xfId="7696"/>
    <cellStyle name="20% - Accent4 3 2 3 2 6" xfId="7697"/>
    <cellStyle name="20% - Accent4 3 2 3 2 6 2" xfId="7698"/>
    <cellStyle name="20% - Accent4 3 2 3 2 7" xfId="7699"/>
    <cellStyle name="20% - Accent4 3 2 3 2 7 2" xfId="7700"/>
    <cellStyle name="20% - Accent4 3 2 3 2 8" xfId="7701"/>
    <cellStyle name="20% - Accent4 3 2 3 3" xfId="7702"/>
    <cellStyle name="20% - Accent4 3 2 3 3 2" xfId="7703"/>
    <cellStyle name="20% - Accent4 3 2 3 3 2 2" xfId="7704"/>
    <cellStyle name="20% - Accent4 3 2 3 3 2 2 2" xfId="7705"/>
    <cellStyle name="20% - Accent4 3 2 3 3 2 2 2 2" xfId="7706"/>
    <cellStyle name="20% - Accent4 3 2 3 3 2 2 2 2 2" xfId="7707"/>
    <cellStyle name="20% - Accent4 3 2 3 3 2 2 2 3" xfId="7708"/>
    <cellStyle name="20% - Accent4 3 2 3 3 2 2 3" xfId="7709"/>
    <cellStyle name="20% - Accent4 3 2 3 3 2 2 3 2" xfId="7710"/>
    <cellStyle name="20% - Accent4 3 2 3 3 2 2 4" xfId="7711"/>
    <cellStyle name="20% - Accent4 3 2 3 3 2 3" xfId="7712"/>
    <cellStyle name="20% - Accent4 3 2 3 3 2 3 2" xfId="7713"/>
    <cellStyle name="20% - Accent4 3 2 3 3 2 3 2 2" xfId="7714"/>
    <cellStyle name="20% - Accent4 3 2 3 3 2 3 3" xfId="7715"/>
    <cellStyle name="20% - Accent4 3 2 3 3 2 4" xfId="7716"/>
    <cellStyle name="20% - Accent4 3 2 3 3 2 4 2" xfId="7717"/>
    <cellStyle name="20% - Accent4 3 2 3 3 2 5" xfId="7718"/>
    <cellStyle name="20% - Accent4 3 2 3 3 2 5 2" xfId="7719"/>
    <cellStyle name="20% - Accent4 3 2 3 3 2 6" xfId="7720"/>
    <cellStyle name="20% - Accent4 3 2 3 3 3" xfId="7721"/>
    <cellStyle name="20% - Accent4 3 2 3 3 3 2" xfId="7722"/>
    <cellStyle name="20% - Accent4 3 2 3 3 3 2 2" xfId="7723"/>
    <cellStyle name="20% - Accent4 3 2 3 3 3 2 2 2" xfId="7724"/>
    <cellStyle name="20% - Accent4 3 2 3 3 3 2 2 2 2" xfId="7725"/>
    <cellStyle name="20% - Accent4 3 2 3 3 3 2 2 3" xfId="7726"/>
    <cellStyle name="20% - Accent4 3 2 3 3 3 2 3" xfId="7727"/>
    <cellStyle name="20% - Accent4 3 2 3 3 3 2 3 2" xfId="7728"/>
    <cellStyle name="20% - Accent4 3 2 3 3 3 2 4" xfId="7729"/>
    <cellStyle name="20% - Accent4 3 2 3 3 3 3" xfId="7730"/>
    <cellStyle name="20% - Accent4 3 2 3 3 3 3 2" xfId="7731"/>
    <cellStyle name="20% - Accent4 3 2 3 3 3 3 2 2" xfId="7732"/>
    <cellStyle name="20% - Accent4 3 2 3 3 3 3 3" xfId="7733"/>
    <cellStyle name="20% - Accent4 3 2 3 3 3 4" xfId="7734"/>
    <cellStyle name="20% - Accent4 3 2 3 3 3 4 2" xfId="7735"/>
    <cellStyle name="20% - Accent4 3 2 3 3 3 5" xfId="7736"/>
    <cellStyle name="20% - Accent4 3 2 3 3 3 5 2" xfId="7737"/>
    <cellStyle name="20% - Accent4 3 2 3 3 3 6" xfId="7738"/>
    <cellStyle name="20% - Accent4 3 2 3 3 4" xfId="7739"/>
    <cellStyle name="20% - Accent4 3 2 3 3 4 2" xfId="7740"/>
    <cellStyle name="20% - Accent4 3 2 3 3 4 2 2" xfId="7741"/>
    <cellStyle name="20% - Accent4 3 2 3 3 4 2 2 2" xfId="7742"/>
    <cellStyle name="20% - Accent4 3 2 3 3 4 2 3" xfId="7743"/>
    <cellStyle name="20% - Accent4 3 2 3 3 4 3" xfId="7744"/>
    <cellStyle name="20% - Accent4 3 2 3 3 4 3 2" xfId="7745"/>
    <cellStyle name="20% - Accent4 3 2 3 3 4 4" xfId="7746"/>
    <cellStyle name="20% - Accent4 3 2 3 3 5" xfId="7747"/>
    <cellStyle name="20% - Accent4 3 2 3 3 5 2" xfId="7748"/>
    <cellStyle name="20% - Accent4 3 2 3 3 5 2 2" xfId="7749"/>
    <cellStyle name="20% - Accent4 3 2 3 3 5 3" xfId="7750"/>
    <cellStyle name="20% - Accent4 3 2 3 3 6" xfId="7751"/>
    <cellStyle name="20% - Accent4 3 2 3 3 6 2" xfId="7752"/>
    <cellStyle name="20% - Accent4 3 2 3 3 7" xfId="7753"/>
    <cellStyle name="20% - Accent4 3 2 3 3 7 2" xfId="7754"/>
    <cellStyle name="20% - Accent4 3 2 3 3 8" xfId="7755"/>
    <cellStyle name="20% - Accent4 3 2 3 4" xfId="7756"/>
    <cellStyle name="20% - Accent4 3 2 3 4 2" xfId="7757"/>
    <cellStyle name="20% - Accent4 3 2 3 4 2 2" xfId="7758"/>
    <cellStyle name="20% - Accent4 3 2 3 4 2 2 2" xfId="7759"/>
    <cellStyle name="20% - Accent4 3 2 3 4 2 2 2 2" xfId="7760"/>
    <cellStyle name="20% - Accent4 3 2 3 4 2 2 3" xfId="7761"/>
    <cellStyle name="20% - Accent4 3 2 3 4 2 3" xfId="7762"/>
    <cellStyle name="20% - Accent4 3 2 3 4 2 3 2" xfId="7763"/>
    <cellStyle name="20% - Accent4 3 2 3 4 2 4" xfId="7764"/>
    <cellStyle name="20% - Accent4 3 2 3 4 3" xfId="7765"/>
    <cellStyle name="20% - Accent4 3 2 3 4 3 2" xfId="7766"/>
    <cellStyle name="20% - Accent4 3 2 3 4 3 2 2" xfId="7767"/>
    <cellStyle name="20% - Accent4 3 2 3 4 3 3" xfId="7768"/>
    <cellStyle name="20% - Accent4 3 2 3 4 4" xfId="7769"/>
    <cellStyle name="20% - Accent4 3 2 3 4 4 2" xfId="7770"/>
    <cellStyle name="20% - Accent4 3 2 3 4 5" xfId="7771"/>
    <cellStyle name="20% - Accent4 3 2 3 4 5 2" xfId="7772"/>
    <cellStyle name="20% - Accent4 3 2 3 4 6" xfId="7773"/>
    <cellStyle name="20% - Accent4 3 2 3 5" xfId="7774"/>
    <cellStyle name="20% - Accent4 3 2 3 5 2" xfId="7775"/>
    <cellStyle name="20% - Accent4 3 2 3 5 2 2" xfId="7776"/>
    <cellStyle name="20% - Accent4 3 2 3 5 2 2 2" xfId="7777"/>
    <cellStyle name="20% - Accent4 3 2 3 5 2 2 2 2" xfId="7778"/>
    <cellStyle name="20% - Accent4 3 2 3 5 2 2 3" xfId="7779"/>
    <cellStyle name="20% - Accent4 3 2 3 5 2 3" xfId="7780"/>
    <cellStyle name="20% - Accent4 3 2 3 5 2 3 2" xfId="7781"/>
    <cellStyle name="20% - Accent4 3 2 3 5 2 4" xfId="7782"/>
    <cellStyle name="20% - Accent4 3 2 3 5 3" xfId="7783"/>
    <cellStyle name="20% - Accent4 3 2 3 5 3 2" xfId="7784"/>
    <cellStyle name="20% - Accent4 3 2 3 5 3 2 2" xfId="7785"/>
    <cellStyle name="20% - Accent4 3 2 3 5 3 3" xfId="7786"/>
    <cellStyle name="20% - Accent4 3 2 3 5 4" xfId="7787"/>
    <cellStyle name="20% - Accent4 3 2 3 5 4 2" xfId="7788"/>
    <cellStyle name="20% - Accent4 3 2 3 5 5" xfId="7789"/>
    <cellStyle name="20% - Accent4 3 2 3 5 5 2" xfId="7790"/>
    <cellStyle name="20% - Accent4 3 2 3 5 6" xfId="7791"/>
    <cellStyle name="20% - Accent4 3 2 3 6" xfId="7792"/>
    <cellStyle name="20% - Accent4 3 2 3 6 2" xfId="7793"/>
    <cellStyle name="20% - Accent4 3 2 3 6 2 2" xfId="7794"/>
    <cellStyle name="20% - Accent4 3 2 3 6 2 2 2" xfId="7795"/>
    <cellStyle name="20% - Accent4 3 2 3 6 2 2 2 2" xfId="7796"/>
    <cellStyle name="20% - Accent4 3 2 3 6 2 2 3" xfId="7797"/>
    <cellStyle name="20% - Accent4 3 2 3 6 2 3" xfId="7798"/>
    <cellStyle name="20% - Accent4 3 2 3 6 2 3 2" xfId="7799"/>
    <cellStyle name="20% - Accent4 3 2 3 6 2 4" xfId="7800"/>
    <cellStyle name="20% - Accent4 3 2 3 6 3" xfId="7801"/>
    <cellStyle name="20% - Accent4 3 2 3 6 3 2" xfId="7802"/>
    <cellStyle name="20% - Accent4 3 2 3 6 3 2 2" xfId="7803"/>
    <cellStyle name="20% - Accent4 3 2 3 6 3 3" xfId="7804"/>
    <cellStyle name="20% - Accent4 3 2 3 6 4" xfId="7805"/>
    <cellStyle name="20% - Accent4 3 2 3 6 4 2" xfId="7806"/>
    <cellStyle name="20% - Accent4 3 2 3 6 5" xfId="7807"/>
    <cellStyle name="20% - Accent4 3 2 3 6 5 2" xfId="7808"/>
    <cellStyle name="20% - Accent4 3 2 3 6 6" xfId="7809"/>
    <cellStyle name="20% - Accent4 3 2 3 7" xfId="7810"/>
    <cellStyle name="20% - Accent4 3 2 3 7 2" xfId="7811"/>
    <cellStyle name="20% - Accent4 3 2 3 7 2 2" xfId="7812"/>
    <cellStyle name="20% - Accent4 3 2 3 7 2 2 2" xfId="7813"/>
    <cellStyle name="20% - Accent4 3 2 3 7 2 3" xfId="7814"/>
    <cellStyle name="20% - Accent4 3 2 3 7 3" xfId="7815"/>
    <cellStyle name="20% - Accent4 3 2 3 7 3 2" xfId="7816"/>
    <cellStyle name="20% - Accent4 3 2 3 7 4" xfId="7817"/>
    <cellStyle name="20% - Accent4 3 2 3 8" xfId="7818"/>
    <cellStyle name="20% - Accent4 3 2 3 8 2" xfId="7819"/>
    <cellStyle name="20% - Accent4 3 2 3 8 2 2" xfId="7820"/>
    <cellStyle name="20% - Accent4 3 2 3 8 3" xfId="7821"/>
    <cellStyle name="20% - Accent4 3 2 3 9" xfId="7822"/>
    <cellStyle name="20% - Accent4 3 2 3 9 2" xfId="7823"/>
    <cellStyle name="20% - Accent4 3 2 4" xfId="7824"/>
    <cellStyle name="20% - Accent4 3 2 4 10" xfId="7825"/>
    <cellStyle name="20% - Accent4 3 2 4 10 2" xfId="7826"/>
    <cellStyle name="20% - Accent4 3 2 4 11" xfId="7827"/>
    <cellStyle name="20% - Accent4 3 2 4 2" xfId="7828"/>
    <cellStyle name="20% - Accent4 3 2 4 2 2" xfId="7829"/>
    <cellStyle name="20% - Accent4 3 2 4 2 2 2" xfId="7830"/>
    <cellStyle name="20% - Accent4 3 2 4 2 2 2 2" xfId="7831"/>
    <cellStyle name="20% - Accent4 3 2 4 2 2 2 2 2" xfId="7832"/>
    <cellStyle name="20% - Accent4 3 2 4 2 2 2 2 2 2" xfId="7833"/>
    <cellStyle name="20% - Accent4 3 2 4 2 2 2 2 3" xfId="7834"/>
    <cellStyle name="20% - Accent4 3 2 4 2 2 2 3" xfId="7835"/>
    <cellStyle name="20% - Accent4 3 2 4 2 2 2 3 2" xfId="7836"/>
    <cellStyle name="20% - Accent4 3 2 4 2 2 2 4" xfId="7837"/>
    <cellStyle name="20% - Accent4 3 2 4 2 2 3" xfId="7838"/>
    <cellStyle name="20% - Accent4 3 2 4 2 2 3 2" xfId="7839"/>
    <cellStyle name="20% - Accent4 3 2 4 2 2 3 2 2" xfId="7840"/>
    <cellStyle name="20% - Accent4 3 2 4 2 2 3 3" xfId="7841"/>
    <cellStyle name="20% - Accent4 3 2 4 2 2 4" xfId="7842"/>
    <cellStyle name="20% - Accent4 3 2 4 2 2 4 2" xfId="7843"/>
    <cellStyle name="20% - Accent4 3 2 4 2 2 5" xfId="7844"/>
    <cellStyle name="20% - Accent4 3 2 4 2 2 5 2" xfId="7845"/>
    <cellStyle name="20% - Accent4 3 2 4 2 2 6" xfId="7846"/>
    <cellStyle name="20% - Accent4 3 2 4 2 3" xfId="7847"/>
    <cellStyle name="20% - Accent4 3 2 4 2 3 2" xfId="7848"/>
    <cellStyle name="20% - Accent4 3 2 4 2 3 2 2" xfId="7849"/>
    <cellStyle name="20% - Accent4 3 2 4 2 3 2 2 2" xfId="7850"/>
    <cellStyle name="20% - Accent4 3 2 4 2 3 2 2 2 2" xfId="7851"/>
    <cellStyle name="20% - Accent4 3 2 4 2 3 2 2 3" xfId="7852"/>
    <cellStyle name="20% - Accent4 3 2 4 2 3 2 3" xfId="7853"/>
    <cellStyle name="20% - Accent4 3 2 4 2 3 2 3 2" xfId="7854"/>
    <cellStyle name="20% - Accent4 3 2 4 2 3 2 4" xfId="7855"/>
    <cellStyle name="20% - Accent4 3 2 4 2 3 3" xfId="7856"/>
    <cellStyle name="20% - Accent4 3 2 4 2 3 3 2" xfId="7857"/>
    <cellStyle name="20% - Accent4 3 2 4 2 3 3 2 2" xfId="7858"/>
    <cellStyle name="20% - Accent4 3 2 4 2 3 3 3" xfId="7859"/>
    <cellStyle name="20% - Accent4 3 2 4 2 3 4" xfId="7860"/>
    <cellStyle name="20% - Accent4 3 2 4 2 3 4 2" xfId="7861"/>
    <cellStyle name="20% - Accent4 3 2 4 2 3 5" xfId="7862"/>
    <cellStyle name="20% - Accent4 3 2 4 2 3 5 2" xfId="7863"/>
    <cellStyle name="20% - Accent4 3 2 4 2 3 6" xfId="7864"/>
    <cellStyle name="20% - Accent4 3 2 4 2 4" xfId="7865"/>
    <cellStyle name="20% - Accent4 3 2 4 2 4 2" xfId="7866"/>
    <cellStyle name="20% - Accent4 3 2 4 2 4 2 2" xfId="7867"/>
    <cellStyle name="20% - Accent4 3 2 4 2 4 2 2 2" xfId="7868"/>
    <cellStyle name="20% - Accent4 3 2 4 2 4 2 3" xfId="7869"/>
    <cellStyle name="20% - Accent4 3 2 4 2 4 3" xfId="7870"/>
    <cellStyle name="20% - Accent4 3 2 4 2 4 3 2" xfId="7871"/>
    <cellStyle name="20% - Accent4 3 2 4 2 4 4" xfId="7872"/>
    <cellStyle name="20% - Accent4 3 2 4 2 5" xfId="7873"/>
    <cellStyle name="20% - Accent4 3 2 4 2 5 2" xfId="7874"/>
    <cellStyle name="20% - Accent4 3 2 4 2 5 2 2" xfId="7875"/>
    <cellStyle name="20% - Accent4 3 2 4 2 5 3" xfId="7876"/>
    <cellStyle name="20% - Accent4 3 2 4 2 6" xfId="7877"/>
    <cellStyle name="20% - Accent4 3 2 4 2 6 2" xfId="7878"/>
    <cellStyle name="20% - Accent4 3 2 4 2 7" xfId="7879"/>
    <cellStyle name="20% - Accent4 3 2 4 2 7 2" xfId="7880"/>
    <cellStyle name="20% - Accent4 3 2 4 2 8" xfId="7881"/>
    <cellStyle name="20% - Accent4 3 2 4 3" xfId="7882"/>
    <cellStyle name="20% - Accent4 3 2 4 3 2" xfId="7883"/>
    <cellStyle name="20% - Accent4 3 2 4 3 2 2" xfId="7884"/>
    <cellStyle name="20% - Accent4 3 2 4 3 2 2 2" xfId="7885"/>
    <cellStyle name="20% - Accent4 3 2 4 3 2 2 2 2" xfId="7886"/>
    <cellStyle name="20% - Accent4 3 2 4 3 2 2 2 2 2" xfId="7887"/>
    <cellStyle name="20% - Accent4 3 2 4 3 2 2 2 3" xfId="7888"/>
    <cellStyle name="20% - Accent4 3 2 4 3 2 2 3" xfId="7889"/>
    <cellStyle name="20% - Accent4 3 2 4 3 2 2 3 2" xfId="7890"/>
    <cellStyle name="20% - Accent4 3 2 4 3 2 2 4" xfId="7891"/>
    <cellStyle name="20% - Accent4 3 2 4 3 2 3" xfId="7892"/>
    <cellStyle name="20% - Accent4 3 2 4 3 2 3 2" xfId="7893"/>
    <cellStyle name="20% - Accent4 3 2 4 3 2 3 2 2" xfId="7894"/>
    <cellStyle name="20% - Accent4 3 2 4 3 2 3 3" xfId="7895"/>
    <cellStyle name="20% - Accent4 3 2 4 3 2 4" xfId="7896"/>
    <cellStyle name="20% - Accent4 3 2 4 3 2 4 2" xfId="7897"/>
    <cellStyle name="20% - Accent4 3 2 4 3 2 5" xfId="7898"/>
    <cellStyle name="20% - Accent4 3 2 4 3 2 5 2" xfId="7899"/>
    <cellStyle name="20% - Accent4 3 2 4 3 2 6" xfId="7900"/>
    <cellStyle name="20% - Accent4 3 2 4 3 3" xfId="7901"/>
    <cellStyle name="20% - Accent4 3 2 4 3 3 2" xfId="7902"/>
    <cellStyle name="20% - Accent4 3 2 4 3 3 2 2" xfId="7903"/>
    <cellStyle name="20% - Accent4 3 2 4 3 3 2 2 2" xfId="7904"/>
    <cellStyle name="20% - Accent4 3 2 4 3 3 2 2 2 2" xfId="7905"/>
    <cellStyle name="20% - Accent4 3 2 4 3 3 2 2 3" xfId="7906"/>
    <cellStyle name="20% - Accent4 3 2 4 3 3 2 3" xfId="7907"/>
    <cellStyle name="20% - Accent4 3 2 4 3 3 2 3 2" xfId="7908"/>
    <cellStyle name="20% - Accent4 3 2 4 3 3 2 4" xfId="7909"/>
    <cellStyle name="20% - Accent4 3 2 4 3 3 3" xfId="7910"/>
    <cellStyle name="20% - Accent4 3 2 4 3 3 3 2" xfId="7911"/>
    <cellStyle name="20% - Accent4 3 2 4 3 3 3 2 2" xfId="7912"/>
    <cellStyle name="20% - Accent4 3 2 4 3 3 3 3" xfId="7913"/>
    <cellStyle name="20% - Accent4 3 2 4 3 3 4" xfId="7914"/>
    <cellStyle name="20% - Accent4 3 2 4 3 3 4 2" xfId="7915"/>
    <cellStyle name="20% - Accent4 3 2 4 3 3 5" xfId="7916"/>
    <cellStyle name="20% - Accent4 3 2 4 3 3 5 2" xfId="7917"/>
    <cellStyle name="20% - Accent4 3 2 4 3 3 6" xfId="7918"/>
    <cellStyle name="20% - Accent4 3 2 4 3 4" xfId="7919"/>
    <cellStyle name="20% - Accent4 3 2 4 3 4 2" xfId="7920"/>
    <cellStyle name="20% - Accent4 3 2 4 3 4 2 2" xfId="7921"/>
    <cellStyle name="20% - Accent4 3 2 4 3 4 2 2 2" xfId="7922"/>
    <cellStyle name="20% - Accent4 3 2 4 3 4 2 3" xfId="7923"/>
    <cellStyle name="20% - Accent4 3 2 4 3 4 3" xfId="7924"/>
    <cellStyle name="20% - Accent4 3 2 4 3 4 3 2" xfId="7925"/>
    <cellStyle name="20% - Accent4 3 2 4 3 4 4" xfId="7926"/>
    <cellStyle name="20% - Accent4 3 2 4 3 5" xfId="7927"/>
    <cellStyle name="20% - Accent4 3 2 4 3 5 2" xfId="7928"/>
    <cellStyle name="20% - Accent4 3 2 4 3 5 2 2" xfId="7929"/>
    <cellStyle name="20% - Accent4 3 2 4 3 5 3" xfId="7930"/>
    <cellStyle name="20% - Accent4 3 2 4 3 6" xfId="7931"/>
    <cellStyle name="20% - Accent4 3 2 4 3 6 2" xfId="7932"/>
    <cellStyle name="20% - Accent4 3 2 4 3 7" xfId="7933"/>
    <cellStyle name="20% - Accent4 3 2 4 3 7 2" xfId="7934"/>
    <cellStyle name="20% - Accent4 3 2 4 3 8" xfId="7935"/>
    <cellStyle name="20% - Accent4 3 2 4 4" xfId="7936"/>
    <cellStyle name="20% - Accent4 3 2 4 4 2" xfId="7937"/>
    <cellStyle name="20% - Accent4 3 2 4 4 2 2" xfId="7938"/>
    <cellStyle name="20% - Accent4 3 2 4 4 2 2 2" xfId="7939"/>
    <cellStyle name="20% - Accent4 3 2 4 4 2 2 2 2" xfId="7940"/>
    <cellStyle name="20% - Accent4 3 2 4 4 2 2 3" xfId="7941"/>
    <cellStyle name="20% - Accent4 3 2 4 4 2 3" xfId="7942"/>
    <cellStyle name="20% - Accent4 3 2 4 4 2 3 2" xfId="7943"/>
    <cellStyle name="20% - Accent4 3 2 4 4 2 4" xfId="7944"/>
    <cellStyle name="20% - Accent4 3 2 4 4 3" xfId="7945"/>
    <cellStyle name="20% - Accent4 3 2 4 4 3 2" xfId="7946"/>
    <cellStyle name="20% - Accent4 3 2 4 4 3 2 2" xfId="7947"/>
    <cellStyle name="20% - Accent4 3 2 4 4 3 3" xfId="7948"/>
    <cellStyle name="20% - Accent4 3 2 4 4 4" xfId="7949"/>
    <cellStyle name="20% - Accent4 3 2 4 4 4 2" xfId="7950"/>
    <cellStyle name="20% - Accent4 3 2 4 4 5" xfId="7951"/>
    <cellStyle name="20% - Accent4 3 2 4 4 5 2" xfId="7952"/>
    <cellStyle name="20% - Accent4 3 2 4 4 6" xfId="7953"/>
    <cellStyle name="20% - Accent4 3 2 4 5" xfId="7954"/>
    <cellStyle name="20% - Accent4 3 2 4 5 2" xfId="7955"/>
    <cellStyle name="20% - Accent4 3 2 4 5 2 2" xfId="7956"/>
    <cellStyle name="20% - Accent4 3 2 4 5 2 2 2" xfId="7957"/>
    <cellStyle name="20% - Accent4 3 2 4 5 2 2 2 2" xfId="7958"/>
    <cellStyle name="20% - Accent4 3 2 4 5 2 2 3" xfId="7959"/>
    <cellStyle name="20% - Accent4 3 2 4 5 2 3" xfId="7960"/>
    <cellStyle name="20% - Accent4 3 2 4 5 2 3 2" xfId="7961"/>
    <cellStyle name="20% - Accent4 3 2 4 5 2 4" xfId="7962"/>
    <cellStyle name="20% - Accent4 3 2 4 5 3" xfId="7963"/>
    <cellStyle name="20% - Accent4 3 2 4 5 3 2" xfId="7964"/>
    <cellStyle name="20% - Accent4 3 2 4 5 3 2 2" xfId="7965"/>
    <cellStyle name="20% - Accent4 3 2 4 5 3 3" xfId="7966"/>
    <cellStyle name="20% - Accent4 3 2 4 5 4" xfId="7967"/>
    <cellStyle name="20% - Accent4 3 2 4 5 4 2" xfId="7968"/>
    <cellStyle name="20% - Accent4 3 2 4 5 5" xfId="7969"/>
    <cellStyle name="20% - Accent4 3 2 4 5 5 2" xfId="7970"/>
    <cellStyle name="20% - Accent4 3 2 4 5 6" xfId="7971"/>
    <cellStyle name="20% - Accent4 3 2 4 6" xfId="7972"/>
    <cellStyle name="20% - Accent4 3 2 4 6 2" xfId="7973"/>
    <cellStyle name="20% - Accent4 3 2 4 6 2 2" xfId="7974"/>
    <cellStyle name="20% - Accent4 3 2 4 6 2 2 2" xfId="7975"/>
    <cellStyle name="20% - Accent4 3 2 4 6 2 2 2 2" xfId="7976"/>
    <cellStyle name="20% - Accent4 3 2 4 6 2 2 3" xfId="7977"/>
    <cellStyle name="20% - Accent4 3 2 4 6 2 3" xfId="7978"/>
    <cellStyle name="20% - Accent4 3 2 4 6 2 3 2" xfId="7979"/>
    <cellStyle name="20% - Accent4 3 2 4 6 2 4" xfId="7980"/>
    <cellStyle name="20% - Accent4 3 2 4 6 3" xfId="7981"/>
    <cellStyle name="20% - Accent4 3 2 4 6 3 2" xfId="7982"/>
    <cellStyle name="20% - Accent4 3 2 4 6 3 2 2" xfId="7983"/>
    <cellStyle name="20% - Accent4 3 2 4 6 3 3" xfId="7984"/>
    <cellStyle name="20% - Accent4 3 2 4 6 4" xfId="7985"/>
    <cellStyle name="20% - Accent4 3 2 4 6 4 2" xfId="7986"/>
    <cellStyle name="20% - Accent4 3 2 4 6 5" xfId="7987"/>
    <cellStyle name="20% - Accent4 3 2 4 6 5 2" xfId="7988"/>
    <cellStyle name="20% - Accent4 3 2 4 6 6" xfId="7989"/>
    <cellStyle name="20% - Accent4 3 2 4 7" xfId="7990"/>
    <cellStyle name="20% - Accent4 3 2 4 7 2" xfId="7991"/>
    <cellStyle name="20% - Accent4 3 2 4 7 2 2" xfId="7992"/>
    <cellStyle name="20% - Accent4 3 2 4 7 2 2 2" xfId="7993"/>
    <cellStyle name="20% - Accent4 3 2 4 7 2 3" xfId="7994"/>
    <cellStyle name="20% - Accent4 3 2 4 7 3" xfId="7995"/>
    <cellStyle name="20% - Accent4 3 2 4 7 3 2" xfId="7996"/>
    <cellStyle name="20% - Accent4 3 2 4 7 4" xfId="7997"/>
    <cellStyle name="20% - Accent4 3 2 4 8" xfId="7998"/>
    <cellStyle name="20% - Accent4 3 2 4 8 2" xfId="7999"/>
    <cellStyle name="20% - Accent4 3 2 4 8 2 2" xfId="8000"/>
    <cellStyle name="20% - Accent4 3 2 4 8 3" xfId="8001"/>
    <cellStyle name="20% - Accent4 3 2 4 9" xfId="8002"/>
    <cellStyle name="20% - Accent4 3 2 4 9 2" xfId="8003"/>
    <cellStyle name="20% - Accent4 3 2 5" xfId="8004"/>
    <cellStyle name="20% - Accent4 3 2 5 2" xfId="8005"/>
    <cellStyle name="20% - Accent4 3 2 5 2 2" xfId="8006"/>
    <cellStyle name="20% - Accent4 3 2 5 2 2 2" xfId="8007"/>
    <cellStyle name="20% - Accent4 3 2 5 2 2 2 2" xfId="8008"/>
    <cellStyle name="20% - Accent4 3 2 5 2 2 2 2 2" xfId="8009"/>
    <cellStyle name="20% - Accent4 3 2 5 2 2 2 3" xfId="8010"/>
    <cellStyle name="20% - Accent4 3 2 5 2 2 3" xfId="8011"/>
    <cellStyle name="20% - Accent4 3 2 5 2 2 3 2" xfId="8012"/>
    <cellStyle name="20% - Accent4 3 2 5 2 2 4" xfId="8013"/>
    <cellStyle name="20% - Accent4 3 2 5 2 3" xfId="8014"/>
    <cellStyle name="20% - Accent4 3 2 5 2 3 2" xfId="8015"/>
    <cellStyle name="20% - Accent4 3 2 5 2 3 2 2" xfId="8016"/>
    <cellStyle name="20% - Accent4 3 2 5 2 3 3" xfId="8017"/>
    <cellStyle name="20% - Accent4 3 2 5 2 4" xfId="8018"/>
    <cellStyle name="20% - Accent4 3 2 5 2 4 2" xfId="8019"/>
    <cellStyle name="20% - Accent4 3 2 5 2 5" xfId="8020"/>
    <cellStyle name="20% - Accent4 3 2 5 2 5 2" xfId="8021"/>
    <cellStyle name="20% - Accent4 3 2 5 2 6" xfId="8022"/>
    <cellStyle name="20% - Accent4 3 2 5 3" xfId="8023"/>
    <cellStyle name="20% - Accent4 3 2 5 3 2" xfId="8024"/>
    <cellStyle name="20% - Accent4 3 2 5 3 2 2" xfId="8025"/>
    <cellStyle name="20% - Accent4 3 2 5 3 2 2 2" xfId="8026"/>
    <cellStyle name="20% - Accent4 3 2 5 3 2 2 2 2" xfId="8027"/>
    <cellStyle name="20% - Accent4 3 2 5 3 2 2 3" xfId="8028"/>
    <cellStyle name="20% - Accent4 3 2 5 3 2 3" xfId="8029"/>
    <cellStyle name="20% - Accent4 3 2 5 3 2 3 2" xfId="8030"/>
    <cellStyle name="20% - Accent4 3 2 5 3 2 4" xfId="8031"/>
    <cellStyle name="20% - Accent4 3 2 5 3 3" xfId="8032"/>
    <cellStyle name="20% - Accent4 3 2 5 3 3 2" xfId="8033"/>
    <cellStyle name="20% - Accent4 3 2 5 3 3 2 2" xfId="8034"/>
    <cellStyle name="20% - Accent4 3 2 5 3 3 3" xfId="8035"/>
    <cellStyle name="20% - Accent4 3 2 5 3 4" xfId="8036"/>
    <cellStyle name="20% - Accent4 3 2 5 3 4 2" xfId="8037"/>
    <cellStyle name="20% - Accent4 3 2 5 3 5" xfId="8038"/>
    <cellStyle name="20% - Accent4 3 2 5 3 5 2" xfId="8039"/>
    <cellStyle name="20% - Accent4 3 2 5 3 6" xfId="8040"/>
    <cellStyle name="20% - Accent4 3 2 5 4" xfId="8041"/>
    <cellStyle name="20% - Accent4 3 2 5 4 2" xfId="8042"/>
    <cellStyle name="20% - Accent4 3 2 5 4 2 2" xfId="8043"/>
    <cellStyle name="20% - Accent4 3 2 5 4 2 2 2" xfId="8044"/>
    <cellStyle name="20% - Accent4 3 2 5 4 2 3" xfId="8045"/>
    <cellStyle name="20% - Accent4 3 2 5 4 3" xfId="8046"/>
    <cellStyle name="20% - Accent4 3 2 5 4 3 2" xfId="8047"/>
    <cellStyle name="20% - Accent4 3 2 5 4 4" xfId="8048"/>
    <cellStyle name="20% - Accent4 3 2 5 5" xfId="8049"/>
    <cellStyle name="20% - Accent4 3 2 5 5 2" xfId="8050"/>
    <cellStyle name="20% - Accent4 3 2 5 5 2 2" xfId="8051"/>
    <cellStyle name="20% - Accent4 3 2 5 5 3" xfId="8052"/>
    <cellStyle name="20% - Accent4 3 2 5 6" xfId="8053"/>
    <cellStyle name="20% - Accent4 3 2 5 6 2" xfId="8054"/>
    <cellStyle name="20% - Accent4 3 2 5 7" xfId="8055"/>
    <cellStyle name="20% - Accent4 3 2 5 7 2" xfId="8056"/>
    <cellStyle name="20% - Accent4 3 2 5 8" xfId="8057"/>
    <cellStyle name="20% - Accent4 3 2 6" xfId="8058"/>
    <cellStyle name="20% - Accent4 3 2 6 2" xfId="8059"/>
    <cellStyle name="20% - Accent4 3 2 6 2 2" xfId="8060"/>
    <cellStyle name="20% - Accent4 3 2 6 2 2 2" xfId="8061"/>
    <cellStyle name="20% - Accent4 3 2 6 2 2 2 2" xfId="8062"/>
    <cellStyle name="20% - Accent4 3 2 6 2 2 2 2 2" xfId="8063"/>
    <cellStyle name="20% - Accent4 3 2 6 2 2 2 3" xfId="8064"/>
    <cellStyle name="20% - Accent4 3 2 6 2 2 3" xfId="8065"/>
    <cellStyle name="20% - Accent4 3 2 6 2 2 3 2" xfId="8066"/>
    <cellStyle name="20% - Accent4 3 2 6 2 2 4" xfId="8067"/>
    <cellStyle name="20% - Accent4 3 2 6 2 3" xfId="8068"/>
    <cellStyle name="20% - Accent4 3 2 6 2 3 2" xfId="8069"/>
    <cellStyle name="20% - Accent4 3 2 6 2 3 2 2" xfId="8070"/>
    <cellStyle name="20% - Accent4 3 2 6 2 3 3" xfId="8071"/>
    <cellStyle name="20% - Accent4 3 2 6 2 4" xfId="8072"/>
    <cellStyle name="20% - Accent4 3 2 6 2 4 2" xfId="8073"/>
    <cellStyle name="20% - Accent4 3 2 6 2 5" xfId="8074"/>
    <cellStyle name="20% - Accent4 3 2 6 2 5 2" xfId="8075"/>
    <cellStyle name="20% - Accent4 3 2 6 2 6" xfId="8076"/>
    <cellStyle name="20% - Accent4 3 2 6 3" xfId="8077"/>
    <cellStyle name="20% - Accent4 3 2 6 3 2" xfId="8078"/>
    <cellStyle name="20% - Accent4 3 2 6 3 2 2" xfId="8079"/>
    <cellStyle name="20% - Accent4 3 2 6 3 2 2 2" xfId="8080"/>
    <cellStyle name="20% - Accent4 3 2 6 3 2 2 2 2" xfId="8081"/>
    <cellStyle name="20% - Accent4 3 2 6 3 2 2 3" xfId="8082"/>
    <cellStyle name="20% - Accent4 3 2 6 3 2 3" xfId="8083"/>
    <cellStyle name="20% - Accent4 3 2 6 3 2 3 2" xfId="8084"/>
    <cellStyle name="20% - Accent4 3 2 6 3 2 4" xfId="8085"/>
    <cellStyle name="20% - Accent4 3 2 6 3 3" xfId="8086"/>
    <cellStyle name="20% - Accent4 3 2 6 3 3 2" xfId="8087"/>
    <cellStyle name="20% - Accent4 3 2 6 3 3 2 2" xfId="8088"/>
    <cellStyle name="20% - Accent4 3 2 6 3 3 3" xfId="8089"/>
    <cellStyle name="20% - Accent4 3 2 6 3 4" xfId="8090"/>
    <cellStyle name="20% - Accent4 3 2 6 3 4 2" xfId="8091"/>
    <cellStyle name="20% - Accent4 3 2 6 3 5" xfId="8092"/>
    <cellStyle name="20% - Accent4 3 2 6 3 5 2" xfId="8093"/>
    <cellStyle name="20% - Accent4 3 2 6 3 6" xfId="8094"/>
    <cellStyle name="20% - Accent4 3 2 6 4" xfId="8095"/>
    <cellStyle name="20% - Accent4 3 2 6 4 2" xfId="8096"/>
    <cellStyle name="20% - Accent4 3 2 6 4 2 2" xfId="8097"/>
    <cellStyle name="20% - Accent4 3 2 6 4 2 2 2" xfId="8098"/>
    <cellStyle name="20% - Accent4 3 2 6 4 2 3" xfId="8099"/>
    <cellStyle name="20% - Accent4 3 2 6 4 3" xfId="8100"/>
    <cellStyle name="20% - Accent4 3 2 6 4 3 2" xfId="8101"/>
    <cellStyle name="20% - Accent4 3 2 6 4 4" xfId="8102"/>
    <cellStyle name="20% - Accent4 3 2 6 5" xfId="8103"/>
    <cellStyle name="20% - Accent4 3 2 6 5 2" xfId="8104"/>
    <cellStyle name="20% - Accent4 3 2 6 5 2 2" xfId="8105"/>
    <cellStyle name="20% - Accent4 3 2 6 5 3" xfId="8106"/>
    <cellStyle name="20% - Accent4 3 2 6 6" xfId="8107"/>
    <cellStyle name="20% - Accent4 3 2 6 6 2" xfId="8108"/>
    <cellStyle name="20% - Accent4 3 2 6 7" xfId="8109"/>
    <cellStyle name="20% - Accent4 3 2 6 7 2" xfId="8110"/>
    <cellStyle name="20% - Accent4 3 2 6 8" xfId="8111"/>
    <cellStyle name="20% - Accent4 3 2 7" xfId="8112"/>
    <cellStyle name="20% - Accent4 3 2 7 2" xfId="8113"/>
    <cellStyle name="20% - Accent4 3 2 7 2 2" xfId="8114"/>
    <cellStyle name="20% - Accent4 3 2 7 2 2 2" xfId="8115"/>
    <cellStyle name="20% - Accent4 3 2 7 2 2 2 2" xfId="8116"/>
    <cellStyle name="20% - Accent4 3 2 7 2 2 3" xfId="8117"/>
    <cellStyle name="20% - Accent4 3 2 7 2 3" xfId="8118"/>
    <cellStyle name="20% - Accent4 3 2 7 2 3 2" xfId="8119"/>
    <cellStyle name="20% - Accent4 3 2 7 2 4" xfId="8120"/>
    <cellStyle name="20% - Accent4 3 2 7 3" xfId="8121"/>
    <cellStyle name="20% - Accent4 3 2 7 3 2" xfId="8122"/>
    <cellStyle name="20% - Accent4 3 2 7 3 2 2" xfId="8123"/>
    <cellStyle name="20% - Accent4 3 2 7 3 3" xfId="8124"/>
    <cellStyle name="20% - Accent4 3 2 7 4" xfId="8125"/>
    <cellStyle name="20% - Accent4 3 2 7 4 2" xfId="8126"/>
    <cellStyle name="20% - Accent4 3 2 7 5" xfId="8127"/>
    <cellStyle name="20% - Accent4 3 2 7 5 2" xfId="8128"/>
    <cellStyle name="20% - Accent4 3 2 7 6" xfId="8129"/>
    <cellStyle name="20% - Accent4 3 2 8" xfId="8130"/>
    <cellStyle name="20% - Accent4 3 2 8 2" xfId="8131"/>
    <cellStyle name="20% - Accent4 3 2 8 2 2" xfId="8132"/>
    <cellStyle name="20% - Accent4 3 2 8 2 2 2" xfId="8133"/>
    <cellStyle name="20% - Accent4 3 2 8 2 2 2 2" xfId="8134"/>
    <cellStyle name="20% - Accent4 3 2 8 2 2 3" xfId="8135"/>
    <cellStyle name="20% - Accent4 3 2 8 2 3" xfId="8136"/>
    <cellStyle name="20% - Accent4 3 2 8 2 3 2" xfId="8137"/>
    <cellStyle name="20% - Accent4 3 2 8 2 4" xfId="8138"/>
    <cellStyle name="20% - Accent4 3 2 8 3" xfId="8139"/>
    <cellStyle name="20% - Accent4 3 2 8 3 2" xfId="8140"/>
    <cellStyle name="20% - Accent4 3 2 8 3 2 2" xfId="8141"/>
    <cellStyle name="20% - Accent4 3 2 8 3 3" xfId="8142"/>
    <cellStyle name="20% - Accent4 3 2 8 4" xfId="8143"/>
    <cellStyle name="20% - Accent4 3 2 8 4 2" xfId="8144"/>
    <cellStyle name="20% - Accent4 3 2 8 5" xfId="8145"/>
    <cellStyle name="20% - Accent4 3 2 8 5 2" xfId="8146"/>
    <cellStyle name="20% - Accent4 3 2 8 6" xfId="8147"/>
    <cellStyle name="20% - Accent4 3 2 9" xfId="8148"/>
    <cellStyle name="20% - Accent4 3 2 9 2" xfId="8149"/>
    <cellStyle name="20% - Accent4 3 2 9 2 2" xfId="8150"/>
    <cellStyle name="20% - Accent4 3 2 9 2 2 2" xfId="8151"/>
    <cellStyle name="20% - Accent4 3 2 9 2 2 2 2" xfId="8152"/>
    <cellStyle name="20% - Accent4 3 2 9 2 2 3" xfId="8153"/>
    <cellStyle name="20% - Accent4 3 2 9 2 3" xfId="8154"/>
    <cellStyle name="20% - Accent4 3 2 9 2 3 2" xfId="8155"/>
    <cellStyle name="20% - Accent4 3 2 9 2 4" xfId="8156"/>
    <cellStyle name="20% - Accent4 3 2 9 3" xfId="8157"/>
    <cellStyle name="20% - Accent4 3 2 9 3 2" xfId="8158"/>
    <cellStyle name="20% - Accent4 3 2 9 3 2 2" xfId="8159"/>
    <cellStyle name="20% - Accent4 3 2 9 3 3" xfId="8160"/>
    <cellStyle name="20% - Accent4 3 2 9 4" xfId="8161"/>
    <cellStyle name="20% - Accent4 3 2 9 4 2" xfId="8162"/>
    <cellStyle name="20% - Accent4 3 2 9 5" xfId="8163"/>
    <cellStyle name="20% - Accent4 3 2 9 5 2" xfId="8164"/>
    <cellStyle name="20% - Accent4 3 2 9 6" xfId="8165"/>
    <cellStyle name="20% - Accent4 3 3" xfId="8166"/>
    <cellStyle name="20% - Accent4 3 3 10" xfId="8167"/>
    <cellStyle name="20% - Accent4 3 3 10 2" xfId="8168"/>
    <cellStyle name="20% - Accent4 3 3 11" xfId="8169"/>
    <cellStyle name="20% - Accent4 3 3 2" xfId="8170"/>
    <cellStyle name="20% - Accent4 3 3 2 2" xfId="8171"/>
    <cellStyle name="20% - Accent4 3 3 2 2 2" xfId="8172"/>
    <cellStyle name="20% - Accent4 3 3 2 2 2 2" xfId="8173"/>
    <cellStyle name="20% - Accent4 3 3 2 2 2 2 2" xfId="8174"/>
    <cellStyle name="20% - Accent4 3 3 2 2 2 2 2 2" xfId="8175"/>
    <cellStyle name="20% - Accent4 3 3 2 2 2 2 3" xfId="8176"/>
    <cellStyle name="20% - Accent4 3 3 2 2 2 3" xfId="8177"/>
    <cellStyle name="20% - Accent4 3 3 2 2 2 3 2" xfId="8178"/>
    <cellStyle name="20% - Accent4 3 3 2 2 2 4" xfId="8179"/>
    <cellStyle name="20% - Accent4 3 3 2 2 3" xfId="8180"/>
    <cellStyle name="20% - Accent4 3 3 2 2 3 2" xfId="8181"/>
    <cellStyle name="20% - Accent4 3 3 2 2 3 2 2" xfId="8182"/>
    <cellStyle name="20% - Accent4 3 3 2 2 3 3" xfId="8183"/>
    <cellStyle name="20% - Accent4 3 3 2 2 4" xfId="8184"/>
    <cellStyle name="20% - Accent4 3 3 2 2 4 2" xfId="8185"/>
    <cellStyle name="20% - Accent4 3 3 2 2 5" xfId="8186"/>
    <cellStyle name="20% - Accent4 3 3 2 2 5 2" xfId="8187"/>
    <cellStyle name="20% - Accent4 3 3 2 2 6" xfId="8188"/>
    <cellStyle name="20% - Accent4 3 3 2 3" xfId="8189"/>
    <cellStyle name="20% - Accent4 3 3 2 3 2" xfId="8190"/>
    <cellStyle name="20% - Accent4 3 3 2 3 2 2" xfId="8191"/>
    <cellStyle name="20% - Accent4 3 3 2 3 2 2 2" xfId="8192"/>
    <cellStyle name="20% - Accent4 3 3 2 3 2 2 2 2" xfId="8193"/>
    <cellStyle name="20% - Accent4 3 3 2 3 2 2 3" xfId="8194"/>
    <cellStyle name="20% - Accent4 3 3 2 3 2 3" xfId="8195"/>
    <cellStyle name="20% - Accent4 3 3 2 3 2 3 2" xfId="8196"/>
    <cellStyle name="20% - Accent4 3 3 2 3 2 4" xfId="8197"/>
    <cellStyle name="20% - Accent4 3 3 2 3 3" xfId="8198"/>
    <cellStyle name="20% - Accent4 3 3 2 3 3 2" xfId="8199"/>
    <cellStyle name="20% - Accent4 3 3 2 3 3 2 2" xfId="8200"/>
    <cellStyle name="20% - Accent4 3 3 2 3 3 3" xfId="8201"/>
    <cellStyle name="20% - Accent4 3 3 2 3 4" xfId="8202"/>
    <cellStyle name="20% - Accent4 3 3 2 3 4 2" xfId="8203"/>
    <cellStyle name="20% - Accent4 3 3 2 3 5" xfId="8204"/>
    <cellStyle name="20% - Accent4 3 3 2 3 5 2" xfId="8205"/>
    <cellStyle name="20% - Accent4 3 3 2 3 6" xfId="8206"/>
    <cellStyle name="20% - Accent4 3 3 2 4" xfId="8207"/>
    <cellStyle name="20% - Accent4 3 3 2 4 2" xfId="8208"/>
    <cellStyle name="20% - Accent4 3 3 2 4 2 2" xfId="8209"/>
    <cellStyle name="20% - Accent4 3 3 2 4 2 2 2" xfId="8210"/>
    <cellStyle name="20% - Accent4 3 3 2 4 2 3" xfId="8211"/>
    <cellStyle name="20% - Accent4 3 3 2 4 3" xfId="8212"/>
    <cellStyle name="20% - Accent4 3 3 2 4 3 2" xfId="8213"/>
    <cellStyle name="20% - Accent4 3 3 2 4 4" xfId="8214"/>
    <cellStyle name="20% - Accent4 3 3 2 5" xfId="8215"/>
    <cellStyle name="20% - Accent4 3 3 2 5 2" xfId="8216"/>
    <cellStyle name="20% - Accent4 3 3 2 5 2 2" xfId="8217"/>
    <cellStyle name="20% - Accent4 3 3 2 5 3" xfId="8218"/>
    <cellStyle name="20% - Accent4 3 3 2 6" xfId="8219"/>
    <cellStyle name="20% - Accent4 3 3 2 6 2" xfId="8220"/>
    <cellStyle name="20% - Accent4 3 3 2 7" xfId="8221"/>
    <cellStyle name="20% - Accent4 3 3 2 7 2" xfId="8222"/>
    <cellStyle name="20% - Accent4 3 3 2 8" xfId="8223"/>
    <cellStyle name="20% - Accent4 3 3 3" xfId="8224"/>
    <cellStyle name="20% - Accent4 3 3 3 2" xfId="8225"/>
    <cellStyle name="20% - Accent4 3 3 3 2 2" xfId="8226"/>
    <cellStyle name="20% - Accent4 3 3 3 2 2 2" xfId="8227"/>
    <cellStyle name="20% - Accent4 3 3 3 2 2 2 2" xfId="8228"/>
    <cellStyle name="20% - Accent4 3 3 3 2 2 2 2 2" xfId="8229"/>
    <cellStyle name="20% - Accent4 3 3 3 2 2 2 3" xfId="8230"/>
    <cellStyle name="20% - Accent4 3 3 3 2 2 3" xfId="8231"/>
    <cellStyle name="20% - Accent4 3 3 3 2 2 3 2" xfId="8232"/>
    <cellStyle name="20% - Accent4 3 3 3 2 2 4" xfId="8233"/>
    <cellStyle name="20% - Accent4 3 3 3 2 3" xfId="8234"/>
    <cellStyle name="20% - Accent4 3 3 3 2 3 2" xfId="8235"/>
    <cellStyle name="20% - Accent4 3 3 3 2 3 2 2" xfId="8236"/>
    <cellStyle name="20% - Accent4 3 3 3 2 3 3" xfId="8237"/>
    <cellStyle name="20% - Accent4 3 3 3 2 4" xfId="8238"/>
    <cellStyle name="20% - Accent4 3 3 3 2 4 2" xfId="8239"/>
    <cellStyle name="20% - Accent4 3 3 3 2 5" xfId="8240"/>
    <cellStyle name="20% - Accent4 3 3 3 2 5 2" xfId="8241"/>
    <cellStyle name="20% - Accent4 3 3 3 2 6" xfId="8242"/>
    <cellStyle name="20% - Accent4 3 3 3 3" xfId="8243"/>
    <cellStyle name="20% - Accent4 3 3 3 3 2" xfId="8244"/>
    <cellStyle name="20% - Accent4 3 3 3 3 2 2" xfId="8245"/>
    <cellStyle name="20% - Accent4 3 3 3 3 2 2 2" xfId="8246"/>
    <cellStyle name="20% - Accent4 3 3 3 3 2 2 2 2" xfId="8247"/>
    <cellStyle name="20% - Accent4 3 3 3 3 2 2 3" xfId="8248"/>
    <cellStyle name="20% - Accent4 3 3 3 3 2 3" xfId="8249"/>
    <cellStyle name="20% - Accent4 3 3 3 3 2 3 2" xfId="8250"/>
    <cellStyle name="20% - Accent4 3 3 3 3 2 4" xfId="8251"/>
    <cellStyle name="20% - Accent4 3 3 3 3 3" xfId="8252"/>
    <cellStyle name="20% - Accent4 3 3 3 3 3 2" xfId="8253"/>
    <cellStyle name="20% - Accent4 3 3 3 3 3 2 2" xfId="8254"/>
    <cellStyle name="20% - Accent4 3 3 3 3 3 3" xfId="8255"/>
    <cellStyle name="20% - Accent4 3 3 3 3 4" xfId="8256"/>
    <cellStyle name="20% - Accent4 3 3 3 3 4 2" xfId="8257"/>
    <cellStyle name="20% - Accent4 3 3 3 3 5" xfId="8258"/>
    <cellStyle name="20% - Accent4 3 3 3 3 5 2" xfId="8259"/>
    <cellStyle name="20% - Accent4 3 3 3 3 6" xfId="8260"/>
    <cellStyle name="20% - Accent4 3 3 3 4" xfId="8261"/>
    <cellStyle name="20% - Accent4 3 3 3 4 2" xfId="8262"/>
    <cellStyle name="20% - Accent4 3 3 3 4 2 2" xfId="8263"/>
    <cellStyle name="20% - Accent4 3 3 3 4 2 2 2" xfId="8264"/>
    <cellStyle name="20% - Accent4 3 3 3 4 2 3" xfId="8265"/>
    <cellStyle name="20% - Accent4 3 3 3 4 3" xfId="8266"/>
    <cellStyle name="20% - Accent4 3 3 3 4 3 2" xfId="8267"/>
    <cellStyle name="20% - Accent4 3 3 3 4 4" xfId="8268"/>
    <cellStyle name="20% - Accent4 3 3 3 5" xfId="8269"/>
    <cellStyle name="20% - Accent4 3 3 3 5 2" xfId="8270"/>
    <cellStyle name="20% - Accent4 3 3 3 5 2 2" xfId="8271"/>
    <cellStyle name="20% - Accent4 3 3 3 5 3" xfId="8272"/>
    <cellStyle name="20% - Accent4 3 3 3 6" xfId="8273"/>
    <cellStyle name="20% - Accent4 3 3 3 6 2" xfId="8274"/>
    <cellStyle name="20% - Accent4 3 3 3 7" xfId="8275"/>
    <cellStyle name="20% - Accent4 3 3 3 7 2" xfId="8276"/>
    <cellStyle name="20% - Accent4 3 3 3 8" xfId="8277"/>
    <cellStyle name="20% - Accent4 3 3 4" xfId="8278"/>
    <cellStyle name="20% - Accent4 3 3 4 2" xfId="8279"/>
    <cellStyle name="20% - Accent4 3 3 4 2 2" xfId="8280"/>
    <cellStyle name="20% - Accent4 3 3 4 2 2 2" xfId="8281"/>
    <cellStyle name="20% - Accent4 3 3 4 2 2 2 2" xfId="8282"/>
    <cellStyle name="20% - Accent4 3 3 4 2 2 3" xfId="8283"/>
    <cellStyle name="20% - Accent4 3 3 4 2 3" xfId="8284"/>
    <cellStyle name="20% - Accent4 3 3 4 2 3 2" xfId="8285"/>
    <cellStyle name="20% - Accent4 3 3 4 2 4" xfId="8286"/>
    <cellStyle name="20% - Accent4 3 3 4 3" xfId="8287"/>
    <cellStyle name="20% - Accent4 3 3 4 3 2" xfId="8288"/>
    <cellStyle name="20% - Accent4 3 3 4 3 2 2" xfId="8289"/>
    <cellStyle name="20% - Accent4 3 3 4 3 3" xfId="8290"/>
    <cellStyle name="20% - Accent4 3 3 4 4" xfId="8291"/>
    <cellStyle name="20% - Accent4 3 3 4 4 2" xfId="8292"/>
    <cellStyle name="20% - Accent4 3 3 4 5" xfId="8293"/>
    <cellStyle name="20% - Accent4 3 3 4 5 2" xfId="8294"/>
    <cellStyle name="20% - Accent4 3 3 4 6" xfId="8295"/>
    <cellStyle name="20% - Accent4 3 3 5" xfId="8296"/>
    <cellStyle name="20% - Accent4 3 3 5 2" xfId="8297"/>
    <cellStyle name="20% - Accent4 3 3 5 2 2" xfId="8298"/>
    <cellStyle name="20% - Accent4 3 3 5 2 2 2" xfId="8299"/>
    <cellStyle name="20% - Accent4 3 3 5 2 2 2 2" xfId="8300"/>
    <cellStyle name="20% - Accent4 3 3 5 2 2 3" xfId="8301"/>
    <cellStyle name="20% - Accent4 3 3 5 2 3" xfId="8302"/>
    <cellStyle name="20% - Accent4 3 3 5 2 3 2" xfId="8303"/>
    <cellStyle name="20% - Accent4 3 3 5 2 4" xfId="8304"/>
    <cellStyle name="20% - Accent4 3 3 5 3" xfId="8305"/>
    <cellStyle name="20% - Accent4 3 3 5 3 2" xfId="8306"/>
    <cellStyle name="20% - Accent4 3 3 5 3 2 2" xfId="8307"/>
    <cellStyle name="20% - Accent4 3 3 5 3 3" xfId="8308"/>
    <cellStyle name="20% - Accent4 3 3 5 4" xfId="8309"/>
    <cellStyle name="20% - Accent4 3 3 5 4 2" xfId="8310"/>
    <cellStyle name="20% - Accent4 3 3 5 5" xfId="8311"/>
    <cellStyle name="20% - Accent4 3 3 5 5 2" xfId="8312"/>
    <cellStyle name="20% - Accent4 3 3 5 6" xfId="8313"/>
    <cellStyle name="20% - Accent4 3 3 6" xfId="8314"/>
    <cellStyle name="20% - Accent4 3 3 6 2" xfId="8315"/>
    <cellStyle name="20% - Accent4 3 3 6 2 2" xfId="8316"/>
    <cellStyle name="20% - Accent4 3 3 6 2 2 2" xfId="8317"/>
    <cellStyle name="20% - Accent4 3 3 6 2 2 2 2" xfId="8318"/>
    <cellStyle name="20% - Accent4 3 3 6 2 2 3" xfId="8319"/>
    <cellStyle name="20% - Accent4 3 3 6 2 3" xfId="8320"/>
    <cellStyle name="20% - Accent4 3 3 6 2 3 2" xfId="8321"/>
    <cellStyle name="20% - Accent4 3 3 6 2 4" xfId="8322"/>
    <cellStyle name="20% - Accent4 3 3 6 3" xfId="8323"/>
    <cellStyle name="20% - Accent4 3 3 6 3 2" xfId="8324"/>
    <cellStyle name="20% - Accent4 3 3 6 3 2 2" xfId="8325"/>
    <cellStyle name="20% - Accent4 3 3 6 3 3" xfId="8326"/>
    <cellStyle name="20% - Accent4 3 3 6 4" xfId="8327"/>
    <cellStyle name="20% - Accent4 3 3 6 4 2" xfId="8328"/>
    <cellStyle name="20% - Accent4 3 3 6 5" xfId="8329"/>
    <cellStyle name="20% - Accent4 3 3 6 5 2" xfId="8330"/>
    <cellStyle name="20% - Accent4 3 3 6 6" xfId="8331"/>
    <cellStyle name="20% - Accent4 3 3 7" xfId="8332"/>
    <cellStyle name="20% - Accent4 3 3 7 2" xfId="8333"/>
    <cellStyle name="20% - Accent4 3 3 7 2 2" xfId="8334"/>
    <cellStyle name="20% - Accent4 3 3 7 2 2 2" xfId="8335"/>
    <cellStyle name="20% - Accent4 3 3 7 2 3" xfId="8336"/>
    <cellStyle name="20% - Accent4 3 3 7 3" xfId="8337"/>
    <cellStyle name="20% - Accent4 3 3 7 3 2" xfId="8338"/>
    <cellStyle name="20% - Accent4 3 3 7 4" xfId="8339"/>
    <cellStyle name="20% - Accent4 3 3 8" xfId="8340"/>
    <cellStyle name="20% - Accent4 3 3 8 2" xfId="8341"/>
    <cellStyle name="20% - Accent4 3 3 8 2 2" xfId="8342"/>
    <cellStyle name="20% - Accent4 3 3 8 3" xfId="8343"/>
    <cellStyle name="20% - Accent4 3 3 9" xfId="8344"/>
    <cellStyle name="20% - Accent4 3 3 9 2" xfId="8345"/>
    <cellStyle name="20% - Accent4 3 4" xfId="8346"/>
    <cellStyle name="20% - Accent4 3 4 10" xfId="8347"/>
    <cellStyle name="20% - Accent4 3 4 10 2" xfId="8348"/>
    <cellStyle name="20% - Accent4 3 4 11" xfId="8349"/>
    <cellStyle name="20% - Accent4 3 4 2" xfId="8350"/>
    <cellStyle name="20% - Accent4 3 4 2 2" xfId="8351"/>
    <cellStyle name="20% - Accent4 3 4 2 2 2" xfId="8352"/>
    <cellStyle name="20% - Accent4 3 4 2 2 2 2" xfId="8353"/>
    <cellStyle name="20% - Accent4 3 4 2 2 2 2 2" xfId="8354"/>
    <cellStyle name="20% - Accent4 3 4 2 2 2 2 2 2" xfId="8355"/>
    <cellStyle name="20% - Accent4 3 4 2 2 2 2 3" xfId="8356"/>
    <cellStyle name="20% - Accent4 3 4 2 2 2 3" xfId="8357"/>
    <cellStyle name="20% - Accent4 3 4 2 2 2 3 2" xfId="8358"/>
    <cellStyle name="20% - Accent4 3 4 2 2 2 4" xfId="8359"/>
    <cellStyle name="20% - Accent4 3 4 2 2 3" xfId="8360"/>
    <cellStyle name="20% - Accent4 3 4 2 2 3 2" xfId="8361"/>
    <cellStyle name="20% - Accent4 3 4 2 2 3 2 2" xfId="8362"/>
    <cellStyle name="20% - Accent4 3 4 2 2 3 3" xfId="8363"/>
    <cellStyle name="20% - Accent4 3 4 2 2 4" xfId="8364"/>
    <cellStyle name="20% - Accent4 3 4 2 2 4 2" xfId="8365"/>
    <cellStyle name="20% - Accent4 3 4 2 2 5" xfId="8366"/>
    <cellStyle name="20% - Accent4 3 4 2 2 5 2" xfId="8367"/>
    <cellStyle name="20% - Accent4 3 4 2 2 6" xfId="8368"/>
    <cellStyle name="20% - Accent4 3 4 2 3" xfId="8369"/>
    <cellStyle name="20% - Accent4 3 4 2 3 2" xfId="8370"/>
    <cellStyle name="20% - Accent4 3 4 2 3 2 2" xfId="8371"/>
    <cellStyle name="20% - Accent4 3 4 2 3 2 2 2" xfId="8372"/>
    <cellStyle name="20% - Accent4 3 4 2 3 2 2 2 2" xfId="8373"/>
    <cellStyle name="20% - Accent4 3 4 2 3 2 2 3" xfId="8374"/>
    <cellStyle name="20% - Accent4 3 4 2 3 2 3" xfId="8375"/>
    <cellStyle name="20% - Accent4 3 4 2 3 2 3 2" xfId="8376"/>
    <cellStyle name="20% - Accent4 3 4 2 3 2 4" xfId="8377"/>
    <cellStyle name="20% - Accent4 3 4 2 3 3" xfId="8378"/>
    <cellStyle name="20% - Accent4 3 4 2 3 3 2" xfId="8379"/>
    <cellStyle name="20% - Accent4 3 4 2 3 3 2 2" xfId="8380"/>
    <cellStyle name="20% - Accent4 3 4 2 3 3 3" xfId="8381"/>
    <cellStyle name="20% - Accent4 3 4 2 3 4" xfId="8382"/>
    <cellStyle name="20% - Accent4 3 4 2 3 4 2" xfId="8383"/>
    <cellStyle name="20% - Accent4 3 4 2 3 5" xfId="8384"/>
    <cellStyle name="20% - Accent4 3 4 2 3 5 2" xfId="8385"/>
    <cellStyle name="20% - Accent4 3 4 2 3 6" xfId="8386"/>
    <cellStyle name="20% - Accent4 3 4 2 4" xfId="8387"/>
    <cellStyle name="20% - Accent4 3 4 2 4 2" xfId="8388"/>
    <cellStyle name="20% - Accent4 3 4 2 4 2 2" xfId="8389"/>
    <cellStyle name="20% - Accent4 3 4 2 4 2 2 2" xfId="8390"/>
    <cellStyle name="20% - Accent4 3 4 2 4 2 3" xfId="8391"/>
    <cellStyle name="20% - Accent4 3 4 2 4 3" xfId="8392"/>
    <cellStyle name="20% - Accent4 3 4 2 4 3 2" xfId="8393"/>
    <cellStyle name="20% - Accent4 3 4 2 4 4" xfId="8394"/>
    <cellStyle name="20% - Accent4 3 4 2 5" xfId="8395"/>
    <cellStyle name="20% - Accent4 3 4 2 5 2" xfId="8396"/>
    <cellStyle name="20% - Accent4 3 4 2 5 2 2" xfId="8397"/>
    <cellStyle name="20% - Accent4 3 4 2 5 3" xfId="8398"/>
    <cellStyle name="20% - Accent4 3 4 2 6" xfId="8399"/>
    <cellStyle name="20% - Accent4 3 4 2 6 2" xfId="8400"/>
    <cellStyle name="20% - Accent4 3 4 2 7" xfId="8401"/>
    <cellStyle name="20% - Accent4 3 4 2 7 2" xfId="8402"/>
    <cellStyle name="20% - Accent4 3 4 2 8" xfId="8403"/>
    <cellStyle name="20% - Accent4 3 4 3" xfId="8404"/>
    <cellStyle name="20% - Accent4 3 4 3 2" xfId="8405"/>
    <cellStyle name="20% - Accent4 3 4 3 2 2" xfId="8406"/>
    <cellStyle name="20% - Accent4 3 4 3 2 2 2" xfId="8407"/>
    <cellStyle name="20% - Accent4 3 4 3 2 2 2 2" xfId="8408"/>
    <cellStyle name="20% - Accent4 3 4 3 2 2 2 2 2" xfId="8409"/>
    <cellStyle name="20% - Accent4 3 4 3 2 2 2 3" xfId="8410"/>
    <cellStyle name="20% - Accent4 3 4 3 2 2 3" xfId="8411"/>
    <cellStyle name="20% - Accent4 3 4 3 2 2 3 2" xfId="8412"/>
    <cellStyle name="20% - Accent4 3 4 3 2 2 4" xfId="8413"/>
    <cellStyle name="20% - Accent4 3 4 3 2 3" xfId="8414"/>
    <cellStyle name="20% - Accent4 3 4 3 2 3 2" xfId="8415"/>
    <cellStyle name="20% - Accent4 3 4 3 2 3 2 2" xfId="8416"/>
    <cellStyle name="20% - Accent4 3 4 3 2 3 3" xfId="8417"/>
    <cellStyle name="20% - Accent4 3 4 3 2 4" xfId="8418"/>
    <cellStyle name="20% - Accent4 3 4 3 2 4 2" xfId="8419"/>
    <cellStyle name="20% - Accent4 3 4 3 2 5" xfId="8420"/>
    <cellStyle name="20% - Accent4 3 4 3 2 5 2" xfId="8421"/>
    <cellStyle name="20% - Accent4 3 4 3 2 6" xfId="8422"/>
    <cellStyle name="20% - Accent4 3 4 3 3" xfId="8423"/>
    <cellStyle name="20% - Accent4 3 4 3 3 2" xfId="8424"/>
    <cellStyle name="20% - Accent4 3 4 3 3 2 2" xfId="8425"/>
    <cellStyle name="20% - Accent4 3 4 3 3 2 2 2" xfId="8426"/>
    <cellStyle name="20% - Accent4 3 4 3 3 2 2 2 2" xfId="8427"/>
    <cellStyle name="20% - Accent4 3 4 3 3 2 2 3" xfId="8428"/>
    <cellStyle name="20% - Accent4 3 4 3 3 2 3" xfId="8429"/>
    <cellStyle name="20% - Accent4 3 4 3 3 2 3 2" xfId="8430"/>
    <cellStyle name="20% - Accent4 3 4 3 3 2 4" xfId="8431"/>
    <cellStyle name="20% - Accent4 3 4 3 3 3" xfId="8432"/>
    <cellStyle name="20% - Accent4 3 4 3 3 3 2" xfId="8433"/>
    <cellStyle name="20% - Accent4 3 4 3 3 3 2 2" xfId="8434"/>
    <cellStyle name="20% - Accent4 3 4 3 3 3 3" xfId="8435"/>
    <cellStyle name="20% - Accent4 3 4 3 3 4" xfId="8436"/>
    <cellStyle name="20% - Accent4 3 4 3 3 4 2" xfId="8437"/>
    <cellStyle name="20% - Accent4 3 4 3 3 5" xfId="8438"/>
    <cellStyle name="20% - Accent4 3 4 3 3 5 2" xfId="8439"/>
    <cellStyle name="20% - Accent4 3 4 3 3 6" xfId="8440"/>
    <cellStyle name="20% - Accent4 3 4 3 4" xfId="8441"/>
    <cellStyle name="20% - Accent4 3 4 3 4 2" xfId="8442"/>
    <cellStyle name="20% - Accent4 3 4 3 4 2 2" xfId="8443"/>
    <cellStyle name="20% - Accent4 3 4 3 4 2 2 2" xfId="8444"/>
    <cellStyle name="20% - Accent4 3 4 3 4 2 3" xfId="8445"/>
    <cellStyle name="20% - Accent4 3 4 3 4 3" xfId="8446"/>
    <cellStyle name="20% - Accent4 3 4 3 4 3 2" xfId="8447"/>
    <cellStyle name="20% - Accent4 3 4 3 4 4" xfId="8448"/>
    <cellStyle name="20% - Accent4 3 4 3 5" xfId="8449"/>
    <cellStyle name="20% - Accent4 3 4 3 5 2" xfId="8450"/>
    <cellStyle name="20% - Accent4 3 4 3 5 2 2" xfId="8451"/>
    <cellStyle name="20% - Accent4 3 4 3 5 3" xfId="8452"/>
    <cellStyle name="20% - Accent4 3 4 3 6" xfId="8453"/>
    <cellStyle name="20% - Accent4 3 4 3 6 2" xfId="8454"/>
    <cellStyle name="20% - Accent4 3 4 3 7" xfId="8455"/>
    <cellStyle name="20% - Accent4 3 4 3 7 2" xfId="8456"/>
    <cellStyle name="20% - Accent4 3 4 3 8" xfId="8457"/>
    <cellStyle name="20% - Accent4 3 4 4" xfId="8458"/>
    <cellStyle name="20% - Accent4 3 4 4 2" xfId="8459"/>
    <cellStyle name="20% - Accent4 3 4 4 2 2" xfId="8460"/>
    <cellStyle name="20% - Accent4 3 4 4 2 2 2" xfId="8461"/>
    <cellStyle name="20% - Accent4 3 4 4 2 2 2 2" xfId="8462"/>
    <cellStyle name="20% - Accent4 3 4 4 2 2 3" xfId="8463"/>
    <cellStyle name="20% - Accent4 3 4 4 2 3" xfId="8464"/>
    <cellStyle name="20% - Accent4 3 4 4 2 3 2" xfId="8465"/>
    <cellStyle name="20% - Accent4 3 4 4 2 4" xfId="8466"/>
    <cellStyle name="20% - Accent4 3 4 4 3" xfId="8467"/>
    <cellStyle name="20% - Accent4 3 4 4 3 2" xfId="8468"/>
    <cellStyle name="20% - Accent4 3 4 4 3 2 2" xfId="8469"/>
    <cellStyle name="20% - Accent4 3 4 4 3 3" xfId="8470"/>
    <cellStyle name="20% - Accent4 3 4 4 4" xfId="8471"/>
    <cellStyle name="20% - Accent4 3 4 4 4 2" xfId="8472"/>
    <cellStyle name="20% - Accent4 3 4 4 5" xfId="8473"/>
    <cellStyle name="20% - Accent4 3 4 4 5 2" xfId="8474"/>
    <cellStyle name="20% - Accent4 3 4 4 6" xfId="8475"/>
    <cellStyle name="20% - Accent4 3 4 5" xfId="8476"/>
    <cellStyle name="20% - Accent4 3 4 5 2" xfId="8477"/>
    <cellStyle name="20% - Accent4 3 4 5 2 2" xfId="8478"/>
    <cellStyle name="20% - Accent4 3 4 5 2 2 2" xfId="8479"/>
    <cellStyle name="20% - Accent4 3 4 5 2 2 2 2" xfId="8480"/>
    <cellStyle name="20% - Accent4 3 4 5 2 2 3" xfId="8481"/>
    <cellStyle name="20% - Accent4 3 4 5 2 3" xfId="8482"/>
    <cellStyle name="20% - Accent4 3 4 5 2 3 2" xfId="8483"/>
    <cellStyle name="20% - Accent4 3 4 5 2 4" xfId="8484"/>
    <cellStyle name="20% - Accent4 3 4 5 3" xfId="8485"/>
    <cellStyle name="20% - Accent4 3 4 5 3 2" xfId="8486"/>
    <cellStyle name="20% - Accent4 3 4 5 3 2 2" xfId="8487"/>
    <cellStyle name="20% - Accent4 3 4 5 3 3" xfId="8488"/>
    <cellStyle name="20% - Accent4 3 4 5 4" xfId="8489"/>
    <cellStyle name="20% - Accent4 3 4 5 4 2" xfId="8490"/>
    <cellStyle name="20% - Accent4 3 4 5 5" xfId="8491"/>
    <cellStyle name="20% - Accent4 3 4 5 5 2" xfId="8492"/>
    <cellStyle name="20% - Accent4 3 4 5 6" xfId="8493"/>
    <cellStyle name="20% - Accent4 3 4 6" xfId="8494"/>
    <cellStyle name="20% - Accent4 3 4 6 2" xfId="8495"/>
    <cellStyle name="20% - Accent4 3 4 6 2 2" xfId="8496"/>
    <cellStyle name="20% - Accent4 3 4 6 2 2 2" xfId="8497"/>
    <cellStyle name="20% - Accent4 3 4 6 2 2 2 2" xfId="8498"/>
    <cellStyle name="20% - Accent4 3 4 6 2 2 3" xfId="8499"/>
    <cellStyle name="20% - Accent4 3 4 6 2 3" xfId="8500"/>
    <cellStyle name="20% - Accent4 3 4 6 2 3 2" xfId="8501"/>
    <cellStyle name="20% - Accent4 3 4 6 2 4" xfId="8502"/>
    <cellStyle name="20% - Accent4 3 4 6 3" xfId="8503"/>
    <cellStyle name="20% - Accent4 3 4 6 3 2" xfId="8504"/>
    <cellStyle name="20% - Accent4 3 4 6 3 2 2" xfId="8505"/>
    <cellStyle name="20% - Accent4 3 4 6 3 3" xfId="8506"/>
    <cellStyle name="20% - Accent4 3 4 6 4" xfId="8507"/>
    <cellStyle name="20% - Accent4 3 4 6 4 2" xfId="8508"/>
    <cellStyle name="20% - Accent4 3 4 6 5" xfId="8509"/>
    <cellStyle name="20% - Accent4 3 4 6 5 2" xfId="8510"/>
    <cellStyle name="20% - Accent4 3 4 6 6" xfId="8511"/>
    <cellStyle name="20% - Accent4 3 4 7" xfId="8512"/>
    <cellStyle name="20% - Accent4 3 4 7 2" xfId="8513"/>
    <cellStyle name="20% - Accent4 3 4 7 2 2" xfId="8514"/>
    <cellStyle name="20% - Accent4 3 4 7 2 2 2" xfId="8515"/>
    <cellStyle name="20% - Accent4 3 4 7 2 3" xfId="8516"/>
    <cellStyle name="20% - Accent4 3 4 7 3" xfId="8517"/>
    <cellStyle name="20% - Accent4 3 4 7 3 2" xfId="8518"/>
    <cellStyle name="20% - Accent4 3 4 7 4" xfId="8519"/>
    <cellStyle name="20% - Accent4 3 4 8" xfId="8520"/>
    <cellStyle name="20% - Accent4 3 4 8 2" xfId="8521"/>
    <cellStyle name="20% - Accent4 3 4 8 2 2" xfId="8522"/>
    <cellStyle name="20% - Accent4 3 4 8 3" xfId="8523"/>
    <cellStyle name="20% - Accent4 3 4 9" xfId="8524"/>
    <cellStyle name="20% - Accent4 3 4 9 2" xfId="8525"/>
    <cellStyle name="20% - Accent4 3 5" xfId="8526"/>
    <cellStyle name="20% - Accent4 3 5 10" xfId="8527"/>
    <cellStyle name="20% - Accent4 3 5 10 2" xfId="8528"/>
    <cellStyle name="20% - Accent4 3 5 11" xfId="8529"/>
    <cellStyle name="20% - Accent4 3 5 2" xfId="8530"/>
    <cellStyle name="20% - Accent4 3 5 2 2" xfId="8531"/>
    <cellStyle name="20% - Accent4 3 5 2 2 2" xfId="8532"/>
    <cellStyle name="20% - Accent4 3 5 2 2 2 2" xfId="8533"/>
    <cellStyle name="20% - Accent4 3 5 2 2 2 2 2" xfId="8534"/>
    <cellStyle name="20% - Accent4 3 5 2 2 2 2 2 2" xfId="8535"/>
    <cellStyle name="20% - Accent4 3 5 2 2 2 2 3" xfId="8536"/>
    <cellStyle name="20% - Accent4 3 5 2 2 2 3" xfId="8537"/>
    <cellStyle name="20% - Accent4 3 5 2 2 2 3 2" xfId="8538"/>
    <cellStyle name="20% - Accent4 3 5 2 2 2 4" xfId="8539"/>
    <cellStyle name="20% - Accent4 3 5 2 2 3" xfId="8540"/>
    <cellStyle name="20% - Accent4 3 5 2 2 3 2" xfId="8541"/>
    <cellStyle name="20% - Accent4 3 5 2 2 3 2 2" xfId="8542"/>
    <cellStyle name="20% - Accent4 3 5 2 2 3 3" xfId="8543"/>
    <cellStyle name="20% - Accent4 3 5 2 2 4" xfId="8544"/>
    <cellStyle name="20% - Accent4 3 5 2 2 4 2" xfId="8545"/>
    <cellStyle name="20% - Accent4 3 5 2 2 5" xfId="8546"/>
    <cellStyle name="20% - Accent4 3 5 2 2 5 2" xfId="8547"/>
    <cellStyle name="20% - Accent4 3 5 2 2 6" xfId="8548"/>
    <cellStyle name="20% - Accent4 3 5 2 3" xfId="8549"/>
    <cellStyle name="20% - Accent4 3 5 2 3 2" xfId="8550"/>
    <cellStyle name="20% - Accent4 3 5 2 3 2 2" xfId="8551"/>
    <cellStyle name="20% - Accent4 3 5 2 3 2 2 2" xfId="8552"/>
    <cellStyle name="20% - Accent4 3 5 2 3 2 2 2 2" xfId="8553"/>
    <cellStyle name="20% - Accent4 3 5 2 3 2 2 3" xfId="8554"/>
    <cellStyle name="20% - Accent4 3 5 2 3 2 3" xfId="8555"/>
    <cellStyle name="20% - Accent4 3 5 2 3 2 3 2" xfId="8556"/>
    <cellStyle name="20% - Accent4 3 5 2 3 2 4" xfId="8557"/>
    <cellStyle name="20% - Accent4 3 5 2 3 3" xfId="8558"/>
    <cellStyle name="20% - Accent4 3 5 2 3 3 2" xfId="8559"/>
    <cellStyle name="20% - Accent4 3 5 2 3 3 2 2" xfId="8560"/>
    <cellStyle name="20% - Accent4 3 5 2 3 3 3" xfId="8561"/>
    <cellStyle name="20% - Accent4 3 5 2 3 4" xfId="8562"/>
    <cellStyle name="20% - Accent4 3 5 2 3 4 2" xfId="8563"/>
    <cellStyle name="20% - Accent4 3 5 2 3 5" xfId="8564"/>
    <cellStyle name="20% - Accent4 3 5 2 3 5 2" xfId="8565"/>
    <cellStyle name="20% - Accent4 3 5 2 3 6" xfId="8566"/>
    <cellStyle name="20% - Accent4 3 5 2 4" xfId="8567"/>
    <cellStyle name="20% - Accent4 3 5 2 4 2" xfId="8568"/>
    <cellStyle name="20% - Accent4 3 5 2 4 2 2" xfId="8569"/>
    <cellStyle name="20% - Accent4 3 5 2 4 2 2 2" xfId="8570"/>
    <cellStyle name="20% - Accent4 3 5 2 4 2 3" xfId="8571"/>
    <cellStyle name="20% - Accent4 3 5 2 4 3" xfId="8572"/>
    <cellStyle name="20% - Accent4 3 5 2 4 3 2" xfId="8573"/>
    <cellStyle name="20% - Accent4 3 5 2 4 4" xfId="8574"/>
    <cellStyle name="20% - Accent4 3 5 2 5" xfId="8575"/>
    <cellStyle name="20% - Accent4 3 5 2 5 2" xfId="8576"/>
    <cellStyle name="20% - Accent4 3 5 2 5 2 2" xfId="8577"/>
    <cellStyle name="20% - Accent4 3 5 2 5 3" xfId="8578"/>
    <cellStyle name="20% - Accent4 3 5 2 6" xfId="8579"/>
    <cellStyle name="20% - Accent4 3 5 2 6 2" xfId="8580"/>
    <cellStyle name="20% - Accent4 3 5 2 7" xfId="8581"/>
    <cellStyle name="20% - Accent4 3 5 2 7 2" xfId="8582"/>
    <cellStyle name="20% - Accent4 3 5 2 8" xfId="8583"/>
    <cellStyle name="20% - Accent4 3 5 3" xfId="8584"/>
    <cellStyle name="20% - Accent4 3 5 3 2" xfId="8585"/>
    <cellStyle name="20% - Accent4 3 5 3 2 2" xfId="8586"/>
    <cellStyle name="20% - Accent4 3 5 3 2 2 2" xfId="8587"/>
    <cellStyle name="20% - Accent4 3 5 3 2 2 2 2" xfId="8588"/>
    <cellStyle name="20% - Accent4 3 5 3 2 2 2 2 2" xfId="8589"/>
    <cellStyle name="20% - Accent4 3 5 3 2 2 2 3" xfId="8590"/>
    <cellStyle name="20% - Accent4 3 5 3 2 2 3" xfId="8591"/>
    <cellStyle name="20% - Accent4 3 5 3 2 2 3 2" xfId="8592"/>
    <cellStyle name="20% - Accent4 3 5 3 2 2 4" xfId="8593"/>
    <cellStyle name="20% - Accent4 3 5 3 2 3" xfId="8594"/>
    <cellStyle name="20% - Accent4 3 5 3 2 3 2" xfId="8595"/>
    <cellStyle name="20% - Accent4 3 5 3 2 3 2 2" xfId="8596"/>
    <cellStyle name="20% - Accent4 3 5 3 2 3 3" xfId="8597"/>
    <cellStyle name="20% - Accent4 3 5 3 2 4" xfId="8598"/>
    <cellStyle name="20% - Accent4 3 5 3 2 4 2" xfId="8599"/>
    <cellStyle name="20% - Accent4 3 5 3 2 5" xfId="8600"/>
    <cellStyle name="20% - Accent4 3 5 3 2 5 2" xfId="8601"/>
    <cellStyle name="20% - Accent4 3 5 3 2 6" xfId="8602"/>
    <cellStyle name="20% - Accent4 3 5 3 3" xfId="8603"/>
    <cellStyle name="20% - Accent4 3 5 3 3 2" xfId="8604"/>
    <cellStyle name="20% - Accent4 3 5 3 3 2 2" xfId="8605"/>
    <cellStyle name="20% - Accent4 3 5 3 3 2 2 2" xfId="8606"/>
    <cellStyle name="20% - Accent4 3 5 3 3 2 2 2 2" xfId="8607"/>
    <cellStyle name="20% - Accent4 3 5 3 3 2 2 3" xfId="8608"/>
    <cellStyle name="20% - Accent4 3 5 3 3 2 3" xfId="8609"/>
    <cellStyle name="20% - Accent4 3 5 3 3 2 3 2" xfId="8610"/>
    <cellStyle name="20% - Accent4 3 5 3 3 2 4" xfId="8611"/>
    <cellStyle name="20% - Accent4 3 5 3 3 3" xfId="8612"/>
    <cellStyle name="20% - Accent4 3 5 3 3 3 2" xfId="8613"/>
    <cellStyle name="20% - Accent4 3 5 3 3 3 2 2" xfId="8614"/>
    <cellStyle name="20% - Accent4 3 5 3 3 3 3" xfId="8615"/>
    <cellStyle name="20% - Accent4 3 5 3 3 4" xfId="8616"/>
    <cellStyle name="20% - Accent4 3 5 3 3 4 2" xfId="8617"/>
    <cellStyle name="20% - Accent4 3 5 3 3 5" xfId="8618"/>
    <cellStyle name="20% - Accent4 3 5 3 3 5 2" xfId="8619"/>
    <cellStyle name="20% - Accent4 3 5 3 3 6" xfId="8620"/>
    <cellStyle name="20% - Accent4 3 5 3 4" xfId="8621"/>
    <cellStyle name="20% - Accent4 3 5 3 4 2" xfId="8622"/>
    <cellStyle name="20% - Accent4 3 5 3 4 2 2" xfId="8623"/>
    <cellStyle name="20% - Accent4 3 5 3 4 2 2 2" xfId="8624"/>
    <cellStyle name="20% - Accent4 3 5 3 4 2 3" xfId="8625"/>
    <cellStyle name="20% - Accent4 3 5 3 4 3" xfId="8626"/>
    <cellStyle name="20% - Accent4 3 5 3 4 3 2" xfId="8627"/>
    <cellStyle name="20% - Accent4 3 5 3 4 4" xfId="8628"/>
    <cellStyle name="20% - Accent4 3 5 3 5" xfId="8629"/>
    <cellStyle name="20% - Accent4 3 5 3 5 2" xfId="8630"/>
    <cellStyle name="20% - Accent4 3 5 3 5 2 2" xfId="8631"/>
    <cellStyle name="20% - Accent4 3 5 3 5 3" xfId="8632"/>
    <cellStyle name="20% - Accent4 3 5 3 6" xfId="8633"/>
    <cellStyle name="20% - Accent4 3 5 3 6 2" xfId="8634"/>
    <cellStyle name="20% - Accent4 3 5 3 7" xfId="8635"/>
    <cellStyle name="20% - Accent4 3 5 3 7 2" xfId="8636"/>
    <cellStyle name="20% - Accent4 3 5 3 8" xfId="8637"/>
    <cellStyle name="20% - Accent4 3 5 4" xfId="8638"/>
    <cellStyle name="20% - Accent4 3 5 4 2" xfId="8639"/>
    <cellStyle name="20% - Accent4 3 5 4 2 2" xfId="8640"/>
    <cellStyle name="20% - Accent4 3 5 4 2 2 2" xfId="8641"/>
    <cellStyle name="20% - Accent4 3 5 4 2 2 2 2" xfId="8642"/>
    <cellStyle name="20% - Accent4 3 5 4 2 2 3" xfId="8643"/>
    <cellStyle name="20% - Accent4 3 5 4 2 3" xfId="8644"/>
    <cellStyle name="20% - Accent4 3 5 4 2 3 2" xfId="8645"/>
    <cellStyle name="20% - Accent4 3 5 4 2 4" xfId="8646"/>
    <cellStyle name="20% - Accent4 3 5 4 3" xfId="8647"/>
    <cellStyle name="20% - Accent4 3 5 4 3 2" xfId="8648"/>
    <cellStyle name="20% - Accent4 3 5 4 3 2 2" xfId="8649"/>
    <cellStyle name="20% - Accent4 3 5 4 3 3" xfId="8650"/>
    <cellStyle name="20% - Accent4 3 5 4 4" xfId="8651"/>
    <cellStyle name="20% - Accent4 3 5 4 4 2" xfId="8652"/>
    <cellStyle name="20% - Accent4 3 5 4 5" xfId="8653"/>
    <cellStyle name="20% - Accent4 3 5 4 5 2" xfId="8654"/>
    <cellStyle name="20% - Accent4 3 5 4 6" xfId="8655"/>
    <cellStyle name="20% - Accent4 3 5 5" xfId="8656"/>
    <cellStyle name="20% - Accent4 3 5 5 2" xfId="8657"/>
    <cellStyle name="20% - Accent4 3 5 5 2 2" xfId="8658"/>
    <cellStyle name="20% - Accent4 3 5 5 2 2 2" xfId="8659"/>
    <cellStyle name="20% - Accent4 3 5 5 2 2 2 2" xfId="8660"/>
    <cellStyle name="20% - Accent4 3 5 5 2 2 3" xfId="8661"/>
    <cellStyle name="20% - Accent4 3 5 5 2 3" xfId="8662"/>
    <cellStyle name="20% - Accent4 3 5 5 2 3 2" xfId="8663"/>
    <cellStyle name="20% - Accent4 3 5 5 2 4" xfId="8664"/>
    <cellStyle name="20% - Accent4 3 5 5 3" xfId="8665"/>
    <cellStyle name="20% - Accent4 3 5 5 3 2" xfId="8666"/>
    <cellStyle name="20% - Accent4 3 5 5 3 2 2" xfId="8667"/>
    <cellStyle name="20% - Accent4 3 5 5 3 3" xfId="8668"/>
    <cellStyle name="20% - Accent4 3 5 5 4" xfId="8669"/>
    <cellStyle name="20% - Accent4 3 5 5 4 2" xfId="8670"/>
    <cellStyle name="20% - Accent4 3 5 5 5" xfId="8671"/>
    <cellStyle name="20% - Accent4 3 5 5 5 2" xfId="8672"/>
    <cellStyle name="20% - Accent4 3 5 5 6" xfId="8673"/>
    <cellStyle name="20% - Accent4 3 5 6" xfId="8674"/>
    <cellStyle name="20% - Accent4 3 5 6 2" xfId="8675"/>
    <cellStyle name="20% - Accent4 3 5 6 2 2" xfId="8676"/>
    <cellStyle name="20% - Accent4 3 5 6 2 2 2" xfId="8677"/>
    <cellStyle name="20% - Accent4 3 5 6 2 2 2 2" xfId="8678"/>
    <cellStyle name="20% - Accent4 3 5 6 2 2 3" xfId="8679"/>
    <cellStyle name="20% - Accent4 3 5 6 2 3" xfId="8680"/>
    <cellStyle name="20% - Accent4 3 5 6 2 3 2" xfId="8681"/>
    <cellStyle name="20% - Accent4 3 5 6 2 4" xfId="8682"/>
    <cellStyle name="20% - Accent4 3 5 6 3" xfId="8683"/>
    <cellStyle name="20% - Accent4 3 5 6 3 2" xfId="8684"/>
    <cellStyle name="20% - Accent4 3 5 6 3 2 2" xfId="8685"/>
    <cellStyle name="20% - Accent4 3 5 6 3 3" xfId="8686"/>
    <cellStyle name="20% - Accent4 3 5 6 4" xfId="8687"/>
    <cellStyle name="20% - Accent4 3 5 6 4 2" xfId="8688"/>
    <cellStyle name="20% - Accent4 3 5 6 5" xfId="8689"/>
    <cellStyle name="20% - Accent4 3 5 6 5 2" xfId="8690"/>
    <cellStyle name="20% - Accent4 3 5 6 6" xfId="8691"/>
    <cellStyle name="20% - Accent4 3 5 7" xfId="8692"/>
    <cellStyle name="20% - Accent4 3 5 7 2" xfId="8693"/>
    <cellStyle name="20% - Accent4 3 5 7 2 2" xfId="8694"/>
    <cellStyle name="20% - Accent4 3 5 7 2 2 2" xfId="8695"/>
    <cellStyle name="20% - Accent4 3 5 7 2 3" xfId="8696"/>
    <cellStyle name="20% - Accent4 3 5 7 3" xfId="8697"/>
    <cellStyle name="20% - Accent4 3 5 7 3 2" xfId="8698"/>
    <cellStyle name="20% - Accent4 3 5 7 4" xfId="8699"/>
    <cellStyle name="20% - Accent4 3 5 8" xfId="8700"/>
    <cellStyle name="20% - Accent4 3 5 8 2" xfId="8701"/>
    <cellStyle name="20% - Accent4 3 5 8 2 2" xfId="8702"/>
    <cellStyle name="20% - Accent4 3 5 8 3" xfId="8703"/>
    <cellStyle name="20% - Accent4 3 5 9" xfId="8704"/>
    <cellStyle name="20% - Accent4 3 5 9 2" xfId="8705"/>
    <cellStyle name="20% - Accent4 3 6" xfId="8706"/>
    <cellStyle name="20% - Accent4 3 6 2" xfId="8707"/>
    <cellStyle name="20% - Accent4 3 6 2 2" xfId="8708"/>
    <cellStyle name="20% - Accent4 3 6 2 2 2" xfId="8709"/>
    <cellStyle name="20% - Accent4 3 6 2 2 2 2" xfId="8710"/>
    <cellStyle name="20% - Accent4 3 6 2 2 2 2 2" xfId="8711"/>
    <cellStyle name="20% - Accent4 3 6 2 2 2 3" xfId="8712"/>
    <cellStyle name="20% - Accent4 3 6 2 2 3" xfId="8713"/>
    <cellStyle name="20% - Accent4 3 6 2 2 3 2" xfId="8714"/>
    <cellStyle name="20% - Accent4 3 6 2 2 4" xfId="8715"/>
    <cellStyle name="20% - Accent4 3 6 2 3" xfId="8716"/>
    <cellStyle name="20% - Accent4 3 6 2 3 2" xfId="8717"/>
    <cellStyle name="20% - Accent4 3 6 2 3 2 2" xfId="8718"/>
    <cellStyle name="20% - Accent4 3 6 2 3 3" xfId="8719"/>
    <cellStyle name="20% - Accent4 3 6 2 4" xfId="8720"/>
    <cellStyle name="20% - Accent4 3 6 2 4 2" xfId="8721"/>
    <cellStyle name="20% - Accent4 3 6 2 5" xfId="8722"/>
    <cellStyle name="20% - Accent4 3 6 2 5 2" xfId="8723"/>
    <cellStyle name="20% - Accent4 3 6 2 6" xfId="8724"/>
    <cellStyle name="20% - Accent4 3 6 3" xfId="8725"/>
    <cellStyle name="20% - Accent4 3 6 3 2" xfId="8726"/>
    <cellStyle name="20% - Accent4 3 6 3 2 2" xfId="8727"/>
    <cellStyle name="20% - Accent4 3 6 3 2 2 2" xfId="8728"/>
    <cellStyle name="20% - Accent4 3 6 3 2 2 2 2" xfId="8729"/>
    <cellStyle name="20% - Accent4 3 6 3 2 2 3" xfId="8730"/>
    <cellStyle name="20% - Accent4 3 6 3 2 3" xfId="8731"/>
    <cellStyle name="20% - Accent4 3 6 3 2 3 2" xfId="8732"/>
    <cellStyle name="20% - Accent4 3 6 3 2 4" xfId="8733"/>
    <cellStyle name="20% - Accent4 3 6 3 3" xfId="8734"/>
    <cellStyle name="20% - Accent4 3 6 3 3 2" xfId="8735"/>
    <cellStyle name="20% - Accent4 3 6 3 3 2 2" xfId="8736"/>
    <cellStyle name="20% - Accent4 3 6 3 3 3" xfId="8737"/>
    <cellStyle name="20% - Accent4 3 6 3 4" xfId="8738"/>
    <cellStyle name="20% - Accent4 3 6 3 4 2" xfId="8739"/>
    <cellStyle name="20% - Accent4 3 6 3 5" xfId="8740"/>
    <cellStyle name="20% - Accent4 3 6 3 5 2" xfId="8741"/>
    <cellStyle name="20% - Accent4 3 6 3 6" xfId="8742"/>
    <cellStyle name="20% - Accent4 3 6 4" xfId="8743"/>
    <cellStyle name="20% - Accent4 3 6 4 2" xfId="8744"/>
    <cellStyle name="20% - Accent4 3 6 4 2 2" xfId="8745"/>
    <cellStyle name="20% - Accent4 3 6 4 2 2 2" xfId="8746"/>
    <cellStyle name="20% - Accent4 3 6 4 2 3" xfId="8747"/>
    <cellStyle name="20% - Accent4 3 6 4 3" xfId="8748"/>
    <cellStyle name="20% - Accent4 3 6 4 3 2" xfId="8749"/>
    <cellStyle name="20% - Accent4 3 6 4 4" xfId="8750"/>
    <cellStyle name="20% - Accent4 3 6 5" xfId="8751"/>
    <cellStyle name="20% - Accent4 3 6 5 2" xfId="8752"/>
    <cellStyle name="20% - Accent4 3 6 5 2 2" xfId="8753"/>
    <cellStyle name="20% - Accent4 3 6 5 3" xfId="8754"/>
    <cellStyle name="20% - Accent4 3 6 6" xfId="8755"/>
    <cellStyle name="20% - Accent4 3 6 6 2" xfId="8756"/>
    <cellStyle name="20% - Accent4 3 6 7" xfId="8757"/>
    <cellStyle name="20% - Accent4 3 6 7 2" xfId="8758"/>
    <cellStyle name="20% - Accent4 3 6 8" xfId="8759"/>
    <cellStyle name="20% - Accent4 3 7" xfId="8760"/>
    <cellStyle name="20% - Accent4 3 7 2" xfId="8761"/>
    <cellStyle name="20% - Accent4 3 7 2 2" xfId="8762"/>
    <cellStyle name="20% - Accent4 3 7 2 2 2" xfId="8763"/>
    <cellStyle name="20% - Accent4 3 7 2 2 2 2" xfId="8764"/>
    <cellStyle name="20% - Accent4 3 7 2 2 2 2 2" xfId="8765"/>
    <cellStyle name="20% - Accent4 3 7 2 2 2 3" xfId="8766"/>
    <cellStyle name="20% - Accent4 3 7 2 2 3" xfId="8767"/>
    <cellStyle name="20% - Accent4 3 7 2 2 3 2" xfId="8768"/>
    <cellStyle name="20% - Accent4 3 7 2 2 4" xfId="8769"/>
    <cellStyle name="20% - Accent4 3 7 2 3" xfId="8770"/>
    <cellStyle name="20% - Accent4 3 7 2 3 2" xfId="8771"/>
    <cellStyle name="20% - Accent4 3 7 2 3 2 2" xfId="8772"/>
    <cellStyle name="20% - Accent4 3 7 2 3 3" xfId="8773"/>
    <cellStyle name="20% - Accent4 3 7 2 4" xfId="8774"/>
    <cellStyle name="20% - Accent4 3 7 2 4 2" xfId="8775"/>
    <cellStyle name="20% - Accent4 3 7 2 5" xfId="8776"/>
    <cellStyle name="20% - Accent4 3 7 2 5 2" xfId="8777"/>
    <cellStyle name="20% - Accent4 3 7 2 6" xfId="8778"/>
    <cellStyle name="20% - Accent4 3 7 3" xfId="8779"/>
    <cellStyle name="20% - Accent4 3 7 3 2" xfId="8780"/>
    <cellStyle name="20% - Accent4 3 7 3 2 2" xfId="8781"/>
    <cellStyle name="20% - Accent4 3 7 3 2 2 2" xfId="8782"/>
    <cellStyle name="20% - Accent4 3 7 3 2 2 2 2" xfId="8783"/>
    <cellStyle name="20% - Accent4 3 7 3 2 2 3" xfId="8784"/>
    <cellStyle name="20% - Accent4 3 7 3 2 3" xfId="8785"/>
    <cellStyle name="20% - Accent4 3 7 3 2 3 2" xfId="8786"/>
    <cellStyle name="20% - Accent4 3 7 3 2 4" xfId="8787"/>
    <cellStyle name="20% - Accent4 3 7 3 3" xfId="8788"/>
    <cellStyle name="20% - Accent4 3 7 3 3 2" xfId="8789"/>
    <cellStyle name="20% - Accent4 3 7 3 3 2 2" xfId="8790"/>
    <cellStyle name="20% - Accent4 3 7 3 3 3" xfId="8791"/>
    <cellStyle name="20% - Accent4 3 7 3 4" xfId="8792"/>
    <cellStyle name="20% - Accent4 3 7 3 4 2" xfId="8793"/>
    <cellStyle name="20% - Accent4 3 7 3 5" xfId="8794"/>
    <cellStyle name="20% - Accent4 3 7 3 5 2" xfId="8795"/>
    <cellStyle name="20% - Accent4 3 7 3 6" xfId="8796"/>
    <cellStyle name="20% - Accent4 3 7 4" xfId="8797"/>
    <cellStyle name="20% - Accent4 3 7 4 2" xfId="8798"/>
    <cellStyle name="20% - Accent4 3 7 4 2 2" xfId="8799"/>
    <cellStyle name="20% - Accent4 3 7 4 2 2 2" xfId="8800"/>
    <cellStyle name="20% - Accent4 3 7 4 2 3" xfId="8801"/>
    <cellStyle name="20% - Accent4 3 7 4 3" xfId="8802"/>
    <cellStyle name="20% - Accent4 3 7 4 3 2" xfId="8803"/>
    <cellStyle name="20% - Accent4 3 7 4 4" xfId="8804"/>
    <cellStyle name="20% - Accent4 3 7 5" xfId="8805"/>
    <cellStyle name="20% - Accent4 3 7 5 2" xfId="8806"/>
    <cellStyle name="20% - Accent4 3 7 5 2 2" xfId="8807"/>
    <cellStyle name="20% - Accent4 3 7 5 3" xfId="8808"/>
    <cellStyle name="20% - Accent4 3 7 6" xfId="8809"/>
    <cellStyle name="20% - Accent4 3 7 6 2" xfId="8810"/>
    <cellStyle name="20% - Accent4 3 7 7" xfId="8811"/>
    <cellStyle name="20% - Accent4 3 7 7 2" xfId="8812"/>
    <cellStyle name="20% - Accent4 3 7 8" xfId="8813"/>
    <cellStyle name="20% - Accent4 3 8" xfId="8814"/>
    <cellStyle name="20% - Accent4 3 8 2" xfId="8815"/>
    <cellStyle name="20% - Accent4 3 8 2 2" xfId="8816"/>
    <cellStyle name="20% - Accent4 3 8 2 2 2" xfId="8817"/>
    <cellStyle name="20% - Accent4 3 8 2 2 2 2" xfId="8818"/>
    <cellStyle name="20% - Accent4 3 8 2 2 3" xfId="8819"/>
    <cellStyle name="20% - Accent4 3 8 2 3" xfId="8820"/>
    <cellStyle name="20% - Accent4 3 8 2 3 2" xfId="8821"/>
    <cellStyle name="20% - Accent4 3 8 2 4" xfId="8822"/>
    <cellStyle name="20% - Accent4 3 8 3" xfId="8823"/>
    <cellStyle name="20% - Accent4 3 8 3 2" xfId="8824"/>
    <cellStyle name="20% - Accent4 3 8 3 2 2" xfId="8825"/>
    <cellStyle name="20% - Accent4 3 8 3 3" xfId="8826"/>
    <cellStyle name="20% - Accent4 3 8 4" xfId="8827"/>
    <cellStyle name="20% - Accent4 3 8 4 2" xfId="8828"/>
    <cellStyle name="20% - Accent4 3 8 5" xfId="8829"/>
    <cellStyle name="20% - Accent4 3 8 5 2" xfId="8830"/>
    <cellStyle name="20% - Accent4 3 8 6" xfId="8831"/>
    <cellStyle name="20% - Accent4 3 9" xfId="8832"/>
    <cellStyle name="20% - Accent4 3 9 2" xfId="8833"/>
    <cellStyle name="20% - Accent4 3 9 2 2" xfId="8834"/>
    <cellStyle name="20% - Accent4 3 9 2 2 2" xfId="8835"/>
    <cellStyle name="20% - Accent4 3 9 2 2 2 2" xfId="8836"/>
    <cellStyle name="20% - Accent4 3 9 2 2 3" xfId="8837"/>
    <cellStyle name="20% - Accent4 3 9 2 3" xfId="8838"/>
    <cellStyle name="20% - Accent4 3 9 2 3 2" xfId="8839"/>
    <cellStyle name="20% - Accent4 3 9 2 4" xfId="8840"/>
    <cellStyle name="20% - Accent4 3 9 3" xfId="8841"/>
    <cellStyle name="20% - Accent4 3 9 3 2" xfId="8842"/>
    <cellStyle name="20% - Accent4 3 9 3 2 2" xfId="8843"/>
    <cellStyle name="20% - Accent4 3 9 3 3" xfId="8844"/>
    <cellStyle name="20% - Accent4 3 9 4" xfId="8845"/>
    <cellStyle name="20% - Accent4 3 9 4 2" xfId="8846"/>
    <cellStyle name="20% - Accent4 3 9 5" xfId="8847"/>
    <cellStyle name="20% - Accent4 3 9 5 2" xfId="8848"/>
    <cellStyle name="20% - Accent4 3 9 6" xfId="8849"/>
    <cellStyle name="20% - Accent4 4" xfId="8850"/>
    <cellStyle name="20% - Accent4 5" xfId="8851"/>
    <cellStyle name="20% - Accent4 5 10" xfId="8852"/>
    <cellStyle name="20% - Accent4 5 10 2" xfId="8853"/>
    <cellStyle name="20% - Accent4 5 11" xfId="8854"/>
    <cellStyle name="20% - Accent4 5 2" xfId="8855"/>
    <cellStyle name="20% - Accent4 5 2 2" xfId="8856"/>
    <cellStyle name="20% - Accent4 5 2 2 2" xfId="8857"/>
    <cellStyle name="20% - Accent4 5 2 2 2 2" xfId="8858"/>
    <cellStyle name="20% - Accent4 5 2 2 2 2 2" xfId="8859"/>
    <cellStyle name="20% - Accent4 5 2 2 2 2 2 2" xfId="8860"/>
    <cellStyle name="20% - Accent4 5 2 2 2 2 3" xfId="8861"/>
    <cellStyle name="20% - Accent4 5 2 2 2 3" xfId="8862"/>
    <cellStyle name="20% - Accent4 5 2 2 2 3 2" xfId="8863"/>
    <cellStyle name="20% - Accent4 5 2 2 2 4" xfId="8864"/>
    <cellStyle name="20% - Accent4 5 2 2 3" xfId="8865"/>
    <cellStyle name="20% - Accent4 5 2 2 3 2" xfId="8866"/>
    <cellStyle name="20% - Accent4 5 2 2 3 2 2" xfId="8867"/>
    <cellStyle name="20% - Accent4 5 2 2 3 3" xfId="8868"/>
    <cellStyle name="20% - Accent4 5 2 2 4" xfId="8869"/>
    <cellStyle name="20% - Accent4 5 2 2 4 2" xfId="8870"/>
    <cellStyle name="20% - Accent4 5 2 2 5" xfId="8871"/>
    <cellStyle name="20% - Accent4 5 2 2 5 2" xfId="8872"/>
    <cellStyle name="20% - Accent4 5 2 2 6" xfId="8873"/>
    <cellStyle name="20% - Accent4 5 2 3" xfId="8874"/>
    <cellStyle name="20% - Accent4 5 2 3 2" xfId="8875"/>
    <cellStyle name="20% - Accent4 5 2 3 2 2" xfId="8876"/>
    <cellStyle name="20% - Accent4 5 2 3 2 2 2" xfId="8877"/>
    <cellStyle name="20% - Accent4 5 2 3 2 2 2 2" xfId="8878"/>
    <cellStyle name="20% - Accent4 5 2 3 2 2 3" xfId="8879"/>
    <cellStyle name="20% - Accent4 5 2 3 2 3" xfId="8880"/>
    <cellStyle name="20% - Accent4 5 2 3 2 3 2" xfId="8881"/>
    <cellStyle name="20% - Accent4 5 2 3 2 4" xfId="8882"/>
    <cellStyle name="20% - Accent4 5 2 3 3" xfId="8883"/>
    <cellStyle name="20% - Accent4 5 2 3 3 2" xfId="8884"/>
    <cellStyle name="20% - Accent4 5 2 3 3 2 2" xfId="8885"/>
    <cellStyle name="20% - Accent4 5 2 3 3 3" xfId="8886"/>
    <cellStyle name="20% - Accent4 5 2 3 4" xfId="8887"/>
    <cellStyle name="20% - Accent4 5 2 3 4 2" xfId="8888"/>
    <cellStyle name="20% - Accent4 5 2 3 5" xfId="8889"/>
    <cellStyle name="20% - Accent4 5 2 3 5 2" xfId="8890"/>
    <cellStyle name="20% - Accent4 5 2 3 6" xfId="8891"/>
    <cellStyle name="20% - Accent4 5 2 4" xfId="8892"/>
    <cellStyle name="20% - Accent4 5 2 4 2" xfId="8893"/>
    <cellStyle name="20% - Accent4 5 2 4 2 2" xfId="8894"/>
    <cellStyle name="20% - Accent4 5 2 4 2 2 2" xfId="8895"/>
    <cellStyle name="20% - Accent4 5 2 4 2 3" xfId="8896"/>
    <cellStyle name="20% - Accent4 5 2 4 3" xfId="8897"/>
    <cellStyle name="20% - Accent4 5 2 4 3 2" xfId="8898"/>
    <cellStyle name="20% - Accent4 5 2 4 4" xfId="8899"/>
    <cellStyle name="20% - Accent4 5 2 5" xfId="8900"/>
    <cellStyle name="20% - Accent4 5 2 5 2" xfId="8901"/>
    <cellStyle name="20% - Accent4 5 2 5 2 2" xfId="8902"/>
    <cellStyle name="20% - Accent4 5 2 5 3" xfId="8903"/>
    <cellStyle name="20% - Accent4 5 2 6" xfId="8904"/>
    <cellStyle name="20% - Accent4 5 2 6 2" xfId="8905"/>
    <cellStyle name="20% - Accent4 5 2 7" xfId="8906"/>
    <cellStyle name="20% - Accent4 5 2 7 2" xfId="8907"/>
    <cellStyle name="20% - Accent4 5 2 8" xfId="8908"/>
    <cellStyle name="20% - Accent4 5 3" xfId="8909"/>
    <cellStyle name="20% - Accent4 5 3 2" xfId="8910"/>
    <cellStyle name="20% - Accent4 5 3 2 2" xfId="8911"/>
    <cellStyle name="20% - Accent4 5 3 2 2 2" xfId="8912"/>
    <cellStyle name="20% - Accent4 5 3 2 2 2 2" xfId="8913"/>
    <cellStyle name="20% - Accent4 5 3 2 2 2 2 2" xfId="8914"/>
    <cellStyle name="20% - Accent4 5 3 2 2 2 3" xfId="8915"/>
    <cellStyle name="20% - Accent4 5 3 2 2 3" xfId="8916"/>
    <cellStyle name="20% - Accent4 5 3 2 2 3 2" xfId="8917"/>
    <cellStyle name="20% - Accent4 5 3 2 2 4" xfId="8918"/>
    <cellStyle name="20% - Accent4 5 3 2 3" xfId="8919"/>
    <cellStyle name="20% - Accent4 5 3 2 3 2" xfId="8920"/>
    <cellStyle name="20% - Accent4 5 3 2 3 2 2" xfId="8921"/>
    <cellStyle name="20% - Accent4 5 3 2 3 3" xfId="8922"/>
    <cellStyle name="20% - Accent4 5 3 2 4" xfId="8923"/>
    <cellStyle name="20% - Accent4 5 3 2 4 2" xfId="8924"/>
    <cellStyle name="20% - Accent4 5 3 2 5" xfId="8925"/>
    <cellStyle name="20% - Accent4 5 3 2 5 2" xfId="8926"/>
    <cellStyle name="20% - Accent4 5 3 2 6" xfId="8927"/>
    <cellStyle name="20% - Accent4 5 3 3" xfId="8928"/>
    <cellStyle name="20% - Accent4 5 3 3 2" xfId="8929"/>
    <cellStyle name="20% - Accent4 5 3 3 2 2" xfId="8930"/>
    <cellStyle name="20% - Accent4 5 3 3 2 2 2" xfId="8931"/>
    <cellStyle name="20% - Accent4 5 3 3 2 2 2 2" xfId="8932"/>
    <cellStyle name="20% - Accent4 5 3 3 2 2 3" xfId="8933"/>
    <cellStyle name="20% - Accent4 5 3 3 2 3" xfId="8934"/>
    <cellStyle name="20% - Accent4 5 3 3 2 3 2" xfId="8935"/>
    <cellStyle name="20% - Accent4 5 3 3 2 4" xfId="8936"/>
    <cellStyle name="20% - Accent4 5 3 3 3" xfId="8937"/>
    <cellStyle name="20% - Accent4 5 3 3 3 2" xfId="8938"/>
    <cellStyle name="20% - Accent4 5 3 3 3 2 2" xfId="8939"/>
    <cellStyle name="20% - Accent4 5 3 3 3 3" xfId="8940"/>
    <cellStyle name="20% - Accent4 5 3 3 4" xfId="8941"/>
    <cellStyle name="20% - Accent4 5 3 3 4 2" xfId="8942"/>
    <cellStyle name="20% - Accent4 5 3 3 5" xfId="8943"/>
    <cellStyle name="20% - Accent4 5 3 3 5 2" xfId="8944"/>
    <cellStyle name="20% - Accent4 5 3 3 6" xfId="8945"/>
    <cellStyle name="20% - Accent4 5 3 4" xfId="8946"/>
    <cellStyle name="20% - Accent4 5 3 4 2" xfId="8947"/>
    <cellStyle name="20% - Accent4 5 3 4 2 2" xfId="8948"/>
    <cellStyle name="20% - Accent4 5 3 4 2 2 2" xfId="8949"/>
    <cellStyle name="20% - Accent4 5 3 4 2 3" xfId="8950"/>
    <cellStyle name="20% - Accent4 5 3 4 3" xfId="8951"/>
    <cellStyle name="20% - Accent4 5 3 4 3 2" xfId="8952"/>
    <cellStyle name="20% - Accent4 5 3 4 4" xfId="8953"/>
    <cellStyle name="20% - Accent4 5 3 5" xfId="8954"/>
    <cellStyle name="20% - Accent4 5 3 5 2" xfId="8955"/>
    <cellStyle name="20% - Accent4 5 3 5 2 2" xfId="8956"/>
    <cellStyle name="20% - Accent4 5 3 5 3" xfId="8957"/>
    <cellStyle name="20% - Accent4 5 3 6" xfId="8958"/>
    <cellStyle name="20% - Accent4 5 3 6 2" xfId="8959"/>
    <cellStyle name="20% - Accent4 5 3 7" xfId="8960"/>
    <cellStyle name="20% - Accent4 5 3 7 2" xfId="8961"/>
    <cellStyle name="20% - Accent4 5 3 8" xfId="8962"/>
    <cellStyle name="20% - Accent4 5 4" xfId="8963"/>
    <cellStyle name="20% - Accent4 5 4 2" xfId="8964"/>
    <cellStyle name="20% - Accent4 5 4 2 2" xfId="8965"/>
    <cellStyle name="20% - Accent4 5 4 2 2 2" xfId="8966"/>
    <cellStyle name="20% - Accent4 5 4 2 2 2 2" xfId="8967"/>
    <cellStyle name="20% - Accent4 5 4 2 2 3" xfId="8968"/>
    <cellStyle name="20% - Accent4 5 4 2 3" xfId="8969"/>
    <cellStyle name="20% - Accent4 5 4 2 3 2" xfId="8970"/>
    <cellStyle name="20% - Accent4 5 4 2 4" xfId="8971"/>
    <cellStyle name="20% - Accent4 5 4 3" xfId="8972"/>
    <cellStyle name="20% - Accent4 5 4 3 2" xfId="8973"/>
    <cellStyle name="20% - Accent4 5 4 3 2 2" xfId="8974"/>
    <cellStyle name="20% - Accent4 5 4 3 3" xfId="8975"/>
    <cellStyle name="20% - Accent4 5 4 4" xfId="8976"/>
    <cellStyle name="20% - Accent4 5 4 4 2" xfId="8977"/>
    <cellStyle name="20% - Accent4 5 4 5" xfId="8978"/>
    <cellStyle name="20% - Accent4 5 4 5 2" xfId="8979"/>
    <cellStyle name="20% - Accent4 5 4 6" xfId="8980"/>
    <cellStyle name="20% - Accent4 5 5" xfId="8981"/>
    <cellStyle name="20% - Accent4 5 5 2" xfId="8982"/>
    <cellStyle name="20% - Accent4 5 5 2 2" xfId="8983"/>
    <cellStyle name="20% - Accent4 5 5 2 2 2" xfId="8984"/>
    <cellStyle name="20% - Accent4 5 5 2 2 2 2" xfId="8985"/>
    <cellStyle name="20% - Accent4 5 5 2 2 3" xfId="8986"/>
    <cellStyle name="20% - Accent4 5 5 2 3" xfId="8987"/>
    <cellStyle name="20% - Accent4 5 5 2 3 2" xfId="8988"/>
    <cellStyle name="20% - Accent4 5 5 2 4" xfId="8989"/>
    <cellStyle name="20% - Accent4 5 5 3" xfId="8990"/>
    <cellStyle name="20% - Accent4 5 5 3 2" xfId="8991"/>
    <cellStyle name="20% - Accent4 5 5 3 2 2" xfId="8992"/>
    <cellStyle name="20% - Accent4 5 5 3 3" xfId="8993"/>
    <cellStyle name="20% - Accent4 5 5 4" xfId="8994"/>
    <cellStyle name="20% - Accent4 5 5 4 2" xfId="8995"/>
    <cellStyle name="20% - Accent4 5 5 5" xfId="8996"/>
    <cellStyle name="20% - Accent4 5 5 5 2" xfId="8997"/>
    <cellStyle name="20% - Accent4 5 5 6" xfId="8998"/>
    <cellStyle name="20% - Accent4 5 6" xfId="8999"/>
    <cellStyle name="20% - Accent4 5 6 2" xfId="9000"/>
    <cellStyle name="20% - Accent4 5 6 2 2" xfId="9001"/>
    <cellStyle name="20% - Accent4 5 6 2 2 2" xfId="9002"/>
    <cellStyle name="20% - Accent4 5 6 2 2 2 2" xfId="9003"/>
    <cellStyle name="20% - Accent4 5 6 2 2 3" xfId="9004"/>
    <cellStyle name="20% - Accent4 5 6 2 3" xfId="9005"/>
    <cellStyle name="20% - Accent4 5 6 2 3 2" xfId="9006"/>
    <cellStyle name="20% - Accent4 5 6 2 4" xfId="9007"/>
    <cellStyle name="20% - Accent4 5 6 3" xfId="9008"/>
    <cellStyle name="20% - Accent4 5 6 3 2" xfId="9009"/>
    <cellStyle name="20% - Accent4 5 6 3 2 2" xfId="9010"/>
    <cellStyle name="20% - Accent4 5 6 3 3" xfId="9011"/>
    <cellStyle name="20% - Accent4 5 6 4" xfId="9012"/>
    <cellStyle name="20% - Accent4 5 6 4 2" xfId="9013"/>
    <cellStyle name="20% - Accent4 5 6 5" xfId="9014"/>
    <cellStyle name="20% - Accent4 5 6 5 2" xfId="9015"/>
    <cellStyle name="20% - Accent4 5 6 6" xfId="9016"/>
    <cellStyle name="20% - Accent4 5 7" xfId="9017"/>
    <cellStyle name="20% - Accent4 5 7 2" xfId="9018"/>
    <cellStyle name="20% - Accent4 5 7 2 2" xfId="9019"/>
    <cellStyle name="20% - Accent4 5 7 2 2 2" xfId="9020"/>
    <cellStyle name="20% - Accent4 5 7 2 3" xfId="9021"/>
    <cellStyle name="20% - Accent4 5 7 3" xfId="9022"/>
    <cellStyle name="20% - Accent4 5 7 3 2" xfId="9023"/>
    <cellStyle name="20% - Accent4 5 7 4" xfId="9024"/>
    <cellStyle name="20% - Accent4 5 8" xfId="9025"/>
    <cellStyle name="20% - Accent4 5 8 2" xfId="9026"/>
    <cellStyle name="20% - Accent4 5 8 2 2" xfId="9027"/>
    <cellStyle name="20% - Accent4 5 8 3" xfId="9028"/>
    <cellStyle name="20% - Accent4 5 9" xfId="9029"/>
    <cellStyle name="20% - Accent4 5 9 2" xfId="9030"/>
    <cellStyle name="20% - Accent4 6" xfId="9031"/>
    <cellStyle name="20% - Accent4 6 10" xfId="9032"/>
    <cellStyle name="20% - Accent4 6 10 2" xfId="9033"/>
    <cellStyle name="20% - Accent4 6 11" xfId="9034"/>
    <cellStyle name="20% - Accent4 6 2" xfId="9035"/>
    <cellStyle name="20% - Accent4 6 2 2" xfId="9036"/>
    <cellStyle name="20% - Accent4 6 2 2 2" xfId="9037"/>
    <cellStyle name="20% - Accent4 6 2 2 2 2" xfId="9038"/>
    <cellStyle name="20% - Accent4 6 2 2 2 2 2" xfId="9039"/>
    <cellStyle name="20% - Accent4 6 2 2 2 2 2 2" xfId="9040"/>
    <cellStyle name="20% - Accent4 6 2 2 2 2 3" xfId="9041"/>
    <cellStyle name="20% - Accent4 6 2 2 2 3" xfId="9042"/>
    <cellStyle name="20% - Accent4 6 2 2 2 3 2" xfId="9043"/>
    <cellStyle name="20% - Accent4 6 2 2 2 4" xfId="9044"/>
    <cellStyle name="20% - Accent4 6 2 2 3" xfId="9045"/>
    <cellStyle name="20% - Accent4 6 2 2 3 2" xfId="9046"/>
    <cellStyle name="20% - Accent4 6 2 2 3 2 2" xfId="9047"/>
    <cellStyle name="20% - Accent4 6 2 2 3 3" xfId="9048"/>
    <cellStyle name="20% - Accent4 6 2 2 4" xfId="9049"/>
    <cellStyle name="20% - Accent4 6 2 2 4 2" xfId="9050"/>
    <cellStyle name="20% - Accent4 6 2 2 5" xfId="9051"/>
    <cellStyle name="20% - Accent4 6 2 2 5 2" xfId="9052"/>
    <cellStyle name="20% - Accent4 6 2 2 6" xfId="9053"/>
    <cellStyle name="20% - Accent4 6 2 3" xfId="9054"/>
    <cellStyle name="20% - Accent4 6 2 3 2" xfId="9055"/>
    <cellStyle name="20% - Accent4 6 2 3 2 2" xfId="9056"/>
    <cellStyle name="20% - Accent4 6 2 3 2 2 2" xfId="9057"/>
    <cellStyle name="20% - Accent4 6 2 3 2 2 2 2" xfId="9058"/>
    <cellStyle name="20% - Accent4 6 2 3 2 2 3" xfId="9059"/>
    <cellStyle name="20% - Accent4 6 2 3 2 3" xfId="9060"/>
    <cellStyle name="20% - Accent4 6 2 3 2 3 2" xfId="9061"/>
    <cellStyle name="20% - Accent4 6 2 3 2 4" xfId="9062"/>
    <cellStyle name="20% - Accent4 6 2 3 3" xfId="9063"/>
    <cellStyle name="20% - Accent4 6 2 3 3 2" xfId="9064"/>
    <cellStyle name="20% - Accent4 6 2 3 3 2 2" xfId="9065"/>
    <cellStyle name="20% - Accent4 6 2 3 3 3" xfId="9066"/>
    <cellStyle name="20% - Accent4 6 2 3 4" xfId="9067"/>
    <cellStyle name="20% - Accent4 6 2 3 4 2" xfId="9068"/>
    <cellStyle name="20% - Accent4 6 2 3 5" xfId="9069"/>
    <cellStyle name="20% - Accent4 6 2 3 5 2" xfId="9070"/>
    <cellStyle name="20% - Accent4 6 2 3 6" xfId="9071"/>
    <cellStyle name="20% - Accent4 6 2 4" xfId="9072"/>
    <cellStyle name="20% - Accent4 6 2 4 2" xfId="9073"/>
    <cellStyle name="20% - Accent4 6 2 4 2 2" xfId="9074"/>
    <cellStyle name="20% - Accent4 6 2 4 2 2 2" xfId="9075"/>
    <cellStyle name="20% - Accent4 6 2 4 2 3" xfId="9076"/>
    <cellStyle name="20% - Accent4 6 2 4 3" xfId="9077"/>
    <cellStyle name="20% - Accent4 6 2 4 3 2" xfId="9078"/>
    <cellStyle name="20% - Accent4 6 2 4 4" xfId="9079"/>
    <cellStyle name="20% - Accent4 6 2 5" xfId="9080"/>
    <cellStyle name="20% - Accent4 6 2 5 2" xfId="9081"/>
    <cellStyle name="20% - Accent4 6 2 5 2 2" xfId="9082"/>
    <cellStyle name="20% - Accent4 6 2 5 3" xfId="9083"/>
    <cellStyle name="20% - Accent4 6 2 6" xfId="9084"/>
    <cellStyle name="20% - Accent4 6 2 6 2" xfId="9085"/>
    <cellStyle name="20% - Accent4 6 2 7" xfId="9086"/>
    <cellStyle name="20% - Accent4 6 2 7 2" xfId="9087"/>
    <cellStyle name="20% - Accent4 6 2 8" xfId="9088"/>
    <cellStyle name="20% - Accent4 6 3" xfId="9089"/>
    <cellStyle name="20% - Accent4 6 3 2" xfId="9090"/>
    <cellStyle name="20% - Accent4 6 3 2 2" xfId="9091"/>
    <cellStyle name="20% - Accent4 6 3 2 2 2" xfId="9092"/>
    <cellStyle name="20% - Accent4 6 3 2 2 2 2" xfId="9093"/>
    <cellStyle name="20% - Accent4 6 3 2 2 2 2 2" xfId="9094"/>
    <cellStyle name="20% - Accent4 6 3 2 2 2 3" xfId="9095"/>
    <cellStyle name="20% - Accent4 6 3 2 2 3" xfId="9096"/>
    <cellStyle name="20% - Accent4 6 3 2 2 3 2" xfId="9097"/>
    <cellStyle name="20% - Accent4 6 3 2 2 4" xfId="9098"/>
    <cellStyle name="20% - Accent4 6 3 2 3" xfId="9099"/>
    <cellStyle name="20% - Accent4 6 3 2 3 2" xfId="9100"/>
    <cellStyle name="20% - Accent4 6 3 2 3 2 2" xfId="9101"/>
    <cellStyle name="20% - Accent4 6 3 2 3 3" xfId="9102"/>
    <cellStyle name="20% - Accent4 6 3 2 4" xfId="9103"/>
    <cellStyle name="20% - Accent4 6 3 2 4 2" xfId="9104"/>
    <cellStyle name="20% - Accent4 6 3 2 5" xfId="9105"/>
    <cellStyle name="20% - Accent4 6 3 2 5 2" xfId="9106"/>
    <cellStyle name="20% - Accent4 6 3 2 6" xfId="9107"/>
    <cellStyle name="20% - Accent4 6 3 3" xfId="9108"/>
    <cellStyle name="20% - Accent4 6 3 3 2" xfId="9109"/>
    <cellStyle name="20% - Accent4 6 3 3 2 2" xfId="9110"/>
    <cellStyle name="20% - Accent4 6 3 3 2 2 2" xfId="9111"/>
    <cellStyle name="20% - Accent4 6 3 3 2 2 2 2" xfId="9112"/>
    <cellStyle name="20% - Accent4 6 3 3 2 2 3" xfId="9113"/>
    <cellStyle name="20% - Accent4 6 3 3 2 3" xfId="9114"/>
    <cellStyle name="20% - Accent4 6 3 3 2 3 2" xfId="9115"/>
    <cellStyle name="20% - Accent4 6 3 3 2 4" xfId="9116"/>
    <cellStyle name="20% - Accent4 6 3 3 3" xfId="9117"/>
    <cellStyle name="20% - Accent4 6 3 3 3 2" xfId="9118"/>
    <cellStyle name="20% - Accent4 6 3 3 3 2 2" xfId="9119"/>
    <cellStyle name="20% - Accent4 6 3 3 3 3" xfId="9120"/>
    <cellStyle name="20% - Accent4 6 3 3 4" xfId="9121"/>
    <cellStyle name="20% - Accent4 6 3 3 4 2" xfId="9122"/>
    <cellStyle name="20% - Accent4 6 3 3 5" xfId="9123"/>
    <cellStyle name="20% - Accent4 6 3 3 5 2" xfId="9124"/>
    <cellStyle name="20% - Accent4 6 3 3 6" xfId="9125"/>
    <cellStyle name="20% - Accent4 6 3 4" xfId="9126"/>
    <cellStyle name="20% - Accent4 6 3 4 2" xfId="9127"/>
    <cellStyle name="20% - Accent4 6 3 4 2 2" xfId="9128"/>
    <cellStyle name="20% - Accent4 6 3 4 2 2 2" xfId="9129"/>
    <cellStyle name="20% - Accent4 6 3 4 2 3" xfId="9130"/>
    <cellStyle name="20% - Accent4 6 3 4 3" xfId="9131"/>
    <cellStyle name="20% - Accent4 6 3 4 3 2" xfId="9132"/>
    <cellStyle name="20% - Accent4 6 3 4 4" xfId="9133"/>
    <cellStyle name="20% - Accent4 6 3 5" xfId="9134"/>
    <cellStyle name="20% - Accent4 6 3 5 2" xfId="9135"/>
    <cellStyle name="20% - Accent4 6 3 5 2 2" xfId="9136"/>
    <cellStyle name="20% - Accent4 6 3 5 3" xfId="9137"/>
    <cellStyle name="20% - Accent4 6 3 6" xfId="9138"/>
    <cellStyle name="20% - Accent4 6 3 6 2" xfId="9139"/>
    <cellStyle name="20% - Accent4 6 3 7" xfId="9140"/>
    <cellStyle name="20% - Accent4 6 3 7 2" xfId="9141"/>
    <cellStyle name="20% - Accent4 6 3 8" xfId="9142"/>
    <cellStyle name="20% - Accent4 6 4" xfId="9143"/>
    <cellStyle name="20% - Accent4 6 4 2" xfId="9144"/>
    <cellStyle name="20% - Accent4 6 4 2 2" xfId="9145"/>
    <cellStyle name="20% - Accent4 6 4 2 2 2" xfId="9146"/>
    <cellStyle name="20% - Accent4 6 4 2 2 2 2" xfId="9147"/>
    <cellStyle name="20% - Accent4 6 4 2 2 3" xfId="9148"/>
    <cellStyle name="20% - Accent4 6 4 2 3" xfId="9149"/>
    <cellStyle name="20% - Accent4 6 4 2 3 2" xfId="9150"/>
    <cellStyle name="20% - Accent4 6 4 2 4" xfId="9151"/>
    <cellStyle name="20% - Accent4 6 4 3" xfId="9152"/>
    <cellStyle name="20% - Accent4 6 4 3 2" xfId="9153"/>
    <cellStyle name="20% - Accent4 6 4 3 2 2" xfId="9154"/>
    <cellStyle name="20% - Accent4 6 4 3 3" xfId="9155"/>
    <cellStyle name="20% - Accent4 6 4 4" xfId="9156"/>
    <cellStyle name="20% - Accent4 6 4 4 2" xfId="9157"/>
    <cellStyle name="20% - Accent4 6 4 5" xfId="9158"/>
    <cellStyle name="20% - Accent4 6 4 5 2" xfId="9159"/>
    <cellStyle name="20% - Accent4 6 4 6" xfId="9160"/>
    <cellStyle name="20% - Accent4 6 5" xfId="9161"/>
    <cellStyle name="20% - Accent4 6 5 2" xfId="9162"/>
    <cellStyle name="20% - Accent4 6 5 2 2" xfId="9163"/>
    <cellStyle name="20% - Accent4 6 5 2 2 2" xfId="9164"/>
    <cellStyle name="20% - Accent4 6 5 2 2 2 2" xfId="9165"/>
    <cellStyle name="20% - Accent4 6 5 2 2 3" xfId="9166"/>
    <cellStyle name="20% - Accent4 6 5 2 3" xfId="9167"/>
    <cellStyle name="20% - Accent4 6 5 2 3 2" xfId="9168"/>
    <cellStyle name="20% - Accent4 6 5 2 4" xfId="9169"/>
    <cellStyle name="20% - Accent4 6 5 3" xfId="9170"/>
    <cellStyle name="20% - Accent4 6 5 3 2" xfId="9171"/>
    <cellStyle name="20% - Accent4 6 5 3 2 2" xfId="9172"/>
    <cellStyle name="20% - Accent4 6 5 3 3" xfId="9173"/>
    <cellStyle name="20% - Accent4 6 5 4" xfId="9174"/>
    <cellStyle name="20% - Accent4 6 5 4 2" xfId="9175"/>
    <cellStyle name="20% - Accent4 6 5 5" xfId="9176"/>
    <cellStyle name="20% - Accent4 6 5 5 2" xfId="9177"/>
    <cellStyle name="20% - Accent4 6 5 6" xfId="9178"/>
    <cellStyle name="20% - Accent4 6 6" xfId="9179"/>
    <cellStyle name="20% - Accent4 6 6 2" xfId="9180"/>
    <cellStyle name="20% - Accent4 6 6 2 2" xfId="9181"/>
    <cellStyle name="20% - Accent4 6 6 2 2 2" xfId="9182"/>
    <cellStyle name="20% - Accent4 6 6 2 2 2 2" xfId="9183"/>
    <cellStyle name="20% - Accent4 6 6 2 2 3" xfId="9184"/>
    <cellStyle name="20% - Accent4 6 6 2 3" xfId="9185"/>
    <cellStyle name="20% - Accent4 6 6 2 3 2" xfId="9186"/>
    <cellStyle name="20% - Accent4 6 6 2 4" xfId="9187"/>
    <cellStyle name="20% - Accent4 6 6 3" xfId="9188"/>
    <cellStyle name="20% - Accent4 6 6 3 2" xfId="9189"/>
    <cellStyle name="20% - Accent4 6 6 3 2 2" xfId="9190"/>
    <cellStyle name="20% - Accent4 6 6 3 3" xfId="9191"/>
    <cellStyle name="20% - Accent4 6 6 4" xfId="9192"/>
    <cellStyle name="20% - Accent4 6 6 4 2" xfId="9193"/>
    <cellStyle name="20% - Accent4 6 6 5" xfId="9194"/>
    <cellStyle name="20% - Accent4 6 6 5 2" xfId="9195"/>
    <cellStyle name="20% - Accent4 6 6 6" xfId="9196"/>
    <cellStyle name="20% - Accent4 6 7" xfId="9197"/>
    <cellStyle name="20% - Accent4 6 7 2" xfId="9198"/>
    <cellStyle name="20% - Accent4 6 7 2 2" xfId="9199"/>
    <cellStyle name="20% - Accent4 6 7 2 2 2" xfId="9200"/>
    <cellStyle name="20% - Accent4 6 7 2 3" xfId="9201"/>
    <cellStyle name="20% - Accent4 6 7 3" xfId="9202"/>
    <cellStyle name="20% - Accent4 6 7 3 2" xfId="9203"/>
    <cellStyle name="20% - Accent4 6 7 4" xfId="9204"/>
    <cellStyle name="20% - Accent4 6 8" xfId="9205"/>
    <cellStyle name="20% - Accent4 6 8 2" xfId="9206"/>
    <cellStyle name="20% - Accent4 6 8 2 2" xfId="9207"/>
    <cellStyle name="20% - Accent4 6 8 3" xfId="9208"/>
    <cellStyle name="20% - Accent4 6 9" xfId="9209"/>
    <cellStyle name="20% - Accent4 6 9 2" xfId="9210"/>
    <cellStyle name="20% - Accent4 7" xfId="9211"/>
    <cellStyle name="20% - Accent4 7 10" xfId="9212"/>
    <cellStyle name="20% - Accent4 7 10 2" xfId="9213"/>
    <cellStyle name="20% - Accent4 7 11" xfId="9214"/>
    <cellStyle name="20% - Accent4 7 2" xfId="9215"/>
    <cellStyle name="20% - Accent4 7 2 2" xfId="9216"/>
    <cellStyle name="20% - Accent4 7 2 2 2" xfId="9217"/>
    <cellStyle name="20% - Accent4 7 2 2 2 2" xfId="9218"/>
    <cellStyle name="20% - Accent4 7 2 2 2 2 2" xfId="9219"/>
    <cellStyle name="20% - Accent4 7 2 2 2 2 2 2" xfId="9220"/>
    <cellStyle name="20% - Accent4 7 2 2 2 2 3" xfId="9221"/>
    <cellStyle name="20% - Accent4 7 2 2 2 3" xfId="9222"/>
    <cellStyle name="20% - Accent4 7 2 2 2 3 2" xfId="9223"/>
    <cellStyle name="20% - Accent4 7 2 2 2 4" xfId="9224"/>
    <cellStyle name="20% - Accent4 7 2 2 3" xfId="9225"/>
    <cellStyle name="20% - Accent4 7 2 2 3 2" xfId="9226"/>
    <cellStyle name="20% - Accent4 7 2 2 3 2 2" xfId="9227"/>
    <cellStyle name="20% - Accent4 7 2 2 3 3" xfId="9228"/>
    <cellStyle name="20% - Accent4 7 2 2 4" xfId="9229"/>
    <cellStyle name="20% - Accent4 7 2 2 4 2" xfId="9230"/>
    <cellStyle name="20% - Accent4 7 2 2 5" xfId="9231"/>
    <cellStyle name="20% - Accent4 7 2 2 5 2" xfId="9232"/>
    <cellStyle name="20% - Accent4 7 2 2 6" xfId="9233"/>
    <cellStyle name="20% - Accent4 7 2 3" xfId="9234"/>
    <cellStyle name="20% - Accent4 7 2 3 2" xfId="9235"/>
    <cellStyle name="20% - Accent4 7 2 3 2 2" xfId="9236"/>
    <cellStyle name="20% - Accent4 7 2 3 2 2 2" xfId="9237"/>
    <cellStyle name="20% - Accent4 7 2 3 2 2 2 2" xfId="9238"/>
    <cellStyle name="20% - Accent4 7 2 3 2 2 3" xfId="9239"/>
    <cellStyle name="20% - Accent4 7 2 3 2 3" xfId="9240"/>
    <cellStyle name="20% - Accent4 7 2 3 2 3 2" xfId="9241"/>
    <cellStyle name="20% - Accent4 7 2 3 2 4" xfId="9242"/>
    <cellStyle name="20% - Accent4 7 2 3 3" xfId="9243"/>
    <cellStyle name="20% - Accent4 7 2 3 3 2" xfId="9244"/>
    <cellStyle name="20% - Accent4 7 2 3 3 2 2" xfId="9245"/>
    <cellStyle name="20% - Accent4 7 2 3 3 3" xfId="9246"/>
    <cellStyle name="20% - Accent4 7 2 3 4" xfId="9247"/>
    <cellStyle name="20% - Accent4 7 2 3 4 2" xfId="9248"/>
    <cellStyle name="20% - Accent4 7 2 3 5" xfId="9249"/>
    <cellStyle name="20% - Accent4 7 2 3 5 2" xfId="9250"/>
    <cellStyle name="20% - Accent4 7 2 3 6" xfId="9251"/>
    <cellStyle name="20% - Accent4 7 2 4" xfId="9252"/>
    <cellStyle name="20% - Accent4 7 2 4 2" xfId="9253"/>
    <cellStyle name="20% - Accent4 7 2 4 2 2" xfId="9254"/>
    <cellStyle name="20% - Accent4 7 2 4 2 2 2" xfId="9255"/>
    <cellStyle name="20% - Accent4 7 2 4 2 3" xfId="9256"/>
    <cellStyle name="20% - Accent4 7 2 4 3" xfId="9257"/>
    <cellStyle name="20% - Accent4 7 2 4 3 2" xfId="9258"/>
    <cellStyle name="20% - Accent4 7 2 4 4" xfId="9259"/>
    <cellStyle name="20% - Accent4 7 2 5" xfId="9260"/>
    <cellStyle name="20% - Accent4 7 2 5 2" xfId="9261"/>
    <cellStyle name="20% - Accent4 7 2 5 2 2" xfId="9262"/>
    <cellStyle name="20% - Accent4 7 2 5 3" xfId="9263"/>
    <cellStyle name="20% - Accent4 7 2 6" xfId="9264"/>
    <cellStyle name="20% - Accent4 7 2 6 2" xfId="9265"/>
    <cellStyle name="20% - Accent4 7 2 7" xfId="9266"/>
    <cellStyle name="20% - Accent4 7 2 7 2" xfId="9267"/>
    <cellStyle name="20% - Accent4 7 2 8" xfId="9268"/>
    <cellStyle name="20% - Accent4 7 3" xfId="9269"/>
    <cellStyle name="20% - Accent4 7 3 2" xfId="9270"/>
    <cellStyle name="20% - Accent4 7 3 2 2" xfId="9271"/>
    <cellStyle name="20% - Accent4 7 3 2 2 2" xfId="9272"/>
    <cellStyle name="20% - Accent4 7 3 2 2 2 2" xfId="9273"/>
    <cellStyle name="20% - Accent4 7 3 2 2 2 2 2" xfId="9274"/>
    <cellStyle name="20% - Accent4 7 3 2 2 2 3" xfId="9275"/>
    <cellStyle name="20% - Accent4 7 3 2 2 3" xfId="9276"/>
    <cellStyle name="20% - Accent4 7 3 2 2 3 2" xfId="9277"/>
    <cellStyle name="20% - Accent4 7 3 2 2 4" xfId="9278"/>
    <cellStyle name="20% - Accent4 7 3 2 3" xfId="9279"/>
    <cellStyle name="20% - Accent4 7 3 2 3 2" xfId="9280"/>
    <cellStyle name="20% - Accent4 7 3 2 3 2 2" xfId="9281"/>
    <cellStyle name="20% - Accent4 7 3 2 3 3" xfId="9282"/>
    <cellStyle name="20% - Accent4 7 3 2 4" xfId="9283"/>
    <cellStyle name="20% - Accent4 7 3 2 4 2" xfId="9284"/>
    <cellStyle name="20% - Accent4 7 3 2 5" xfId="9285"/>
    <cellStyle name="20% - Accent4 7 3 2 5 2" xfId="9286"/>
    <cellStyle name="20% - Accent4 7 3 2 6" xfId="9287"/>
    <cellStyle name="20% - Accent4 7 3 3" xfId="9288"/>
    <cellStyle name="20% - Accent4 7 3 3 2" xfId="9289"/>
    <cellStyle name="20% - Accent4 7 3 3 2 2" xfId="9290"/>
    <cellStyle name="20% - Accent4 7 3 3 2 2 2" xfId="9291"/>
    <cellStyle name="20% - Accent4 7 3 3 2 2 2 2" xfId="9292"/>
    <cellStyle name="20% - Accent4 7 3 3 2 2 3" xfId="9293"/>
    <cellStyle name="20% - Accent4 7 3 3 2 3" xfId="9294"/>
    <cellStyle name="20% - Accent4 7 3 3 2 3 2" xfId="9295"/>
    <cellStyle name="20% - Accent4 7 3 3 2 4" xfId="9296"/>
    <cellStyle name="20% - Accent4 7 3 3 3" xfId="9297"/>
    <cellStyle name="20% - Accent4 7 3 3 3 2" xfId="9298"/>
    <cellStyle name="20% - Accent4 7 3 3 3 2 2" xfId="9299"/>
    <cellStyle name="20% - Accent4 7 3 3 3 3" xfId="9300"/>
    <cellStyle name="20% - Accent4 7 3 3 4" xfId="9301"/>
    <cellStyle name="20% - Accent4 7 3 3 4 2" xfId="9302"/>
    <cellStyle name="20% - Accent4 7 3 3 5" xfId="9303"/>
    <cellStyle name="20% - Accent4 7 3 3 5 2" xfId="9304"/>
    <cellStyle name="20% - Accent4 7 3 3 6" xfId="9305"/>
    <cellStyle name="20% - Accent4 7 3 4" xfId="9306"/>
    <cellStyle name="20% - Accent4 7 3 4 2" xfId="9307"/>
    <cellStyle name="20% - Accent4 7 3 4 2 2" xfId="9308"/>
    <cellStyle name="20% - Accent4 7 3 4 2 2 2" xfId="9309"/>
    <cellStyle name="20% - Accent4 7 3 4 2 3" xfId="9310"/>
    <cellStyle name="20% - Accent4 7 3 4 3" xfId="9311"/>
    <cellStyle name="20% - Accent4 7 3 4 3 2" xfId="9312"/>
    <cellStyle name="20% - Accent4 7 3 4 4" xfId="9313"/>
    <cellStyle name="20% - Accent4 7 3 5" xfId="9314"/>
    <cellStyle name="20% - Accent4 7 3 5 2" xfId="9315"/>
    <cellStyle name="20% - Accent4 7 3 5 2 2" xfId="9316"/>
    <cellStyle name="20% - Accent4 7 3 5 3" xfId="9317"/>
    <cellStyle name="20% - Accent4 7 3 6" xfId="9318"/>
    <cellStyle name="20% - Accent4 7 3 6 2" xfId="9319"/>
    <cellStyle name="20% - Accent4 7 3 7" xfId="9320"/>
    <cellStyle name="20% - Accent4 7 3 7 2" xfId="9321"/>
    <cellStyle name="20% - Accent4 7 3 8" xfId="9322"/>
    <cellStyle name="20% - Accent4 7 4" xfId="9323"/>
    <cellStyle name="20% - Accent4 7 4 2" xfId="9324"/>
    <cellStyle name="20% - Accent4 7 4 2 2" xfId="9325"/>
    <cellStyle name="20% - Accent4 7 4 2 2 2" xfId="9326"/>
    <cellStyle name="20% - Accent4 7 4 2 2 2 2" xfId="9327"/>
    <cellStyle name="20% - Accent4 7 4 2 2 3" xfId="9328"/>
    <cellStyle name="20% - Accent4 7 4 2 3" xfId="9329"/>
    <cellStyle name="20% - Accent4 7 4 2 3 2" xfId="9330"/>
    <cellStyle name="20% - Accent4 7 4 2 4" xfId="9331"/>
    <cellStyle name="20% - Accent4 7 4 3" xfId="9332"/>
    <cellStyle name="20% - Accent4 7 4 3 2" xfId="9333"/>
    <cellStyle name="20% - Accent4 7 4 3 2 2" xfId="9334"/>
    <cellStyle name="20% - Accent4 7 4 3 3" xfId="9335"/>
    <cellStyle name="20% - Accent4 7 4 4" xfId="9336"/>
    <cellStyle name="20% - Accent4 7 4 4 2" xfId="9337"/>
    <cellStyle name="20% - Accent4 7 4 5" xfId="9338"/>
    <cellStyle name="20% - Accent4 7 4 5 2" xfId="9339"/>
    <cellStyle name="20% - Accent4 7 4 6" xfId="9340"/>
    <cellStyle name="20% - Accent4 7 5" xfId="9341"/>
    <cellStyle name="20% - Accent4 7 5 2" xfId="9342"/>
    <cellStyle name="20% - Accent4 7 5 2 2" xfId="9343"/>
    <cellStyle name="20% - Accent4 7 5 2 2 2" xfId="9344"/>
    <cellStyle name="20% - Accent4 7 5 2 2 2 2" xfId="9345"/>
    <cellStyle name="20% - Accent4 7 5 2 2 3" xfId="9346"/>
    <cellStyle name="20% - Accent4 7 5 2 3" xfId="9347"/>
    <cellStyle name="20% - Accent4 7 5 2 3 2" xfId="9348"/>
    <cellStyle name="20% - Accent4 7 5 2 4" xfId="9349"/>
    <cellStyle name="20% - Accent4 7 5 3" xfId="9350"/>
    <cellStyle name="20% - Accent4 7 5 3 2" xfId="9351"/>
    <cellStyle name="20% - Accent4 7 5 3 2 2" xfId="9352"/>
    <cellStyle name="20% - Accent4 7 5 3 3" xfId="9353"/>
    <cellStyle name="20% - Accent4 7 5 4" xfId="9354"/>
    <cellStyle name="20% - Accent4 7 5 4 2" xfId="9355"/>
    <cellStyle name="20% - Accent4 7 5 5" xfId="9356"/>
    <cellStyle name="20% - Accent4 7 5 5 2" xfId="9357"/>
    <cellStyle name="20% - Accent4 7 5 6" xfId="9358"/>
    <cellStyle name="20% - Accent4 7 6" xfId="9359"/>
    <cellStyle name="20% - Accent4 7 6 2" xfId="9360"/>
    <cellStyle name="20% - Accent4 7 6 2 2" xfId="9361"/>
    <cellStyle name="20% - Accent4 7 6 2 2 2" xfId="9362"/>
    <cellStyle name="20% - Accent4 7 6 2 2 2 2" xfId="9363"/>
    <cellStyle name="20% - Accent4 7 6 2 2 3" xfId="9364"/>
    <cellStyle name="20% - Accent4 7 6 2 3" xfId="9365"/>
    <cellStyle name="20% - Accent4 7 6 2 3 2" xfId="9366"/>
    <cellStyle name="20% - Accent4 7 6 2 4" xfId="9367"/>
    <cellStyle name="20% - Accent4 7 6 3" xfId="9368"/>
    <cellStyle name="20% - Accent4 7 6 3 2" xfId="9369"/>
    <cellStyle name="20% - Accent4 7 6 3 2 2" xfId="9370"/>
    <cellStyle name="20% - Accent4 7 6 3 3" xfId="9371"/>
    <cellStyle name="20% - Accent4 7 6 4" xfId="9372"/>
    <cellStyle name="20% - Accent4 7 6 4 2" xfId="9373"/>
    <cellStyle name="20% - Accent4 7 6 5" xfId="9374"/>
    <cellStyle name="20% - Accent4 7 6 5 2" xfId="9375"/>
    <cellStyle name="20% - Accent4 7 6 6" xfId="9376"/>
    <cellStyle name="20% - Accent4 7 7" xfId="9377"/>
    <cellStyle name="20% - Accent4 7 7 2" xfId="9378"/>
    <cellStyle name="20% - Accent4 7 7 2 2" xfId="9379"/>
    <cellStyle name="20% - Accent4 7 7 2 2 2" xfId="9380"/>
    <cellStyle name="20% - Accent4 7 7 2 3" xfId="9381"/>
    <cellStyle name="20% - Accent4 7 7 3" xfId="9382"/>
    <cellStyle name="20% - Accent4 7 7 3 2" xfId="9383"/>
    <cellStyle name="20% - Accent4 7 7 4" xfId="9384"/>
    <cellStyle name="20% - Accent4 7 8" xfId="9385"/>
    <cellStyle name="20% - Accent4 7 8 2" xfId="9386"/>
    <cellStyle name="20% - Accent4 7 8 2 2" xfId="9387"/>
    <cellStyle name="20% - Accent4 7 8 3" xfId="9388"/>
    <cellStyle name="20% - Accent4 7 9" xfId="9389"/>
    <cellStyle name="20% - Accent4 7 9 2" xfId="9390"/>
    <cellStyle name="20% - Accent4 8" xfId="9391"/>
    <cellStyle name="20% - Accent4 8 2" xfId="9392"/>
    <cellStyle name="20% - Accent4 8 2 2" xfId="9393"/>
    <cellStyle name="20% - Accent4 8 2 2 2" xfId="9394"/>
    <cellStyle name="20% - Accent4 8 2 2 2 2" xfId="9395"/>
    <cellStyle name="20% - Accent4 8 2 2 2 2 2" xfId="9396"/>
    <cellStyle name="20% - Accent4 8 2 2 2 3" xfId="9397"/>
    <cellStyle name="20% - Accent4 8 2 2 3" xfId="9398"/>
    <cellStyle name="20% - Accent4 8 2 2 3 2" xfId="9399"/>
    <cellStyle name="20% - Accent4 8 2 2 4" xfId="9400"/>
    <cellStyle name="20% - Accent4 8 2 3" xfId="9401"/>
    <cellStyle name="20% - Accent4 8 2 3 2" xfId="9402"/>
    <cellStyle name="20% - Accent4 8 2 3 2 2" xfId="9403"/>
    <cellStyle name="20% - Accent4 8 2 3 3" xfId="9404"/>
    <cellStyle name="20% - Accent4 8 2 4" xfId="9405"/>
    <cellStyle name="20% - Accent4 8 2 4 2" xfId="9406"/>
    <cellStyle name="20% - Accent4 8 2 5" xfId="9407"/>
    <cellStyle name="20% - Accent4 8 2 5 2" xfId="9408"/>
    <cellStyle name="20% - Accent4 8 2 6" xfId="9409"/>
    <cellStyle name="20% - Accent4 8 3" xfId="9410"/>
    <cellStyle name="20% - Accent4 8 3 2" xfId="9411"/>
    <cellStyle name="20% - Accent4 8 3 2 2" xfId="9412"/>
    <cellStyle name="20% - Accent4 8 3 2 2 2" xfId="9413"/>
    <cellStyle name="20% - Accent4 8 3 2 2 2 2" xfId="9414"/>
    <cellStyle name="20% - Accent4 8 3 2 2 3" xfId="9415"/>
    <cellStyle name="20% - Accent4 8 3 2 3" xfId="9416"/>
    <cellStyle name="20% - Accent4 8 3 2 3 2" xfId="9417"/>
    <cellStyle name="20% - Accent4 8 3 2 4" xfId="9418"/>
    <cellStyle name="20% - Accent4 8 3 3" xfId="9419"/>
    <cellStyle name="20% - Accent4 8 3 3 2" xfId="9420"/>
    <cellStyle name="20% - Accent4 8 3 3 2 2" xfId="9421"/>
    <cellStyle name="20% - Accent4 8 3 3 3" xfId="9422"/>
    <cellStyle name="20% - Accent4 8 3 4" xfId="9423"/>
    <cellStyle name="20% - Accent4 8 3 4 2" xfId="9424"/>
    <cellStyle name="20% - Accent4 8 3 5" xfId="9425"/>
    <cellStyle name="20% - Accent4 8 3 5 2" xfId="9426"/>
    <cellStyle name="20% - Accent4 8 3 6" xfId="9427"/>
    <cellStyle name="20% - Accent4 8 4" xfId="9428"/>
    <cellStyle name="20% - Accent4 8 4 2" xfId="9429"/>
    <cellStyle name="20% - Accent4 8 4 2 2" xfId="9430"/>
    <cellStyle name="20% - Accent4 8 4 2 2 2" xfId="9431"/>
    <cellStyle name="20% - Accent4 8 4 2 3" xfId="9432"/>
    <cellStyle name="20% - Accent4 8 4 3" xfId="9433"/>
    <cellStyle name="20% - Accent4 8 4 3 2" xfId="9434"/>
    <cellStyle name="20% - Accent4 8 4 4" xfId="9435"/>
    <cellStyle name="20% - Accent4 8 5" xfId="9436"/>
    <cellStyle name="20% - Accent4 8 5 2" xfId="9437"/>
    <cellStyle name="20% - Accent4 8 5 2 2" xfId="9438"/>
    <cellStyle name="20% - Accent4 8 5 3" xfId="9439"/>
    <cellStyle name="20% - Accent4 8 6" xfId="9440"/>
    <cellStyle name="20% - Accent4 8 6 2" xfId="9441"/>
    <cellStyle name="20% - Accent4 8 7" xfId="9442"/>
    <cellStyle name="20% - Accent4 8 7 2" xfId="9443"/>
    <cellStyle name="20% - Accent4 8 8" xfId="9444"/>
    <cellStyle name="20% - Accent4 9" xfId="9445"/>
    <cellStyle name="20% - Accent4 9 2" xfId="9446"/>
    <cellStyle name="20% - Accent4 9 2 2" xfId="9447"/>
    <cellStyle name="20% - Accent4 9 2 2 2" xfId="9448"/>
    <cellStyle name="20% - Accent4 9 2 2 2 2" xfId="9449"/>
    <cellStyle name="20% - Accent4 9 2 2 2 2 2" xfId="9450"/>
    <cellStyle name="20% - Accent4 9 2 2 2 3" xfId="9451"/>
    <cellStyle name="20% - Accent4 9 2 2 3" xfId="9452"/>
    <cellStyle name="20% - Accent4 9 2 2 3 2" xfId="9453"/>
    <cellStyle name="20% - Accent4 9 2 2 4" xfId="9454"/>
    <cellStyle name="20% - Accent4 9 2 3" xfId="9455"/>
    <cellStyle name="20% - Accent4 9 2 3 2" xfId="9456"/>
    <cellStyle name="20% - Accent4 9 2 3 2 2" xfId="9457"/>
    <cellStyle name="20% - Accent4 9 2 3 3" xfId="9458"/>
    <cellStyle name="20% - Accent4 9 2 4" xfId="9459"/>
    <cellStyle name="20% - Accent4 9 2 4 2" xfId="9460"/>
    <cellStyle name="20% - Accent4 9 2 5" xfId="9461"/>
    <cellStyle name="20% - Accent4 9 2 5 2" xfId="9462"/>
    <cellStyle name="20% - Accent4 9 2 6" xfId="9463"/>
    <cellStyle name="20% - Accent4 9 3" xfId="9464"/>
    <cellStyle name="20% - Accent4 9 3 2" xfId="9465"/>
    <cellStyle name="20% - Accent4 9 3 2 2" xfId="9466"/>
    <cellStyle name="20% - Accent4 9 3 2 2 2" xfId="9467"/>
    <cellStyle name="20% - Accent4 9 3 2 2 2 2" xfId="9468"/>
    <cellStyle name="20% - Accent4 9 3 2 2 3" xfId="9469"/>
    <cellStyle name="20% - Accent4 9 3 2 3" xfId="9470"/>
    <cellStyle name="20% - Accent4 9 3 2 3 2" xfId="9471"/>
    <cellStyle name="20% - Accent4 9 3 2 4" xfId="9472"/>
    <cellStyle name="20% - Accent4 9 3 3" xfId="9473"/>
    <cellStyle name="20% - Accent4 9 3 3 2" xfId="9474"/>
    <cellStyle name="20% - Accent4 9 3 3 2 2" xfId="9475"/>
    <cellStyle name="20% - Accent4 9 3 3 3" xfId="9476"/>
    <cellStyle name="20% - Accent4 9 3 4" xfId="9477"/>
    <cellStyle name="20% - Accent4 9 3 4 2" xfId="9478"/>
    <cellStyle name="20% - Accent4 9 3 5" xfId="9479"/>
    <cellStyle name="20% - Accent4 9 3 5 2" xfId="9480"/>
    <cellStyle name="20% - Accent4 9 3 6" xfId="9481"/>
    <cellStyle name="20% - Accent4 9 4" xfId="9482"/>
    <cellStyle name="20% - Accent4 9 4 2" xfId="9483"/>
    <cellStyle name="20% - Accent4 9 4 2 2" xfId="9484"/>
    <cellStyle name="20% - Accent4 9 4 2 2 2" xfId="9485"/>
    <cellStyle name="20% - Accent4 9 4 2 3" xfId="9486"/>
    <cellStyle name="20% - Accent4 9 4 3" xfId="9487"/>
    <cellStyle name="20% - Accent4 9 4 3 2" xfId="9488"/>
    <cellStyle name="20% - Accent4 9 4 4" xfId="9489"/>
    <cellStyle name="20% - Accent4 9 5" xfId="9490"/>
    <cellStyle name="20% - Accent4 9 5 2" xfId="9491"/>
    <cellStyle name="20% - Accent4 9 5 2 2" xfId="9492"/>
    <cellStyle name="20% - Accent4 9 5 3" xfId="9493"/>
    <cellStyle name="20% - Accent4 9 6" xfId="9494"/>
    <cellStyle name="20% - Accent4 9 6 2" xfId="9495"/>
    <cellStyle name="20% - Accent4 9 7" xfId="9496"/>
    <cellStyle name="20% - Accent4 9 7 2" xfId="9497"/>
    <cellStyle name="20% - Accent4 9 8" xfId="9498"/>
    <cellStyle name="20% - Accent5 10" xfId="9499"/>
    <cellStyle name="20% - Accent5 10 2" xfId="9500"/>
    <cellStyle name="20% - Accent5 10 2 2" xfId="9501"/>
    <cellStyle name="20% - Accent5 10 2 2 2" xfId="9502"/>
    <cellStyle name="20% - Accent5 10 2 2 2 2" xfId="9503"/>
    <cellStyle name="20% - Accent5 10 2 2 3" xfId="9504"/>
    <cellStyle name="20% - Accent5 10 2 3" xfId="9505"/>
    <cellStyle name="20% - Accent5 10 2 3 2" xfId="9506"/>
    <cellStyle name="20% - Accent5 10 2 4" xfId="9507"/>
    <cellStyle name="20% - Accent5 10 3" xfId="9508"/>
    <cellStyle name="20% - Accent5 10 3 2" xfId="9509"/>
    <cellStyle name="20% - Accent5 10 3 2 2" xfId="9510"/>
    <cellStyle name="20% - Accent5 10 3 3" xfId="9511"/>
    <cellStyle name="20% - Accent5 10 4" xfId="9512"/>
    <cellStyle name="20% - Accent5 10 4 2" xfId="9513"/>
    <cellStyle name="20% - Accent5 10 5" xfId="9514"/>
    <cellStyle name="20% - Accent5 10 5 2" xfId="9515"/>
    <cellStyle name="20% - Accent5 10 6" xfId="9516"/>
    <cellStyle name="20% - Accent5 11" xfId="9517"/>
    <cellStyle name="20% - Accent5 11 2" xfId="9518"/>
    <cellStyle name="20% - Accent5 11 2 2" xfId="9519"/>
    <cellStyle name="20% - Accent5 11 2 2 2" xfId="9520"/>
    <cellStyle name="20% - Accent5 11 2 2 2 2" xfId="9521"/>
    <cellStyle name="20% - Accent5 11 2 2 3" xfId="9522"/>
    <cellStyle name="20% - Accent5 11 2 3" xfId="9523"/>
    <cellStyle name="20% - Accent5 11 2 3 2" xfId="9524"/>
    <cellStyle name="20% - Accent5 11 2 4" xfId="9525"/>
    <cellStyle name="20% - Accent5 11 3" xfId="9526"/>
    <cellStyle name="20% - Accent5 11 3 2" xfId="9527"/>
    <cellStyle name="20% - Accent5 11 3 2 2" xfId="9528"/>
    <cellStyle name="20% - Accent5 11 3 3" xfId="9529"/>
    <cellStyle name="20% - Accent5 11 4" xfId="9530"/>
    <cellStyle name="20% - Accent5 11 4 2" xfId="9531"/>
    <cellStyle name="20% - Accent5 11 5" xfId="9532"/>
    <cellStyle name="20% - Accent5 11 5 2" xfId="9533"/>
    <cellStyle name="20% - Accent5 11 6" xfId="9534"/>
    <cellStyle name="20% - Accent5 12" xfId="9535"/>
    <cellStyle name="20% - Accent5 12 2" xfId="9536"/>
    <cellStyle name="20% - Accent5 12 2 2" xfId="9537"/>
    <cellStyle name="20% - Accent5 12 2 2 2" xfId="9538"/>
    <cellStyle name="20% - Accent5 12 2 2 2 2" xfId="9539"/>
    <cellStyle name="20% - Accent5 12 2 2 3" xfId="9540"/>
    <cellStyle name="20% - Accent5 12 2 3" xfId="9541"/>
    <cellStyle name="20% - Accent5 12 2 3 2" xfId="9542"/>
    <cellStyle name="20% - Accent5 12 2 4" xfId="9543"/>
    <cellStyle name="20% - Accent5 12 3" xfId="9544"/>
    <cellStyle name="20% - Accent5 12 3 2" xfId="9545"/>
    <cellStyle name="20% - Accent5 12 3 2 2" xfId="9546"/>
    <cellStyle name="20% - Accent5 12 3 3" xfId="9547"/>
    <cellStyle name="20% - Accent5 12 4" xfId="9548"/>
    <cellStyle name="20% - Accent5 12 4 2" xfId="9549"/>
    <cellStyle name="20% - Accent5 12 5" xfId="9550"/>
    <cellStyle name="20% - Accent5 12 5 2" xfId="9551"/>
    <cellStyle name="20% - Accent5 12 6" xfId="9552"/>
    <cellStyle name="20% - Accent5 13" xfId="9553"/>
    <cellStyle name="20% - Accent5 13 2" xfId="9554"/>
    <cellStyle name="20% - Accent5 13 2 2" xfId="9555"/>
    <cellStyle name="20% - Accent5 13 2 2 2" xfId="9556"/>
    <cellStyle name="20% - Accent5 13 2 2 2 2" xfId="9557"/>
    <cellStyle name="20% - Accent5 13 2 2 3" xfId="9558"/>
    <cellStyle name="20% - Accent5 13 2 3" xfId="9559"/>
    <cellStyle name="20% - Accent5 13 2 3 2" xfId="9560"/>
    <cellStyle name="20% - Accent5 13 2 4" xfId="9561"/>
    <cellStyle name="20% - Accent5 13 3" xfId="9562"/>
    <cellStyle name="20% - Accent5 13 3 2" xfId="9563"/>
    <cellStyle name="20% - Accent5 13 3 2 2" xfId="9564"/>
    <cellStyle name="20% - Accent5 13 3 3" xfId="9565"/>
    <cellStyle name="20% - Accent5 13 4" xfId="9566"/>
    <cellStyle name="20% - Accent5 13 4 2" xfId="9567"/>
    <cellStyle name="20% - Accent5 13 5" xfId="9568"/>
    <cellStyle name="20% - Accent5 13 5 2" xfId="9569"/>
    <cellStyle name="20% - Accent5 13 6" xfId="9570"/>
    <cellStyle name="20% - Accent5 14" xfId="9571"/>
    <cellStyle name="20% - Accent5 14 2" xfId="9572"/>
    <cellStyle name="20% - Accent5 14 2 2" xfId="9573"/>
    <cellStyle name="20% - Accent5 14 2 2 2" xfId="9574"/>
    <cellStyle name="20% - Accent5 14 2 3" xfId="9575"/>
    <cellStyle name="20% - Accent5 14 3" xfId="9576"/>
    <cellStyle name="20% - Accent5 14 3 2" xfId="9577"/>
    <cellStyle name="20% - Accent5 14 4" xfId="9578"/>
    <cellStyle name="20% - Accent5 15" xfId="9579"/>
    <cellStyle name="20% - Accent5 15 2" xfId="9580"/>
    <cellStyle name="20% - Accent5 15 2 2" xfId="9581"/>
    <cellStyle name="20% - Accent5 15 3" xfId="9582"/>
    <cellStyle name="20% - Accent5 16" xfId="9583"/>
    <cellStyle name="20% - Accent5 16 2" xfId="9584"/>
    <cellStyle name="20% - Accent5 17" xfId="9585"/>
    <cellStyle name="20% - Accent5 17 2" xfId="9586"/>
    <cellStyle name="20% - Accent5 18" xfId="9587"/>
    <cellStyle name="20% - Accent5 2" xfId="9588"/>
    <cellStyle name="20% - Accent5 2 2" xfId="9589"/>
    <cellStyle name="20% - Accent5 3" xfId="9590"/>
    <cellStyle name="20% - Accent5 3 10" xfId="9591"/>
    <cellStyle name="20% - Accent5 3 10 2" xfId="9592"/>
    <cellStyle name="20% - Accent5 3 10 2 2" xfId="9593"/>
    <cellStyle name="20% - Accent5 3 10 2 2 2" xfId="9594"/>
    <cellStyle name="20% - Accent5 3 10 2 2 2 2" xfId="9595"/>
    <cellStyle name="20% - Accent5 3 10 2 2 3" xfId="9596"/>
    <cellStyle name="20% - Accent5 3 10 2 3" xfId="9597"/>
    <cellStyle name="20% - Accent5 3 10 2 3 2" xfId="9598"/>
    <cellStyle name="20% - Accent5 3 10 2 4" xfId="9599"/>
    <cellStyle name="20% - Accent5 3 10 3" xfId="9600"/>
    <cellStyle name="20% - Accent5 3 10 3 2" xfId="9601"/>
    <cellStyle name="20% - Accent5 3 10 3 2 2" xfId="9602"/>
    <cellStyle name="20% - Accent5 3 10 3 3" xfId="9603"/>
    <cellStyle name="20% - Accent5 3 10 4" xfId="9604"/>
    <cellStyle name="20% - Accent5 3 10 4 2" xfId="9605"/>
    <cellStyle name="20% - Accent5 3 10 5" xfId="9606"/>
    <cellStyle name="20% - Accent5 3 10 5 2" xfId="9607"/>
    <cellStyle name="20% - Accent5 3 10 6" xfId="9608"/>
    <cellStyle name="20% - Accent5 3 11" xfId="9609"/>
    <cellStyle name="20% - Accent5 3 11 2" xfId="9610"/>
    <cellStyle name="20% - Accent5 3 11 2 2" xfId="9611"/>
    <cellStyle name="20% - Accent5 3 11 2 2 2" xfId="9612"/>
    <cellStyle name="20% - Accent5 3 11 2 2 2 2" xfId="9613"/>
    <cellStyle name="20% - Accent5 3 11 2 2 3" xfId="9614"/>
    <cellStyle name="20% - Accent5 3 11 2 3" xfId="9615"/>
    <cellStyle name="20% - Accent5 3 11 2 3 2" xfId="9616"/>
    <cellStyle name="20% - Accent5 3 11 2 4" xfId="9617"/>
    <cellStyle name="20% - Accent5 3 11 3" xfId="9618"/>
    <cellStyle name="20% - Accent5 3 11 3 2" xfId="9619"/>
    <cellStyle name="20% - Accent5 3 11 3 2 2" xfId="9620"/>
    <cellStyle name="20% - Accent5 3 11 3 3" xfId="9621"/>
    <cellStyle name="20% - Accent5 3 11 4" xfId="9622"/>
    <cellStyle name="20% - Accent5 3 11 4 2" xfId="9623"/>
    <cellStyle name="20% - Accent5 3 11 5" xfId="9624"/>
    <cellStyle name="20% - Accent5 3 11 5 2" xfId="9625"/>
    <cellStyle name="20% - Accent5 3 11 6" xfId="9626"/>
    <cellStyle name="20% - Accent5 3 12" xfId="9627"/>
    <cellStyle name="20% - Accent5 3 12 2" xfId="9628"/>
    <cellStyle name="20% - Accent5 3 12 2 2" xfId="9629"/>
    <cellStyle name="20% - Accent5 3 12 2 2 2" xfId="9630"/>
    <cellStyle name="20% - Accent5 3 12 2 3" xfId="9631"/>
    <cellStyle name="20% - Accent5 3 12 3" xfId="9632"/>
    <cellStyle name="20% - Accent5 3 12 3 2" xfId="9633"/>
    <cellStyle name="20% - Accent5 3 12 4" xfId="9634"/>
    <cellStyle name="20% - Accent5 3 13" xfId="9635"/>
    <cellStyle name="20% - Accent5 3 13 2" xfId="9636"/>
    <cellStyle name="20% - Accent5 3 13 2 2" xfId="9637"/>
    <cellStyle name="20% - Accent5 3 13 3" xfId="9638"/>
    <cellStyle name="20% - Accent5 3 13 4" xfId="9639"/>
    <cellStyle name="20% - Accent5 3 14" xfId="9640"/>
    <cellStyle name="20% - Accent5 3 14 2" xfId="9641"/>
    <cellStyle name="20% - Accent5 3 15" xfId="9642"/>
    <cellStyle name="20% - Accent5 3 15 2" xfId="9643"/>
    <cellStyle name="20% - Accent5 3 16" xfId="9644"/>
    <cellStyle name="20% - Accent5 3 2" xfId="9645"/>
    <cellStyle name="20% - Accent5 3 2 10" xfId="9646"/>
    <cellStyle name="20% - Accent5 3 2 10 2" xfId="9647"/>
    <cellStyle name="20% - Accent5 3 2 10 2 2" xfId="9648"/>
    <cellStyle name="20% - Accent5 3 2 10 2 2 2" xfId="9649"/>
    <cellStyle name="20% - Accent5 3 2 10 2 2 2 2" xfId="9650"/>
    <cellStyle name="20% - Accent5 3 2 10 2 2 3" xfId="9651"/>
    <cellStyle name="20% - Accent5 3 2 10 2 3" xfId="9652"/>
    <cellStyle name="20% - Accent5 3 2 10 2 3 2" xfId="9653"/>
    <cellStyle name="20% - Accent5 3 2 10 2 4" xfId="9654"/>
    <cellStyle name="20% - Accent5 3 2 10 3" xfId="9655"/>
    <cellStyle name="20% - Accent5 3 2 10 3 2" xfId="9656"/>
    <cellStyle name="20% - Accent5 3 2 10 3 2 2" xfId="9657"/>
    <cellStyle name="20% - Accent5 3 2 10 3 3" xfId="9658"/>
    <cellStyle name="20% - Accent5 3 2 10 4" xfId="9659"/>
    <cellStyle name="20% - Accent5 3 2 10 4 2" xfId="9660"/>
    <cellStyle name="20% - Accent5 3 2 10 5" xfId="9661"/>
    <cellStyle name="20% - Accent5 3 2 10 5 2" xfId="9662"/>
    <cellStyle name="20% - Accent5 3 2 10 6" xfId="9663"/>
    <cellStyle name="20% - Accent5 3 2 11" xfId="9664"/>
    <cellStyle name="20% - Accent5 3 2 11 2" xfId="9665"/>
    <cellStyle name="20% - Accent5 3 2 11 2 2" xfId="9666"/>
    <cellStyle name="20% - Accent5 3 2 11 2 2 2" xfId="9667"/>
    <cellStyle name="20% - Accent5 3 2 11 2 3" xfId="9668"/>
    <cellStyle name="20% - Accent5 3 2 11 3" xfId="9669"/>
    <cellStyle name="20% - Accent5 3 2 11 3 2" xfId="9670"/>
    <cellStyle name="20% - Accent5 3 2 11 4" xfId="9671"/>
    <cellStyle name="20% - Accent5 3 2 12" xfId="9672"/>
    <cellStyle name="20% - Accent5 3 2 12 2" xfId="9673"/>
    <cellStyle name="20% - Accent5 3 2 12 2 2" xfId="9674"/>
    <cellStyle name="20% - Accent5 3 2 12 3" xfId="9675"/>
    <cellStyle name="20% - Accent5 3 2 13" xfId="9676"/>
    <cellStyle name="20% - Accent5 3 2 13 2" xfId="9677"/>
    <cellStyle name="20% - Accent5 3 2 14" xfId="9678"/>
    <cellStyle name="20% - Accent5 3 2 14 2" xfId="9679"/>
    <cellStyle name="20% - Accent5 3 2 15" xfId="9680"/>
    <cellStyle name="20% - Accent5 3 2 2" xfId="9681"/>
    <cellStyle name="20% - Accent5 3 2 2 10" xfId="9682"/>
    <cellStyle name="20% - Accent5 3 2 2 10 2" xfId="9683"/>
    <cellStyle name="20% - Accent5 3 2 2 11" xfId="9684"/>
    <cellStyle name="20% - Accent5 3 2 2 2" xfId="9685"/>
    <cellStyle name="20% - Accent5 3 2 2 2 2" xfId="9686"/>
    <cellStyle name="20% - Accent5 3 2 2 2 2 2" xfId="9687"/>
    <cellStyle name="20% - Accent5 3 2 2 2 2 2 2" xfId="9688"/>
    <cellStyle name="20% - Accent5 3 2 2 2 2 2 2 2" xfId="9689"/>
    <cellStyle name="20% - Accent5 3 2 2 2 2 2 2 2 2" xfId="9690"/>
    <cellStyle name="20% - Accent5 3 2 2 2 2 2 2 3" xfId="9691"/>
    <cellStyle name="20% - Accent5 3 2 2 2 2 2 3" xfId="9692"/>
    <cellStyle name="20% - Accent5 3 2 2 2 2 2 3 2" xfId="9693"/>
    <cellStyle name="20% - Accent5 3 2 2 2 2 2 4" xfId="9694"/>
    <cellStyle name="20% - Accent5 3 2 2 2 2 3" xfId="9695"/>
    <cellStyle name="20% - Accent5 3 2 2 2 2 3 2" xfId="9696"/>
    <cellStyle name="20% - Accent5 3 2 2 2 2 3 2 2" xfId="9697"/>
    <cellStyle name="20% - Accent5 3 2 2 2 2 3 3" xfId="9698"/>
    <cellStyle name="20% - Accent5 3 2 2 2 2 4" xfId="9699"/>
    <cellStyle name="20% - Accent5 3 2 2 2 2 4 2" xfId="9700"/>
    <cellStyle name="20% - Accent5 3 2 2 2 2 5" xfId="9701"/>
    <cellStyle name="20% - Accent5 3 2 2 2 2 5 2" xfId="9702"/>
    <cellStyle name="20% - Accent5 3 2 2 2 2 6" xfId="9703"/>
    <cellStyle name="20% - Accent5 3 2 2 2 3" xfId="9704"/>
    <cellStyle name="20% - Accent5 3 2 2 2 3 2" xfId="9705"/>
    <cellStyle name="20% - Accent5 3 2 2 2 3 2 2" xfId="9706"/>
    <cellStyle name="20% - Accent5 3 2 2 2 3 2 2 2" xfId="9707"/>
    <cellStyle name="20% - Accent5 3 2 2 2 3 2 2 2 2" xfId="9708"/>
    <cellStyle name="20% - Accent5 3 2 2 2 3 2 2 3" xfId="9709"/>
    <cellStyle name="20% - Accent5 3 2 2 2 3 2 3" xfId="9710"/>
    <cellStyle name="20% - Accent5 3 2 2 2 3 2 3 2" xfId="9711"/>
    <cellStyle name="20% - Accent5 3 2 2 2 3 2 4" xfId="9712"/>
    <cellStyle name="20% - Accent5 3 2 2 2 3 3" xfId="9713"/>
    <cellStyle name="20% - Accent5 3 2 2 2 3 3 2" xfId="9714"/>
    <cellStyle name="20% - Accent5 3 2 2 2 3 3 2 2" xfId="9715"/>
    <cellStyle name="20% - Accent5 3 2 2 2 3 3 3" xfId="9716"/>
    <cellStyle name="20% - Accent5 3 2 2 2 3 4" xfId="9717"/>
    <cellStyle name="20% - Accent5 3 2 2 2 3 4 2" xfId="9718"/>
    <cellStyle name="20% - Accent5 3 2 2 2 3 5" xfId="9719"/>
    <cellStyle name="20% - Accent5 3 2 2 2 3 5 2" xfId="9720"/>
    <cellStyle name="20% - Accent5 3 2 2 2 3 6" xfId="9721"/>
    <cellStyle name="20% - Accent5 3 2 2 2 4" xfId="9722"/>
    <cellStyle name="20% - Accent5 3 2 2 2 4 2" xfId="9723"/>
    <cellStyle name="20% - Accent5 3 2 2 2 4 2 2" xfId="9724"/>
    <cellStyle name="20% - Accent5 3 2 2 2 4 2 2 2" xfId="9725"/>
    <cellStyle name="20% - Accent5 3 2 2 2 4 2 3" xfId="9726"/>
    <cellStyle name="20% - Accent5 3 2 2 2 4 3" xfId="9727"/>
    <cellStyle name="20% - Accent5 3 2 2 2 4 3 2" xfId="9728"/>
    <cellStyle name="20% - Accent5 3 2 2 2 4 4" xfId="9729"/>
    <cellStyle name="20% - Accent5 3 2 2 2 5" xfId="9730"/>
    <cellStyle name="20% - Accent5 3 2 2 2 5 2" xfId="9731"/>
    <cellStyle name="20% - Accent5 3 2 2 2 5 2 2" xfId="9732"/>
    <cellStyle name="20% - Accent5 3 2 2 2 5 3" xfId="9733"/>
    <cellStyle name="20% - Accent5 3 2 2 2 6" xfId="9734"/>
    <cellStyle name="20% - Accent5 3 2 2 2 6 2" xfId="9735"/>
    <cellStyle name="20% - Accent5 3 2 2 2 7" xfId="9736"/>
    <cellStyle name="20% - Accent5 3 2 2 2 7 2" xfId="9737"/>
    <cellStyle name="20% - Accent5 3 2 2 2 8" xfId="9738"/>
    <cellStyle name="20% - Accent5 3 2 2 3" xfId="9739"/>
    <cellStyle name="20% - Accent5 3 2 2 3 2" xfId="9740"/>
    <cellStyle name="20% - Accent5 3 2 2 3 2 2" xfId="9741"/>
    <cellStyle name="20% - Accent5 3 2 2 3 2 2 2" xfId="9742"/>
    <cellStyle name="20% - Accent5 3 2 2 3 2 2 2 2" xfId="9743"/>
    <cellStyle name="20% - Accent5 3 2 2 3 2 2 2 2 2" xfId="9744"/>
    <cellStyle name="20% - Accent5 3 2 2 3 2 2 2 3" xfId="9745"/>
    <cellStyle name="20% - Accent5 3 2 2 3 2 2 3" xfId="9746"/>
    <cellStyle name="20% - Accent5 3 2 2 3 2 2 3 2" xfId="9747"/>
    <cellStyle name="20% - Accent5 3 2 2 3 2 2 4" xfId="9748"/>
    <cellStyle name="20% - Accent5 3 2 2 3 2 3" xfId="9749"/>
    <cellStyle name="20% - Accent5 3 2 2 3 2 3 2" xfId="9750"/>
    <cellStyle name="20% - Accent5 3 2 2 3 2 3 2 2" xfId="9751"/>
    <cellStyle name="20% - Accent5 3 2 2 3 2 3 3" xfId="9752"/>
    <cellStyle name="20% - Accent5 3 2 2 3 2 4" xfId="9753"/>
    <cellStyle name="20% - Accent5 3 2 2 3 2 4 2" xfId="9754"/>
    <cellStyle name="20% - Accent5 3 2 2 3 2 5" xfId="9755"/>
    <cellStyle name="20% - Accent5 3 2 2 3 2 5 2" xfId="9756"/>
    <cellStyle name="20% - Accent5 3 2 2 3 2 6" xfId="9757"/>
    <cellStyle name="20% - Accent5 3 2 2 3 3" xfId="9758"/>
    <cellStyle name="20% - Accent5 3 2 2 3 3 2" xfId="9759"/>
    <cellStyle name="20% - Accent5 3 2 2 3 3 2 2" xfId="9760"/>
    <cellStyle name="20% - Accent5 3 2 2 3 3 2 2 2" xfId="9761"/>
    <cellStyle name="20% - Accent5 3 2 2 3 3 2 2 2 2" xfId="9762"/>
    <cellStyle name="20% - Accent5 3 2 2 3 3 2 2 3" xfId="9763"/>
    <cellStyle name="20% - Accent5 3 2 2 3 3 2 3" xfId="9764"/>
    <cellStyle name="20% - Accent5 3 2 2 3 3 2 3 2" xfId="9765"/>
    <cellStyle name="20% - Accent5 3 2 2 3 3 2 4" xfId="9766"/>
    <cellStyle name="20% - Accent5 3 2 2 3 3 3" xfId="9767"/>
    <cellStyle name="20% - Accent5 3 2 2 3 3 3 2" xfId="9768"/>
    <cellStyle name="20% - Accent5 3 2 2 3 3 3 2 2" xfId="9769"/>
    <cellStyle name="20% - Accent5 3 2 2 3 3 3 3" xfId="9770"/>
    <cellStyle name="20% - Accent5 3 2 2 3 3 4" xfId="9771"/>
    <cellStyle name="20% - Accent5 3 2 2 3 3 4 2" xfId="9772"/>
    <cellStyle name="20% - Accent5 3 2 2 3 3 5" xfId="9773"/>
    <cellStyle name="20% - Accent5 3 2 2 3 3 5 2" xfId="9774"/>
    <cellStyle name="20% - Accent5 3 2 2 3 3 6" xfId="9775"/>
    <cellStyle name="20% - Accent5 3 2 2 3 4" xfId="9776"/>
    <cellStyle name="20% - Accent5 3 2 2 3 4 2" xfId="9777"/>
    <cellStyle name="20% - Accent5 3 2 2 3 4 2 2" xfId="9778"/>
    <cellStyle name="20% - Accent5 3 2 2 3 4 2 2 2" xfId="9779"/>
    <cellStyle name="20% - Accent5 3 2 2 3 4 2 3" xfId="9780"/>
    <cellStyle name="20% - Accent5 3 2 2 3 4 3" xfId="9781"/>
    <cellStyle name="20% - Accent5 3 2 2 3 4 3 2" xfId="9782"/>
    <cellStyle name="20% - Accent5 3 2 2 3 4 4" xfId="9783"/>
    <cellStyle name="20% - Accent5 3 2 2 3 5" xfId="9784"/>
    <cellStyle name="20% - Accent5 3 2 2 3 5 2" xfId="9785"/>
    <cellStyle name="20% - Accent5 3 2 2 3 5 2 2" xfId="9786"/>
    <cellStyle name="20% - Accent5 3 2 2 3 5 3" xfId="9787"/>
    <cellStyle name="20% - Accent5 3 2 2 3 6" xfId="9788"/>
    <cellStyle name="20% - Accent5 3 2 2 3 6 2" xfId="9789"/>
    <cellStyle name="20% - Accent5 3 2 2 3 7" xfId="9790"/>
    <cellStyle name="20% - Accent5 3 2 2 3 7 2" xfId="9791"/>
    <cellStyle name="20% - Accent5 3 2 2 3 8" xfId="9792"/>
    <cellStyle name="20% - Accent5 3 2 2 4" xfId="9793"/>
    <cellStyle name="20% - Accent5 3 2 2 4 2" xfId="9794"/>
    <cellStyle name="20% - Accent5 3 2 2 4 2 2" xfId="9795"/>
    <cellStyle name="20% - Accent5 3 2 2 4 2 2 2" xfId="9796"/>
    <cellStyle name="20% - Accent5 3 2 2 4 2 2 2 2" xfId="9797"/>
    <cellStyle name="20% - Accent5 3 2 2 4 2 2 3" xfId="9798"/>
    <cellStyle name="20% - Accent5 3 2 2 4 2 3" xfId="9799"/>
    <cellStyle name="20% - Accent5 3 2 2 4 2 3 2" xfId="9800"/>
    <cellStyle name="20% - Accent5 3 2 2 4 2 4" xfId="9801"/>
    <cellStyle name="20% - Accent5 3 2 2 4 3" xfId="9802"/>
    <cellStyle name="20% - Accent5 3 2 2 4 3 2" xfId="9803"/>
    <cellStyle name="20% - Accent5 3 2 2 4 3 2 2" xfId="9804"/>
    <cellStyle name="20% - Accent5 3 2 2 4 3 3" xfId="9805"/>
    <cellStyle name="20% - Accent5 3 2 2 4 4" xfId="9806"/>
    <cellStyle name="20% - Accent5 3 2 2 4 4 2" xfId="9807"/>
    <cellStyle name="20% - Accent5 3 2 2 4 5" xfId="9808"/>
    <cellStyle name="20% - Accent5 3 2 2 4 5 2" xfId="9809"/>
    <cellStyle name="20% - Accent5 3 2 2 4 6" xfId="9810"/>
    <cellStyle name="20% - Accent5 3 2 2 5" xfId="9811"/>
    <cellStyle name="20% - Accent5 3 2 2 5 2" xfId="9812"/>
    <cellStyle name="20% - Accent5 3 2 2 5 2 2" xfId="9813"/>
    <cellStyle name="20% - Accent5 3 2 2 5 2 2 2" xfId="9814"/>
    <cellStyle name="20% - Accent5 3 2 2 5 2 2 2 2" xfId="9815"/>
    <cellStyle name="20% - Accent5 3 2 2 5 2 2 3" xfId="9816"/>
    <cellStyle name="20% - Accent5 3 2 2 5 2 3" xfId="9817"/>
    <cellStyle name="20% - Accent5 3 2 2 5 2 3 2" xfId="9818"/>
    <cellStyle name="20% - Accent5 3 2 2 5 2 4" xfId="9819"/>
    <cellStyle name="20% - Accent5 3 2 2 5 3" xfId="9820"/>
    <cellStyle name="20% - Accent5 3 2 2 5 3 2" xfId="9821"/>
    <cellStyle name="20% - Accent5 3 2 2 5 3 2 2" xfId="9822"/>
    <cellStyle name="20% - Accent5 3 2 2 5 3 3" xfId="9823"/>
    <cellStyle name="20% - Accent5 3 2 2 5 4" xfId="9824"/>
    <cellStyle name="20% - Accent5 3 2 2 5 4 2" xfId="9825"/>
    <cellStyle name="20% - Accent5 3 2 2 5 5" xfId="9826"/>
    <cellStyle name="20% - Accent5 3 2 2 5 5 2" xfId="9827"/>
    <cellStyle name="20% - Accent5 3 2 2 5 6" xfId="9828"/>
    <cellStyle name="20% - Accent5 3 2 2 6" xfId="9829"/>
    <cellStyle name="20% - Accent5 3 2 2 6 2" xfId="9830"/>
    <cellStyle name="20% - Accent5 3 2 2 6 2 2" xfId="9831"/>
    <cellStyle name="20% - Accent5 3 2 2 6 2 2 2" xfId="9832"/>
    <cellStyle name="20% - Accent5 3 2 2 6 2 2 2 2" xfId="9833"/>
    <cellStyle name="20% - Accent5 3 2 2 6 2 2 3" xfId="9834"/>
    <cellStyle name="20% - Accent5 3 2 2 6 2 3" xfId="9835"/>
    <cellStyle name="20% - Accent5 3 2 2 6 2 3 2" xfId="9836"/>
    <cellStyle name="20% - Accent5 3 2 2 6 2 4" xfId="9837"/>
    <cellStyle name="20% - Accent5 3 2 2 6 3" xfId="9838"/>
    <cellStyle name="20% - Accent5 3 2 2 6 3 2" xfId="9839"/>
    <cellStyle name="20% - Accent5 3 2 2 6 3 2 2" xfId="9840"/>
    <cellStyle name="20% - Accent5 3 2 2 6 3 3" xfId="9841"/>
    <cellStyle name="20% - Accent5 3 2 2 6 4" xfId="9842"/>
    <cellStyle name="20% - Accent5 3 2 2 6 4 2" xfId="9843"/>
    <cellStyle name="20% - Accent5 3 2 2 6 5" xfId="9844"/>
    <cellStyle name="20% - Accent5 3 2 2 6 5 2" xfId="9845"/>
    <cellStyle name="20% - Accent5 3 2 2 6 6" xfId="9846"/>
    <cellStyle name="20% - Accent5 3 2 2 7" xfId="9847"/>
    <cellStyle name="20% - Accent5 3 2 2 7 2" xfId="9848"/>
    <cellStyle name="20% - Accent5 3 2 2 7 2 2" xfId="9849"/>
    <cellStyle name="20% - Accent5 3 2 2 7 2 2 2" xfId="9850"/>
    <cellStyle name="20% - Accent5 3 2 2 7 2 3" xfId="9851"/>
    <cellStyle name="20% - Accent5 3 2 2 7 3" xfId="9852"/>
    <cellStyle name="20% - Accent5 3 2 2 7 3 2" xfId="9853"/>
    <cellStyle name="20% - Accent5 3 2 2 7 4" xfId="9854"/>
    <cellStyle name="20% - Accent5 3 2 2 8" xfId="9855"/>
    <cellStyle name="20% - Accent5 3 2 2 8 2" xfId="9856"/>
    <cellStyle name="20% - Accent5 3 2 2 8 2 2" xfId="9857"/>
    <cellStyle name="20% - Accent5 3 2 2 8 3" xfId="9858"/>
    <cellStyle name="20% - Accent5 3 2 2 9" xfId="9859"/>
    <cellStyle name="20% - Accent5 3 2 2 9 2" xfId="9860"/>
    <cellStyle name="20% - Accent5 3 2 3" xfId="9861"/>
    <cellStyle name="20% - Accent5 3 2 3 10" xfId="9862"/>
    <cellStyle name="20% - Accent5 3 2 3 10 2" xfId="9863"/>
    <cellStyle name="20% - Accent5 3 2 3 11" xfId="9864"/>
    <cellStyle name="20% - Accent5 3 2 3 2" xfId="9865"/>
    <cellStyle name="20% - Accent5 3 2 3 2 2" xfId="9866"/>
    <cellStyle name="20% - Accent5 3 2 3 2 2 2" xfId="9867"/>
    <cellStyle name="20% - Accent5 3 2 3 2 2 2 2" xfId="9868"/>
    <cellStyle name="20% - Accent5 3 2 3 2 2 2 2 2" xfId="9869"/>
    <cellStyle name="20% - Accent5 3 2 3 2 2 2 2 2 2" xfId="9870"/>
    <cellStyle name="20% - Accent5 3 2 3 2 2 2 2 3" xfId="9871"/>
    <cellStyle name="20% - Accent5 3 2 3 2 2 2 3" xfId="9872"/>
    <cellStyle name="20% - Accent5 3 2 3 2 2 2 3 2" xfId="9873"/>
    <cellStyle name="20% - Accent5 3 2 3 2 2 2 4" xfId="9874"/>
    <cellStyle name="20% - Accent5 3 2 3 2 2 3" xfId="9875"/>
    <cellStyle name="20% - Accent5 3 2 3 2 2 3 2" xfId="9876"/>
    <cellStyle name="20% - Accent5 3 2 3 2 2 3 2 2" xfId="9877"/>
    <cellStyle name="20% - Accent5 3 2 3 2 2 3 3" xfId="9878"/>
    <cellStyle name="20% - Accent5 3 2 3 2 2 4" xfId="9879"/>
    <cellStyle name="20% - Accent5 3 2 3 2 2 4 2" xfId="9880"/>
    <cellStyle name="20% - Accent5 3 2 3 2 2 5" xfId="9881"/>
    <cellStyle name="20% - Accent5 3 2 3 2 2 5 2" xfId="9882"/>
    <cellStyle name="20% - Accent5 3 2 3 2 2 6" xfId="9883"/>
    <cellStyle name="20% - Accent5 3 2 3 2 3" xfId="9884"/>
    <cellStyle name="20% - Accent5 3 2 3 2 3 2" xfId="9885"/>
    <cellStyle name="20% - Accent5 3 2 3 2 3 2 2" xfId="9886"/>
    <cellStyle name="20% - Accent5 3 2 3 2 3 2 2 2" xfId="9887"/>
    <cellStyle name="20% - Accent5 3 2 3 2 3 2 2 2 2" xfId="9888"/>
    <cellStyle name="20% - Accent5 3 2 3 2 3 2 2 3" xfId="9889"/>
    <cellStyle name="20% - Accent5 3 2 3 2 3 2 3" xfId="9890"/>
    <cellStyle name="20% - Accent5 3 2 3 2 3 2 3 2" xfId="9891"/>
    <cellStyle name="20% - Accent5 3 2 3 2 3 2 4" xfId="9892"/>
    <cellStyle name="20% - Accent5 3 2 3 2 3 3" xfId="9893"/>
    <cellStyle name="20% - Accent5 3 2 3 2 3 3 2" xfId="9894"/>
    <cellStyle name="20% - Accent5 3 2 3 2 3 3 2 2" xfId="9895"/>
    <cellStyle name="20% - Accent5 3 2 3 2 3 3 3" xfId="9896"/>
    <cellStyle name="20% - Accent5 3 2 3 2 3 4" xfId="9897"/>
    <cellStyle name="20% - Accent5 3 2 3 2 3 4 2" xfId="9898"/>
    <cellStyle name="20% - Accent5 3 2 3 2 3 5" xfId="9899"/>
    <cellStyle name="20% - Accent5 3 2 3 2 3 5 2" xfId="9900"/>
    <cellStyle name="20% - Accent5 3 2 3 2 3 6" xfId="9901"/>
    <cellStyle name="20% - Accent5 3 2 3 2 4" xfId="9902"/>
    <cellStyle name="20% - Accent5 3 2 3 2 4 2" xfId="9903"/>
    <cellStyle name="20% - Accent5 3 2 3 2 4 2 2" xfId="9904"/>
    <cellStyle name="20% - Accent5 3 2 3 2 4 2 2 2" xfId="9905"/>
    <cellStyle name="20% - Accent5 3 2 3 2 4 2 3" xfId="9906"/>
    <cellStyle name="20% - Accent5 3 2 3 2 4 3" xfId="9907"/>
    <cellStyle name="20% - Accent5 3 2 3 2 4 3 2" xfId="9908"/>
    <cellStyle name="20% - Accent5 3 2 3 2 4 4" xfId="9909"/>
    <cellStyle name="20% - Accent5 3 2 3 2 5" xfId="9910"/>
    <cellStyle name="20% - Accent5 3 2 3 2 5 2" xfId="9911"/>
    <cellStyle name="20% - Accent5 3 2 3 2 5 2 2" xfId="9912"/>
    <cellStyle name="20% - Accent5 3 2 3 2 5 3" xfId="9913"/>
    <cellStyle name="20% - Accent5 3 2 3 2 6" xfId="9914"/>
    <cellStyle name="20% - Accent5 3 2 3 2 6 2" xfId="9915"/>
    <cellStyle name="20% - Accent5 3 2 3 2 7" xfId="9916"/>
    <cellStyle name="20% - Accent5 3 2 3 2 7 2" xfId="9917"/>
    <cellStyle name="20% - Accent5 3 2 3 2 8" xfId="9918"/>
    <cellStyle name="20% - Accent5 3 2 3 3" xfId="9919"/>
    <cellStyle name="20% - Accent5 3 2 3 3 2" xfId="9920"/>
    <cellStyle name="20% - Accent5 3 2 3 3 2 2" xfId="9921"/>
    <cellStyle name="20% - Accent5 3 2 3 3 2 2 2" xfId="9922"/>
    <cellStyle name="20% - Accent5 3 2 3 3 2 2 2 2" xfId="9923"/>
    <cellStyle name="20% - Accent5 3 2 3 3 2 2 2 2 2" xfId="9924"/>
    <cellStyle name="20% - Accent5 3 2 3 3 2 2 2 3" xfId="9925"/>
    <cellStyle name="20% - Accent5 3 2 3 3 2 2 3" xfId="9926"/>
    <cellStyle name="20% - Accent5 3 2 3 3 2 2 3 2" xfId="9927"/>
    <cellStyle name="20% - Accent5 3 2 3 3 2 2 4" xfId="9928"/>
    <cellStyle name="20% - Accent5 3 2 3 3 2 3" xfId="9929"/>
    <cellStyle name="20% - Accent5 3 2 3 3 2 3 2" xfId="9930"/>
    <cellStyle name="20% - Accent5 3 2 3 3 2 3 2 2" xfId="9931"/>
    <cellStyle name="20% - Accent5 3 2 3 3 2 3 3" xfId="9932"/>
    <cellStyle name="20% - Accent5 3 2 3 3 2 4" xfId="9933"/>
    <cellStyle name="20% - Accent5 3 2 3 3 2 4 2" xfId="9934"/>
    <cellStyle name="20% - Accent5 3 2 3 3 2 5" xfId="9935"/>
    <cellStyle name="20% - Accent5 3 2 3 3 2 5 2" xfId="9936"/>
    <cellStyle name="20% - Accent5 3 2 3 3 2 6" xfId="9937"/>
    <cellStyle name="20% - Accent5 3 2 3 3 3" xfId="9938"/>
    <cellStyle name="20% - Accent5 3 2 3 3 3 2" xfId="9939"/>
    <cellStyle name="20% - Accent5 3 2 3 3 3 2 2" xfId="9940"/>
    <cellStyle name="20% - Accent5 3 2 3 3 3 2 2 2" xfId="9941"/>
    <cellStyle name="20% - Accent5 3 2 3 3 3 2 2 2 2" xfId="9942"/>
    <cellStyle name="20% - Accent5 3 2 3 3 3 2 2 3" xfId="9943"/>
    <cellStyle name="20% - Accent5 3 2 3 3 3 2 3" xfId="9944"/>
    <cellStyle name="20% - Accent5 3 2 3 3 3 2 3 2" xfId="9945"/>
    <cellStyle name="20% - Accent5 3 2 3 3 3 2 4" xfId="9946"/>
    <cellStyle name="20% - Accent5 3 2 3 3 3 3" xfId="9947"/>
    <cellStyle name="20% - Accent5 3 2 3 3 3 3 2" xfId="9948"/>
    <cellStyle name="20% - Accent5 3 2 3 3 3 3 2 2" xfId="9949"/>
    <cellStyle name="20% - Accent5 3 2 3 3 3 3 3" xfId="9950"/>
    <cellStyle name="20% - Accent5 3 2 3 3 3 4" xfId="9951"/>
    <cellStyle name="20% - Accent5 3 2 3 3 3 4 2" xfId="9952"/>
    <cellStyle name="20% - Accent5 3 2 3 3 3 5" xfId="9953"/>
    <cellStyle name="20% - Accent5 3 2 3 3 3 5 2" xfId="9954"/>
    <cellStyle name="20% - Accent5 3 2 3 3 3 6" xfId="9955"/>
    <cellStyle name="20% - Accent5 3 2 3 3 4" xfId="9956"/>
    <cellStyle name="20% - Accent5 3 2 3 3 4 2" xfId="9957"/>
    <cellStyle name="20% - Accent5 3 2 3 3 4 2 2" xfId="9958"/>
    <cellStyle name="20% - Accent5 3 2 3 3 4 2 2 2" xfId="9959"/>
    <cellStyle name="20% - Accent5 3 2 3 3 4 2 3" xfId="9960"/>
    <cellStyle name="20% - Accent5 3 2 3 3 4 3" xfId="9961"/>
    <cellStyle name="20% - Accent5 3 2 3 3 4 3 2" xfId="9962"/>
    <cellStyle name="20% - Accent5 3 2 3 3 4 4" xfId="9963"/>
    <cellStyle name="20% - Accent5 3 2 3 3 5" xfId="9964"/>
    <cellStyle name="20% - Accent5 3 2 3 3 5 2" xfId="9965"/>
    <cellStyle name="20% - Accent5 3 2 3 3 5 2 2" xfId="9966"/>
    <cellStyle name="20% - Accent5 3 2 3 3 5 3" xfId="9967"/>
    <cellStyle name="20% - Accent5 3 2 3 3 6" xfId="9968"/>
    <cellStyle name="20% - Accent5 3 2 3 3 6 2" xfId="9969"/>
    <cellStyle name="20% - Accent5 3 2 3 3 7" xfId="9970"/>
    <cellStyle name="20% - Accent5 3 2 3 3 7 2" xfId="9971"/>
    <cellStyle name="20% - Accent5 3 2 3 3 8" xfId="9972"/>
    <cellStyle name="20% - Accent5 3 2 3 4" xfId="9973"/>
    <cellStyle name="20% - Accent5 3 2 3 4 2" xfId="9974"/>
    <cellStyle name="20% - Accent5 3 2 3 4 2 2" xfId="9975"/>
    <cellStyle name="20% - Accent5 3 2 3 4 2 2 2" xfId="9976"/>
    <cellStyle name="20% - Accent5 3 2 3 4 2 2 2 2" xfId="9977"/>
    <cellStyle name="20% - Accent5 3 2 3 4 2 2 3" xfId="9978"/>
    <cellStyle name="20% - Accent5 3 2 3 4 2 3" xfId="9979"/>
    <cellStyle name="20% - Accent5 3 2 3 4 2 3 2" xfId="9980"/>
    <cellStyle name="20% - Accent5 3 2 3 4 2 4" xfId="9981"/>
    <cellStyle name="20% - Accent5 3 2 3 4 3" xfId="9982"/>
    <cellStyle name="20% - Accent5 3 2 3 4 3 2" xfId="9983"/>
    <cellStyle name="20% - Accent5 3 2 3 4 3 2 2" xfId="9984"/>
    <cellStyle name="20% - Accent5 3 2 3 4 3 3" xfId="9985"/>
    <cellStyle name="20% - Accent5 3 2 3 4 4" xfId="9986"/>
    <cellStyle name="20% - Accent5 3 2 3 4 4 2" xfId="9987"/>
    <cellStyle name="20% - Accent5 3 2 3 4 5" xfId="9988"/>
    <cellStyle name="20% - Accent5 3 2 3 4 5 2" xfId="9989"/>
    <cellStyle name="20% - Accent5 3 2 3 4 6" xfId="9990"/>
    <cellStyle name="20% - Accent5 3 2 3 5" xfId="9991"/>
    <cellStyle name="20% - Accent5 3 2 3 5 2" xfId="9992"/>
    <cellStyle name="20% - Accent5 3 2 3 5 2 2" xfId="9993"/>
    <cellStyle name="20% - Accent5 3 2 3 5 2 2 2" xfId="9994"/>
    <cellStyle name="20% - Accent5 3 2 3 5 2 2 2 2" xfId="9995"/>
    <cellStyle name="20% - Accent5 3 2 3 5 2 2 3" xfId="9996"/>
    <cellStyle name="20% - Accent5 3 2 3 5 2 3" xfId="9997"/>
    <cellStyle name="20% - Accent5 3 2 3 5 2 3 2" xfId="9998"/>
    <cellStyle name="20% - Accent5 3 2 3 5 2 4" xfId="9999"/>
    <cellStyle name="20% - Accent5 3 2 3 5 3" xfId="10000"/>
    <cellStyle name="20% - Accent5 3 2 3 5 3 2" xfId="10001"/>
    <cellStyle name="20% - Accent5 3 2 3 5 3 2 2" xfId="10002"/>
    <cellStyle name="20% - Accent5 3 2 3 5 3 3" xfId="10003"/>
    <cellStyle name="20% - Accent5 3 2 3 5 4" xfId="10004"/>
    <cellStyle name="20% - Accent5 3 2 3 5 4 2" xfId="10005"/>
    <cellStyle name="20% - Accent5 3 2 3 5 5" xfId="10006"/>
    <cellStyle name="20% - Accent5 3 2 3 5 5 2" xfId="10007"/>
    <cellStyle name="20% - Accent5 3 2 3 5 6" xfId="10008"/>
    <cellStyle name="20% - Accent5 3 2 3 6" xfId="10009"/>
    <cellStyle name="20% - Accent5 3 2 3 6 2" xfId="10010"/>
    <cellStyle name="20% - Accent5 3 2 3 6 2 2" xfId="10011"/>
    <cellStyle name="20% - Accent5 3 2 3 6 2 2 2" xfId="10012"/>
    <cellStyle name="20% - Accent5 3 2 3 6 2 2 2 2" xfId="10013"/>
    <cellStyle name="20% - Accent5 3 2 3 6 2 2 3" xfId="10014"/>
    <cellStyle name="20% - Accent5 3 2 3 6 2 3" xfId="10015"/>
    <cellStyle name="20% - Accent5 3 2 3 6 2 3 2" xfId="10016"/>
    <cellStyle name="20% - Accent5 3 2 3 6 2 4" xfId="10017"/>
    <cellStyle name="20% - Accent5 3 2 3 6 3" xfId="10018"/>
    <cellStyle name="20% - Accent5 3 2 3 6 3 2" xfId="10019"/>
    <cellStyle name="20% - Accent5 3 2 3 6 3 2 2" xfId="10020"/>
    <cellStyle name="20% - Accent5 3 2 3 6 3 3" xfId="10021"/>
    <cellStyle name="20% - Accent5 3 2 3 6 4" xfId="10022"/>
    <cellStyle name="20% - Accent5 3 2 3 6 4 2" xfId="10023"/>
    <cellStyle name="20% - Accent5 3 2 3 6 5" xfId="10024"/>
    <cellStyle name="20% - Accent5 3 2 3 6 5 2" xfId="10025"/>
    <cellStyle name="20% - Accent5 3 2 3 6 6" xfId="10026"/>
    <cellStyle name="20% - Accent5 3 2 3 7" xfId="10027"/>
    <cellStyle name="20% - Accent5 3 2 3 7 2" xfId="10028"/>
    <cellStyle name="20% - Accent5 3 2 3 7 2 2" xfId="10029"/>
    <cellStyle name="20% - Accent5 3 2 3 7 2 2 2" xfId="10030"/>
    <cellStyle name="20% - Accent5 3 2 3 7 2 3" xfId="10031"/>
    <cellStyle name="20% - Accent5 3 2 3 7 3" xfId="10032"/>
    <cellStyle name="20% - Accent5 3 2 3 7 3 2" xfId="10033"/>
    <cellStyle name="20% - Accent5 3 2 3 7 4" xfId="10034"/>
    <cellStyle name="20% - Accent5 3 2 3 8" xfId="10035"/>
    <cellStyle name="20% - Accent5 3 2 3 8 2" xfId="10036"/>
    <cellStyle name="20% - Accent5 3 2 3 8 2 2" xfId="10037"/>
    <cellStyle name="20% - Accent5 3 2 3 8 3" xfId="10038"/>
    <cellStyle name="20% - Accent5 3 2 3 9" xfId="10039"/>
    <cellStyle name="20% - Accent5 3 2 3 9 2" xfId="10040"/>
    <cellStyle name="20% - Accent5 3 2 4" xfId="10041"/>
    <cellStyle name="20% - Accent5 3 2 4 10" xfId="10042"/>
    <cellStyle name="20% - Accent5 3 2 4 10 2" xfId="10043"/>
    <cellStyle name="20% - Accent5 3 2 4 11" xfId="10044"/>
    <cellStyle name="20% - Accent5 3 2 4 2" xfId="10045"/>
    <cellStyle name="20% - Accent5 3 2 4 2 2" xfId="10046"/>
    <cellStyle name="20% - Accent5 3 2 4 2 2 2" xfId="10047"/>
    <cellStyle name="20% - Accent5 3 2 4 2 2 2 2" xfId="10048"/>
    <cellStyle name="20% - Accent5 3 2 4 2 2 2 2 2" xfId="10049"/>
    <cellStyle name="20% - Accent5 3 2 4 2 2 2 2 2 2" xfId="10050"/>
    <cellStyle name="20% - Accent5 3 2 4 2 2 2 2 3" xfId="10051"/>
    <cellStyle name="20% - Accent5 3 2 4 2 2 2 3" xfId="10052"/>
    <cellStyle name="20% - Accent5 3 2 4 2 2 2 3 2" xfId="10053"/>
    <cellStyle name="20% - Accent5 3 2 4 2 2 2 4" xfId="10054"/>
    <cellStyle name="20% - Accent5 3 2 4 2 2 3" xfId="10055"/>
    <cellStyle name="20% - Accent5 3 2 4 2 2 3 2" xfId="10056"/>
    <cellStyle name="20% - Accent5 3 2 4 2 2 3 2 2" xfId="10057"/>
    <cellStyle name="20% - Accent5 3 2 4 2 2 3 3" xfId="10058"/>
    <cellStyle name="20% - Accent5 3 2 4 2 2 4" xfId="10059"/>
    <cellStyle name="20% - Accent5 3 2 4 2 2 4 2" xfId="10060"/>
    <cellStyle name="20% - Accent5 3 2 4 2 2 5" xfId="10061"/>
    <cellStyle name="20% - Accent5 3 2 4 2 2 5 2" xfId="10062"/>
    <cellStyle name="20% - Accent5 3 2 4 2 2 6" xfId="10063"/>
    <cellStyle name="20% - Accent5 3 2 4 2 3" xfId="10064"/>
    <cellStyle name="20% - Accent5 3 2 4 2 3 2" xfId="10065"/>
    <cellStyle name="20% - Accent5 3 2 4 2 3 2 2" xfId="10066"/>
    <cellStyle name="20% - Accent5 3 2 4 2 3 2 2 2" xfId="10067"/>
    <cellStyle name="20% - Accent5 3 2 4 2 3 2 2 2 2" xfId="10068"/>
    <cellStyle name="20% - Accent5 3 2 4 2 3 2 2 3" xfId="10069"/>
    <cellStyle name="20% - Accent5 3 2 4 2 3 2 3" xfId="10070"/>
    <cellStyle name="20% - Accent5 3 2 4 2 3 2 3 2" xfId="10071"/>
    <cellStyle name="20% - Accent5 3 2 4 2 3 2 4" xfId="10072"/>
    <cellStyle name="20% - Accent5 3 2 4 2 3 3" xfId="10073"/>
    <cellStyle name="20% - Accent5 3 2 4 2 3 3 2" xfId="10074"/>
    <cellStyle name="20% - Accent5 3 2 4 2 3 3 2 2" xfId="10075"/>
    <cellStyle name="20% - Accent5 3 2 4 2 3 3 3" xfId="10076"/>
    <cellStyle name="20% - Accent5 3 2 4 2 3 4" xfId="10077"/>
    <cellStyle name="20% - Accent5 3 2 4 2 3 4 2" xfId="10078"/>
    <cellStyle name="20% - Accent5 3 2 4 2 3 5" xfId="10079"/>
    <cellStyle name="20% - Accent5 3 2 4 2 3 5 2" xfId="10080"/>
    <cellStyle name="20% - Accent5 3 2 4 2 3 6" xfId="10081"/>
    <cellStyle name="20% - Accent5 3 2 4 2 4" xfId="10082"/>
    <cellStyle name="20% - Accent5 3 2 4 2 4 2" xfId="10083"/>
    <cellStyle name="20% - Accent5 3 2 4 2 4 2 2" xfId="10084"/>
    <cellStyle name="20% - Accent5 3 2 4 2 4 2 2 2" xfId="10085"/>
    <cellStyle name="20% - Accent5 3 2 4 2 4 2 3" xfId="10086"/>
    <cellStyle name="20% - Accent5 3 2 4 2 4 3" xfId="10087"/>
    <cellStyle name="20% - Accent5 3 2 4 2 4 3 2" xfId="10088"/>
    <cellStyle name="20% - Accent5 3 2 4 2 4 4" xfId="10089"/>
    <cellStyle name="20% - Accent5 3 2 4 2 5" xfId="10090"/>
    <cellStyle name="20% - Accent5 3 2 4 2 5 2" xfId="10091"/>
    <cellStyle name="20% - Accent5 3 2 4 2 5 2 2" xfId="10092"/>
    <cellStyle name="20% - Accent5 3 2 4 2 5 3" xfId="10093"/>
    <cellStyle name="20% - Accent5 3 2 4 2 6" xfId="10094"/>
    <cellStyle name="20% - Accent5 3 2 4 2 6 2" xfId="10095"/>
    <cellStyle name="20% - Accent5 3 2 4 2 7" xfId="10096"/>
    <cellStyle name="20% - Accent5 3 2 4 2 7 2" xfId="10097"/>
    <cellStyle name="20% - Accent5 3 2 4 2 8" xfId="10098"/>
    <cellStyle name="20% - Accent5 3 2 4 3" xfId="10099"/>
    <cellStyle name="20% - Accent5 3 2 4 3 2" xfId="10100"/>
    <cellStyle name="20% - Accent5 3 2 4 3 2 2" xfId="10101"/>
    <cellStyle name="20% - Accent5 3 2 4 3 2 2 2" xfId="10102"/>
    <cellStyle name="20% - Accent5 3 2 4 3 2 2 2 2" xfId="10103"/>
    <cellStyle name="20% - Accent5 3 2 4 3 2 2 2 2 2" xfId="10104"/>
    <cellStyle name="20% - Accent5 3 2 4 3 2 2 2 3" xfId="10105"/>
    <cellStyle name="20% - Accent5 3 2 4 3 2 2 3" xfId="10106"/>
    <cellStyle name="20% - Accent5 3 2 4 3 2 2 3 2" xfId="10107"/>
    <cellStyle name="20% - Accent5 3 2 4 3 2 2 4" xfId="10108"/>
    <cellStyle name="20% - Accent5 3 2 4 3 2 3" xfId="10109"/>
    <cellStyle name="20% - Accent5 3 2 4 3 2 3 2" xfId="10110"/>
    <cellStyle name="20% - Accent5 3 2 4 3 2 3 2 2" xfId="10111"/>
    <cellStyle name="20% - Accent5 3 2 4 3 2 3 3" xfId="10112"/>
    <cellStyle name="20% - Accent5 3 2 4 3 2 4" xfId="10113"/>
    <cellStyle name="20% - Accent5 3 2 4 3 2 4 2" xfId="10114"/>
    <cellStyle name="20% - Accent5 3 2 4 3 2 5" xfId="10115"/>
    <cellStyle name="20% - Accent5 3 2 4 3 2 5 2" xfId="10116"/>
    <cellStyle name="20% - Accent5 3 2 4 3 2 6" xfId="10117"/>
    <cellStyle name="20% - Accent5 3 2 4 3 3" xfId="10118"/>
    <cellStyle name="20% - Accent5 3 2 4 3 3 2" xfId="10119"/>
    <cellStyle name="20% - Accent5 3 2 4 3 3 2 2" xfId="10120"/>
    <cellStyle name="20% - Accent5 3 2 4 3 3 2 2 2" xfId="10121"/>
    <cellStyle name="20% - Accent5 3 2 4 3 3 2 2 2 2" xfId="10122"/>
    <cellStyle name="20% - Accent5 3 2 4 3 3 2 2 3" xfId="10123"/>
    <cellStyle name="20% - Accent5 3 2 4 3 3 2 3" xfId="10124"/>
    <cellStyle name="20% - Accent5 3 2 4 3 3 2 3 2" xfId="10125"/>
    <cellStyle name="20% - Accent5 3 2 4 3 3 2 4" xfId="10126"/>
    <cellStyle name="20% - Accent5 3 2 4 3 3 3" xfId="10127"/>
    <cellStyle name="20% - Accent5 3 2 4 3 3 3 2" xfId="10128"/>
    <cellStyle name="20% - Accent5 3 2 4 3 3 3 2 2" xfId="10129"/>
    <cellStyle name="20% - Accent5 3 2 4 3 3 3 3" xfId="10130"/>
    <cellStyle name="20% - Accent5 3 2 4 3 3 4" xfId="10131"/>
    <cellStyle name="20% - Accent5 3 2 4 3 3 4 2" xfId="10132"/>
    <cellStyle name="20% - Accent5 3 2 4 3 3 5" xfId="10133"/>
    <cellStyle name="20% - Accent5 3 2 4 3 3 5 2" xfId="10134"/>
    <cellStyle name="20% - Accent5 3 2 4 3 3 6" xfId="10135"/>
    <cellStyle name="20% - Accent5 3 2 4 3 4" xfId="10136"/>
    <cellStyle name="20% - Accent5 3 2 4 3 4 2" xfId="10137"/>
    <cellStyle name="20% - Accent5 3 2 4 3 4 2 2" xfId="10138"/>
    <cellStyle name="20% - Accent5 3 2 4 3 4 2 2 2" xfId="10139"/>
    <cellStyle name="20% - Accent5 3 2 4 3 4 2 3" xfId="10140"/>
    <cellStyle name="20% - Accent5 3 2 4 3 4 3" xfId="10141"/>
    <cellStyle name="20% - Accent5 3 2 4 3 4 3 2" xfId="10142"/>
    <cellStyle name="20% - Accent5 3 2 4 3 4 4" xfId="10143"/>
    <cellStyle name="20% - Accent5 3 2 4 3 5" xfId="10144"/>
    <cellStyle name="20% - Accent5 3 2 4 3 5 2" xfId="10145"/>
    <cellStyle name="20% - Accent5 3 2 4 3 5 2 2" xfId="10146"/>
    <cellStyle name="20% - Accent5 3 2 4 3 5 3" xfId="10147"/>
    <cellStyle name="20% - Accent5 3 2 4 3 6" xfId="10148"/>
    <cellStyle name="20% - Accent5 3 2 4 3 6 2" xfId="10149"/>
    <cellStyle name="20% - Accent5 3 2 4 3 7" xfId="10150"/>
    <cellStyle name="20% - Accent5 3 2 4 3 7 2" xfId="10151"/>
    <cellStyle name="20% - Accent5 3 2 4 3 8" xfId="10152"/>
    <cellStyle name="20% - Accent5 3 2 4 4" xfId="10153"/>
    <cellStyle name="20% - Accent5 3 2 4 4 2" xfId="10154"/>
    <cellStyle name="20% - Accent5 3 2 4 4 2 2" xfId="10155"/>
    <cellStyle name="20% - Accent5 3 2 4 4 2 2 2" xfId="10156"/>
    <cellStyle name="20% - Accent5 3 2 4 4 2 2 2 2" xfId="10157"/>
    <cellStyle name="20% - Accent5 3 2 4 4 2 2 3" xfId="10158"/>
    <cellStyle name="20% - Accent5 3 2 4 4 2 3" xfId="10159"/>
    <cellStyle name="20% - Accent5 3 2 4 4 2 3 2" xfId="10160"/>
    <cellStyle name="20% - Accent5 3 2 4 4 2 4" xfId="10161"/>
    <cellStyle name="20% - Accent5 3 2 4 4 3" xfId="10162"/>
    <cellStyle name="20% - Accent5 3 2 4 4 3 2" xfId="10163"/>
    <cellStyle name="20% - Accent5 3 2 4 4 3 2 2" xfId="10164"/>
    <cellStyle name="20% - Accent5 3 2 4 4 3 3" xfId="10165"/>
    <cellStyle name="20% - Accent5 3 2 4 4 4" xfId="10166"/>
    <cellStyle name="20% - Accent5 3 2 4 4 4 2" xfId="10167"/>
    <cellStyle name="20% - Accent5 3 2 4 4 5" xfId="10168"/>
    <cellStyle name="20% - Accent5 3 2 4 4 5 2" xfId="10169"/>
    <cellStyle name="20% - Accent5 3 2 4 4 6" xfId="10170"/>
    <cellStyle name="20% - Accent5 3 2 4 5" xfId="10171"/>
    <cellStyle name="20% - Accent5 3 2 4 5 2" xfId="10172"/>
    <cellStyle name="20% - Accent5 3 2 4 5 2 2" xfId="10173"/>
    <cellStyle name="20% - Accent5 3 2 4 5 2 2 2" xfId="10174"/>
    <cellStyle name="20% - Accent5 3 2 4 5 2 2 2 2" xfId="10175"/>
    <cellStyle name="20% - Accent5 3 2 4 5 2 2 3" xfId="10176"/>
    <cellStyle name="20% - Accent5 3 2 4 5 2 3" xfId="10177"/>
    <cellStyle name="20% - Accent5 3 2 4 5 2 3 2" xfId="10178"/>
    <cellStyle name="20% - Accent5 3 2 4 5 2 4" xfId="10179"/>
    <cellStyle name="20% - Accent5 3 2 4 5 3" xfId="10180"/>
    <cellStyle name="20% - Accent5 3 2 4 5 3 2" xfId="10181"/>
    <cellStyle name="20% - Accent5 3 2 4 5 3 2 2" xfId="10182"/>
    <cellStyle name="20% - Accent5 3 2 4 5 3 3" xfId="10183"/>
    <cellStyle name="20% - Accent5 3 2 4 5 4" xfId="10184"/>
    <cellStyle name="20% - Accent5 3 2 4 5 4 2" xfId="10185"/>
    <cellStyle name="20% - Accent5 3 2 4 5 5" xfId="10186"/>
    <cellStyle name="20% - Accent5 3 2 4 5 5 2" xfId="10187"/>
    <cellStyle name="20% - Accent5 3 2 4 5 6" xfId="10188"/>
    <cellStyle name="20% - Accent5 3 2 4 6" xfId="10189"/>
    <cellStyle name="20% - Accent5 3 2 4 6 2" xfId="10190"/>
    <cellStyle name="20% - Accent5 3 2 4 6 2 2" xfId="10191"/>
    <cellStyle name="20% - Accent5 3 2 4 6 2 2 2" xfId="10192"/>
    <cellStyle name="20% - Accent5 3 2 4 6 2 2 2 2" xfId="10193"/>
    <cellStyle name="20% - Accent5 3 2 4 6 2 2 3" xfId="10194"/>
    <cellStyle name="20% - Accent5 3 2 4 6 2 3" xfId="10195"/>
    <cellStyle name="20% - Accent5 3 2 4 6 2 3 2" xfId="10196"/>
    <cellStyle name="20% - Accent5 3 2 4 6 2 4" xfId="10197"/>
    <cellStyle name="20% - Accent5 3 2 4 6 3" xfId="10198"/>
    <cellStyle name="20% - Accent5 3 2 4 6 3 2" xfId="10199"/>
    <cellStyle name="20% - Accent5 3 2 4 6 3 2 2" xfId="10200"/>
    <cellStyle name="20% - Accent5 3 2 4 6 3 3" xfId="10201"/>
    <cellStyle name="20% - Accent5 3 2 4 6 4" xfId="10202"/>
    <cellStyle name="20% - Accent5 3 2 4 6 4 2" xfId="10203"/>
    <cellStyle name="20% - Accent5 3 2 4 6 5" xfId="10204"/>
    <cellStyle name="20% - Accent5 3 2 4 6 5 2" xfId="10205"/>
    <cellStyle name="20% - Accent5 3 2 4 6 6" xfId="10206"/>
    <cellStyle name="20% - Accent5 3 2 4 7" xfId="10207"/>
    <cellStyle name="20% - Accent5 3 2 4 7 2" xfId="10208"/>
    <cellStyle name="20% - Accent5 3 2 4 7 2 2" xfId="10209"/>
    <cellStyle name="20% - Accent5 3 2 4 7 2 2 2" xfId="10210"/>
    <cellStyle name="20% - Accent5 3 2 4 7 2 3" xfId="10211"/>
    <cellStyle name="20% - Accent5 3 2 4 7 3" xfId="10212"/>
    <cellStyle name="20% - Accent5 3 2 4 7 3 2" xfId="10213"/>
    <cellStyle name="20% - Accent5 3 2 4 7 4" xfId="10214"/>
    <cellStyle name="20% - Accent5 3 2 4 8" xfId="10215"/>
    <cellStyle name="20% - Accent5 3 2 4 8 2" xfId="10216"/>
    <cellStyle name="20% - Accent5 3 2 4 8 2 2" xfId="10217"/>
    <cellStyle name="20% - Accent5 3 2 4 8 3" xfId="10218"/>
    <cellStyle name="20% - Accent5 3 2 4 9" xfId="10219"/>
    <cellStyle name="20% - Accent5 3 2 4 9 2" xfId="10220"/>
    <cellStyle name="20% - Accent5 3 2 5" xfId="10221"/>
    <cellStyle name="20% - Accent5 3 2 5 2" xfId="10222"/>
    <cellStyle name="20% - Accent5 3 2 5 2 2" xfId="10223"/>
    <cellStyle name="20% - Accent5 3 2 5 2 2 2" xfId="10224"/>
    <cellStyle name="20% - Accent5 3 2 5 2 2 2 2" xfId="10225"/>
    <cellStyle name="20% - Accent5 3 2 5 2 2 2 2 2" xfId="10226"/>
    <cellStyle name="20% - Accent5 3 2 5 2 2 2 3" xfId="10227"/>
    <cellStyle name="20% - Accent5 3 2 5 2 2 3" xfId="10228"/>
    <cellStyle name="20% - Accent5 3 2 5 2 2 3 2" xfId="10229"/>
    <cellStyle name="20% - Accent5 3 2 5 2 2 4" xfId="10230"/>
    <cellStyle name="20% - Accent5 3 2 5 2 3" xfId="10231"/>
    <cellStyle name="20% - Accent5 3 2 5 2 3 2" xfId="10232"/>
    <cellStyle name="20% - Accent5 3 2 5 2 3 2 2" xfId="10233"/>
    <cellStyle name="20% - Accent5 3 2 5 2 3 3" xfId="10234"/>
    <cellStyle name="20% - Accent5 3 2 5 2 4" xfId="10235"/>
    <cellStyle name="20% - Accent5 3 2 5 2 4 2" xfId="10236"/>
    <cellStyle name="20% - Accent5 3 2 5 2 5" xfId="10237"/>
    <cellStyle name="20% - Accent5 3 2 5 2 5 2" xfId="10238"/>
    <cellStyle name="20% - Accent5 3 2 5 2 6" xfId="10239"/>
    <cellStyle name="20% - Accent5 3 2 5 3" xfId="10240"/>
    <cellStyle name="20% - Accent5 3 2 5 3 2" xfId="10241"/>
    <cellStyle name="20% - Accent5 3 2 5 3 2 2" xfId="10242"/>
    <cellStyle name="20% - Accent5 3 2 5 3 2 2 2" xfId="10243"/>
    <cellStyle name="20% - Accent5 3 2 5 3 2 2 2 2" xfId="10244"/>
    <cellStyle name="20% - Accent5 3 2 5 3 2 2 3" xfId="10245"/>
    <cellStyle name="20% - Accent5 3 2 5 3 2 3" xfId="10246"/>
    <cellStyle name="20% - Accent5 3 2 5 3 2 3 2" xfId="10247"/>
    <cellStyle name="20% - Accent5 3 2 5 3 2 4" xfId="10248"/>
    <cellStyle name="20% - Accent5 3 2 5 3 3" xfId="10249"/>
    <cellStyle name="20% - Accent5 3 2 5 3 3 2" xfId="10250"/>
    <cellStyle name="20% - Accent5 3 2 5 3 3 2 2" xfId="10251"/>
    <cellStyle name="20% - Accent5 3 2 5 3 3 3" xfId="10252"/>
    <cellStyle name="20% - Accent5 3 2 5 3 4" xfId="10253"/>
    <cellStyle name="20% - Accent5 3 2 5 3 4 2" xfId="10254"/>
    <cellStyle name="20% - Accent5 3 2 5 3 5" xfId="10255"/>
    <cellStyle name="20% - Accent5 3 2 5 3 5 2" xfId="10256"/>
    <cellStyle name="20% - Accent5 3 2 5 3 6" xfId="10257"/>
    <cellStyle name="20% - Accent5 3 2 5 4" xfId="10258"/>
    <cellStyle name="20% - Accent5 3 2 5 4 2" xfId="10259"/>
    <cellStyle name="20% - Accent5 3 2 5 4 2 2" xfId="10260"/>
    <cellStyle name="20% - Accent5 3 2 5 4 2 2 2" xfId="10261"/>
    <cellStyle name="20% - Accent5 3 2 5 4 2 3" xfId="10262"/>
    <cellStyle name="20% - Accent5 3 2 5 4 3" xfId="10263"/>
    <cellStyle name="20% - Accent5 3 2 5 4 3 2" xfId="10264"/>
    <cellStyle name="20% - Accent5 3 2 5 4 4" xfId="10265"/>
    <cellStyle name="20% - Accent5 3 2 5 5" xfId="10266"/>
    <cellStyle name="20% - Accent5 3 2 5 5 2" xfId="10267"/>
    <cellStyle name="20% - Accent5 3 2 5 5 2 2" xfId="10268"/>
    <cellStyle name="20% - Accent5 3 2 5 5 3" xfId="10269"/>
    <cellStyle name="20% - Accent5 3 2 5 6" xfId="10270"/>
    <cellStyle name="20% - Accent5 3 2 5 6 2" xfId="10271"/>
    <cellStyle name="20% - Accent5 3 2 5 7" xfId="10272"/>
    <cellStyle name="20% - Accent5 3 2 5 7 2" xfId="10273"/>
    <cellStyle name="20% - Accent5 3 2 5 8" xfId="10274"/>
    <cellStyle name="20% - Accent5 3 2 6" xfId="10275"/>
    <cellStyle name="20% - Accent5 3 2 6 2" xfId="10276"/>
    <cellStyle name="20% - Accent5 3 2 6 2 2" xfId="10277"/>
    <cellStyle name="20% - Accent5 3 2 6 2 2 2" xfId="10278"/>
    <cellStyle name="20% - Accent5 3 2 6 2 2 2 2" xfId="10279"/>
    <cellStyle name="20% - Accent5 3 2 6 2 2 2 2 2" xfId="10280"/>
    <cellStyle name="20% - Accent5 3 2 6 2 2 2 3" xfId="10281"/>
    <cellStyle name="20% - Accent5 3 2 6 2 2 3" xfId="10282"/>
    <cellStyle name="20% - Accent5 3 2 6 2 2 3 2" xfId="10283"/>
    <cellStyle name="20% - Accent5 3 2 6 2 2 4" xfId="10284"/>
    <cellStyle name="20% - Accent5 3 2 6 2 3" xfId="10285"/>
    <cellStyle name="20% - Accent5 3 2 6 2 3 2" xfId="10286"/>
    <cellStyle name="20% - Accent5 3 2 6 2 3 2 2" xfId="10287"/>
    <cellStyle name="20% - Accent5 3 2 6 2 3 3" xfId="10288"/>
    <cellStyle name="20% - Accent5 3 2 6 2 4" xfId="10289"/>
    <cellStyle name="20% - Accent5 3 2 6 2 4 2" xfId="10290"/>
    <cellStyle name="20% - Accent5 3 2 6 2 5" xfId="10291"/>
    <cellStyle name="20% - Accent5 3 2 6 2 5 2" xfId="10292"/>
    <cellStyle name="20% - Accent5 3 2 6 2 6" xfId="10293"/>
    <cellStyle name="20% - Accent5 3 2 6 3" xfId="10294"/>
    <cellStyle name="20% - Accent5 3 2 6 3 2" xfId="10295"/>
    <cellStyle name="20% - Accent5 3 2 6 3 2 2" xfId="10296"/>
    <cellStyle name="20% - Accent5 3 2 6 3 2 2 2" xfId="10297"/>
    <cellStyle name="20% - Accent5 3 2 6 3 2 2 2 2" xfId="10298"/>
    <cellStyle name="20% - Accent5 3 2 6 3 2 2 3" xfId="10299"/>
    <cellStyle name="20% - Accent5 3 2 6 3 2 3" xfId="10300"/>
    <cellStyle name="20% - Accent5 3 2 6 3 2 3 2" xfId="10301"/>
    <cellStyle name="20% - Accent5 3 2 6 3 2 4" xfId="10302"/>
    <cellStyle name="20% - Accent5 3 2 6 3 3" xfId="10303"/>
    <cellStyle name="20% - Accent5 3 2 6 3 3 2" xfId="10304"/>
    <cellStyle name="20% - Accent5 3 2 6 3 3 2 2" xfId="10305"/>
    <cellStyle name="20% - Accent5 3 2 6 3 3 3" xfId="10306"/>
    <cellStyle name="20% - Accent5 3 2 6 3 4" xfId="10307"/>
    <cellStyle name="20% - Accent5 3 2 6 3 4 2" xfId="10308"/>
    <cellStyle name="20% - Accent5 3 2 6 3 5" xfId="10309"/>
    <cellStyle name="20% - Accent5 3 2 6 3 5 2" xfId="10310"/>
    <cellStyle name="20% - Accent5 3 2 6 3 6" xfId="10311"/>
    <cellStyle name="20% - Accent5 3 2 6 4" xfId="10312"/>
    <cellStyle name="20% - Accent5 3 2 6 4 2" xfId="10313"/>
    <cellStyle name="20% - Accent5 3 2 6 4 2 2" xfId="10314"/>
    <cellStyle name="20% - Accent5 3 2 6 4 2 2 2" xfId="10315"/>
    <cellStyle name="20% - Accent5 3 2 6 4 2 3" xfId="10316"/>
    <cellStyle name="20% - Accent5 3 2 6 4 3" xfId="10317"/>
    <cellStyle name="20% - Accent5 3 2 6 4 3 2" xfId="10318"/>
    <cellStyle name="20% - Accent5 3 2 6 4 4" xfId="10319"/>
    <cellStyle name="20% - Accent5 3 2 6 5" xfId="10320"/>
    <cellStyle name="20% - Accent5 3 2 6 5 2" xfId="10321"/>
    <cellStyle name="20% - Accent5 3 2 6 5 2 2" xfId="10322"/>
    <cellStyle name="20% - Accent5 3 2 6 5 3" xfId="10323"/>
    <cellStyle name="20% - Accent5 3 2 6 6" xfId="10324"/>
    <cellStyle name="20% - Accent5 3 2 6 6 2" xfId="10325"/>
    <cellStyle name="20% - Accent5 3 2 6 7" xfId="10326"/>
    <cellStyle name="20% - Accent5 3 2 6 7 2" xfId="10327"/>
    <cellStyle name="20% - Accent5 3 2 6 8" xfId="10328"/>
    <cellStyle name="20% - Accent5 3 2 7" xfId="10329"/>
    <cellStyle name="20% - Accent5 3 2 7 2" xfId="10330"/>
    <cellStyle name="20% - Accent5 3 2 7 2 2" xfId="10331"/>
    <cellStyle name="20% - Accent5 3 2 7 2 2 2" xfId="10332"/>
    <cellStyle name="20% - Accent5 3 2 7 2 2 2 2" xfId="10333"/>
    <cellStyle name="20% - Accent5 3 2 7 2 2 3" xfId="10334"/>
    <cellStyle name="20% - Accent5 3 2 7 2 3" xfId="10335"/>
    <cellStyle name="20% - Accent5 3 2 7 2 3 2" xfId="10336"/>
    <cellStyle name="20% - Accent5 3 2 7 2 4" xfId="10337"/>
    <cellStyle name="20% - Accent5 3 2 7 3" xfId="10338"/>
    <cellStyle name="20% - Accent5 3 2 7 3 2" xfId="10339"/>
    <cellStyle name="20% - Accent5 3 2 7 3 2 2" xfId="10340"/>
    <cellStyle name="20% - Accent5 3 2 7 3 3" xfId="10341"/>
    <cellStyle name="20% - Accent5 3 2 7 4" xfId="10342"/>
    <cellStyle name="20% - Accent5 3 2 7 4 2" xfId="10343"/>
    <cellStyle name="20% - Accent5 3 2 7 5" xfId="10344"/>
    <cellStyle name="20% - Accent5 3 2 7 5 2" xfId="10345"/>
    <cellStyle name="20% - Accent5 3 2 7 6" xfId="10346"/>
    <cellStyle name="20% - Accent5 3 2 8" xfId="10347"/>
    <cellStyle name="20% - Accent5 3 2 8 2" xfId="10348"/>
    <cellStyle name="20% - Accent5 3 2 8 2 2" xfId="10349"/>
    <cellStyle name="20% - Accent5 3 2 8 2 2 2" xfId="10350"/>
    <cellStyle name="20% - Accent5 3 2 8 2 2 2 2" xfId="10351"/>
    <cellStyle name="20% - Accent5 3 2 8 2 2 3" xfId="10352"/>
    <cellStyle name="20% - Accent5 3 2 8 2 3" xfId="10353"/>
    <cellStyle name="20% - Accent5 3 2 8 2 3 2" xfId="10354"/>
    <cellStyle name="20% - Accent5 3 2 8 2 4" xfId="10355"/>
    <cellStyle name="20% - Accent5 3 2 8 3" xfId="10356"/>
    <cellStyle name="20% - Accent5 3 2 8 3 2" xfId="10357"/>
    <cellStyle name="20% - Accent5 3 2 8 3 2 2" xfId="10358"/>
    <cellStyle name="20% - Accent5 3 2 8 3 3" xfId="10359"/>
    <cellStyle name="20% - Accent5 3 2 8 4" xfId="10360"/>
    <cellStyle name="20% - Accent5 3 2 8 4 2" xfId="10361"/>
    <cellStyle name="20% - Accent5 3 2 8 5" xfId="10362"/>
    <cellStyle name="20% - Accent5 3 2 8 5 2" xfId="10363"/>
    <cellStyle name="20% - Accent5 3 2 8 6" xfId="10364"/>
    <cellStyle name="20% - Accent5 3 2 9" xfId="10365"/>
    <cellStyle name="20% - Accent5 3 2 9 2" xfId="10366"/>
    <cellStyle name="20% - Accent5 3 2 9 2 2" xfId="10367"/>
    <cellStyle name="20% - Accent5 3 2 9 2 2 2" xfId="10368"/>
    <cellStyle name="20% - Accent5 3 2 9 2 2 2 2" xfId="10369"/>
    <cellStyle name="20% - Accent5 3 2 9 2 2 3" xfId="10370"/>
    <cellStyle name="20% - Accent5 3 2 9 2 3" xfId="10371"/>
    <cellStyle name="20% - Accent5 3 2 9 2 3 2" xfId="10372"/>
    <cellStyle name="20% - Accent5 3 2 9 2 4" xfId="10373"/>
    <cellStyle name="20% - Accent5 3 2 9 3" xfId="10374"/>
    <cellStyle name="20% - Accent5 3 2 9 3 2" xfId="10375"/>
    <cellStyle name="20% - Accent5 3 2 9 3 2 2" xfId="10376"/>
    <cellStyle name="20% - Accent5 3 2 9 3 3" xfId="10377"/>
    <cellStyle name="20% - Accent5 3 2 9 4" xfId="10378"/>
    <cellStyle name="20% - Accent5 3 2 9 4 2" xfId="10379"/>
    <cellStyle name="20% - Accent5 3 2 9 5" xfId="10380"/>
    <cellStyle name="20% - Accent5 3 2 9 5 2" xfId="10381"/>
    <cellStyle name="20% - Accent5 3 2 9 6" xfId="10382"/>
    <cellStyle name="20% - Accent5 3 3" xfId="10383"/>
    <cellStyle name="20% - Accent5 3 3 10" xfId="10384"/>
    <cellStyle name="20% - Accent5 3 3 10 2" xfId="10385"/>
    <cellStyle name="20% - Accent5 3 3 11" xfId="10386"/>
    <cellStyle name="20% - Accent5 3 3 2" xfId="10387"/>
    <cellStyle name="20% - Accent5 3 3 2 2" xfId="10388"/>
    <cellStyle name="20% - Accent5 3 3 2 2 2" xfId="10389"/>
    <cellStyle name="20% - Accent5 3 3 2 2 2 2" xfId="10390"/>
    <cellStyle name="20% - Accent5 3 3 2 2 2 2 2" xfId="10391"/>
    <cellStyle name="20% - Accent5 3 3 2 2 2 2 2 2" xfId="10392"/>
    <cellStyle name="20% - Accent5 3 3 2 2 2 2 3" xfId="10393"/>
    <cellStyle name="20% - Accent5 3 3 2 2 2 3" xfId="10394"/>
    <cellStyle name="20% - Accent5 3 3 2 2 2 3 2" xfId="10395"/>
    <cellStyle name="20% - Accent5 3 3 2 2 2 4" xfId="10396"/>
    <cellStyle name="20% - Accent5 3 3 2 2 3" xfId="10397"/>
    <cellStyle name="20% - Accent5 3 3 2 2 3 2" xfId="10398"/>
    <cellStyle name="20% - Accent5 3 3 2 2 3 2 2" xfId="10399"/>
    <cellStyle name="20% - Accent5 3 3 2 2 3 3" xfId="10400"/>
    <cellStyle name="20% - Accent5 3 3 2 2 4" xfId="10401"/>
    <cellStyle name="20% - Accent5 3 3 2 2 4 2" xfId="10402"/>
    <cellStyle name="20% - Accent5 3 3 2 2 5" xfId="10403"/>
    <cellStyle name="20% - Accent5 3 3 2 2 5 2" xfId="10404"/>
    <cellStyle name="20% - Accent5 3 3 2 2 6" xfId="10405"/>
    <cellStyle name="20% - Accent5 3 3 2 3" xfId="10406"/>
    <cellStyle name="20% - Accent5 3 3 2 3 2" xfId="10407"/>
    <cellStyle name="20% - Accent5 3 3 2 3 2 2" xfId="10408"/>
    <cellStyle name="20% - Accent5 3 3 2 3 2 2 2" xfId="10409"/>
    <cellStyle name="20% - Accent5 3 3 2 3 2 2 2 2" xfId="10410"/>
    <cellStyle name="20% - Accent5 3 3 2 3 2 2 3" xfId="10411"/>
    <cellStyle name="20% - Accent5 3 3 2 3 2 3" xfId="10412"/>
    <cellStyle name="20% - Accent5 3 3 2 3 2 3 2" xfId="10413"/>
    <cellStyle name="20% - Accent5 3 3 2 3 2 4" xfId="10414"/>
    <cellStyle name="20% - Accent5 3 3 2 3 3" xfId="10415"/>
    <cellStyle name="20% - Accent5 3 3 2 3 3 2" xfId="10416"/>
    <cellStyle name="20% - Accent5 3 3 2 3 3 2 2" xfId="10417"/>
    <cellStyle name="20% - Accent5 3 3 2 3 3 3" xfId="10418"/>
    <cellStyle name="20% - Accent5 3 3 2 3 4" xfId="10419"/>
    <cellStyle name="20% - Accent5 3 3 2 3 4 2" xfId="10420"/>
    <cellStyle name="20% - Accent5 3 3 2 3 5" xfId="10421"/>
    <cellStyle name="20% - Accent5 3 3 2 3 5 2" xfId="10422"/>
    <cellStyle name="20% - Accent5 3 3 2 3 6" xfId="10423"/>
    <cellStyle name="20% - Accent5 3 3 2 4" xfId="10424"/>
    <cellStyle name="20% - Accent5 3 3 2 4 2" xfId="10425"/>
    <cellStyle name="20% - Accent5 3 3 2 4 2 2" xfId="10426"/>
    <cellStyle name="20% - Accent5 3 3 2 4 2 2 2" xfId="10427"/>
    <cellStyle name="20% - Accent5 3 3 2 4 2 3" xfId="10428"/>
    <cellStyle name="20% - Accent5 3 3 2 4 3" xfId="10429"/>
    <cellStyle name="20% - Accent5 3 3 2 4 3 2" xfId="10430"/>
    <cellStyle name="20% - Accent5 3 3 2 4 4" xfId="10431"/>
    <cellStyle name="20% - Accent5 3 3 2 5" xfId="10432"/>
    <cellStyle name="20% - Accent5 3 3 2 5 2" xfId="10433"/>
    <cellStyle name="20% - Accent5 3 3 2 5 2 2" xfId="10434"/>
    <cellStyle name="20% - Accent5 3 3 2 5 3" xfId="10435"/>
    <cellStyle name="20% - Accent5 3 3 2 6" xfId="10436"/>
    <cellStyle name="20% - Accent5 3 3 2 6 2" xfId="10437"/>
    <cellStyle name="20% - Accent5 3 3 2 7" xfId="10438"/>
    <cellStyle name="20% - Accent5 3 3 2 7 2" xfId="10439"/>
    <cellStyle name="20% - Accent5 3 3 2 8" xfId="10440"/>
    <cellStyle name="20% - Accent5 3 3 3" xfId="10441"/>
    <cellStyle name="20% - Accent5 3 3 3 2" xfId="10442"/>
    <cellStyle name="20% - Accent5 3 3 3 2 2" xfId="10443"/>
    <cellStyle name="20% - Accent5 3 3 3 2 2 2" xfId="10444"/>
    <cellStyle name="20% - Accent5 3 3 3 2 2 2 2" xfId="10445"/>
    <cellStyle name="20% - Accent5 3 3 3 2 2 2 2 2" xfId="10446"/>
    <cellStyle name="20% - Accent5 3 3 3 2 2 2 3" xfId="10447"/>
    <cellStyle name="20% - Accent5 3 3 3 2 2 3" xfId="10448"/>
    <cellStyle name="20% - Accent5 3 3 3 2 2 3 2" xfId="10449"/>
    <cellStyle name="20% - Accent5 3 3 3 2 2 4" xfId="10450"/>
    <cellStyle name="20% - Accent5 3 3 3 2 3" xfId="10451"/>
    <cellStyle name="20% - Accent5 3 3 3 2 3 2" xfId="10452"/>
    <cellStyle name="20% - Accent5 3 3 3 2 3 2 2" xfId="10453"/>
    <cellStyle name="20% - Accent5 3 3 3 2 3 3" xfId="10454"/>
    <cellStyle name="20% - Accent5 3 3 3 2 4" xfId="10455"/>
    <cellStyle name="20% - Accent5 3 3 3 2 4 2" xfId="10456"/>
    <cellStyle name="20% - Accent5 3 3 3 2 5" xfId="10457"/>
    <cellStyle name="20% - Accent5 3 3 3 2 5 2" xfId="10458"/>
    <cellStyle name="20% - Accent5 3 3 3 2 6" xfId="10459"/>
    <cellStyle name="20% - Accent5 3 3 3 3" xfId="10460"/>
    <cellStyle name="20% - Accent5 3 3 3 3 2" xfId="10461"/>
    <cellStyle name="20% - Accent5 3 3 3 3 2 2" xfId="10462"/>
    <cellStyle name="20% - Accent5 3 3 3 3 2 2 2" xfId="10463"/>
    <cellStyle name="20% - Accent5 3 3 3 3 2 2 2 2" xfId="10464"/>
    <cellStyle name="20% - Accent5 3 3 3 3 2 2 3" xfId="10465"/>
    <cellStyle name="20% - Accent5 3 3 3 3 2 3" xfId="10466"/>
    <cellStyle name="20% - Accent5 3 3 3 3 2 3 2" xfId="10467"/>
    <cellStyle name="20% - Accent5 3 3 3 3 2 4" xfId="10468"/>
    <cellStyle name="20% - Accent5 3 3 3 3 3" xfId="10469"/>
    <cellStyle name="20% - Accent5 3 3 3 3 3 2" xfId="10470"/>
    <cellStyle name="20% - Accent5 3 3 3 3 3 2 2" xfId="10471"/>
    <cellStyle name="20% - Accent5 3 3 3 3 3 3" xfId="10472"/>
    <cellStyle name="20% - Accent5 3 3 3 3 4" xfId="10473"/>
    <cellStyle name="20% - Accent5 3 3 3 3 4 2" xfId="10474"/>
    <cellStyle name="20% - Accent5 3 3 3 3 5" xfId="10475"/>
    <cellStyle name="20% - Accent5 3 3 3 3 5 2" xfId="10476"/>
    <cellStyle name="20% - Accent5 3 3 3 3 6" xfId="10477"/>
    <cellStyle name="20% - Accent5 3 3 3 4" xfId="10478"/>
    <cellStyle name="20% - Accent5 3 3 3 4 2" xfId="10479"/>
    <cellStyle name="20% - Accent5 3 3 3 4 2 2" xfId="10480"/>
    <cellStyle name="20% - Accent5 3 3 3 4 2 2 2" xfId="10481"/>
    <cellStyle name="20% - Accent5 3 3 3 4 2 3" xfId="10482"/>
    <cellStyle name="20% - Accent5 3 3 3 4 3" xfId="10483"/>
    <cellStyle name="20% - Accent5 3 3 3 4 3 2" xfId="10484"/>
    <cellStyle name="20% - Accent5 3 3 3 4 4" xfId="10485"/>
    <cellStyle name="20% - Accent5 3 3 3 5" xfId="10486"/>
    <cellStyle name="20% - Accent5 3 3 3 5 2" xfId="10487"/>
    <cellStyle name="20% - Accent5 3 3 3 5 2 2" xfId="10488"/>
    <cellStyle name="20% - Accent5 3 3 3 5 3" xfId="10489"/>
    <cellStyle name="20% - Accent5 3 3 3 6" xfId="10490"/>
    <cellStyle name="20% - Accent5 3 3 3 6 2" xfId="10491"/>
    <cellStyle name="20% - Accent5 3 3 3 7" xfId="10492"/>
    <cellStyle name="20% - Accent5 3 3 3 7 2" xfId="10493"/>
    <cellStyle name="20% - Accent5 3 3 3 8" xfId="10494"/>
    <cellStyle name="20% - Accent5 3 3 4" xfId="10495"/>
    <cellStyle name="20% - Accent5 3 3 4 2" xfId="10496"/>
    <cellStyle name="20% - Accent5 3 3 4 2 2" xfId="10497"/>
    <cellStyle name="20% - Accent5 3 3 4 2 2 2" xfId="10498"/>
    <cellStyle name="20% - Accent5 3 3 4 2 2 2 2" xfId="10499"/>
    <cellStyle name="20% - Accent5 3 3 4 2 2 3" xfId="10500"/>
    <cellStyle name="20% - Accent5 3 3 4 2 3" xfId="10501"/>
    <cellStyle name="20% - Accent5 3 3 4 2 3 2" xfId="10502"/>
    <cellStyle name="20% - Accent5 3 3 4 2 4" xfId="10503"/>
    <cellStyle name="20% - Accent5 3 3 4 3" xfId="10504"/>
    <cellStyle name="20% - Accent5 3 3 4 3 2" xfId="10505"/>
    <cellStyle name="20% - Accent5 3 3 4 3 2 2" xfId="10506"/>
    <cellStyle name="20% - Accent5 3 3 4 3 3" xfId="10507"/>
    <cellStyle name="20% - Accent5 3 3 4 4" xfId="10508"/>
    <cellStyle name="20% - Accent5 3 3 4 4 2" xfId="10509"/>
    <cellStyle name="20% - Accent5 3 3 4 5" xfId="10510"/>
    <cellStyle name="20% - Accent5 3 3 4 5 2" xfId="10511"/>
    <cellStyle name="20% - Accent5 3 3 4 6" xfId="10512"/>
    <cellStyle name="20% - Accent5 3 3 5" xfId="10513"/>
    <cellStyle name="20% - Accent5 3 3 5 2" xfId="10514"/>
    <cellStyle name="20% - Accent5 3 3 5 2 2" xfId="10515"/>
    <cellStyle name="20% - Accent5 3 3 5 2 2 2" xfId="10516"/>
    <cellStyle name="20% - Accent5 3 3 5 2 2 2 2" xfId="10517"/>
    <cellStyle name="20% - Accent5 3 3 5 2 2 3" xfId="10518"/>
    <cellStyle name="20% - Accent5 3 3 5 2 3" xfId="10519"/>
    <cellStyle name="20% - Accent5 3 3 5 2 3 2" xfId="10520"/>
    <cellStyle name="20% - Accent5 3 3 5 2 4" xfId="10521"/>
    <cellStyle name="20% - Accent5 3 3 5 3" xfId="10522"/>
    <cellStyle name="20% - Accent5 3 3 5 3 2" xfId="10523"/>
    <cellStyle name="20% - Accent5 3 3 5 3 2 2" xfId="10524"/>
    <cellStyle name="20% - Accent5 3 3 5 3 3" xfId="10525"/>
    <cellStyle name="20% - Accent5 3 3 5 4" xfId="10526"/>
    <cellStyle name="20% - Accent5 3 3 5 4 2" xfId="10527"/>
    <cellStyle name="20% - Accent5 3 3 5 5" xfId="10528"/>
    <cellStyle name="20% - Accent5 3 3 5 5 2" xfId="10529"/>
    <cellStyle name="20% - Accent5 3 3 5 6" xfId="10530"/>
    <cellStyle name="20% - Accent5 3 3 6" xfId="10531"/>
    <cellStyle name="20% - Accent5 3 3 6 2" xfId="10532"/>
    <cellStyle name="20% - Accent5 3 3 6 2 2" xfId="10533"/>
    <cellStyle name="20% - Accent5 3 3 6 2 2 2" xfId="10534"/>
    <cellStyle name="20% - Accent5 3 3 6 2 2 2 2" xfId="10535"/>
    <cellStyle name="20% - Accent5 3 3 6 2 2 3" xfId="10536"/>
    <cellStyle name="20% - Accent5 3 3 6 2 3" xfId="10537"/>
    <cellStyle name="20% - Accent5 3 3 6 2 3 2" xfId="10538"/>
    <cellStyle name="20% - Accent5 3 3 6 2 4" xfId="10539"/>
    <cellStyle name="20% - Accent5 3 3 6 3" xfId="10540"/>
    <cellStyle name="20% - Accent5 3 3 6 3 2" xfId="10541"/>
    <cellStyle name="20% - Accent5 3 3 6 3 2 2" xfId="10542"/>
    <cellStyle name="20% - Accent5 3 3 6 3 3" xfId="10543"/>
    <cellStyle name="20% - Accent5 3 3 6 4" xfId="10544"/>
    <cellStyle name="20% - Accent5 3 3 6 4 2" xfId="10545"/>
    <cellStyle name="20% - Accent5 3 3 6 5" xfId="10546"/>
    <cellStyle name="20% - Accent5 3 3 6 5 2" xfId="10547"/>
    <cellStyle name="20% - Accent5 3 3 6 6" xfId="10548"/>
    <cellStyle name="20% - Accent5 3 3 7" xfId="10549"/>
    <cellStyle name="20% - Accent5 3 3 7 2" xfId="10550"/>
    <cellStyle name="20% - Accent5 3 3 7 2 2" xfId="10551"/>
    <cellStyle name="20% - Accent5 3 3 7 2 2 2" xfId="10552"/>
    <cellStyle name="20% - Accent5 3 3 7 2 3" xfId="10553"/>
    <cellStyle name="20% - Accent5 3 3 7 3" xfId="10554"/>
    <cellStyle name="20% - Accent5 3 3 7 3 2" xfId="10555"/>
    <cellStyle name="20% - Accent5 3 3 7 4" xfId="10556"/>
    <cellStyle name="20% - Accent5 3 3 8" xfId="10557"/>
    <cellStyle name="20% - Accent5 3 3 8 2" xfId="10558"/>
    <cellStyle name="20% - Accent5 3 3 8 2 2" xfId="10559"/>
    <cellStyle name="20% - Accent5 3 3 8 3" xfId="10560"/>
    <cellStyle name="20% - Accent5 3 3 9" xfId="10561"/>
    <cellStyle name="20% - Accent5 3 3 9 2" xfId="10562"/>
    <cellStyle name="20% - Accent5 3 4" xfId="10563"/>
    <cellStyle name="20% - Accent5 3 4 10" xfId="10564"/>
    <cellStyle name="20% - Accent5 3 4 10 2" xfId="10565"/>
    <cellStyle name="20% - Accent5 3 4 11" xfId="10566"/>
    <cellStyle name="20% - Accent5 3 4 2" xfId="10567"/>
    <cellStyle name="20% - Accent5 3 4 2 2" xfId="10568"/>
    <cellStyle name="20% - Accent5 3 4 2 2 2" xfId="10569"/>
    <cellStyle name="20% - Accent5 3 4 2 2 2 2" xfId="10570"/>
    <cellStyle name="20% - Accent5 3 4 2 2 2 2 2" xfId="10571"/>
    <cellStyle name="20% - Accent5 3 4 2 2 2 2 2 2" xfId="10572"/>
    <cellStyle name="20% - Accent5 3 4 2 2 2 2 3" xfId="10573"/>
    <cellStyle name="20% - Accent5 3 4 2 2 2 3" xfId="10574"/>
    <cellStyle name="20% - Accent5 3 4 2 2 2 3 2" xfId="10575"/>
    <cellStyle name="20% - Accent5 3 4 2 2 2 4" xfId="10576"/>
    <cellStyle name="20% - Accent5 3 4 2 2 3" xfId="10577"/>
    <cellStyle name="20% - Accent5 3 4 2 2 3 2" xfId="10578"/>
    <cellStyle name="20% - Accent5 3 4 2 2 3 2 2" xfId="10579"/>
    <cellStyle name="20% - Accent5 3 4 2 2 3 3" xfId="10580"/>
    <cellStyle name="20% - Accent5 3 4 2 2 4" xfId="10581"/>
    <cellStyle name="20% - Accent5 3 4 2 2 4 2" xfId="10582"/>
    <cellStyle name="20% - Accent5 3 4 2 2 5" xfId="10583"/>
    <cellStyle name="20% - Accent5 3 4 2 2 5 2" xfId="10584"/>
    <cellStyle name="20% - Accent5 3 4 2 2 6" xfId="10585"/>
    <cellStyle name="20% - Accent5 3 4 2 3" xfId="10586"/>
    <cellStyle name="20% - Accent5 3 4 2 3 2" xfId="10587"/>
    <cellStyle name="20% - Accent5 3 4 2 3 2 2" xfId="10588"/>
    <cellStyle name="20% - Accent5 3 4 2 3 2 2 2" xfId="10589"/>
    <cellStyle name="20% - Accent5 3 4 2 3 2 2 2 2" xfId="10590"/>
    <cellStyle name="20% - Accent5 3 4 2 3 2 2 3" xfId="10591"/>
    <cellStyle name="20% - Accent5 3 4 2 3 2 3" xfId="10592"/>
    <cellStyle name="20% - Accent5 3 4 2 3 2 3 2" xfId="10593"/>
    <cellStyle name="20% - Accent5 3 4 2 3 2 4" xfId="10594"/>
    <cellStyle name="20% - Accent5 3 4 2 3 3" xfId="10595"/>
    <cellStyle name="20% - Accent5 3 4 2 3 3 2" xfId="10596"/>
    <cellStyle name="20% - Accent5 3 4 2 3 3 2 2" xfId="10597"/>
    <cellStyle name="20% - Accent5 3 4 2 3 3 3" xfId="10598"/>
    <cellStyle name="20% - Accent5 3 4 2 3 4" xfId="10599"/>
    <cellStyle name="20% - Accent5 3 4 2 3 4 2" xfId="10600"/>
    <cellStyle name="20% - Accent5 3 4 2 3 5" xfId="10601"/>
    <cellStyle name="20% - Accent5 3 4 2 3 5 2" xfId="10602"/>
    <cellStyle name="20% - Accent5 3 4 2 3 6" xfId="10603"/>
    <cellStyle name="20% - Accent5 3 4 2 4" xfId="10604"/>
    <cellStyle name="20% - Accent5 3 4 2 4 2" xfId="10605"/>
    <cellStyle name="20% - Accent5 3 4 2 4 2 2" xfId="10606"/>
    <cellStyle name="20% - Accent5 3 4 2 4 2 2 2" xfId="10607"/>
    <cellStyle name="20% - Accent5 3 4 2 4 2 3" xfId="10608"/>
    <cellStyle name="20% - Accent5 3 4 2 4 3" xfId="10609"/>
    <cellStyle name="20% - Accent5 3 4 2 4 3 2" xfId="10610"/>
    <cellStyle name="20% - Accent5 3 4 2 4 4" xfId="10611"/>
    <cellStyle name="20% - Accent5 3 4 2 5" xfId="10612"/>
    <cellStyle name="20% - Accent5 3 4 2 5 2" xfId="10613"/>
    <cellStyle name="20% - Accent5 3 4 2 5 2 2" xfId="10614"/>
    <cellStyle name="20% - Accent5 3 4 2 5 3" xfId="10615"/>
    <cellStyle name="20% - Accent5 3 4 2 6" xfId="10616"/>
    <cellStyle name="20% - Accent5 3 4 2 6 2" xfId="10617"/>
    <cellStyle name="20% - Accent5 3 4 2 7" xfId="10618"/>
    <cellStyle name="20% - Accent5 3 4 2 7 2" xfId="10619"/>
    <cellStyle name="20% - Accent5 3 4 2 8" xfId="10620"/>
    <cellStyle name="20% - Accent5 3 4 3" xfId="10621"/>
    <cellStyle name="20% - Accent5 3 4 3 2" xfId="10622"/>
    <cellStyle name="20% - Accent5 3 4 3 2 2" xfId="10623"/>
    <cellStyle name="20% - Accent5 3 4 3 2 2 2" xfId="10624"/>
    <cellStyle name="20% - Accent5 3 4 3 2 2 2 2" xfId="10625"/>
    <cellStyle name="20% - Accent5 3 4 3 2 2 2 2 2" xfId="10626"/>
    <cellStyle name="20% - Accent5 3 4 3 2 2 2 3" xfId="10627"/>
    <cellStyle name="20% - Accent5 3 4 3 2 2 3" xfId="10628"/>
    <cellStyle name="20% - Accent5 3 4 3 2 2 3 2" xfId="10629"/>
    <cellStyle name="20% - Accent5 3 4 3 2 2 4" xfId="10630"/>
    <cellStyle name="20% - Accent5 3 4 3 2 3" xfId="10631"/>
    <cellStyle name="20% - Accent5 3 4 3 2 3 2" xfId="10632"/>
    <cellStyle name="20% - Accent5 3 4 3 2 3 2 2" xfId="10633"/>
    <cellStyle name="20% - Accent5 3 4 3 2 3 3" xfId="10634"/>
    <cellStyle name="20% - Accent5 3 4 3 2 4" xfId="10635"/>
    <cellStyle name="20% - Accent5 3 4 3 2 4 2" xfId="10636"/>
    <cellStyle name="20% - Accent5 3 4 3 2 5" xfId="10637"/>
    <cellStyle name="20% - Accent5 3 4 3 2 5 2" xfId="10638"/>
    <cellStyle name="20% - Accent5 3 4 3 2 6" xfId="10639"/>
    <cellStyle name="20% - Accent5 3 4 3 3" xfId="10640"/>
    <cellStyle name="20% - Accent5 3 4 3 3 2" xfId="10641"/>
    <cellStyle name="20% - Accent5 3 4 3 3 2 2" xfId="10642"/>
    <cellStyle name="20% - Accent5 3 4 3 3 2 2 2" xfId="10643"/>
    <cellStyle name="20% - Accent5 3 4 3 3 2 2 2 2" xfId="10644"/>
    <cellStyle name="20% - Accent5 3 4 3 3 2 2 3" xfId="10645"/>
    <cellStyle name="20% - Accent5 3 4 3 3 2 3" xfId="10646"/>
    <cellStyle name="20% - Accent5 3 4 3 3 2 3 2" xfId="10647"/>
    <cellStyle name="20% - Accent5 3 4 3 3 2 4" xfId="10648"/>
    <cellStyle name="20% - Accent5 3 4 3 3 3" xfId="10649"/>
    <cellStyle name="20% - Accent5 3 4 3 3 3 2" xfId="10650"/>
    <cellStyle name="20% - Accent5 3 4 3 3 3 2 2" xfId="10651"/>
    <cellStyle name="20% - Accent5 3 4 3 3 3 3" xfId="10652"/>
    <cellStyle name="20% - Accent5 3 4 3 3 4" xfId="10653"/>
    <cellStyle name="20% - Accent5 3 4 3 3 4 2" xfId="10654"/>
    <cellStyle name="20% - Accent5 3 4 3 3 5" xfId="10655"/>
    <cellStyle name="20% - Accent5 3 4 3 3 5 2" xfId="10656"/>
    <cellStyle name="20% - Accent5 3 4 3 3 6" xfId="10657"/>
    <cellStyle name="20% - Accent5 3 4 3 4" xfId="10658"/>
    <cellStyle name="20% - Accent5 3 4 3 4 2" xfId="10659"/>
    <cellStyle name="20% - Accent5 3 4 3 4 2 2" xfId="10660"/>
    <cellStyle name="20% - Accent5 3 4 3 4 2 2 2" xfId="10661"/>
    <cellStyle name="20% - Accent5 3 4 3 4 2 3" xfId="10662"/>
    <cellStyle name="20% - Accent5 3 4 3 4 3" xfId="10663"/>
    <cellStyle name="20% - Accent5 3 4 3 4 3 2" xfId="10664"/>
    <cellStyle name="20% - Accent5 3 4 3 4 4" xfId="10665"/>
    <cellStyle name="20% - Accent5 3 4 3 5" xfId="10666"/>
    <cellStyle name="20% - Accent5 3 4 3 5 2" xfId="10667"/>
    <cellStyle name="20% - Accent5 3 4 3 5 2 2" xfId="10668"/>
    <cellStyle name="20% - Accent5 3 4 3 5 3" xfId="10669"/>
    <cellStyle name="20% - Accent5 3 4 3 6" xfId="10670"/>
    <cellStyle name="20% - Accent5 3 4 3 6 2" xfId="10671"/>
    <cellStyle name="20% - Accent5 3 4 3 7" xfId="10672"/>
    <cellStyle name="20% - Accent5 3 4 3 7 2" xfId="10673"/>
    <cellStyle name="20% - Accent5 3 4 3 8" xfId="10674"/>
    <cellStyle name="20% - Accent5 3 4 4" xfId="10675"/>
    <cellStyle name="20% - Accent5 3 4 4 2" xfId="10676"/>
    <cellStyle name="20% - Accent5 3 4 4 2 2" xfId="10677"/>
    <cellStyle name="20% - Accent5 3 4 4 2 2 2" xfId="10678"/>
    <cellStyle name="20% - Accent5 3 4 4 2 2 2 2" xfId="10679"/>
    <cellStyle name="20% - Accent5 3 4 4 2 2 3" xfId="10680"/>
    <cellStyle name="20% - Accent5 3 4 4 2 3" xfId="10681"/>
    <cellStyle name="20% - Accent5 3 4 4 2 3 2" xfId="10682"/>
    <cellStyle name="20% - Accent5 3 4 4 2 4" xfId="10683"/>
    <cellStyle name="20% - Accent5 3 4 4 3" xfId="10684"/>
    <cellStyle name="20% - Accent5 3 4 4 3 2" xfId="10685"/>
    <cellStyle name="20% - Accent5 3 4 4 3 2 2" xfId="10686"/>
    <cellStyle name="20% - Accent5 3 4 4 3 3" xfId="10687"/>
    <cellStyle name="20% - Accent5 3 4 4 4" xfId="10688"/>
    <cellStyle name="20% - Accent5 3 4 4 4 2" xfId="10689"/>
    <cellStyle name="20% - Accent5 3 4 4 5" xfId="10690"/>
    <cellStyle name="20% - Accent5 3 4 4 5 2" xfId="10691"/>
    <cellStyle name="20% - Accent5 3 4 4 6" xfId="10692"/>
    <cellStyle name="20% - Accent5 3 4 5" xfId="10693"/>
    <cellStyle name="20% - Accent5 3 4 5 2" xfId="10694"/>
    <cellStyle name="20% - Accent5 3 4 5 2 2" xfId="10695"/>
    <cellStyle name="20% - Accent5 3 4 5 2 2 2" xfId="10696"/>
    <cellStyle name="20% - Accent5 3 4 5 2 2 2 2" xfId="10697"/>
    <cellStyle name="20% - Accent5 3 4 5 2 2 3" xfId="10698"/>
    <cellStyle name="20% - Accent5 3 4 5 2 3" xfId="10699"/>
    <cellStyle name="20% - Accent5 3 4 5 2 3 2" xfId="10700"/>
    <cellStyle name="20% - Accent5 3 4 5 2 4" xfId="10701"/>
    <cellStyle name="20% - Accent5 3 4 5 3" xfId="10702"/>
    <cellStyle name="20% - Accent5 3 4 5 3 2" xfId="10703"/>
    <cellStyle name="20% - Accent5 3 4 5 3 2 2" xfId="10704"/>
    <cellStyle name="20% - Accent5 3 4 5 3 3" xfId="10705"/>
    <cellStyle name="20% - Accent5 3 4 5 4" xfId="10706"/>
    <cellStyle name="20% - Accent5 3 4 5 4 2" xfId="10707"/>
    <cellStyle name="20% - Accent5 3 4 5 5" xfId="10708"/>
    <cellStyle name="20% - Accent5 3 4 5 5 2" xfId="10709"/>
    <cellStyle name="20% - Accent5 3 4 5 6" xfId="10710"/>
    <cellStyle name="20% - Accent5 3 4 6" xfId="10711"/>
    <cellStyle name="20% - Accent5 3 4 6 2" xfId="10712"/>
    <cellStyle name="20% - Accent5 3 4 6 2 2" xfId="10713"/>
    <cellStyle name="20% - Accent5 3 4 6 2 2 2" xfId="10714"/>
    <cellStyle name="20% - Accent5 3 4 6 2 2 2 2" xfId="10715"/>
    <cellStyle name="20% - Accent5 3 4 6 2 2 3" xfId="10716"/>
    <cellStyle name="20% - Accent5 3 4 6 2 3" xfId="10717"/>
    <cellStyle name="20% - Accent5 3 4 6 2 3 2" xfId="10718"/>
    <cellStyle name="20% - Accent5 3 4 6 2 4" xfId="10719"/>
    <cellStyle name="20% - Accent5 3 4 6 3" xfId="10720"/>
    <cellStyle name="20% - Accent5 3 4 6 3 2" xfId="10721"/>
    <cellStyle name="20% - Accent5 3 4 6 3 2 2" xfId="10722"/>
    <cellStyle name="20% - Accent5 3 4 6 3 3" xfId="10723"/>
    <cellStyle name="20% - Accent5 3 4 6 4" xfId="10724"/>
    <cellStyle name="20% - Accent5 3 4 6 4 2" xfId="10725"/>
    <cellStyle name="20% - Accent5 3 4 6 5" xfId="10726"/>
    <cellStyle name="20% - Accent5 3 4 6 5 2" xfId="10727"/>
    <cellStyle name="20% - Accent5 3 4 6 6" xfId="10728"/>
    <cellStyle name="20% - Accent5 3 4 7" xfId="10729"/>
    <cellStyle name="20% - Accent5 3 4 7 2" xfId="10730"/>
    <cellStyle name="20% - Accent5 3 4 7 2 2" xfId="10731"/>
    <cellStyle name="20% - Accent5 3 4 7 2 2 2" xfId="10732"/>
    <cellStyle name="20% - Accent5 3 4 7 2 3" xfId="10733"/>
    <cellStyle name="20% - Accent5 3 4 7 3" xfId="10734"/>
    <cellStyle name="20% - Accent5 3 4 7 3 2" xfId="10735"/>
    <cellStyle name="20% - Accent5 3 4 7 4" xfId="10736"/>
    <cellStyle name="20% - Accent5 3 4 8" xfId="10737"/>
    <cellStyle name="20% - Accent5 3 4 8 2" xfId="10738"/>
    <cellStyle name="20% - Accent5 3 4 8 2 2" xfId="10739"/>
    <cellStyle name="20% - Accent5 3 4 8 3" xfId="10740"/>
    <cellStyle name="20% - Accent5 3 4 9" xfId="10741"/>
    <cellStyle name="20% - Accent5 3 4 9 2" xfId="10742"/>
    <cellStyle name="20% - Accent5 3 5" xfId="10743"/>
    <cellStyle name="20% - Accent5 3 5 10" xfId="10744"/>
    <cellStyle name="20% - Accent5 3 5 10 2" xfId="10745"/>
    <cellStyle name="20% - Accent5 3 5 11" xfId="10746"/>
    <cellStyle name="20% - Accent5 3 5 2" xfId="10747"/>
    <cellStyle name="20% - Accent5 3 5 2 2" xfId="10748"/>
    <cellStyle name="20% - Accent5 3 5 2 2 2" xfId="10749"/>
    <cellStyle name="20% - Accent5 3 5 2 2 2 2" xfId="10750"/>
    <cellStyle name="20% - Accent5 3 5 2 2 2 2 2" xfId="10751"/>
    <cellStyle name="20% - Accent5 3 5 2 2 2 2 2 2" xfId="10752"/>
    <cellStyle name="20% - Accent5 3 5 2 2 2 2 3" xfId="10753"/>
    <cellStyle name="20% - Accent5 3 5 2 2 2 3" xfId="10754"/>
    <cellStyle name="20% - Accent5 3 5 2 2 2 3 2" xfId="10755"/>
    <cellStyle name="20% - Accent5 3 5 2 2 2 4" xfId="10756"/>
    <cellStyle name="20% - Accent5 3 5 2 2 3" xfId="10757"/>
    <cellStyle name="20% - Accent5 3 5 2 2 3 2" xfId="10758"/>
    <cellStyle name="20% - Accent5 3 5 2 2 3 2 2" xfId="10759"/>
    <cellStyle name="20% - Accent5 3 5 2 2 3 3" xfId="10760"/>
    <cellStyle name="20% - Accent5 3 5 2 2 4" xfId="10761"/>
    <cellStyle name="20% - Accent5 3 5 2 2 4 2" xfId="10762"/>
    <cellStyle name="20% - Accent5 3 5 2 2 5" xfId="10763"/>
    <cellStyle name="20% - Accent5 3 5 2 2 5 2" xfId="10764"/>
    <cellStyle name="20% - Accent5 3 5 2 2 6" xfId="10765"/>
    <cellStyle name="20% - Accent5 3 5 2 3" xfId="10766"/>
    <cellStyle name="20% - Accent5 3 5 2 3 2" xfId="10767"/>
    <cellStyle name="20% - Accent5 3 5 2 3 2 2" xfId="10768"/>
    <cellStyle name="20% - Accent5 3 5 2 3 2 2 2" xfId="10769"/>
    <cellStyle name="20% - Accent5 3 5 2 3 2 2 2 2" xfId="10770"/>
    <cellStyle name="20% - Accent5 3 5 2 3 2 2 3" xfId="10771"/>
    <cellStyle name="20% - Accent5 3 5 2 3 2 3" xfId="10772"/>
    <cellStyle name="20% - Accent5 3 5 2 3 2 3 2" xfId="10773"/>
    <cellStyle name="20% - Accent5 3 5 2 3 2 4" xfId="10774"/>
    <cellStyle name="20% - Accent5 3 5 2 3 3" xfId="10775"/>
    <cellStyle name="20% - Accent5 3 5 2 3 3 2" xfId="10776"/>
    <cellStyle name="20% - Accent5 3 5 2 3 3 2 2" xfId="10777"/>
    <cellStyle name="20% - Accent5 3 5 2 3 3 3" xfId="10778"/>
    <cellStyle name="20% - Accent5 3 5 2 3 4" xfId="10779"/>
    <cellStyle name="20% - Accent5 3 5 2 3 4 2" xfId="10780"/>
    <cellStyle name="20% - Accent5 3 5 2 3 5" xfId="10781"/>
    <cellStyle name="20% - Accent5 3 5 2 3 5 2" xfId="10782"/>
    <cellStyle name="20% - Accent5 3 5 2 3 6" xfId="10783"/>
    <cellStyle name="20% - Accent5 3 5 2 4" xfId="10784"/>
    <cellStyle name="20% - Accent5 3 5 2 4 2" xfId="10785"/>
    <cellStyle name="20% - Accent5 3 5 2 4 2 2" xfId="10786"/>
    <cellStyle name="20% - Accent5 3 5 2 4 2 2 2" xfId="10787"/>
    <cellStyle name="20% - Accent5 3 5 2 4 2 3" xfId="10788"/>
    <cellStyle name="20% - Accent5 3 5 2 4 3" xfId="10789"/>
    <cellStyle name="20% - Accent5 3 5 2 4 3 2" xfId="10790"/>
    <cellStyle name="20% - Accent5 3 5 2 4 4" xfId="10791"/>
    <cellStyle name="20% - Accent5 3 5 2 5" xfId="10792"/>
    <cellStyle name="20% - Accent5 3 5 2 5 2" xfId="10793"/>
    <cellStyle name="20% - Accent5 3 5 2 5 2 2" xfId="10794"/>
    <cellStyle name="20% - Accent5 3 5 2 5 3" xfId="10795"/>
    <cellStyle name="20% - Accent5 3 5 2 6" xfId="10796"/>
    <cellStyle name="20% - Accent5 3 5 2 6 2" xfId="10797"/>
    <cellStyle name="20% - Accent5 3 5 2 7" xfId="10798"/>
    <cellStyle name="20% - Accent5 3 5 2 7 2" xfId="10799"/>
    <cellStyle name="20% - Accent5 3 5 2 8" xfId="10800"/>
    <cellStyle name="20% - Accent5 3 5 3" xfId="10801"/>
    <cellStyle name="20% - Accent5 3 5 3 2" xfId="10802"/>
    <cellStyle name="20% - Accent5 3 5 3 2 2" xfId="10803"/>
    <cellStyle name="20% - Accent5 3 5 3 2 2 2" xfId="10804"/>
    <cellStyle name="20% - Accent5 3 5 3 2 2 2 2" xfId="10805"/>
    <cellStyle name="20% - Accent5 3 5 3 2 2 2 2 2" xfId="10806"/>
    <cellStyle name="20% - Accent5 3 5 3 2 2 2 3" xfId="10807"/>
    <cellStyle name="20% - Accent5 3 5 3 2 2 3" xfId="10808"/>
    <cellStyle name="20% - Accent5 3 5 3 2 2 3 2" xfId="10809"/>
    <cellStyle name="20% - Accent5 3 5 3 2 2 4" xfId="10810"/>
    <cellStyle name="20% - Accent5 3 5 3 2 3" xfId="10811"/>
    <cellStyle name="20% - Accent5 3 5 3 2 3 2" xfId="10812"/>
    <cellStyle name="20% - Accent5 3 5 3 2 3 2 2" xfId="10813"/>
    <cellStyle name="20% - Accent5 3 5 3 2 3 3" xfId="10814"/>
    <cellStyle name="20% - Accent5 3 5 3 2 4" xfId="10815"/>
    <cellStyle name="20% - Accent5 3 5 3 2 4 2" xfId="10816"/>
    <cellStyle name="20% - Accent5 3 5 3 2 5" xfId="10817"/>
    <cellStyle name="20% - Accent5 3 5 3 2 5 2" xfId="10818"/>
    <cellStyle name="20% - Accent5 3 5 3 2 6" xfId="10819"/>
    <cellStyle name="20% - Accent5 3 5 3 3" xfId="10820"/>
    <cellStyle name="20% - Accent5 3 5 3 3 2" xfId="10821"/>
    <cellStyle name="20% - Accent5 3 5 3 3 2 2" xfId="10822"/>
    <cellStyle name="20% - Accent5 3 5 3 3 2 2 2" xfId="10823"/>
    <cellStyle name="20% - Accent5 3 5 3 3 2 2 2 2" xfId="10824"/>
    <cellStyle name="20% - Accent5 3 5 3 3 2 2 3" xfId="10825"/>
    <cellStyle name="20% - Accent5 3 5 3 3 2 3" xfId="10826"/>
    <cellStyle name="20% - Accent5 3 5 3 3 2 3 2" xfId="10827"/>
    <cellStyle name="20% - Accent5 3 5 3 3 2 4" xfId="10828"/>
    <cellStyle name="20% - Accent5 3 5 3 3 3" xfId="10829"/>
    <cellStyle name="20% - Accent5 3 5 3 3 3 2" xfId="10830"/>
    <cellStyle name="20% - Accent5 3 5 3 3 3 2 2" xfId="10831"/>
    <cellStyle name="20% - Accent5 3 5 3 3 3 3" xfId="10832"/>
    <cellStyle name="20% - Accent5 3 5 3 3 4" xfId="10833"/>
    <cellStyle name="20% - Accent5 3 5 3 3 4 2" xfId="10834"/>
    <cellStyle name="20% - Accent5 3 5 3 3 5" xfId="10835"/>
    <cellStyle name="20% - Accent5 3 5 3 3 5 2" xfId="10836"/>
    <cellStyle name="20% - Accent5 3 5 3 3 6" xfId="10837"/>
    <cellStyle name="20% - Accent5 3 5 3 4" xfId="10838"/>
    <cellStyle name="20% - Accent5 3 5 3 4 2" xfId="10839"/>
    <cellStyle name="20% - Accent5 3 5 3 4 2 2" xfId="10840"/>
    <cellStyle name="20% - Accent5 3 5 3 4 2 2 2" xfId="10841"/>
    <cellStyle name="20% - Accent5 3 5 3 4 2 3" xfId="10842"/>
    <cellStyle name="20% - Accent5 3 5 3 4 3" xfId="10843"/>
    <cellStyle name="20% - Accent5 3 5 3 4 3 2" xfId="10844"/>
    <cellStyle name="20% - Accent5 3 5 3 4 4" xfId="10845"/>
    <cellStyle name="20% - Accent5 3 5 3 5" xfId="10846"/>
    <cellStyle name="20% - Accent5 3 5 3 5 2" xfId="10847"/>
    <cellStyle name="20% - Accent5 3 5 3 5 2 2" xfId="10848"/>
    <cellStyle name="20% - Accent5 3 5 3 5 3" xfId="10849"/>
    <cellStyle name="20% - Accent5 3 5 3 6" xfId="10850"/>
    <cellStyle name="20% - Accent5 3 5 3 6 2" xfId="10851"/>
    <cellStyle name="20% - Accent5 3 5 3 7" xfId="10852"/>
    <cellStyle name="20% - Accent5 3 5 3 7 2" xfId="10853"/>
    <cellStyle name="20% - Accent5 3 5 3 8" xfId="10854"/>
    <cellStyle name="20% - Accent5 3 5 4" xfId="10855"/>
    <cellStyle name="20% - Accent5 3 5 4 2" xfId="10856"/>
    <cellStyle name="20% - Accent5 3 5 4 2 2" xfId="10857"/>
    <cellStyle name="20% - Accent5 3 5 4 2 2 2" xfId="10858"/>
    <cellStyle name="20% - Accent5 3 5 4 2 2 2 2" xfId="10859"/>
    <cellStyle name="20% - Accent5 3 5 4 2 2 3" xfId="10860"/>
    <cellStyle name="20% - Accent5 3 5 4 2 3" xfId="10861"/>
    <cellStyle name="20% - Accent5 3 5 4 2 3 2" xfId="10862"/>
    <cellStyle name="20% - Accent5 3 5 4 2 4" xfId="10863"/>
    <cellStyle name="20% - Accent5 3 5 4 3" xfId="10864"/>
    <cellStyle name="20% - Accent5 3 5 4 3 2" xfId="10865"/>
    <cellStyle name="20% - Accent5 3 5 4 3 2 2" xfId="10866"/>
    <cellStyle name="20% - Accent5 3 5 4 3 3" xfId="10867"/>
    <cellStyle name="20% - Accent5 3 5 4 4" xfId="10868"/>
    <cellStyle name="20% - Accent5 3 5 4 4 2" xfId="10869"/>
    <cellStyle name="20% - Accent5 3 5 4 5" xfId="10870"/>
    <cellStyle name="20% - Accent5 3 5 4 5 2" xfId="10871"/>
    <cellStyle name="20% - Accent5 3 5 4 6" xfId="10872"/>
    <cellStyle name="20% - Accent5 3 5 5" xfId="10873"/>
    <cellStyle name="20% - Accent5 3 5 5 2" xfId="10874"/>
    <cellStyle name="20% - Accent5 3 5 5 2 2" xfId="10875"/>
    <cellStyle name="20% - Accent5 3 5 5 2 2 2" xfId="10876"/>
    <cellStyle name="20% - Accent5 3 5 5 2 2 2 2" xfId="10877"/>
    <cellStyle name="20% - Accent5 3 5 5 2 2 3" xfId="10878"/>
    <cellStyle name="20% - Accent5 3 5 5 2 3" xfId="10879"/>
    <cellStyle name="20% - Accent5 3 5 5 2 3 2" xfId="10880"/>
    <cellStyle name="20% - Accent5 3 5 5 2 4" xfId="10881"/>
    <cellStyle name="20% - Accent5 3 5 5 3" xfId="10882"/>
    <cellStyle name="20% - Accent5 3 5 5 3 2" xfId="10883"/>
    <cellStyle name="20% - Accent5 3 5 5 3 2 2" xfId="10884"/>
    <cellStyle name="20% - Accent5 3 5 5 3 3" xfId="10885"/>
    <cellStyle name="20% - Accent5 3 5 5 4" xfId="10886"/>
    <cellStyle name="20% - Accent5 3 5 5 4 2" xfId="10887"/>
    <cellStyle name="20% - Accent5 3 5 5 5" xfId="10888"/>
    <cellStyle name="20% - Accent5 3 5 5 5 2" xfId="10889"/>
    <cellStyle name="20% - Accent5 3 5 5 6" xfId="10890"/>
    <cellStyle name="20% - Accent5 3 5 6" xfId="10891"/>
    <cellStyle name="20% - Accent5 3 5 6 2" xfId="10892"/>
    <cellStyle name="20% - Accent5 3 5 6 2 2" xfId="10893"/>
    <cellStyle name="20% - Accent5 3 5 6 2 2 2" xfId="10894"/>
    <cellStyle name="20% - Accent5 3 5 6 2 2 2 2" xfId="10895"/>
    <cellStyle name="20% - Accent5 3 5 6 2 2 3" xfId="10896"/>
    <cellStyle name="20% - Accent5 3 5 6 2 3" xfId="10897"/>
    <cellStyle name="20% - Accent5 3 5 6 2 3 2" xfId="10898"/>
    <cellStyle name="20% - Accent5 3 5 6 2 4" xfId="10899"/>
    <cellStyle name="20% - Accent5 3 5 6 3" xfId="10900"/>
    <cellStyle name="20% - Accent5 3 5 6 3 2" xfId="10901"/>
    <cellStyle name="20% - Accent5 3 5 6 3 2 2" xfId="10902"/>
    <cellStyle name="20% - Accent5 3 5 6 3 3" xfId="10903"/>
    <cellStyle name="20% - Accent5 3 5 6 4" xfId="10904"/>
    <cellStyle name="20% - Accent5 3 5 6 4 2" xfId="10905"/>
    <cellStyle name="20% - Accent5 3 5 6 5" xfId="10906"/>
    <cellStyle name="20% - Accent5 3 5 6 5 2" xfId="10907"/>
    <cellStyle name="20% - Accent5 3 5 6 6" xfId="10908"/>
    <cellStyle name="20% - Accent5 3 5 7" xfId="10909"/>
    <cellStyle name="20% - Accent5 3 5 7 2" xfId="10910"/>
    <cellStyle name="20% - Accent5 3 5 7 2 2" xfId="10911"/>
    <cellStyle name="20% - Accent5 3 5 7 2 2 2" xfId="10912"/>
    <cellStyle name="20% - Accent5 3 5 7 2 3" xfId="10913"/>
    <cellStyle name="20% - Accent5 3 5 7 3" xfId="10914"/>
    <cellStyle name="20% - Accent5 3 5 7 3 2" xfId="10915"/>
    <cellStyle name="20% - Accent5 3 5 7 4" xfId="10916"/>
    <cellStyle name="20% - Accent5 3 5 8" xfId="10917"/>
    <cellStyle name="20% - Accent5 3 5 8 2" xfId="10918"/>
    <cellStyle name="20% - Accent5 3 5 8 2 2" xfId="10919"/>
    <cellStyle name="20% - Accent5 3 5 8 3" xfId="10920"/>
    <cellStyle name="20% - Accent5 3 5 9" xfId="10921"/>
    <cellStyle name="20% - Accent5 3 5 9 2" xfId="10922"/>
    <cellStyle name="20% - Accent5 3 6" xfId="10923"/>
    <cellStyle name="20% - Accent5 3 6 2" xfId="10924"/>
    <cellStyle name="20% - Accent5 3 6 2 2" xfId="10925"/>
    <cellStyle name="20% - Accent5 3 6 2 2 2" xfId="10926"/>
    <cellStyle name="20% - Accent5 3 6 2 2 2 2" xfId="10927"/>
    <cellStyle name="20% - Accent5 3 6 2 2 2 2 2" xfId="10928"/>
    <cellStyle name="20% - Accent5 3 6 2 2 2 3" xfId="10929"/>
    <cellStyle name="20% - Accent5 3 6 2 2 3" xfId="10930"/>
    <cellStyle name="20% - Accent5 3 6 2 2 3 2" xfId="10931"/>
    <cellStyle name="20% - Accent5 3 6 2 2 4" xfId="10932"/>
    <cellStyle name="20% - Accent5 3 6 2 3" xfId="10933"/>
    <cellStyle name="20% - Accent5 3 6 2 3 2" xfId="10934"/>
    <cellStyle name="20% - Accent5 3 6 2 3 2 2" xfId="10935"/>
    <cellStyle name="20% - Accent5 3 6 2 3 3" xfId="10936"/>
    <cellStyle name="20% - Accent5 3 6 2 4" xfId="10937"/>
    <cellStyle name="20% - Accent5 3 6 2 4 2" xfId="10938"/>
    <cellStyle name="20% - Accent5 3 6 2 5" xfId="10939"/>
    <cellStyle name="20% - Accent5 3 6 2 5 2" xfId="10940"/>
    <cellStyle name="20% - Accent5 3 6 2 6" xfId="10941"/>
    <cellStyle name="20% - Accent5 3 6 3" xfId="10942"/>
    <cellStyle name="20% - Accent5 3 6 3 2" xfId="10943"/>
    <cellStyle name="20% - Accent5 3 6 3 2 2" xfId="10944"/>
    <cellStyle name="20% - Accent5 3 6 3 2 2 2" xfId="10945"/>
    <cellStyle name="20% - Accent5 3 6 3 2 2 2 2" xfId="10946"/>
    <cellStyle name="20% - Accent5 3 6 3 2 2 3" xfId="10947"/>
    <cellStyle name="20% - Accent5 3 6 3 2 3" xfId="10948"/>
    <cellStyle name="20% - Accent5 3 6 3 2 3 2" xfId="10949"/>
    <cellStyle name="20% - Accent5 3 6 3 2 4" xfId="10950"/>
    <cellStyle name="20% - Accent5 3 6 3 3" xfId="10951"/>
    <cellStyle name="20% - Accent5 3 6 3 3 2" xfId="10952"/>
    <cellStyle name="20% - Accent5 3 6 3 3 2 2" xfId="10953"/>
    <cellStyle name="20% - Accent5 3 6 3 3 3" xfId="10954"/>
    <cellStyle name="20% - Accent5 3 6 3 4" xfId="10955"/>
    <cellStyle name="20% - Accent5 3 6 3 4 2" xfId="10956"/>
    <cellStyle name="20% - Accent5 3 6 3 5" xfId="10957"/>
    <cellStyle name="20% - Accent5 3 6 3 5 2" xfId="10958"/>
    <cellStyle name="20% - Accent5 3 6 3 6" xfId="10959"/>
    <cellStyle name="20% - Accent5 3 6 4" xfId="10960"/>
    <cellStyle name="20% - Accent5 3 6 4 2" xfId="10961"/>
    <cellStyle name="20% - Accent5 3 6 4 2 2" xfId="10962"/>
    <cellStyle name="20% - Accent5 3 6 4 2 2 2" xfId="10963"/>
    <cellStyle name="20% - Accent5 3 6 4 2 3" xfId="10964"/>
    <cellStyle name="20% - Accent5 3 6 4 3" xfId="10965"/>
    <cellStyle name="20% - Accent5 3 6 4 3 2" xfId="10966"/>
    <cellStyle name="20% - Accent5 3 6 4 4" xfId="10967"/>
    <cellStyle name="20% - Accent5 3 6 5" xfId="10968"/>
    <cellStyle name="20% - Accent5 3 6 5 2" xfId="10969"/>
    <cellStyle name="20% - Accent5 3 6 5 2 2" xfId="10970"/>
    <cellStyle name="20% - Accent5 3 6 5 3" xfId="10971"/>
    <cellStyle name="20% - Accent5 3 6 6" xfId="10972"/>
    <cellStyle name="20% - Accent5 3 6 6 2" xfId="10973"/>
    <cellStyle name="20% - Accent5 3 6 7" xfId="10974"/>
    <cellStyle name="20% - Accent5 3 6 7 2" xfId="10975"/>
    <cellStyle name="20% - Accent5 3 6 8" xfId="10976"/>
    <cellStyle name="20% - Accent5 3 7" xfId="10977"/>
    <cellStyle name="20% - Accent5 3 7 2" xfId="10978"/>
    <cellStyle name="20% - Accent5 3 7 2 2" xfId="10979"/>
    <cellStyle name="20% - Accent5 3 7 2 2 2" xfId="10980"/>
    <cellStyle name="20% - Accent5 3 7 2 2 2 2" xfId="10981"/>
    <cellStyle name="20% - Accent5 3 7 2 2 2 2 2" xfId="10982"/>
    <cellStyle name="20% - Accent5 3 7 2 2 2 3" xfId="10983"/>
    <cellStyle name="20% - Accent5 3 7 2 2 3" xfId="10984"/>
    <cellStyle name="20% - Accent5 3 7 2 2 3 2" xfId="10985"/>
    <cellStyle name="20% - Accent5 3 7 2 2 4" xfId="10986"/>
    <cellStyle name="20% - Accent5 3 7 2 3" xfId="10987"/>
    <cellStyle name="20% - Accent5 3 7 2 3 2" xfId="10988"/>
    <cellStyle name="20% - Accent5 3 7 2 3 2 2" xfId="10989"/>
    <cellStyle name="20% - Accent5 3 7 2 3 3" xfId="10990"/>
    <cellStyle name="20% - Accent5 3 7 2 4" xfId="10991"/>
    <cellStyle name="20% - Accent5 3 7 2 4 2" xfId="10992"/>
    <cellStyle name="20% - Accent5 3 7 2 5" xfId="10993"/>
    <cellStyle name="20% - Accent5 3 7 2 5 2" xfId="10994"/>
    <cellStyle name="20% - Accent5 3 7 2 6" xfId="10995"/>
    <cellStyle name="20% - Accent5 3 7 3" xfId="10996"/>
    <cellStyle name="20% - Accent5 3 7 3 2" xfId="10997"/>
    <cellStyle name="20% - Accent5 3 7 3 2 2" xfId="10998"/>
    <cellStyle name="20% - Accent5 3 7 3 2 2 2" xfId="10999"/>
    <cellStyle name="20% - Accent5 3 7 3 2 2 2 2" xfId="11000"/>
    <cellStyle name="20% - Accent5 3 7 3 2 2 3" xfId="11001"/>
    <cellStyle name="20% - Accent5 3 7 3 2 3" xfId="11002"/>
    <cellStyle name="20% - Accent5 3 7 3 2 3 2" xfId="11003"/>
    <cellStyle name="20% - Accent5 3 7 3 2 4" xfId="11004"/>
    <cellStyle name="20% - Accent5 3 7 3 3" xfId="11005"/>
    <cellStyle name="20% - Accent5 3 7 3 3 2" xfId="11006"/>
    <cellStyle name="20% - Accent5 3 7 3 3 2 2" xfId="11007"/>
    <cellStyle name="20% - Accent5 3 7 3 3 3" xfId="11008"/>
    <cellStyle name="20% - Accent5 3 7 3 4" xfId="11009"/>
    <cellStyle name="20% - Accent5 3 7 3 4 2" xfId="11010"/>
    <cellStyle name="20% - Accent5 3 7 3 5" xfId="11011"/>
    <cellStyle name="20% - Accent5 3 7 3 5 2" xfId="11012"/>
    <cellStyle name="20% - Accent5 3 7 3 6" xfId="11013"/>
    <cellStyle name="20% - Accent5 3 7 4" xfId="11014"/>
    <cellStyle name="20% - Accent5 3 7 4 2" xfId="11015"/>
    <cellStyle name="20% - Accent5 3 7 4 2 2" xfId="11016"/>
    <cellStyle name="20% - Accent5 3 7 4 2 2 2" xfId="11017"/>
    <cellStyle name="20% - Accent5 3 7 4 2 3" xfId="11018"/>
    <cellStyle name="20% - Accent5 3 7 4 3" xfId="11019"/>
    <cellStyle name="20% - Accent5 3 7 4 3 2" xfId="11020"/>
    <cellStyle name="20% - Accent5 3 7 4 4" xfId="11021"/>
    <cellStyle name="20% - Accent5 3 7 5" xfId="11022"/>
    <cellStyle name="20% - Accent5 3 7 5 2" xfId="11023"/>
    <cellStyle name="20% - Accent5 3 7 5 2 2" xfId="11024"/>
    <cellStyle name="20% - Accent5 3 7 5 3" xfId="11025"/>
    <cellStyle name="20% - Accent5 3 7 6" xfId="11026"/>
    <cellStyle name="20% - Accent5 3 7 6 2" xfId="11027"/>
    <cellStyle name="20% - Accent5 3 7 7" xfId="11028"/>
    <cellStyle name="20% - Accent5 3 7 7 2" xfId="11029"/>
    <cellStyle name="20% - Accent5 3 7 8" xfId="11030"/>
    <cellStyle name="20% - Accent5 3 8" xfId="11031"/>
    <cellStyle name="20% - Accent5 3 8 2" xfId="11032"/>
    <cellStyle name="20% - Accent5 3 8 2 2" xfId="11033"/>
    <cellStyle name="20% - Accent5 3 8 2 2 2" xfId="11034"/>
    <cellStyle name="20% - Accent5 3 8 2 2 2 2" xfId="11035"/>
    <cellStyle name="20% - Accent5 3 8 2 2 3" xfId="11036"/>
    <cellStyle name="20% - Accent5 3 8 2 3" xfId="11037"/>
    <cellStyle name="20% - Accent5 3 8 2 3 2" xfId="11038"/>
    <cellStyle name="20% - Accent5 3 8 2 4" xfId="11039"/>
    <cellStyle name="20% - Accent5 3 8 3" xfId="11040"/>
    <cellStyle name="20% - Accent5 3 8 3 2" xfId="11041"/>
    <cellStyle name="20% - Accent5 3 8 3 2 2" xfId="11042"/>
    <cellStyle name="20% - Accent5 3 8 3 3" xfId="11043"/>
    <cellStyle name="20% - Accent5 3 8 4" xfId="11044"/>
    <cellStyle name="20% - Accent5 3 8 4 2" xfId="11045"/>
    <cellStyle name="20% - Accent5 3 8 5" xfId="11046"/>
    <cellStyle name="20% - Accent5 3 8 5 2" xfId="11047"/>
    <cellStyle name="20% - Accent5 3 8 6" xfId="11048"/>
    <cellStyle name="20% - Accent5 3 9" xfId="11049"/>
    <cellStyle name="20% - Accent5 3 9 2" xfId="11050"/>
    <cellStyle name="20% - Accent5 3 9 2 2" xfId="11051"/>
    <cellStyle name="20% - Accent5 3 9 2 2 2" xfId="11052"/>
    <cellStyle name="20% - Accent5 3 9 2 2 2 2" xfId="11053"/>
    <cellStyle name="20% - Accent5 3 9 2 2 3" xfId="11054"/>
    <cellStyle name="20% - Accent5 3 9 2 3" xfId="11055"/>
    <cellStyle name="20% - Accent5 3 9 2 3 2" xfId="11056"/>
    <cellStyle name="20% - Accent5 3 9 2 4" xfId="11057"/>
    <cellStyle name="20% - Accent5 3 9 3" xfId="11058"/>
    <cellStyle name="20% - Accent5 3 9 3 2" xfId="11059"/>
    <cellStyle name="20% - Accent5 3 9 3 2 2" xfId="11060"/>
    <cellStyle name="20% - Accent5 3 9 3 3" xfId="11061"/>
    <cellStyle name="20% - Accent5 3 9 4" xfId="11062"/>
    <cellStyle name="20% - Accent5 3 9 4 2" xfId="11063"/>
    <cellStyle name="20% - Accent5 3 9 5" xfId="11064"/>
    <cellStyle name="20% - Accent5 3 9 5 2" xfId="11065"/>
    <cellStyle name="20% - Accent5 3 9 6" xfId="11066"/>
    <cellStyle name="20% - Accent5 4" xfId="11067"/>
    <cellStyle name="20% - Accent5 5" xfId="11068"/>
    <cellStyle name="20% - Accent5 5 10" xfId="11069"/>
    <cellStyle name="20% - Accent5 5 10 2" xfId="11070"/>
    <cellStyle name="20% - Accent5 5 11" xfId="11071"/>
    <cellStyle name="20% - Accent5 5 2" xfId="11072"/>
    <cellStyle name="20% - Accent5 5 2 2" xfId="11073"/>
    <cellStyle name="20% - Accent5 5 2 2 2" xfId="11074"/>
    <cellStyle name="20% - Accent5 5 2 2 2 2" xfId="11075"/>
    <cellStyle name="20% - Accent5 5 2 2 2 2 2" xfId="11076"/>
    <cellStyle name="20% - Accent5 5 2 2 2 2 2 2" xfId="11077"/>
    <cellStyle name="20% - Accent5 5 2 2 2 2 3" xfId="11078"/>
    <cellStyle name="20% - Accent5 5 2 2 2 3" xfId="11079"/>
    <cellStyle name="20% - Accent5 5 2 2 2 3 2" xfId="11080"/>
    <cellStyle name="20% - Accent5 5 2 2 2 4" xfId="11081"/>
    <cellStyle name="20% - Accent5 5 2 2 3" xfId="11082"/>
    <cellStyle name="20% - Accent5 5 2 2 3 2" xfId="11083"/>
    <cellStyle name="20% - Accent5 5 2 2 3 2 2" xfId="11084"/>
    <cellStyle name="20% - Accent5 5 2 2 3 3" xfId="11085"/>
    <cellStyle name="20% - Accent5 5 2 2 4" xfId="11086"/>
    <cellStyle name="20% - Accent5 5 2 2 4 2" xfId="11087"/>
    <cellStyle name="20% - Accent5 5 2 2 5" xfId="11088"/>
    <cellStyle name="20% - Accent5 5 2 2 5 2" xfId="11089"/>
    <cellStyle name="20% - Accent5 5 2 2 6" xfId="11090"/>
    <cellStyle name="20% - Accent5 5 2 3" xfId="11091"/>
    <cellStyle name="20% - Accent5 5 2 3 2" xfId="11092"/>
    <cellStyle name="20% - Accent5 5 2 3 2 2" xfId="11093"/>
    <cellStyle name="20% - Accent5 5 2 3 2 2 2" xfId="11094"/>
    <cellStyle name="20% - Accent5 5 2 3 2 2 2 2" xfId="11095"/>
    <cellStyle name="20% - Accent5 5 2 3 2 2 3" xfId="11096"/>
    <cellStyle name="20% - Accent5 5 2 3 2 3" xfId="11097"/>
    <cellStyle name="20% - Accent5 5 2 3 2 3 2" xfId="11098"/>
    <cellStyle name="20% - Accent5 5 2 3 2 4" xfId="11099"/>
    <cellStyle name="20% - Accent5 5 2 3 3" xfId="11100"/>
    <cellStyle name="20% - Accent5 5 2 3 3 2" xfId="11101"/>
    <cellStyle name="20% - Accent5 5 2 3 3 2 2" xfId="11102"/>
    <cellStyle name="20% - Accent5 5 2 3 3 3" xfId="11103"/>
    <cellStyle name="20% - Accent5 5 2 3 4" xfId="11104"/>
    <cellStyle name="20% - Accent5 5 2 3 4 2" xfId="11105"/>
    <cellStyle name="20% - Accent5 5 2 3 5" xfId="11106"/>
    <cellStyle name="20% - Accent5 5 2 3 5 2" xfId="11107"/>
    <cellStyle name="20% - Accent5 5 2 3 6" xfId="11108"/>
    <cellStyle name="20% - Accent5 5 2 4" xfId="11109"/>
    <cellStyle name="20% - Accent5 5 2 4 2" xfId="11110"/>
    <cellStyle name="20% - Accent5 5 2 4 2 2" xfId="11111"/>
    <cellStyle name="20% - Accent5 5 2 4 2 2 2" xfId="11112"/>
    <cellStyle name="20% - Accent5 5 2 4 2 3" xfId="11113"/>
    <cellStyle name="20% - Accent5 5 2 4 3" xfId="11114"/>
    <cellStyle name="20% - Accent5 5 2 4 3 2" xfId="11115"/>
    <cellStyle name="20% - Accent5 5 2 4 4" xfId="11116"/>
    <cellStyle name="20% - Accent5 5 2 5" xfId="11117"/>
    <cellStyle name="20% - Accent5 5 2 5 2" xfId="11118"/>
    <cellStyle name="20% - Accent5 5 2 5 2 2" xfId="11119"/>
    <cellStyle name="20% - Accent5 5 2 5 3" xfId="11120"/>
    <cellStyle name="20% - Accent5 5 2 6" xfId="11121"/>
    <cellStyle name="20% - Accent5 5 2 6 2" xfId="11122"/>
    <cellStyle name="20% - Accent5 5 2 7" xfId="11123"/>
    <cellStyle name="20% - Accent5 5 2 7 2" xfId="11124"/>
    <cellStyle name="20% - Accent5 5 2 8" xfId="11125"/>
    <cellStyle name="20% - Accent5 5 3" xfId="11126"/>
    <cellStyle name="20% - Accent5 5 3 2" xfId="11127"/>
    <cellStyle name="20% - Accent5 5 3 2 2" xfId="11128"/>
    <cellStyle name="20% - Accent5 5 3 2 2 2" xfId="11129"/>
    <cellStyle name="20% - Accent5 5 3 2 2 2 2" xfId="11130"/>
    <cellStyle name="20% - Accent5 5 3 2 2 2 2 2" xfId="11131"/>
    <cellStyle name="20% - Accent5 5 3 2 2 2 3" xfId="11132"/>
    <cellStyle name="20% - Accent5 5 3 2 2 3" xfId="11133"/>
    <cellStyle name="20% - Accent5 5 3 2 2 3 2" xfId="11134"/>
    <cellStyle name="20% - Accent5 5 3 2 2 4" xfId="11135"/>
    <cellStyle name="20% - Accent5 5 3 2 3" xfId="11136"/>
    <cellStyle name="20% - Accent5 5 3 2 3 2" xfId="11137"/>
    <cellStyle name="20% - Accent5 5 3 2 3 2 2" xfId="11138"/>
    <cellStyle name="20% - Accent5 5 3 2 3 3" xfId="11139"/>
    <cellStyle name="20% - Accent5 5 3 2 4" xfId="11140"/>
    <cellStyle name="20% - Accent5 5 3 2 4 2" xfId="11141"/>
    <cellStyle name="20% - Accent5 5 3 2 5" xfId="11142"/>
    <cellStyle name="20% - Accent5 5 3 2 5 2" xfId="11143"/>
    <cellStyle name="20% - Accent5 5 3 2 6" xfId="11144"/>
    <cellStyle name="20% - Accent5 5 3 3" xfId="11145"/>
    <cellStyle name="20% - Accent5 5 3 3 2" xfId="11146"/>
    <cellStyle name="20% - Accent5 5 3 3 2 2" xfId="11147"/>
    <cellStyle name="20% - Accent5 5 3 3 2 2 2" xfId="11148"/>
    <cellStyle name="20% - Accent5 5 3 3 2 2 2 2" xfId="11149"/>
    <cellStyle name="20% - Accent5 5 3 3 2 2 3" xfId="11150"/>
    <cellStyle name="20% - Accent5 5 3 3 2 3" xfId="11151"/>
    <cellStyle name="20% - Accent5 5 3 3 2 3 2" xfId="11152"/>
    <cellStyle name="20% - Accent5 5 3 3 2 4" xfId="11153"/>
    <cellStyle name="20% - Accent5 5 3 3 3" xfId="11154"/>
    <cellStyle name="20% - Accent5 5 3 3 3 2" xfId="11155"/>
    <cellStyle name="20% - Accent5 5 3 3 3 2 2" xfId="11156"/>
    <cellStyle name="20% - Accent5 5 3 3 3 3" xfId="11157"/>
    <cellStyle name="20% - Accent5 5 3 3 4" xfId="11158"/>
    <cellStyle name="20% - Accent5 5 3 3 4 2" xfId="11159"/>
    <cellStyle name="20% - Accent5 5 3 3 5" xfId="11160"/>
    <cellStyle name="20% - Accent5 5 3 3 5 2" xfId="11161"/>
    <cellStyle name="20% - Accent5 5 3 3 6" xfId="11162"/>
    <cellStyle name="20% - Accent5 5 3 4" xfId="11163"/>
    <cellStyle name="20% - Accent5 5 3 4 2" xfId="11164"/>
    <cellStyle name="20% - Accent5 5 3 4 2 2" xfId="11165"/>
    <cellStyle name="20% - Accent5 5 3 4 2 2 2" xfId="11166"/>
    <cellStyle name="20% - Accent5 5 3 4 2 3" xfId="11167"/>
    <cellStyle name="20% - Accent5 5 3 4 3" xfId="11168"/>
    <cellStyle name="20% - Accent5 5 3 4 3 2" xfId="11169"/>
    <cellStyle name="20% - Accent5 5 3 4 4" xfId="11170"/>
    <cellStyle name="20% - Accent5 5 3 5" xfId="11171"/>
    <cellStyle name="20% - Accent5 5 3 5 2" xfId="11172"/>
    <cellStyle name="20% - Accent5 5 3 5 2 2" xfId="11173"/>
    <cellStyle name="20% - Accent5 5 3 5 3" xfId="11174"/>
    <cellStyle name="20% - Accent5 5 3 6" xfId="11175"/>
    <cellStyle name="20% - Accent5 5 3 6 2" xfId="11176"/>
    <cellStyle name="20% - Accent5 5 3 7" xfId="11177"/>
    <cellStyle name="20% - Accent5 5 3 7 2" xfId="11178"/>
    <cellStyle name="20% - Accent5 5 3 8" xfId="11179"/>
    <cellStyle name="20% - Accent5 5 4" xfId="11180"/>
    <cellStyle name="20% - Accent5 5 4 2" xfId="11181"/>
    <cellStyle name="20% - Accent5 5 4 2 2" xfId="11182"/>
    <cellStyle name="20% - Accent5 5 4 2 2 2" xfId="11183"/>
    <cellStyle name="20% - Accent5 5 4 2 2 2 2" xfId="11184"/>
    <cellStyle name="20% - Accent5 5 4 2 2 3" xfId="11185"/>
    <cellStyle name="20% - Accent5 5 4 2 3" xfId="11186"/>
    <cellStyle name="20% - Accent5 5 4 2 3 2" xfId="11187"/>
    <cellStyle name="20% - Accent5 5 4 2 4" xfId="11188"/>
    <cellStyle name="20% - Accent5 5 4 3" xfId="11189"/>
    <cellStyle name="20% - Accent5 5 4 3 2" xfId="11190"/>
    <cellStyle name="20% - Accent5 5 4 3 2 2" xfId="11191"/>
    <cellStyle name="20% - Accent5 5 4 3 3" xfId="11192"/>
    <cellStyle name="20% - Accent5 5 4 4" xfId="11193"/>
    <cellStyle name="20% - Accent5 5 4 4 2" xfId="11194"/>
    <cellStyle name="20% - Accent5 5 4 5" xfId="11195"/>
    <cellStyle name="20% - Accent5 5 4 5 2" xfId="11196"/>
    <cellStyle name="20% - Accent5 5 4 6" xfId="11197"/>
    <cellStyle name="20% - Accent5 5 5" xfId="11198"/>
    <cellStyle name="20% - Accent5 5 5 2" xfId="11199"/>
    <cellStyle name="20% - Accent5 5 5 2 2" xfId="11200"/>
    <cellStyle name="20% - Accent5 5 5 2 2 2" xfId="11201"/>
    <cellStyle name="20% - Accent5 5 5 2 2 2 2" xfId="11202"/>
    <cellStyle name="20% - Accent5 5 5 2 2 3" xfId="11203"/>
    <cellStyle name="20% - Accent5 5 5 2 3" xfId="11204"/>
    <cellStyle name="20% - Accent5 5 5 2 3 2" xfId="11205"/>
    <cellStyle name="20% - Accent5 5 5 2 4" xfId="11206"/>
    <cellStyle name="20% - Accent5 5 5 3" xfId="11207"/>
    <cellStyle name="20% - Accent5 5 5 3 2" xfId="11208"/>
    <cellStyle name="20% - Accent5 5 5 3 2 2" xfId="11209"/>
    <cellStyle name="20% - Accent5 5 5 3 3" xfId="11210"/>
    <cellStyle name="20% - Accent5 5 5 4" xfId="11211"/>
    <cellStyle name="20% - Accent5 5 5 4 2" xfId="11212"/>
    <cellStyle name="20% - Accent5 5 5 5" xfId="11213"/>
    <cellStyle name="20% - Accent5 5 5 5 2" xfId="11214"/>
    <cellStyle name="20% - Accent5 5 5 6" xfId="11215"/>
    <cellStyle name="20% - Accent5 5 6" xfId="11216"/>
    <cellStyle name="20% - Accent5 5 6 2" xfId="11217"/>
    <cellStyle name="20% - Accent5 5 6 2 2" xfId="11218"/>
    <cellStyle name="20% - Accent5 5 6 2 2 2" xfId="11219"/>
    <cellStyle name="20% - Accent5 5 6 2 2 2 2" xfId="11220"/>
    <cellStyle name="20% - Accent5 5 6 2 2 3" xfId="11221"/>
    <cellStyle name="20% - Accent5 5 6 2 3" xfId="11222"/>
    <cellStyle name="20% - Accent5 5 6 2 3 2" xfId="11223"/>
    <cellStyle name="20% - Accent5 5 6 2 4" xfId="11224"/>
    <cellStyle name="20% - Accent5 5 6 3" xfId="11225"/>
    <cellStyle name="20% - Accent5 5 6 3 2" xfId="11226"/>
    <cellStyle name="20% - Accent5 5 6 3 2 2" xfId="11227"/>
    <cellStyle name="20% - Accent5 5 6 3 3" xfId="11228"/>
    <cellStyle name="20% - Accent5 5 6 4" xfId="11229"/>
    <cellStyle name="20% - Accent5 5 6 4 2" xfId="11230"/>
    <cellStyle name="20% - Accent5 5 6 5" xfId="11231"/>
    <cellStyle name="20% - Accent5 5 6 5 2" xfId="11232"/>
    <cellStyle name="20% - Accent5 5 6 6" xfId="11233"/>
    <cellStyle name="20% - Accent5 5 7" xfId="11234"/>
    <cellStyle name="20% - Accent5 5 7 2" xfId="11235"/>
    <cellStyle name="20% - Accent5 5 7 2 2" xfId="11236"/>
    <cellStyle name="20% - Accent5 5 7 2 2 2" xfId="11237"/>
    <cellStyle name="20% - Accent5 5 7 2 3" xfId="11238"/>
    <cellStyle name="20% - Accent5 5 7 3" xfId="11239"/>
    <cellStyle name="20% - Accent5 5 7 3 2" xfId="11240"/>
    <cellStyle name="20% - Accent5 5 7 4" xfId="11241"/>
    <cellStyle name="20% - Accent5 5 8" xfId="11242"/>
    <cellStyle name="20% - Accent5 5 8 2" xfId="11243"/>
    <cellStyle name="20% - Accent5 5 8 2 2" xfId="11244"/>
    <cellStyle name="20% - Accent5 5 8 3" xfId="11245"/>
    <cellStyle name="20% - Accent5 5 9" xfId="11246"/>
    <cellStyle name="20% - Accent5 5 9 2" xfId="11247"/>
    <cellStyle name="20% - Accent5 6" xfId="11248"/>
    <cellStyle name="20% - Accent5 6 10" xfId="11249"/>
    <cellStyle name="20% - Accent5 6 10 2" xfId="11250"/>
    <cellStyle name="20% - Accent5 6 11" xfId="11251"/>
    <cellStyle name="20% - Accent5 6 2" xfId="11252"/>
    <cellStyle name="20% - Accent5 6 2 2" xfId="11253"/>
    <cellStyle name="20% - Accent5 6 2 2 2" xfId="11254"/>
    <cellStyle name="20% - Accent5 6 2 2 2 2" xfId="11255"/>
    <cellStyle name="20% - Accent5 6 2 2 2 2 2" xfId="11256"/>
    <cellStyle name="20% - Accent5 6 2 2 2 2 2 2" xfId="11257"/>
    <cellStyle name="20% - Accent5 6 2 2 2 2 3" xfId="11258"/>
    <cellStyle name="20% - Accent5 6 2 2 2 3" xfId="11259"/>
    <cellStyle name="20% - Accent5 6 2 2 2 3 2" xfId="11260"/>
    <cellStyle name="20% - Accent5 6 2 2 2 4" xfId="11261"/>
    <cellStyle name="20% - Accent5 6 2 2 3" xfId="11262"/>
    <cellStyle name="20% - Accent5 6 2 2 3 2" xfId="11263"/>
    <cellStyle name="20% - Accent5 6 2 2 3 2 2" xfId="11264"/>
    <cellStyle name="20% - Accent5 6 2 2 3 3" xfId="11265"/>
    <cellStyle name="20% - Accent5 6 2 2 4" xfId="11266"/>
    <cellStyle name="20% - Accent5 6 2 2 4 2" xfId="11267"/>
    <cellStyle name="20% - Accent5 6 2 2 5" xfId="11268"/>
    <cellStyle name="20% - Accent5 6 2 2 5 2" xfId="11269"/>
    <cellStyle name="20% - Accent5 6 2 2 6" xfId="11270"/>
    <cellStyle name="20% - Accent5 6 2 3" xfId="11271"/>
    <cellStyle name="20% - Accent5 6 2 3 2" xfId="11272"/>
    <cellStyle name="20% - Accent5 6 2 3 2 2" xfId="11273"/>
    <cellStyle name="20% - Accent5 6 2 3 2 2 2" xfId="11274"/>
    <cellStyle name="20% - Accent5 6 2 3 2 2 2 2" xfId="11275"/>
    <cellStyle name="20% - Accent5 6 2 3 2 2 3" xfId="11276"/>
    <cellStyle name="20% - Accent5 6 2 3 2 3" xfId="11277"/>
    <cellStyle name="20% - Accent5 6 2 3 2 3 2" xfId="11278"/>
    <cellStyle name="20% - Accent5 6 2 3 2 4" xfId="11279"/>
    <cellStyle name="20% - Accent5 6 2 3 3" xfId="11280"/>
    <cellStyle name="20% - Accent5 6 2 3 3 2" xfId="11281"/>
    <cellStyle name="20% - Accent5 6 2 3 3 2 2" xfId="11282"/>
    <cellStyle name="20% - Accent5 6 2 3 3 3" xfId="11283"/>
    <cellStyle name="20% - Accent5 6 2 3 4" xfId="11284"/>
    <cellStyle name="20% - Accent5 6 2 3 4 2" xfId="11285"/>
    <cellStyle name="20% - Accent5 6 2 3 5" xfId="11286"/>
    <cellStyle name="20% - Accent5 6 2 3 5 2" xfId="11287"/>
    <cellStyle name="20% - Accent5 6 2 3 6" xfId="11288"/>
    <cellStyle name="20% - Accent5 6 2 4" xfId="11289"/>
    <cellStyle name="20% - Accent5 6 2 4 2" xfId="11290"/>
    <cellStyle name="20% - Accent5 6 2 4 2 2" xfId="11291"/>
    <cellStyle name="20% - Accent5 6 2 4 2 2 2" xfId="11292"/>
    <cellStyle name="20% - Accent5 6 2 4 2 3" xfId="11293"/>
    <cellStyle name="20% - Accent5 6 2 4 3" xfId="11294"/>
    <cellStyle name="20% - Accent5 6 2 4 3 2" xfId="11295"/>
    <cellStyle name="20% - Accent5 6 2 4 4" xfId="11296"/>
    <cellStyle name="20% - Accent5 6 2 5" xfId="11297"/>
    <cellStyle name="20% - Accent5 6 2 5 2" xfId="11298"/>
    <cellStyle name="20% - Accent5 6 2 5 2 2" xfId="11299"/>
    <cellStyle name="20% - Accent5 6 2 5 3" xfId="11300"/>
    <cellStyle name="20% - Accent5 6 2 6" xfId="11301"/>
    <cellStyle name="20% - Accent5 6 2 6 2" xfId="11302"/>
    <cellStyle name="20% - Accent5 6 2 7" xfId="11303"/>
    <cellStyle name="20% - Accent5 6 2 7 2" xfId="11304"/>
    <cellStyle name="20% - Accent5 6 2 8" xfId="11305"/>
    <cellStyle name="20% - Accent5 6 3" xfId="11306"/>
    <cellStyle name="20% - Accent5 6 3 2" xfId="11307"/>
    <cellStyle name="20% - Accent5 6 3 2 2" xfId="11308"/>
    <cellStyle name="20% - Accent5 6 3 2 2 2" xfId="11309"/>
    <cellStyle name="20% - Accent5 6 3 2 2 2 2" xfId="11310"/>
    <cellStyle name="20% - Accent5 6 3 2 2 2 2 2" xfId="11311"/>
    <cellStyle name="20% - Accent5 6 3 2 2 2 3" xfId="11312"/>
    <cellStyle name="20% - Accent5 6 3 2 2 3" xfId="11313"/>
    <cellStyle name="20% - Accent5 6 3 2 2 3 2" xfId="11314"/>
    <cellStyle name="20% - Accent5 6 3 2 2 4" xfId="11315"/>
    <cellStyle name="20% - Accent5 6 3 2 3" xfId="11316"/>
    <cellStyle name="20% - Accent5 6 3 2 3 2" xfId="11317"/>
    <cellStyle name="20% - Accent5 6 3 2 3 2 2" xfId="11318"/>
    <cellStyle name="20% - Accent5 6 3 2 3 3" xfId="11319"/>
    <cellStyle name="20% - Accent5 6 3 2 4" xfId="11320"/>
    <cellStyle name="20% - Accent5 6 3 2 4 2" xfId="11321"/>
    <cellStyle name="20% - Accent5 6 3 2 5" xfId="11322"/>
    <cellStyle name="20% - Accent5 6 3 2 5 2" xfId="11323"/>
    <cellStyle name="20% - Accent5 6 3 2 6" xfId="11324"/>
    <cellStyle name="20% - Accent5 6 3 3" xfId="11325"/>
    <cellStyle name="20% - Accent5 6 3 3 2" xfId="11326"/>
    <cellStyle name="20% - Accent5 6 3 3 2 2" xfId="11327"/>
    <cellStyle name="20% - Accent5 6 3 3 2 2 2" xfId="11328"/>
    <cellStyle name="20% - Accent5 6 3 3 2 2 2 2" xfId="11329"/>
    <cellStyle name="20% - Accent5 6 3 3 2 2 3" xfId="11330"/>
    <cellStyle name="20% - Accent5 6 3 3 2 3" xfId="11331"/>
    <cellStyle name="20% - Accent5 6 3 3 2 3 2" xfId="11332"/>
    <cellStyle name="20% - Accent5 6 3 3 2 4" xfId="11333"/>
    <cellStyle name="20% - Accent5 6 3 3 3" xfId="11334"/>
    <cellStyle name="20% - Accent5 6 3 3 3 2" xfId="11335"/>
    <cellStyle name="20% - Accent5 6 3 3 3 2 2" xfId="11336"/>
    <cellStyle name="20% - Accent5 6 3 3 3 3" xfId="11337"/>
    <cellStyle name="20% - Accent5 6 3 3 4" xfId="11338"/>
    <cellStyle name="20% - Accent5 6 3 3 4 2" xfId="11339"/>
    <cellStyle name="20% - Accent5 6 3 3 5" xfId="11340"/>
    <cellStyle name="20% - Accent5 6 3 3 5 2" xfId="11341"/>
    <cellStyle name="20% - Accent5 6 3 3 6" xfId="11342"/>
    <cellStyle name="20% - Accent5 6 3 4" xfId="11343"/>
    <cellStyle name="20% - Accent5 6 3 4 2" xfId="11344"/>
    <cellStyle name="20% - Accent5 6 3 4 2 2" xfId="11345"/>
    <cellStyle name="20% - Accent5 6 3 4 2 2 2" xfId="11346"/>
    <cellStyle name="20% - Accent5 6 3 4 2 3" xfId="11347"/>
    <cellStyle name="20% - Accent5 6 3 4 3" xfId="11348"/>
    <cellStyle name="20% - Accent5 6 3 4 3 2" xfId="11349"/>
    <cellStyle name="20% - Accent5 6 3 4 4" xfId="11350"/>
    <cellStyle name="20% - Accent5 6 3 5" xfId="11351"/>
    <cellStyle name="20% - Accent5 6 3 5 2" xfId="11352"/>
    <cellStyle name="20% - Accent5 6 3 5 2 2" xfId="11353"/>
    <cellStyle name="20% - Accent5 6 3 5 3" xfId="11354"/>
    <cellStyle name="20% - Accent5 6 3 6" xfId="11355"/>
    <cellStyle name="20% - Accent5 6 3 6 2" xfId="11356"/>
    <cellStyle name="20% - Accent5 6 3 7" xfId="11357"/>
    <cellStyle name="20% - Accent5 6 3 7 2" xfId="11358"/>
    <cellStyle name="20% - Accent5 6 3 8" xfId="11359"/>
    <cellStyle name="20% - Accent5 6 4" xfId="11360"/>
    <cellStyle name="20% - Accent5 6 4 2" xfId="11361"/>
    <cellStyle name="20% - Accent5 6 4 2 2" xfId="11362"/>
    <cellStyle name="20% - Accent5 6 4 2 2 2" xfId="11363"/>
    <cellStyle name="20% - Accent5 6 4 2 2 2 2" xfId="11364"/>
    <cellStyle name="20% - Accent5 6 4 2 2 3" xfId="11365"/>
    <cellStyle name="20% - Accent5 6 4 2 3" xfId="11366"/>
    <cellStyle name="20% - Accent5 6 4 2 3 2" xfId="11367"/>
    <cellStyle name="20% - Accent5 6 4 2 4" xfId="11368"/>
    <cellStyle name="20% - Accent5 6 4 3" xfId="11369"/>
    <cellStyle name="20% - Accent5 6 4 3 2" xfId="11370"/>
    <cellStyle name="20% - Accent5 6 4 3 2 2" xfId="11371"/>
    <cellStyle name="20% - Accent5 6 4 3 3" xfId="11372"/>
    <cellStyle name="20% - Accent5 6 4 4" xfId="11373"/>
    <cellStyle name="20% - Accent5 6 4 4 2" xfId="11374"/>
    <cellStyle name="20% - Accent5 6 4 5" xfId="11375"/>
    <cellStyle name="20% - Accent5 6 4 5 2" xfId="11376"/>
    <cellStyle name="20% - Accent5 6 4 6" xfId="11377"/>
    <cellStyle name="20% - Accent5 6 5" xfId="11378"/>
    <cellStyle name="20% - Accent5 6 5 2" xfId="11379"/>
    <cellStyle name="20% - Accent5 6 5 2 2" xfId="11380"/>
    <cellStyle name="20% - Accent5 6 5 2 2 2" xfId="11381"/>
    <cellStyle name="20% - Accent5 6 5 2 2 2 2" xfId="11382"/>
    <cellStyle name="20% - Accent5 6 5 2 2 3" xfId="11383"/>
    <cellStyle name="20% - Accent5 6 5 2 3" xfId="11384"/>
    <cellStyle name="20% - Accent5 6 5 2 3 2" xfId="11385"/>
    <cellStyle name="20% - Accent5 6 5 2 4" xfId="11386"/>
    <cellStyle name="20% - Accent5 6 5 3" xfId="11387"/>
    <cellStyle name="20% - Accent5 6 5 3 2" xfId="11388"/>
    <cellStyle name="20% - Accent5 6 5 3 2 2" xfId="11389"/>
    <cellStyle name="20% - Accent5 6 5 3 3" xfId="11390"/>
    <cellStyle name="20% - Accent5 6 5 4" xfId="11391"/>
    <cellStyle name="20% - Accent5 6 5 4 2" xfId="11392"/>
    <cellStyle name="20% - Accent5 6 5 5" xfId="11393"/>
    <cellStyle name="20% - Accent5 6 5 5 2" xfId="11394"/>
    <cellStyle name="20% - Accent5 6 5 6" xfId="11395"/>
    <cellStyle name="20% - Accent5 6 6" xfId="11396"/>
    <cellStyle name="20% - Accent5 6 6 2" xfId="11397"/>
    <cellStyle name="20% - Accent5 6 6 2 2" xfId="11398"/>
    <cellStyle name="20% - Accent5 6 6 2 2 2" xfId="11399"/>
    <cellStyle name="20% - Accent5 6 6 2 2 2 2" xfId="11400"/>
    <cellStyle name="20% - Accent5 6 6 2 2 3" xfId="11401"/>
    <cellStyle name="20% - Accent5 6 6 2 3" xfId="11402"/>
    <cellStyle name="20% - Accent5 6 6 2 3 2" xfId="11403"/>
    <cellStyle name="20% - Accent5 6 6 2 4" xfId="11404"/>
    <cellStyle name="20% - Accent5 6 6 3" xfId="11405"/>
    <cellStyle name="20% - Accent5 6 6 3 2" xfId="11406"/>
    <cellStyle name="20% - Accent5 6 6 3 2 2" xfId="11407"/>
    <cellStyle name="20% - Accent5 6 6 3 3" xfId="11408"/>
    <cellStyle name="20% - Accent5 6 6 4" xfId="11409"/>
    <cellStyle name="20% - Accent5 6 6 4 2" xfId="11410"/>
    <cellStyle name="20% - Accent5 6 6 5" xfId="11411"/>
    <cellStyle name="20% - Accent5 6 6 5 2" xfId="11412"/>
    <cellStyle name="20% - Accent5 6 6 6" xfId="11413"/>
    <cellStyle name="20% - Accent5 6 7" xfId="11414"/>
    <cellStyle name="20% - Accent5 6 7 2" xfId="11415"/>
    <cellStyle name="20% - Accent5 6 7 2 2" xfId="11416"/>
    <cellStyle name="20% - Accent5 6 7 2 2 2" xfId="11417"/>
    <cellStyle name="20% - Accent5 6 7 2 3" xfId="11418"/>
    <cellStyle name="20% - Accent5 6 7 3" xfId="11419"/>
    <cellStyle name="20% - Accent5 6 7 3 2" xfId="11420"/>
    <cellStyle name="20% - Accent5 6 7 4" xfId="11421"/>
    <cellStyle name="20% - Accent5 6 8" xfId="11422"/>
    <cellStyle name="20% - Accent5 6 8 2" xfId="11423"/>
    <cellStyle name="20% - Accent5 6 8 2 2" xfId="11424"/>
    <cellStyle name="20% - Accent5 6 8 3" xfId="11425"/>
    <cellStyle name="20% - Accent5 6 9" xfId="11426"/>
    <cellStyle name="20% - Accent5 6 9 2" xfId="11427"/>
    <cellStyle name="20% - Accent5 7" xfId="11428"/>
    <cellStyle name="20% - Accent5 7 10" xfId="11429"/>
    <cellStyle name="20% - Accent5 7 10 2" xfId="11430"/>
    <cellStyle name="20% - Accent5 7 11" xfId="11431"/>
    <cellStyle name="20% - Accent5 7 2" xfId="11432"/>
    <cellStyle name="20% - Accent5 7 2 2" xfId="11433"/>
    <cellStyle name="20% - Accent5 7 2 2 2" xfId="11434"/>
    <cellStyle name="20% - Accent5 7 2 2 2 2" xfId="11435"/>
    <cellStyle name="20% - Accent5 7 2 2 2 2 2" xfId="11436"/>
    <cellStyle name="20% - Accent5 7 2 2 2 2 2 2" xfId="11437"/>
    <cellStyle name="20% - Accent5 7 2 2 2 2 3" xfId="11438"/>
    <cellStyle name="20% - Accent5 7 2 2 2 3" xfId="11439"/>
    <cellStyle name="20% - Accent5 7 2 2 2 3 2" xfId="11440"/>
    <cellStyle name="20% - Accent5 7 2 2 2 4" xfId="11441"/>
    <cellStyle name="20% - Accent5 7 2 2 3" xfId="11442"/>
    <cellStyle name="20% - Accent5 7 2 2 3 2" xfId="11443"/>
    <cellStyle name="20% - Accent5 7 2 2 3 2 2" xfId="11444"/>
    <cellStyle name="20% - Accent5 7 2 2 3 3" xfId="11445"/>
    <cellStyle name="20% - Accent5 7 2 2 4" xfId="11446"/>
    <cellStyle name="20% - Accent5 7 2 2 4 2" xfId="11447"/>
    <cellStyle name="20% - Accent5 7 2 2 5" xfId="11448"/>
    <cellStyle name="20% - Accent5 7 2 2 5 2" xfId="11449"/>
    <cellStyle name="20% - Accent5 7 2 2 6" xfId="11450"/>
    <cellStyle name="20% - Accent5 7 2 3" xfId="11451"/>
    <cellStyle name="20% - Accent5 7 2 3 2" xfId="11452"/>
    <cellStyle name="20% - Accent5 7 2 3 2 2" xfId="11453"/>
    <cellStyle name="20% - Accent5 7 2 3 2 2 2" xfId="11454"/>
    <cellStyle name="20% - Accent5 7 2 3 2 2 2 2" xfId="11455"/>
    <cellStyle name="20% - Accent5 7 2 3 2 2 3" xfId="11456"/>
    <cellStyle name="20% - Accent5 7 2 3 2 3" xfId="11457"/>
    <cellStyle name="20% - Accent5 7 2 3 2 3 2" xfId="11458"/>
    <cellStyle name="20% - Accent5 7 2 3 2 4" xfId="11459"/>
    <cellStyle name="20% - Accent5 7 2 3 3" xfId="11460"/>
    <cellStyle name="20% - Accent5 7 2 3 3 2" xfId="11461"/>
    <cellStyle name="20% - Accent5 7 2 3 3 2 2" xfId="11462"/>
    <cellStyle name="20% - Accent5 7 2 3 3 3" xfId="11463"/>
    <cellStyle name="20% - Accent5 7 2 3 4" xfId="11464"/>
    <cellStyle name="20% - Accent5 7 2 3 4 2" xfId="11465"/>
    <cellStyle name="20% - Accent5 7 2 3 5" xfId="11466"/>
    <cellStyle name="20% - Accent5 7 2 3 5 2" xfId="11467"/>
    <cellStyle name="20% - Accent5 7 2 3 6" xfId="11468"/>
    <cellStyle name="20% - Accent5 7 2 4" xfId="11469"/>
    <cellStyle name="20% - Accent5 7 2 4 2" xfId="11470"/>
    <cellStyle name="20% - Accent5 7 2 4 2 2" xfId="11471"/>
    <cellStyle name="20% - Accent5 7 2 4 2 2 2" xfId="11472"/>
    <cellStyle name="20% - Accent5 7 2 4 2 3" xfId="11473"/>
    <cellStyle name="20% - Accent5 7 2 4 3" xfId="11474"/>
    <cellStyle name="20% - Accent5 7 2 4 3 2" xfId="11475"/>
    <cellStyle name="20% - Accent5 7 2 4 4" xfId="11476"/>
    <cellStyle name="20% - Accent5 7 2 5" xfId="11477"/>
    <cellStyle name="20% - Accent5 7 2 5 2" xfId="11478"/>
    <cellStyle name="20% - Accent5 7 2 5 2 2" xfId="11479"/>
    <cellStyle name="20% - Accent5 7 2 5 3" xfId="11480"/>
    <cellStyle name="20% - Accent5 7 2 6" xfId="11481"/>
    <cellStyle name="20% - Accent5 7 2 6 2" xfId="11482"/>
    <cellStyle name="20% - Accent5 7 2 7" xfId="11483"/>
    <cellStyle name="20% - Accent5 7 2 7 2" xfId="11484"/>
    <cellStyle name="20% - Accent5 7 2 8" xfId="11485"/>
    <cellStyle name="20% - Accent5 7 3" xfId="11486"/>
    <cellStyle name="20% - Accent5 7 3 2" xfId="11487"/>
    <cellStyle name="20% - Accent5 7 3 2 2" xfId="11488"/>
    <cellStyle name="20% - Accent5 7 3 2 2 2" xfId="11489"/>
    <cellStyle name="20% - Accent5 7 3 2 2 2 2" xfId="11490"/>
    <cellStyle name="20% - Accent5 7 3 2 2 2 2 2" xfId="11491"/>
    <cellStyle name="20% - Accent5 7 3 2 2 2 3" xfId="11492"/>
    <cellStyle name="20% - Accent5 7 3 2 2 3" xfId="11493"/>
    <cellStyle name="20% - Accent5 7 3 2 2 3 2" xfId="11494"/>
    <cellStyle name="20% - Accent5 7 3 2 2 4" xfId="11495"/>
    <cellStyle name="20% - Accent5 7 3 2 3" xfId="11496"/>
    <cellStyle name="20% - Accent5 7 3 2 3 2" xfId="11497"/>
    <cellStyle name="20% - Accent5 7 3 2 3 2 2" xfId="11498"/>
    <cellStyle name="20% - Accent5 7 3 2 3 3" xfId="11499"/>
    <cellStyle name="20% - Accent5 7 3 2 4" xfId="11500"/>
    <cellStyle name="20% - Accent5 7 3 2 4 2" xfId="11501"/>
    <cellStyle name="20% - Accent5 7 3 2 5" xfId="11502"/>
    <cellStyle name="20% - Accent5 7 3 2 5 2" xfId="11503"/>
    <cellStyle name="20% - Accent5 7 3 2 6" xfId="11504"/>
    <cellStyle name="20% - Accent5 7 3 3" xfId="11505"/>
    <cellStyle name="20% - Accent5 7 3 3 2" xfId="11506"/>
    <cellStyle name="20% - Accent5 7 3 3 2 2" xfId="11507"/>
    <cellStyle name="20% - Accent5 7 3 3 2 2 2" xfId="11508"/>
    <cellStyle name="20% - Accent5 7 3 3 2 2 2 2" xfId="11509"/>
    <cellStyle name="20% - Accent5 7 3 3 2 2 3" xfId="11510"/>
    <cellStyle name="20% - Accent5 7 3 3 2 3" xfId="11511"/>
    <cellStyle name="20% - Accent5 7 3 3 2 3 2" xfId="11512"/>
    <cellStyle name="20% - Accent5 7 3 3 2 4" xfId="11513"/>
    <cellStyle name="20% - Accent5 7 3 3 3" xfId="11514"/>
    <cellStyle name="20% - Accent5 7 3 3 3 2" xfId="11515"/>
    <cellStyle name="20% - Accent5 7 3 3 3 2 2" xfId="11516"/>
    <cellStyle name="20% - Accent5 7 3 3 3 3" xfId="11517"/>
    <cellStyle name="20% - Accent5 7 3 3 4" xfId="11518"/>
    <cellStyle name="20% - Accent5 7 3 3 4 2" xfId="11519"/>
    <cellStyle name="20% - Accent5 7 3 3 5" xfId="11520"/>
    <cellStyle name="20% - Accent5 7 3 3 5 2" xfId="11521"/>
    <cellStyle name="20% - Accent5 7 3 3 6" xfId="11522"/>
    <cellStyle name="20% - Accent5 7 3 4" xfId="11523"/>
    <cellStyle name="20% - Accent5 7 3 4 2" xfId="11524"/>
    <cellStyle name="20% - Accent5 7 3 4 2 2" xfId="11525"/>
    <cellStyle name="20% - Accent5 7 3 4 2 2 2" xfId="11526"/>
    <cellStyle name="20% - Accent5 7 3 4 2 3" xfId="11527"/>
    <cellStyle name="20% - Accent5 7 3 4 3" xfId="11528"/>
    <cellStyle name="20% - Accent5 7 3 4 3 2" xfId="11529"/>
    <cellStyle name="20% - Accent5 7 3 4 4" xfId="11530"/>
    <cellStyle name="20% - Accent5 7 3 5" xfId="11531"/>
    <cellStyle name="20% - Accent5 7 3 5 2" xfId="11532"/>
    <cellStyle name="20% - Accent5 7 3 5 2 2" xfId="11533"/>
    <cellStyle name="20% - Accent5 7 3 5 3" xfId="11534"/>
    <cellStyle name="20% - Accent5 7 3 6" xfId="11535"/>
    <cellStyle name="20% - Accent5 7 3 6 2" xfId="11536"/>
    <cellStyle name="20% - Accent5 7 3 7" xfId="11537"/>
    <cellStyle name="20% - Accent5 7 3 7 2" xfId="11538"/>
    <cellStyle name="20% - Accent5 7 3 8" xfId="11539"/>
    <cellStyle name="20% - Accent5 7 4" xfId="11540"/>
    <cellStyle name="20% - Accent5 7 4 2" xfId="11541"/>
    <cellStyle name="20% - Accent5 7 4 2 2" xfId="11542"/>
    <cellStyle name="20% - Accent5 7 4 2 2 2" xfId="11543"/>
    <cellStyle name="20% - Accent5 7 4 2 2 2 2" xfId="11544"/>
    <cellStyle name="20% - Accent5 7 4 2 2 3" xfId="11545"/>
    <cellStyle name="20% - Accent5 7 4 2 3" xfId="11546"/>
    <cellStyle name="20% - Accent5 7 4 2 3 2" xfId="11547"/>
    <cellStyle name="20% - Accent5 7 4 2 4" xfId="11548"/>
    <cellStyle name="20% - Accent5 7 4 3" xfId="11549"/>
    <cellStyle name="20% - Accent5 7 4 3 2" xfId="11550"/>
    <cellStyle name="20% - Accent5 7 4 3 2 2" xfId="11551"/>
    <cellStyle name="20% - Accent5 7 4 3 3" xfId="11552"/>
    <cellStyle name="20% - Accent5 7 4 4" xfId="11553"/>
    <cellStyle name="20% - Accent5 7 4 4 2" xfId="11554"/>
    <cellStyle name="20% - Accent5 7 4 5" xfId="11555"/>
    <cellStyle name="20% - Accent5 7 4 5 2" xfId="11556"/>
    <cellStyle name="20% - Accent5 7 4 6" xfId="11557"/>
    <cellStyle name="20% - Accent5 7 5" xfId="11558"/>
    <cellStyle name="20% - Accent5 7 5 2" xfId="11559"/>
    <cellStyle name="20% - Accent5 7 5 2 2" xfId="11560"/>
    <cellStyle name="20% - Accent5 7 5 2 2 2" xfId="11561"/>
    <cellStyle name="20% - Accent5 7 5 2 2 2 2" xfId="11562"/>
    <cellStyle name="20% - Accent5 7 5 2 2 3" xfId="11563"/>
    <cellStyle name="20% - Accent5 7 5 2 3" xfId="11564"/>
    <cellStyle name="20% - Accent5 7 5 2 3 2" xfId="11565"/>
    <cellStyle name="20% - Accent5 7 5 2 4" xfId="11566"/>
    <cellStyle name="20% - Accent5 7 5 3" xfId="11567"/>
    <cellStyle name="20% - Accent5 7 5 3 2" xfId="11568"/>
    <cellStyle name="20% - Accent5 7 5 3 2 2" xfId="11569"/>
    <cellStyle name="20% - Accent5 7 5 3 3" xfId="11570"/>
    <cellStyle name="20% - Accent5 7 5 4" xfId="11571"/>
    <cellStyle name="20% - Accent5 7 5 4 2" xfId="11572"/>
    <cellStyle name="20% - Accent5 7 5 5" xfId="11573"/>
    <cellStyle name="20% - Accent5 7 5 5 2" xfId="11574"/>
    <cellStyle name="20% - Accent5 7 5 6" xfId="11575"/>
    <cellStyle name="20% - Accent5 7 6" xfId="11576"/>
    <cellStyle name="20% - Accent5 7 6 2" xfId="11577"/>
    <cellStyle name="20% - Accent5 7 6 2 2" xfId="11578"/>
    <cellStyle name="20% - Accent5 7 6 2 2 2" xfId="11579"/>
    <cellStyle name="20% - Accent5 7 6 2 2 2 2" xfId="11580"/>
    <cellStyle name="20% - Accent5 7 6 2 2 3" xfId="11581"/>
    <cellStyle name="20% - Accent5 7 6 2 3" xfId="11582"/>
    <cellStyle name="20% - Accent5 7 6 2 3 2" xfId="11583"/>
    <cellStyle name="20% - Accent5 7 6 2 4" xfId="11584"/>
    <cellStyle name="20% - Accent5 7 6 3" xfId="11585"/>
    <cellStyle name="20% - Accent5 7 6 3 2" xfId="11586"/>
    <cellStyle name="20% - Accent5 7 6 3 2 2" xfId="11587"/>
    <cellStyle name="20% - Accent5 7 6 3 3" xfId="11588"/>
    <cellStyle name="20% - Accent5 7 6 4" xfId="11589"/>
    <cellStyle name="20% - Accent5 7 6 4 2" xfId="11590"/>
    <cellStyle name="20% - Accent5 7 6 5" xfId="11591"/>
    <cellStyle name="20% - Accent5 7 6 5 2" xfId="11592"/>
    <cellStyle name="20% - Accent5 7 6 6" xfId="11593"/>
    <cellStyle name="20% - Accent5 7 7" xfId="11594"/>
    <cellStyle name="20% - Accent5 7 7 2" xfId="11595"/>
    <cellStyle name="20% - Accent5 7 7 2 2" xfId="11596"/>
    <cellStyle name="20% - Accent5 7 7 2 2 2" xfId="11597"/>
    <cellStyle name="20% - Accent5 7 7 2 3" xfId="11598"/>
    <cellStyle name="20% - Accent5 7 7 3" xfId="11599"/>
    <cellStyle name="20% - Accent5 7 7 3 2" xfId="11600"/>
    <cellStyle name="20% - Accent5 7 7 4" xfId="11601"/>
    <cellStyle name="20% - Accent5 7 8" xfId="11602"/>
    <cellStyle name="20% - Accent5 7 8 2" xfId="11603"/>
    <cellStyle name="20% - Accent5 7 8 2 2" xfId="11604"/>
    <cellStyle name="20% - Accent5 7 8 3" xfId="11605"/>
    <cellStyle name="20% - Accent5 7 9" xfId="11606"/>
    <cellStyle name="20% - Accent5 7 9 2" xfId="11607"/>
    <cellStyle name="20% - Accent5 8" xfId="11608"/>
    <cellStyle name="20% - Accent5 8 2" xfId="11609"/>
    <cellStyle name="20% - Accent5 8 2 2" xfId="11610"/>
    <cellStyle name="20% - Accent5 8 2 2 2" xfId="11611"/>
    <cellStyle name="20% - Accent5 8 2 2 2 2" xfId="11612"/>
    <cellStyle name="20% - Accent5 8 2 2 2 2 2" xfId="11613"/>
    <cellStyle name="20% - Accent5 8 2 2 2 3" xfId="11614"/>
    <cellStyle name="20% - Accent5 8 2 2 3" xfId="11615"/>
    <cellStyle name="20% - Accent5 8 2 2 3 2" xfId="11616"/>
    <cellStyle name="20% - Accent5 8 2 2 4" xfId="11617"/>
    <cellStyle name="20% - Accent5 8 2 3" xfId="11618"/>
    <cellStyle name="20% - Accent5 8 2 3 2" xfId="11619"/>
    <cellStyle name="20% - Accent5 8 2 3 2 2" xfId="11620"/>
    <cellStyle name="20% - Accent5 8 2 3 3" xfId="11621"/>
    <cellStyle name="20% - Accent5 8 2 4" xfId="11622"/>
    <cellStyle name="20% - Accent5 8 2 4 2" xfId="11623"/>
    <cellStyle name="20% - Accent5 8 2 5" xfId="11624"/>
    <cellStyle name="20% - Accent5 8 2 5 2" xfId="11625"/>
    <cellStyle name="20% - Accent5 8 2 6" xfId="11626"/>
    <cellStyle name="20% - Accent5 8 3" xfId="11627"/>
    <cellStyle name="20% - Accent5 8 3 2" xfId="11628"/>
    <cellStyle name="20% - Accent5 8 3 2 2" xfId="11629"/>
    <cellStyle name="20% - Accent5 8 3 2 2 2" xfId="11630"/>
    <cellStyle name="20% - Accent5 8 3 2 2 2 2" xfId="11631"/>
    <cellStyle name="20% - Accent5 8 3 2 2 3" xfId="11632"/>
    <cellStyle name="20% - Accent5 8 3 2 3" xfId="11633"/>
    <cellStyle name="20% - Accent5 8 3 2 3 2" xfId="11634"/>
    <cellStyle name="20% - Accent5 8 3 2 4" xfId="11635"/>
    <cellStyle name="20% - Accent5 8 3 3" xfId="11636"/>
    <cellStyle name="20% - Accent5 8 3 3 2" xfId="11637"/>
    <cellStyle name="20% - Accent5 8 3 3 2 2" xfId="11638"/>
    <cellStyle name="20% - Accent5 8 3 3 3" xfId="11639"/>
    <cellStyle name="20% - Accent5 8 3 4" xfId="11640"/>
    <cellStyle name="20% - Accent5 8 3 4 2" xfId="11641"/>
    <cellStyle name="20% - Accent5 8 3 5" xfId="11642"/>
    <cellStyle name="20% - Accent5 8 3 5 2" xfId="11643"/>
    <cellStyle name="20% - Accent5 8 3 6" xfId="11644"/>
    <cellStyle name="20% - Accent5 8 4" xfId="11645"/>
    <cellStyle name="20% - Accent5 8 4 2" xfId="11646"/>
    <cellStyle name="20% - Accent5 8 4 2 2" xfId="11647"/>
    <cellStyle name="20% - Accent5 8 4 2 2 2" xfId="11648"/>
    <cellStyle name="20% - Accent5 8 4 2 3" xfId="11649"/>
    <cellStyle name="20% - Accent5 8 4 3" xfId="11650"/>
    <cellStyle name="20% - Accent5 8 4 3 2" xfId="11651"/>
    <cellStyle name="20% - Accent5 8 4 4" xfId="11652"/>
    <cellStyle name="20% - Accent5 8 5" xfId="11653"/>
    <cellStyle name="20% - Accent5 8 5 2" xfId="11654"/>
    <cellStyle name="20% - Accent5 8 5 2 2" xfId="11655"/>
    <cellStyle name="20% - Accent5 8 5 3" xfId="11656"/>
    <cellStyle name="20% - Accent5 8 6" xfId="11657"/>
    <cellStyle name="20% - Accent5 8 6 2" xfId="11658"/>
    <cellStyle name="20% - Accent5 8 7" xfId="11659"/>
    <cellStyle name="20% - Accent5 8 7 2" xfId="11660"/>
    <cellStyle name="20% - Accent5 8 8" xfId="11661"/>
    <cellStyle name="20% - Accent5 9" xfId="11662"/>
    <cellStyle name="20% - Accent5 9 2" xfId="11663"/>
    <cellStyle name="20% - Accent5 9 2 2" xfId="11664"/>
    <cellStyle name="20% - Accent5 9 2 2 2" xfId="11665"/>
    <cellStyle name="20% - Accent5 9 2 2 2 2" xfId="11666"/>
    <cellStyle name="20% - Accent5 9 2 2 2 2 2" xfId="11667"/>
    <cellStyle name="20% - Accent5 9 2 2 2 3" xfId="11668"/>
    <cellStyle name="20% - Accent5 9 2 2 3" xfId="11669"/>
    <cellStyle name="20% - Accent5 9 2 2 3 2" xfId="11670"/>
    <cellStyle name="20% - Accent5 9 2 2 4" xfId="11671"/>
    <cellStyle name="20% - Accent5 9 2 3" xfId="11672"/>
    <cellStyle name="20% - Accent5 9 2 3 2" xfId="11673"/>
    <cellStyle name="20% - Accent5 9 2 3 2 2" xfId="11674"/>
    <cellStyle name="20% - Accent5 9 2 3 3" xfId="11675"/>
    <cellStyle name="20% - Accent5 9 2 4" xfId="11676"/>
    <cellStyle name="20% - Accent5 9 2 4 2" xfId="11677"/>
    <cellStyle name="20% - Accent5 9 2 5" xfId="11678"/>
    <cellStyle name="20% - Accent5 9 2 5 2" xfId="11679"/>
    <cellStyle name="20% - Accent5 9 2 6" xfId="11680"/>
    <cellStyle name="20% - Accent5 9 3" xfId="11681"/>
    <cellStyle name="20% - Accent5 9 3 2" xfId="11682"/>
    <cellStyle name="20% - Accent5 9 3 2 2" xfId="11683"/>
    <cellStyle name="20% - Accent5 9 3 2 2 2" xfId="11684"/>
    <cellStyle name="20% - Accent5 9 3 2 2 2 2" xfId="11685"/>
    <cellStyle name="20% - Accent5 9 3 2 2 3" xfId="11686"/>
    <cellStyle name="20% - Accent5 9 3 2 3" xfId="11687"/>
    <cellStyle name="20% - Accent5 9 3 2 3 2" xfId="11688"/>
    <cellStyle name="20% - Accent5 9 3 2 4" xfId="11689"/>
    <cellStyle name="20% - Accent5 9 3 3" xfId="11690"/>
    <cellStyle name="20% - Accent5 9 3 3 2" xfId="11691"/>
    <cellStyle name="20% - Accent5 9 3 3 2 2" xfId="11692"/>
    <cellStyle name="20% - Accent5 9 3 3 3" xfId="11693"/>
    <cellStyle name="20% - Accent5 9 3 4" xfId="11694"/>
    <cellStyle name="20% - Accent5 9 3 4 2" xfId="11695"/>
    <cellStyle name="20% - Accent5 9 3 5" xfId="11696"/>
    <cellStyle name="20% - Accent5 9 3 5 2" xfId="11697"/>
    <cellStyle name="20% - Accent5 9 3 6" xfId="11698"/>
    <cellStyle name="20% - Accent5 9 4" xfId="11699"/>
    <cellStyle name="20% - Accent5 9 4 2" xfId="11700"/>
    <cellStyle name="20% - Accent5 9 4 2 2" xfId="11701"/>
    <cellStyle name="20% - Accent5 9 4 2 2 2" xfId="11702"/>
    <cellStyle name="20% - Accent5 9 4 2 3" xfId="11703"/>
    <cellStyle name="20% - Accent5 9 4 3" xfId="11704"/>
    <cellStyle name="20% - Accent5 9 4 3 2" xfId="11705"/>
    <cellStyle name="20% - Accent5 9 4 4" xfId="11706"/>
    <cellStyle name="20% - Accent5 9 5" xfId="11707"/>
    <cellStyle name="20% - Accent5 9 5 2" xfId="11708"/>
    <cellStyle name="20% - Accent5 9 5 2 2" xfId="11709"/>
    <cellStyle name="20% - Accent5 9 5 3" xfId="11710"/>
    <cellStyle name="20% - Accent5 9 6" xfId="11711"/>
    <cellStyle name="20% - Accent5 9 6 2" xfId="11712"/>
    <cellStyle name="20% - Accent5 9 7" xfId="11713"/>
    <cellStyle name="20% - Accent5 9 7 2" xfId="11714"/>
    <cellStyle name="20% - Accent5 9 8" xfId="11715"/>
    <cellStyle name="20% - Accent6 10" xfId="11716"/>
    <cellStyle name="20% - Accent6 10 2" xfId="11717"/>
    <cellStyle name="20% - Accent6 10 2 2" xfId="11718"/>
    <cellStyle name="20% - Accent6 10 2 2 2" xfId="11719"/>
    <cellStyle name="20% - Accent6 10 2 2 2 2" xfId="11720"/>
    <cellStyle name="20% - Accent6 10 2 2 3" xfId="11721"/>
    <cellStyle name="20% - Accent6 10 2 3" xfId="11722"/>
    <cellStyle name="20% - Accent6 10 2 3 2" xfId="11723"/>
    <cellStyle name="20% - Accent6 10 2 4" xfId="11724"/>
    <cellStyle name="20% - Accent6 10 3" xfId="11725"/>
    <cellStyle name="20% - Accent6 10 3 2" xfId="11726"/>
    <cellStyle name="20% - Accent6 10 3 2 2" xfId="11727"/>
    <cellStyle name="20% - Accent6 10 3 3" xfId="11728"/>
    <cellStyle name="20% - Accent6 10 4" xfId="11729"/>
    <cellStyle name="20% - Accent6 10 4 2" xfId="11730"/>
    <cellStyle name="20% - Accent6 10 5" xfId="11731"/>
    <cellStyle name="20% - Accent6 10 5 2" xfId="11732"/>
    <cellStyle name="20% - Accent6 10 6" xfId="11733"/>
    <cellStyle name="20% - Accent6 11" xfId="11734"/>
    <cellStyle name="20% - Accent6 11 2" xfId="11735"/>
    <cellStyle name="20% - Accent6 11 2 2" xfId="11736"/>
    <cellStyle name="20% - Accent6 11 2 2 2" xfId="11737"/>
    <cellStyle name="20% - Accent6 11 2 2 2 2" xfId="11738"/>
    <cellStyle name="20% - Accent6 11 2 2 3" xfId="11739"/>
    <cellStyle name="20% - Accent6 11 2 3" xfId="11740"/>
    <cellStyle name="20% - Accent6 11 2 3 2" xfId="11741"/>
    <cellStyle name="20% - Accent6 11 2 4" xfId="11742"/>
    <cellStyle name="20% - Accent6 11 3" xfId="11743"/>
    <cellStyle name="20% - Accent6 11 3 2" xfId="11744"/>
    <cellStyle name="20% - Accent6 11 3 2 2" xfId="11745"/>
    <cellStyle name="20% - Accent6 11 3 3" xfId="11746"/>
    <cellStyle name="20% - Accent6 11 4" xfId="11747"/>
    <cellStyle name="20% - Accent6 11 4 2" xfId="11748"/>
    <cellStyle name="20% - Accent6 11 5" xfId="11749"/>
    <cellStyle name="20% - Accent6 11 5 2" xfId="11750"/>
    <cellStyle name="20% - Accent6 11 6" xfId="11751"/>
    <cellStyle name="20% - Accent6 12" xfId="11752"/>
    <cellStyle name="20% - Accent6 12 2" xfId="11753"/>
    <cellStyle name="20% - Accent6 12 2 2" xfId="11754"/>
    <cellStyle name="20% - Accent6 12 2 2 2" xfId="11755"/>
    <cellStyle name="20% - Accent6 12 2 2 2 2" xfId="11756"/>
    <cellStyle name="20% - Accent6 12 2 2 3" xfId="11757"/>
    <cellStyle name="20% - Accent6 12 2 3" xfId="11758"/>
    <cellStyle name="20% - Accent6 12 2 3 2" xfId="11759"/>
    <cellStyle name="20% - Accent6 12 2 4" xfId="11760"/>
    <cellStyle name="20% - Accent6 12 3" xfId="11761"/>
    <cellStyle name="20% - Accent6 12 3 2" xfId="11762"/>
    <cellStyle name="20% - Accent6 12 3 2 2" xfId="11763"/>
    <cellStyle name="20% - Accent6 12 3 3" xfId="11764"/>
    <cellStyle name="20% - Accent6 12 4" xfId="11765"/>
    <cellStyle name="20% - Accent6 12 4 2" xfId="11766"/>
    <cellStyle name="20% - Accent6 12 5" xfId="11767"/>
    <cellStyle name="20% - Accent6 12 5 2" xfId="11768"/>
    <cellStyle name="20% - Accent6 12 6" xfId="11769"/>
    <cellStyle name="20% - Accent6 13" xfId="11770"/>
    <cellStyle name="20% - Accent6 13 2" xfId="11771"/>
    <cellStyle name="20% - Accent6 13 2 2" xfId="11772"/>
    <cellStyle name="20% - Accent6 13 2 2 2" xfId="11773"/>
    <cellStyle name="20% - Accent6 13 2 3" xfId="11774"/>
    <cellStyle name="20% - Accent6 13 3" xfId="11775"/>
    <cellStyle name="20% - Accent6 13 3 2" xfId="11776"/>
    <cellStyle name="20% - Accent6 13 4" xfId="11777"/>
    <cellStyle name="20% - Accent6 14" xfId="11778"/>
    <cellStyle name="20% - Accent6 14 2" xfId="11779"/>
    <cellStyle name="20% - Accent6 14 2 2" xfId="11780"/>
    <cellStyle name="20% - Accent6 14 3" xfId="11781"/>
    <cellStyle name="20% - Accent6 15" xfId="11782"/>
    <cellStyle name="20% - Accent6 15 2" xfId="11783"/>
    <cellStyle name="20% - Accent6 16" xfId="11784"/>
    <cellStyle name="20% - Accent6 16 2" xfId="11785"/>
    <cellStyle name="20% - Accent6 17" xfId="11786"/>
    <cellStyle name="20% - Accent6 2" xfId="11787"/>
    <cellStyle name="20% - Accent6 2 2" xfId="11788"/>
    <cellStyle name="20% - Accent6 2 2 10" xfId="11789"/>
    <cellStyle name="20% - Accent6 2 2 10 2" xfId="11790"/>
    <cellStyle name="20% - Accent6 2 2 10 2 2" xfId="11791"/>
    <cellStyle name="20% - Accent6 2 2 10 2 2 2" xfId="11792"/>
    <cellStyle name="20% - Accent6 2 2 10 2 2 2 2" xfId="11793"/>
    <cellStyle name="20% - Accent6 2 2 10 2 2 3" xfId="11794"/>
    <cellStyle name="20% - Accent6 2 2 10 2 3" xfId="11795"/>
    <cellStyle name="20% - Accent6 2 2 10 2 3 2" xfId="11796"/>
    <cellStyle name="20% - Accent6 2 2 10 2 4" xfId="11797"/>
    <cellStyle name="20% - Accent6 2 2 10 3" xfId="11798"/>
    <cellStyle name="20% - Accent6 2 2 10 3 2" xfId="11799"/>
    <cellStyle name="20% - Accent6 2 2 10 3 2 2" xfId="11800"/>
    <cellStyle name="20% - Accent6 2 2 10 3 3" xfId="11801"/>
    <cellStyle name="20% - Accent6 2 2 10 4" xfId="11802"/>
    <cellStyle name="20% - Accent6 2 2 10 4 2" xfId="11803"/>
    <cellStyle name="20% - Accent6 2 2 10 5" xfId="11804"/>
    <cellStyle name="20% - Accent6 2 2 10 5 2" xfId="11805"/>
    <cellStyle name="20% - Accent6 2 2 10 6" xfId="11806"/>
    <cellStyle name="20% - Accent6 2 2 11" xfId="11807"/>
    <cellStyle name="20% - Accent6 2 2 11 2" xfId="11808"/>
    <cellStyle name="20% - Accent6 2 2 11 2 2" xfId="11809"/>
    <cellStyle name="20% - Accent6 2 2 11 2 2 2" xfId="11810"/>
    <cellStyle name="20% - Accent6 2 2 11 2 2 2 2" xfId="11811"/>
    <cellStyle name="20% - Accent6 2 2 11 2 2 3" xfId="11812"/>
    <cellStyle name="20% - Accent6 2 2 11 2 3" xfId="11813"/>
    <cellStyle name="20% - Accent6 2 2 11 2 3 2" xfId="11814"/>
    <cellStyle name="20% - Accent6 2 2 11 2 4" xfId="11815"/>
    <cellStyle name="20% - Accent6 2 2 11 3" xfId="11816"/>
    <cellStyle name="20% - Accent6 2 2 11 3 2" xfId="11817"/>
    <cellStyle name="20% - Accent6 2 2 11 3 2 2" xfId="11818"/>
    <cellStyle name="20% - Accent6 2 2 11 3 3" xfId="11819"/>
    <cellStyle name="20% - Accent6 2 2 11 4" xfId="11820"/>
    <cellStyle name="20% - Accent6 2 2 11 4 2" xfId="11821"/>
    <cellStyle name="20% - Accent6 2 2 11 5" xfId="11822"/>
    <cellStyle name="20% - Accent6 2 2 11 5 2" xfId="11823"/>
    <cellStyle name="20% - Accent6 2 2 11 6" xfId="11824"/>
    <cellStyle name="20% - Accent6 2 2 12" xfId="11825"/>
    <cellStyle name="20% - Accent6 2 2 12 2" xfId="11826"/>
    <cellStyle name="20% - Accent6 2 2 12 2 2" xfId="11827"/>
    <cellStyle name="20% - Accent6 2 2 12 2 2 2" xfId="11828"/>
    <cellStyle name="20% - Accent6 2 2 12 2 3" xfId="11829"/>
    <cellStyle name="20% - Accent6 2 2 12 3" xfId="11830"/>
    <cellStyle name="20% - Accent6 2 2 12 3 2" xfId="11831"/>
    <cellStyle name="20% - Accent6 2 2 12 4" xfId="11832"/>
    <cellStyle name="20% - Accent6 2 2 13" xfId="11833"/>
    <cellStyle name="20% - Accent6 2 2 13 2" xfId="11834"/>
    <cellStyle name="20% - Accent6 2 2 13 2 2" xfId="11835"/>
    <cellStyle name="20% - Accent6 2 2 13 3" xfId="11836"/>
    <cellStyle name="20% - Accent6 2 2 14" xfId="11837"/>
    <cellStyle name="20% - Accent6 2 2 14 2" xfId="11838"/>
    <cellStyle name="20% - Accent6 2 2 15" xfId="11839"/>
    <cellStyle name="20% - Accent6 2 2 15 2" xfId="11840"/>
    <cellStyle name="20% - Accent6 2 2 16" xfId="11841"/>
    <cellStyle name="20% - Accent6 2 2 2" xfId="11842"/>
    <cellStyle name="20% - Accent6 2 2 2 10" xfId="11843"/>
    <cellStyle name="20% - Accent6 2 2 2 10 2" xfId="11844"/>
    <cellStyle name="20% - Accent6 2 2 2 10 2 2" xfId="11845"/>
    <cellStyle name="20% - Accent6 2 2 2 10 2 2 2" xfId="11846"/>
    <cellStyle name="20% - Accent6 2 2 2 10 2 2 2 2" xfId="11847"/>
    <cellStyle name="20% - Accent6 2 2 2 10 2 2 3" xfId="11848"/>
    <cellStyle name="20% - Accent6 2 2 2 10 2 3" xfId="11849"/>
    <cellStyle name="20% - Accent6 2 2 2 10 2 3 2" xfId="11850"/>
    <cellStyle name="20% - Accent6 2 2 2 10 2 4" xfId="11851"/>
    <cellStyle name="20% - Accent6 2 2 2 10 3" xfId="11852"/>
    <cellStyle name="20% - Accent6 2 2 2 10 3 2" xfId="11853"/>
    <cellStyle name="20% - Accent6 2 2 2 10 3 2 2" xfId="11854"/>
    <cellStyle name="20% - Accent6 2 2 2 10 3 3" xfId="11855"/>
    <cellStyle name="20% - Accent6 2 2 2 10 4" xfId="11856"/>
    <cellStyle name="20% - Accent6 2 2 2 10 4 2" xfId="11857"/>
    <cellStyle name="20% - Accent6 2 2 2 10 5" xfId="11858"/>
    <cellStyle name="20% - Accent6 2 2 2 10 5 2" xfId="11859"/>
    <cellStyle name="20% - Accent6 2 2 2 10 6" xfId="11860"/>
    <cellStyle name="20% - Accent6 2 2 2 11" xfId="11861"/>
    <cellStyle name="20% - Accent6 2 2 2 11 2" xfId="11862"/>
    <cellStyle name="20% - Accent6 2 2 2 11 2 2" xfId="11863"/>
    <cellStyle name="20% - Accent6 2 2 2 11 2 2 2" xfId="11864"/>
    <cellStyle name="20% - Accent6 2 2 2 11 2 3" xfId="11865"/>
    <cellStyle name="20% - Accent6 2 2 2 11 3" xfId="11866"/>
    <cellStyle name="20% - Accent6 2 2 2 11 3 2" xfId="11867"/>
    <cellStyle name="20% - Accent6 2 2 2 11 4" xfId="11868"/>
    <cellStyle name="20% - Accent6 2 2 2 12" xfId="11869"/>
    <cellStyle name="20% - Accent6 2 2 2 12 2" xfId="11870"/>
    <cellStyle name="20% - Accent6 2 2 2 12 2 2" xfId="11871"/>
    <cellStyle name="20% - Accent6 2 2 2 12 3" xfId="11872"/>
    <cellStyle name="20% - Accent6 2 2 2 13" xfId="11873"/>
    <cellStyle name="20% - Accent6 2 2 2 13 2" xfId="11874"/>
    <cellStyle name="20% - Accent6 2 2 2 14" xfId="11875"/>
    <cellStyle name="20% - Accent6 2 2 2 14 2" xfId="11876"/>
    <cellStyle name="20% - Accent6 2 2 2 15" xfId="11877"/>
    <cellStyle name="20% - Accent6 2 2 2 2" xfId="11878"/>
    <cellStyle name="20% - Accent6 2 2 2 2 10" xfId="11879"/>
    <cellStyle name="20% - Accent6 2 2 2 2 10 2" xfId="11880"/>
    <cellStyle name="20% - Accent6 2 2 2 2 11" xfId="11881"/>
    <cellStyle name="20% - Accent6 2 2 2 2 2" xfId="11882"/>
    <cellStyle name="20% - Accent6 2 2 2 2 2 2" xfId="11883"/>
    <cellStyle name="20% - Accent6 2 2 2 2 2 2 2" xfId="11884"/>
    <cellStyle name="20% - Accent6 2 2 2 2 2 2 2 2" xfId="11885"/>
    <cellStyle name="20% - Accent6 2 2 2 2 2 2 2 2 2" xfId="11886"/>
    <cellStyle name="20% - Accent6 2 2 2 2 2 2 2 2 2 2" xfId="11887"/>
    <cellStyle name="20% - Accent6 2 2 2 2 2 2 2 2 3" xfId="11888"/>
    <cellStyle name="20% - Accent6 2 2 2 2 2 2 2 3" xfId="11889"/>
    <cellStyle name="20% - Accent6 2 2 2 2 2 2 2 3 2" xfId="11890"/>
    <cellStyle name="20% - Accent6 2 2 2 2 2 2 2 4" xfId="11891"/>
    <cellStyle name="20% - Accent6 2 2 2 2 2 2 3" xfId="11892"/>
    <cellStyle name="20% - Accent6 2 2 2 2 2 2 3 2" xfId="11893"/>
    <cellStyle name="20% - Accent6 2 2 2 2 2 2 3 2 2" xfId="11894"/>
    <cellStyle name="20% - Accent6 2 2 2 2 2 2 3 3" xfId="11895"/>
    <cellStyle name="20% - Accent6 2 2 2 2 2 2 4" xfId="11896"/>
    <cellStyle name="20% - Accent6 2 2 2 2 2 2 4 2" xfId="11897"/>
    <cellStyle name="20% - Accent6 2 2 2 2 2 2 5" xfId="11898"/>
    <cellStyle name="20% - Accent6 2 2 2 2 2 2 5 2" xfId="11899"/>
    <cellStyle name="20% - Accent6 2 2 2 2 2 2 6" xfId="11900"/>
    <cellStyle name="20% - Accent6 2 2 2 2 2 3" xfId="11901"/>
    <cellStyle name="20% - Accent6 2 2 2 2 2 3 2" xfId="11902"/>
    <cellStyle name="20% - Accent6 2 2 2 2 2 3 2 2" xfId="11903"/>
    <cellStyle name="20% - Accent6 2 2 2 2 2 3 2 2 2" xfId="11904"/>
    <cellStyle name="20% - Accent6 2 2 2 2 2 3 2 2 2 2" xfId="11905"/>
    <cellStyle name="20% - Accent6 2 2 2 2 2 3 2 2 3" xfId="11906"/>
    <cellStyle name="20% - Accent6 2 2 2 2 2 3 2 3" xfId="11907"/>
    <cellStyle name="20% - Accent6 2 2 2 2 2 3 2 3 2" xfId="11908"/>
    <cellStyle name="20% - Accent6 2 2 2 2 2 3 2 4" xfId="11909"/>
    <cellStyle name="20% - Accent6 2 2 2 2 2 3 3" xfId="11910"/>
    <cellStyle name="20% - Accent6 2 2 2 2 2 3 3 2" xfId="11911"/>
    <cellStyle name="20% - Accent6 2 2 2 2 2 3 3 2 2" xfId="11912"/>
    <cellStyle name="20% - Accent6 2 2 2 2 2 3 3 3" xfId="11913"/>
    <cellStyle name="20% - Accent6 2 2 2 2 2 3 4" xfId="11914"/>
    <cellStyle name="20% - Accent6 2 2 2 2 2 3 4 2" xfId="11915"/>
    <cellStyle name="20% - Accent6 2 2 2 2 2 3 5" xfId="11916"/>
    <cellStyle name="20% - Accent6 2 2 2 2 2 3 5 2" xfId="11917"/>
    <cellStyle name="20% - Accent6 2 2 2 2 2 3 6" xfId="11918"/>
    <cellStyle name="20% - Accent6 2 2 2 2 2 4" xfId="11919"/>
    <cellStyle name="20% - Accent6 2 2 2 2 2 4 2" xfId="11920"/>
    <cellStyle name="20% - Accent6 2 2 2 2 2 4 2 2" xfId="11921"/>
    <cellStyle name="20% - Accent6 2 2 2 2 2 4 2 2 2" xfId="11922"/>
    <cellStyle name="20% - Accent6 2 2 2 2 2 4 2 3" xfId="11923"/>
    <cellStyle name="20% - Accent6 2 2 2 2 2 4 3" xfId="11924"/>
    <cellStyle name="20% - Accent6 2 2 2 2 2 4 3 2" xfId="11925"/>
    <cellStyle name="20% - Accent6 2 2 2 2 2 4 4" xfId="11926"/>
    <cellStyle name="20% - Accent6 2 2 2 2 2 5" xfId="11927"/>
    <cellStyle name="20% - Accent6 2 2 2 2 2 5 2" xfId="11928"/>
    <cellStyle name="20% - Accent6 2 2 2 2 2 5 2 2" xfId="11929"/>
    <cellStyle name="20% - Accent6 2 2 2 2 2 5 3" xfId="11930"/>
    <cellStyle name="20% - Accent6 2 2 2 2 2 6" xfId="11931"/>
    <cellStyle name="20% - Accent6 2 2 2 2 2 6 2" xfId="11932"/>
    <cellStyle name="20% - Accent6 2 2 2 2 2 7" xfId="11933"/>
    <cellStyle name="20% - Accent6 2 2 2 2 2 7 2" xfId="11934"/>
    <cellStyle name="20% - Accent6 2 2 2 2 2 8" xfId="11935"/>
    <cellStyle name="20% - Accent6 2 2 2 2 3" xfId="11936"/>
    <cellStyle name="20% - Accent6 2 2 2 2 3 2" xfId="11937"/>
    <cellStyle name="20% - Accent6 2 2 2 2 3 2 2" xfId="11938"/>
    <cellStyle name="20% - Accent6 2 2 2 2 3 2 2 2" xfId="11939"/>
    <cellStyle name="20% - Accent6 2 2 2 2 3 2 2 2 2" xfId="11940"/>
    <cellStyle name="20% - Accent6 2 2 2 2 3 2 2 2 2 2" xfId="11941"/>
    <cellStyle name="20% - Accent6 2 2 2 2 3 2 2 2 3" xfId="11942"/>
    <cellStyle name="20% - Accent6 2 2 2 2 3 2 2 3" xfId="11943"/>
    <cellStyle name="20% - Accent6 2 2 2 2 3 2 2 3 2" xfId="11944"/>
    <cellStyle name="20% - Accent6 2 2 2 2 3 2 2 4" xfId="11945"/>
    <cellStyle name="20% - Accent6 2 2 2 2 3 2 3" xfId="11946"/>
    <cellStyle name="20% - Accent6 2 2 2 2 3 2 3 2" xfId="11947"/>
    <cellStyle name="20% - Accent6 2 2 2 2 3 2 3 2 2" xfId="11948"/>
    <cellStyle name="20% - Accent6 2 2 2 2 3 2 3 3" xfId="11949"/>
    <cellStyle name="20% - Accent6 2 2 2 2 3 2 4" xfId="11950"/>
    <cellStyle name="20% - Accent6 2 2 2 2 3 2 4 2" xfId="11951"/>
    <cellStyle name="20% - Accent6 2 2 2 2 3 2 5" xfId="11952"/>
    <cellStyle name="20% - Accent6 2 2 2 2 3 2 5 2" xfId="11953"/>
    <cellStyle name="20% - Accent6 2 2 2 2 3 2 6" xfId="11954"/>
    <cellStyle name="20% - Accent6 2 2 2 2 3 3" xfId="11955"/>
    <cellStyle name="20% - Accent6 2 2 2 2 3 3 2" xfId="11956"/>
    <cellStyle name="20% - Accent6 2 2 2 2 3 3 2 2" xfId="11957"/>
    <cellStyle name="20% - Accent6 2 2 2 2 3 3 2 2 2" xfId="11958"/>
    <cellStyle name="20% - Accent6 2 2 2 2 3 3 2 2 2 2" xfId="11959"/>
    <cellStyle name="20% - Accent6 2 2 2 2 3 3 2 2 3" xfId="11960"/>
    <cellStyle name="20% - Accent6 2 2 2 2 3 3 2 3" xfId="11961"/>
    <cellStyle name="20% - Accent6 2 2 2 2 3 3 2 3 2" xfId="11962"/>
    <cellStyle name="20% - Accent6 2 2 2 2 3 3 2 4" xfId="11963"/>
    <cellStyle name="20% - Accent6 2 2 2 2 3 3 3" xfId="11964"/>
    <cellStyle name="20% - Accent6 2 2 2 2 3 3 3 2" xfId="11965"/>
    <cellStyle name="20% - Accent6 2 2 2 2 3 3 3 2 2" xfId="11966"/>
    <cellStyle name="20% - Accent6 2 2 2 2 3 3 3 3" xfId="11967"/>
    <cellStyle name="20% - Accent6 2 2 2 2 3 3 4" xfId="11968"/>
    <cellStyle name="20% - Accent6 2 2 2 2 3 3 4 2" xfId="11969"/>
    <cellStyle name="20% - Accent6 2 2 2 2 3 3 5" xfId="11970"/>
    <cellStyle name="20% - Accent6 2 2 2 2 3 3 5 2" xfId="11971"/>
    <cellStyle name="20% - Accent6 2 2 2 2 3 3 6" xfId="11972"/>
    <cellStyle name="20% - Accent6 2 2 2 2 3 4" xfId="11973"/>
    <cellStyle name="20% - Accent6 2 2 2 2 3 4 2" xfId="11974"/>
    <cellStyle name="20% - Accent6 2 2 2 2 3 4 2 2" xfId="11975"/>
    <cellStyle name="20% - Accent6 2 2 2 2 3 4 2 2 2" xfId="11976"/>
    <cellStyle name="20% - Accent6 2 2 2 2 3 4 2 3" xfId="11977"/>
    <cellStyle name="20% - Accent6 2 2 2 2 3 4 3" xfId="11978"/>
    <cellStyle name="20% - Accent6 2 2 2 2 3 4 3 2" xfId="11979"/>
    <cellStyle name="20% - Accent6 2 2 2 2 3 4 4" xfId="11980"/>
    <cellStyle name="20% - Accent6 2 2 2 2 3 5" xfId="11981"/>
    <cellStyle name="20% - Accent6 2 2 2 2 3 5 2" xfId="11982"/>
    <cellStyle name="20% - Accent6 2 2 2 2 3 5 2 2" xfId="11983"/>
    <cellStyle name="20% - Accent6 2 2 2 2 3 5 3" xfId="11984"/>
    <cellStyle name="20% - Accent6 2 2 2 2 3 6" xfId="11985"/>
    <cellStyle name="20% - Accent6 2 2 2 2 3 6 2" xfId="11986"/>
    <cellStyle name="20% - Accent6 2 2 2 2 3 7" xfId="11987"/>
    <cellStyle name="20% - Accent6 2 2 2 2 3 7 2" xfId="11988"/>
    <cellStyle name="20% - Accent6 2 2 2 2 3 8" xfId="11989"/>
    <cellStyle name="20% - Accent6 2 2 2 2 4" xfId="11990"/>
    <cellStyle name="20% - Accent6 2 2 2 2 4 2" xfId="11991"/>
    <cellStyle name="20% - Accent6 2 2 2 2 4 2 2" xfId="11992"/>
    <cellStyle name="20% - Accent6 2 2 2 2 4 2 2 2" xfId="11993"/>
    <cellStyle name="20% - Accent6 2 2 2 2 4 2 2 2 2" xfId="11994"/>
    <cellStyle name="20% - Accent6 2 2 2 2 4 2 2 3" xfId="11995"/>
    <cellStyle name="20% - Accent6 2 2 2 2 4 2 3" xfId="11996"/>
    <cellStyle name="20% - Accent6 2 2 2 2 4 2 3 2" xfId="11997"/>
    <cellStyle name="20% - Accent6 2 2 2 2 4 2 4" xfId="11998"/>
    <cellStyle name="20% - Accent6 2 2 2 2 4 3" xfId="11999"/>
    <cellStyle name="20% - Accent6 2 2 2 2 4 3 2" xfId="12000"/>
    <cellStyle name="20% - Accent6 2 2 2 2 4 3 2 2" xfId="12001"/>
    <cellStyle name="20% - Accent6 2 2 2 2 4 3 3" xfId="12002"/>
    <cellStyle name="20% - Accent6 2 2 2 2 4 4" xfId="12003"/>
    <cellStyle name="20% - Accent6 2 2 2 2 4 4 2" xfId="12004"/>
    <cellStyle name="20% - Accent6 2 2 2 2 4 5" xfId="12005"/>
    <cellStyle name="20% - Accent6 2 2 2 2 4 5 2" xfId="12006"/>
    <cellStyle name="20% - Accent6 2 2 2 2 4 6" xfId="12007"/>
    <cellStyle name="20% - Accent6 2 2 2 2 5" xfId="12008"/>
    <cellStyle name="20% - Accent6 2 2 2 2 5 2" xfId="12009"/>
    <cellStyle name="20% - Accent6 2 2 2 2 5 2 2" xfId="12010"/>
    <cellStyle name="20% - Accent6 2 2 2 2 5 2 2 2" xfId="12011"/>
    <cellStyle name="20% - Accent6 2 2 2 2 5 2 2 2 2" xfId="12012"/>
    <cellStyle name="20% - Accent6 2 2 2 2 5 2 2 3" xfId="12013"/>
    <cellStyle name="20% - Accent6 2 2 2 2 5 2 3" xfId="12014"/>
    <cellStyle name="20% - Accent6 2 2 2 2 5 2 3 2" xfId="12015"/>
    <cellStyle name="20% - Accent6 2 2 2 2 5 2 4" xfId="12016"/>
    <cellStyle name="20% - Accent6 2 2 2 2 5 3" xfId="12017"/>
    <cellStyle name="20% - Accent6 2 2 2 2 5 3 2" xfId="12018"/>
    <cellStyle name="20% - Accent6 2 2 2 2 5 3 2 2" xfId="12019"/>
    <cellStyle name="20% - Accent6 2 2 2 2 5 3 3" xfId="12020"/>
    <cellStyle name="20% - Accent6 2 2 2 2 5 4" xfId="12021"/>
    <cellStyle name="20% - Accent6 2 2 2 2 5 4 2" xfId="12022"/>
    <cellStyle name="20% - Accent6 2 2 2 2 5 5" xfId="12023"/>
    <cellStyle name="20% - Accent6 2 2 2 2 5 5 2" xfId="12024"/>
    <cellStyle name="20% - Accent6 2 2 2 2 5 6" xfId="12025"/>
    <cellStyle name="20% - Accent6 2 2 2 2 6" xfId="12026"/>
    <cellStyle name="20% - Accent6 2 2 2 2 6 2" xfId="12027"/>
    <cellStyle name="20% - Accent6 2 2 2 2 6 2 2" xfId="12028"/>
    <cellStyle name="20% - Accent6 2 2 2 2 6 2 2 2" xfId="12029"/>
    <cellStyle name="20% - Accent6 2 2 2 2 6 2 2 2 2" xfId="12030"/>
    <cellStyle name="20% - Accent6 2 2 2 2 6 2 2 3" xfId="12031"/>
    <cellStyle name="20% - Accent6 2 2 2 2 6 2 3" xfId="12032"/>
    <cellStyle name="20% - Accent6 2 2 2 2 6 2 3 2" xfId="12033"/>
    <cellStyle name="20% - Accent6 2 2 2 2 6 2 4" xfId="12034"/>
    <cellStyle name="20% - Accent6 2 2 2 2 6 3" xfId="12035"/>
    <cellStyle name="20% - Accent6 2 2 2 2 6 3 2" xfId="12036"/>
    <cellStyle name="20% - Accent6 2 2 2 2 6 3 2 2" xfId="12037"/>
    <cellStyle name="20% - Accent6 2 2 2 2 6 3 3" xfId="12038"/>
    <cellStyle name="20% - Accent6 2 2 2 2 6 4" xfId="12039"/>
    <cellStyle name="20% - Accent6 2 2 2 2 6 4 2" xfId="12040"/>
    <cellStyle name="20% - Accent6 2 2 2 2 6 5" xfId="12041"/>
    <cellStyle name="20% - Accent6 2 2 2 2 6 5 2" xfId="12042"/>
    <cellStyle name="20% - Accent6 2 2 2 2 6 6" xfId="12043"/>
    <cellStyle name="20% - Accent6 2 2 2 2 7" xfId="12044"/>
    <cellStyle name="20% - Accent6 2 2 2 2 7 2" xfId="12045"/>
    <cellStyle name="20% - Accent6 2 2 2 2 7 2 2" xfId="12046"/>
    <cellStyle name="20% - Accent6 2 2 2 2 7 2 2 2" xfId="12047"/>
    <cellStyle name="20% - Accent6 2 2 2 2 7 2 3" xfId="12048"/>
    <cellStyle name="20% - Accent6 2 2 2 2 7 3" xfId="12049"/>
    <cellStyle name="20% - Accent6 2 2 2 2 7 3 2" xfId="12050"/>
    <cellStyle name="20% - Accent6 2 2 2 2 7 4" xfId="12051"/>
    <cellStyle name="20% - Accent6 2 2 2 2 8" xfId="12052"/>
    <cellStyle name="20% - Accent6 2 2 2 2 8 2" xfId="12053"/>
    <cellStyle name="20% - Accent6 2 2 2 2 8 2 2" xfId="12054"/>
    <cellStyle name="20% - Accent6 2 2 2 2 8 3" xfId="12055"/>
    <cellStyle name="20% - Accent6 2 2 2 2 9" xfId="12056"/>
    <cellStyle name="20% - Accent6 2 2 2 2 9 2" xfId="12057"/>
    <cellStyle name="20% - Accent6 2 2 2 3" xfId="12058"/>
    <cellStyle name="20% - Accent6 2 2 2 3 10" xfId="12059"/>
    <cellStyle name="20% - Accent6 2 2 2 3 10 2" xfId="12060"/>
    <cellStyle name="20% - Accent6 2 2 2 3 11" xfId="12061"/>
    <cellStyle name="20% - Accent6 2 2 2 3 2" xfId="12062"/>
    <cellStyle name="20% - Accent6 2 2 2 3 2 2" xfId="12063"/>
    <cellStyle name="20% - Accent6 2 2 2 3 2 2 2" xfId="12064"/>
    <cellStyle name="20% - Accent6 2 2 2 3 2 2 2 2" xfId="12065"/>
    <cellStyle name="20% - Accent6 2 2 2 3 2 2 2 2 2" xfId="12066"/>
    <cellStyle name="20% - Accent6 2 2 2 3 2 2 2 2 2 2" xfId="12067"/>
    <cellStyle name="20% - Accent6 2 2 2 3 2 2 2 2 3" xfId="12068"/>
    <cellStyle name="20% - Accent6 2 2 2 3 2 2 2 3" xfId="12069"/>
    <cellStyle name="20% - Accent6 2 2 2 3 2 2 2 3 2" xfId="12070"/>
    <cellStyle name="20% - Accent6 2 2 2 3 2 2 2 4" xfId="12071"/>
    <cellStyle name="20% - Accent6 2 2 2 3 2 2 3" xfId="12072"/>
    <cellStyle name="20% - Accent6 2 2 2 3 2 2 3 2" xfId="12073"/>
    <cellStyle name="20% - Accent6 2 2 2 3 2 2 3 2 2" xfId="12074"/>
    <cellStyle name="20% - Accent6 2 2 2 3 2 2 3 3" xfId="12075"/>
    <cellStyle name="20% - Accent6 2 2 2 3 2 2 4" xfId="12076"/>
    <cellStyle name="20% - Accent6 2 2 2 3 2 2 4 2" xfId="12077"/>
    <cellStyle name="20% - Accent6 2 2 2 3 2 2 5" xfId="12078"/>
    <cellStyle name="20% - Accent6 2 2 2 3 2 2 5 2" xfId="12079"/>
    <cellStyle name="20% - Accent6 2 2 2 3 2 2 6" xfId="12080"/>
    <cellStyle name="20% - Accent6 2 2 2 3 2 3" xfId="12081"/>
    <cellStyle name="20% - Accent6 2 2 2 3 2 3 2" xfId="12082"/>
    <cellStyle name="20% - Accent6 2 2 2 3 2 3 2 2" xfId="12083"/>
    <cellStyle name="20% - Accent6 2 2 2 3 2 3 2 2 2" xfId="12084"/>
    <cellStyle name="20% - Accent6 2 2 2 3 2 3 2 2 2 2" xfId="12085"/>
    <cellStyle name="20% - Accent6 2 2 2 3 2 3 2 2 3" xfId="12086"/>
    <cellStyle name="20% - Accent6 2 2 2 3 2 3 2 3" xfId="12087"/>
    <cellStyle name="20% - Accent6 2 2 2 3 2 3 2 3 2" xfId="12088"/>
    <cellStyle name="20% - Accent6 2 2 2 3 2 3 2 4" xfId="12089"/>
    <cellStyle name="20% - Accent6 2 2 2 3 2 3 3" xfId="12090"/>
    <cellStyle name="20% - Accent6 2 2 2 3 2 3 3 2" xfId="12091"/>
    <cellStyle name="20% - Accent6 2 2 2 3 2 3 3 2 2" xfId="12092"/>
    <cellStyle name="20% - Accent6 2 2 2 3 2 3 3 3" xfId="12093"/>
    <cellStyle name="20% - Accent6 2 2 2 3 2 3 4" xfId="12094"/>
    <cellStyle name="20% - Accent6 2 2 2 3 2 3 4 2" xfId="12095"/>
    <cellStyle name="20% - Accent6 2 2 2 3 2 3 5" xfId="12096"/>
    <cellStyle name="20% - Accent6 2 2 2 3 2 3 5 2" xfId="12097"/>
    <cellStyle name="20% - Accent6 2 2 2 3 2 3 6" xfId="12098"/>
    <cellStyle name="20% - Accent6 2 2 2 3 2 4" xfId="12099"/>
    <cellStyle name="20% - Accent6 2 2 2 3 2 4 2" xfId="12100"/>
    <cellStyle name="20% - Accent6 2 2 2 3 2 4 2 2" xfId="12101"/>
    <cellStyle name="20% - Accent6 2 2 2 3 2 4 2 2 2" xfId="12102"/>
    <cellStyle name="20% - Accent6 2 2 2 3 2 4 2 3" xfId="12103"/>
    <cellStyle name="20% - Accent6 2 2 2 3 2 4 3" xfId="12104"/>
    <cellStyle name="20% - Accent6 2 2 2 3 2 4 3 2" xfId="12105"/>
    <cellStyle name="20% - Accent6 2 2 2 3 2 4 4" xfId="12106"/>
    <cellStyle name="20% - Accent6 2 2 2 3 2 5" xfId="12107"/>
    <cellStyle name="20% - Accent6 2 2 2 3 2 5 2" xfId="12108"/>
    <cellStyle name="20% - Accent6 2 2 2 3 2 5 2 2" xfId="12109"/>
    <cellStyle name="20% - Accent6 2 2 2 3 2 5 3" xfId="12110"/>
    <cellStyle name="20% - Accent6 2 2 2 3 2 6" xfId="12111"/>
    <cellStyle name="20% - Accent6 2 2 2 3 2 6 2" xfId="12112"/>
    <cellStyle name="20% - Accent6 2 2 2 3 2 7" xfId="12113"/>
    <cellStyle name="20% - Accent6 2 2 2 3 2 7 2" xfId="12114"/>
    <cellStyle name="20% - Accent6 2 2 2 3 2 8" xfId="12115"/>
    <cellStyle name="20% - Accent6 2 2 2 3 3" xfId="12116"/>
    <cellStyle name="20% - Accent6 2 2 2 3 3 2" xfId="12117"/>
    <cellStyle name="20% - Accent6 2 2 2 3 3 2 2" xfId="12118"/>
    <cellStyle name="20% - Accent6 2 2 2 3 3 2 2 2" xfId="12119"/>
    <cellStyle name="20% - Accent6 2 2 2 3 3 2 2 2 2" xfId="12120"/>
    <cellStyle name="20% - Accent6 2 2 2 3 3 2 2 2 2 2" xfId="12121"/>
    <cellStyle name="20% - Accent6 2 2 2 3 3 2 2 2 3" xfId="12122"/>
    <cellStyle name="20% - Accent6 2 2 2 3 3 2 2 3" xfId="12123"/>
    <cellStyle name="20% - Accent6 2 2 2 3 3 2 2 3 2" xfId="12124"/>
    <cellStyle name="20% - Accent6 2 2 2 3 3 2 2 4" xfId="12125"/>
    <cellStyle name="20% - Accent6 2 2 2 3 3 2 3" xfId="12126"/>
    <cellStyle name="20% - Accent6 2 2 2 3 3 2 3 2" xfId="12127"/>
    <cellStyle name="20% - Accent6 2 2 2 3 3 2 3 2 2" xfId="12128"/>
    <cellStyle name="20% - Accent6 2 2 2 3 3 2 3 3" xfId="12129"/>
    <cellStyle name="20% - Accent6 2 2 2 3 3 2 4" xfId="12130"/>
    <cellStyle name="20% - Accent6 2 2 2 3 3 2 4 2" xfId="12131"/>
    <cellStyle name="20% - Accent6 2 2 2 3 3 2 5" xfId="12132"/>
    <cellStyle name="20% - Accent6 2 2 2 3 3 2 5 2" xfId="12133"/>
    <cellStyle name="20% - Accent6 2 2 2 3 3 2 6" xfId="12134"/>
    <cellStyle name="20% - Accent6 2 2 2 3 3 3" xfId="12135"/>
    <cellStyle name="20% - Accent6 2 2 2 3 3 3 2" xfId="12136"/>
    <cellStyle name="20% - Accent6 2 2 2 3 3 3 2 2" xfId="12137"/>
    <cellStyle name="20% - Accent6 2 2 2 3 3 3 2 2 2" xfId="12138"/>
    <cellStyle name="20% - Accent6 2 2 2 3 3 3 2 2 2 2" xfId="12139"/>
    <cellStyle name="20% - Accent6 2 2 2 3 3 3 2 2 3" xfId="12140"/>
    <cellStyle name="20% - Accent6 2 2 2 3 3 3 2 3" xfId="12141"/>
    <cellStyle name="20% - Accent6 2 2 2 3 3 3 2 3 2" xfId="12142"/>
    <cellStyle name="20% - Accent6 2 2 2 3 3 3 2 4" xfId="12143"/>
    <cellStyle name="20% - Accent6 2 2 2 3 3 3 3" xfId="12144"/>
    <cellStyle name="20% - Accent6 2 2 2 3 3 3 3 2" xfId="12145"/>
    <cellStyle name="20% - Accent6 2 2 2 3 3 3 3 2 2" xfId="12146"/>
    <cellStyle name="20% - Accent6 2 2 2 3 3 3 3 3" xfId="12147"/>
    <cellStyle name="20% - Accent6 2 2 2 3 3 3 4" xfId="12148"/>
    <cellStyle name="20% - Accent6 2 2 2 3 3 3 4 2" xfId="12149"/>
    <cellStyle name="20% - Accent6 2 2 2 3 3 3 5" xfId="12150"/>
    <cellStyle name="20% - Accent6 2 2 2 3 3 3 5 2" xfId="12151"/>
    <cellStyle name="20% - Accent6 2 2 2 3 3 3 6" xfId="12152"/>
    <cellStyle name="20% - Accent6 2 2 2 3 3 4" xfId="12153"/>
    <cellStyle name="20% - Accent6 2 2 2 3 3 4 2" xfId="12154"/>
    <cellStyle name="20% - Accent6 2 2 2 3 3 4 2 2" xfId="12155"/>
    <cellStyle name="20% - Accent6 2 2 2 3 3 4 2 2 2" xfId="12156"/>
    <cellStyle name="20% - Accent6 2 2 2 3 3 4 2 3" xfId="12157"/>
    <cellStyle name="20% - Accent6 2 2 2 3 3 4 3" xfId="12158"/>
    <cellStyle name="20% - Accent6 2 2 2 3 3 4 3 2" xfId="12159"/>
    <cellStyle name="20% - Accent6 2 2 2 3 3 4 4" xfId="12160"/>
    <cellStyle name="20% - Accent6 2 2 2 3 3 5" xfId="12161"/>
    <cellStyle name="20% - Accent6 2 2 2 3 3 5 2" xfId="12162"/>
    <cellStyle name="20% - Accent6 2 2 2 3 3 5 2 2" xfId="12163"/>
    <cellStyle name="20% - Accent6 2 2 2 3 3 5 3" xfId="12164"/>
    <cellStyle name="20% - Accent6 2 2 2 3 3 6" xfId="12165"/>
    <cellStyle name="20% - Accent6 2 2 2 3 3 6 2" xfId="12166"/>
    <cellStyle name="20% - Accent6 2 2 2 3 3 7" xfId="12167"/>
    <cellStyle name="20% - Accent6 2 2 2 3 3 7 2" xfId="12168"/>
    <cellStyle name="20% - Accent6 2 2 2 3 3 8" xfId="12169"/>
    <cellStyle name="20% - Accent6 2 2 2 3 4" xfId="12170"/>
    <cellStyle name="20% - Accent6 2 2 2 3 4 2" xfId="12171"/>
    <cellStyle name="20% - Accent6 2 2 2 3 4 2 2" xfId="12172"/>
    <cellStyle name="20% - Accent6 2 2 2 3 4 2 2 2" xfId="12173"/>
    <cellStyle name="20% - Accent6 2 2 2 3 4 2 2 2 2" xfId="12174"/>
    <cellStyle name="20% - Accent6 2 2 2 3 4 2 2 3" xfId="12175"/>
    <cellStyle name="20% - Accent6 2 2 2 3 4 2 3" xfId="12176"/>
    <cellStyle name="20% - Accent6 2 2 2 3 4 2 3 2" xfId="12177"/>
    <cellStyle name="20% - Accent6 2 2 2 3 4 2 4" xfId="12178"/>
    <cellStyle name="20% - Accent6 2 2 2 3 4 3" xfId="12179"/>
    <cellStyle name="20% - Accent6 2 2 2 3 4 3 2" xfId="12180"/>
    <cellStyle name="20% - Accent6 2 2 2 3 4 3 2 2" xfId="12181"/>
    <cellStyle name="20% - Accent6 2 2 2 3 4 3 3" xfId="12182"/>
    <cellStyle name="20% - Accent6 2 2 2 3 4 4" xfId="12183"/>
    <cellStyle name="20% - Accent6 2 2 2 3 4 4 2" xfId="12184"/>
    <cellStyle name="20% - Accent6 2 2 2 3 4 5" xfId="12185"/>
    <cellStyle name="20% - Accent6 2 2 2 3 4 5 2" xfId="12186"/>
    <cellStyle name="20% - Accent6 2 2 2 3 4 6" xfId="12187"/>
    <cellStyle name="20% - Accent6 2 2 2 3 5" xfId="12188"/>
    <cellStyle name="20% - Accent6 2 2 2 3 5 2" xfId="12189"/>
    <cellStyle name="20% - Accent6 2 2 2 3 5 2 2" xfId="12190"/>
    <cellStyle name="20% - Accent6 2 2 2 3 5 2 2 2" xfId="12191"/>
    <cellStyle name="20% - Accent6 2 2 2 3 5 2 2 2 2" xfId="12192"/>
    <cellStyle name="20% - Accent6 2 2 2 3 5 2 2 3" xfId="12193"/>
    <cellStyle name="20% - Accent6 2 2 2 3 5 2 3" xfId="12194"/>
    <cellStyle name="20% - Accent6 2 2 2 3 5 2 3 2" xfId="12195"/>
    <cellStyle name="20% - Accent6 2 2 2 3 5 2 4" xfId="12196"/>
    <cellStyle name="20% - Accent6 2 2 2 3 5 3" xfId="12197"/>
    <cellStyle name="20% - Accent6 2 2 2 3 5 3 2" xfId="12198"/>
    <cellStyle name="20% - Accent6 2 2 2 3 5 3 2 2" xfId="12199"/>
    <cellStyle name="20% - Accent6 2 2 2 3 5 3 3" xfId="12200"/>
    <cellStyle name="20% - Accent6 2 2 2 3 5 4" xfId="12201"/>
    <cellStyle name="20% - Accent6 2 2 2 3 5 4 2" xfId="12202"/>
    <cellStyle name="20% - Accent6 2 2 2 3 5 5" xfId="12203"/>
    <cellStyle name="20% - Accent6 2 2 2 3 5 5 2" xfId="12204"/>
    <cellStyle name="20% - Accent6 2 2 2 3 5 6" xfId="12205"/>
    <cellStyle name="20% - Accent6 2 2 2 3 6" xfId="12206"/>
    <cellStyle name="20% - Accent6 2 2 2 3 6 2" xfId="12207"/>
    <cellStyle name="20% - Accent6 2 2 2 3 6 2 2" xfId="12208"/>
    <cellStyle name="20% - Accent6 2 2 2 3 6 2 2 2" xfId="12209"/>
    <cellStyle name="20% - Accent6 2 2 2 3 6 2 2 2 2" xfId="12210"/>
    <cellStyle name="20% - Accent6 2 2 2 3 6 2 2 3" xfId="12211"/>
    <cellStyle name="20% - Accent6 2 2 2 3 6 2 3" xfId="12212"/>
    <cellStyle name="20% - Accent6 2 2 2 3 6 2 3 2" xfId="12213"/>
    <cellStyle name="20% - Accent6 2 2 2 3 6 2 4" xfId="12214"/>
    <cellStyle name="20% - Accent6 2 2 2 3 6 3" xfId="12215"/>
    <cellStyle name="20% - Accent6 2 2 2 3 6 3 2" xfId="12216"/>
    <cellStyle name="20% - Accent6 2 2 2 3 6 3 2 2" xfId="12217"/>
    <cellStyle name="20% - Accent6 2 2 2 3 6 3 3" xfId="12218"/>
    <cellStyle name="20% - Accent6 2 2 2 3 6 4" xfId="12219"/>
    <cellStyle name="20% - Accent6 2 2 2 3 6 4 2" xfId="12220"/>
    <cellStyle name="20% - Accent6 2 2 2 3 6 5" xfId="12221"/>
    <cellStyle name="20% - Accent6 2 2 2 3 6 5 2" xfId="12222"/>
    <cellStyle name="20% - Accent6 2 2 2 3 6 6" xfId="12223"/>
    <cellStyle name="20% - Accent6 2 2 2 3 7" xfId="12224"/>
    <cellStyle name="20% - Accent6 2 2 2 3 7 2" xfId="12225"/>
    <cellStyle name="20% - Accent6 2 2 2 3 7 2 2" xfId="12226"/>
    <cellStyle name="20% - Accent6 2 2 2 3 7 2 2 2" xfId="12227"/>
    <cellStyle name="20% - Accent6 2 2 2 3 7 2 3" xfId="12228"/>
    <cellStyle name="20% - Accent6 2 2 2 3 7 3" xfId="12229"/>
    <cellStyle name="20% - Accent6 2 2 2 3 7 3 2" xfId="12230"/>
    <cellStyle name="20% - Accent6 2 2 2 3 7 4" xfId="12231"/>
    <cellStyle name="20% - Accent6 2 2 2 3 8" xfId="12232"/>
    <cellStyle name="20% - Accent6 2 2 2 3 8 2" xfId="12233"/>
    <cellStyle name="20% - Accent6 2 2 2 3 8 2 2" xfId="12234"/>
    <cellStyle name="20% - Accent6 2 2 2 3 8 3" xfId="12235"/>
    <cellStyle name="20% - Accent6 2 2 2 3 9" xfId="12236"/>
    <cellStyle name="20% - Accent6 2 2 2 3 9 2" xfId="12237"/>
    <cellStyle name="20% - Accent6 2 2 2 4" xfId="12238"/>
    <cellStyle name="20% - Accent6 2 2 2 4 10" xfId="12239"/>
    <cellStyle name="20% - Accent6 2 2 2 4 10 2" xfId="12240"/>
    <cellStyle name="20% - Accent6 2 2 2 4 11" xfId="12241"/>
    <cellStyle name="20% - Accent6 2 2 2 4 2" xfId="12242"/>
    <cellStyle name="20% - Accent6 2 2 2 4 2 2" xfId="12243"/>
    <cellStyle name="20% - Accent6 2 2 2 4 2 2 2" xfId="12244"/>
    <cellStyle name="20% - Accent6 2 2 2 4 2 2 2 2" xfId="12245"/>
    <cellStyle name="20% - Accent6 2 2 2 4 2 2 2 2 2" xfId="12246"/>
    <cellStyle name="20% - Accent6 2 2 2 4 2 2 2 2 2 2" xfId="12247"/>
    <cellStyle name="20% - Accent6 2 2 2 4 2 2 2 2 3" xfId="12248"/>
    <cellStyle name="20% - Accent6 2 2 2 4 2 2 2 3" xfId="12249"/>
    <cellStyle name="20% - Accent6 2 2 2 4 2 2 2 3 2" xfId="12250"/>
    <cellStyle name="20% - Accent6 2 2 2 4 2 2 2 4" xfId="12251"/>
    <cellStyle name="20% - Accent6 2 2 2 4 2 2 3" xfId="12252"/>
    <cellStyle name="20% - Accent6 2 2 2 4 2 2 3 2" xfId="12253"/>
    <cellStyle name="20% - Accent6 2 2 2 4 2 2 3 2 2" xfId="12254"/>
    <cellStyle name="20% - Accent6 2 2 2 4 2 2 3 3" xfId="12255"/>
    <cellStyle name="20% - Accent6 2 2 2 4 2 2 4" xfId="12256"/>
    <cellStyle name="20% - Accent6 2 2 2 4 2 2 4 2" xfId="12257"/>
    <cellStyle name="20% - Accent6 2 2 2 4 2 2 5" xfId="12258"/>
    <cellStyle name="20% - Accent6 2 2 2 4 2 2 5 2" xfId="12259"/>
    <cellStyle name="20% - Accent6 2 2 2 4 2 2 6" xfId="12260"/>
    <cellStyle name="20% - Accent6 2 2 2 4 2 3" xfId="12261"/>
    <cellStyle name="20% - Accent6 2 2 2 4 2 3 2" xfId="12262"/>
    <cellStyle name="20% - Accent6 2 2 2 4 2 3 2 2" xfId="12263"/>
    <cellStyle name="20% - Accent6 2 2 2 4 2 3 2 2 2" xfId="12264"/>
    <cellStyle name="20% - Accent6 2 2 2 4 2 3 2 2 2 2" xfId="12265"/>
    <cellStyle name="20% - Accent6 2 2 2 4 2 3 2 2 3" xfId="12266"/>
    <cellStyle name="20% - Accent6 2 2 2 4 2 3 2 3" xfId="12267"/>
    <cellStyle name="20% - Accent6 2 2 2 4 2 3 2 3 2" xfId="12268"/>
    <cellStyle name="20% - Accent6 2 2 2 4 2 3 2 4" xfId="12269"/>
    <cellStyle name="20% - Accent6 2 2 2 4 2 3 3" xfId="12270"/>
    <cellStyle name="20% - Accent6 2 2 2 4 2 3 3 2" xfId="12271"/>
    <cellStyle name="20% - Accent6 2 2 2 4 2 3 3 2 2" xfId="12272"/>
    <cellStyle name="20% - Accent6 2 2 2 4 2 3 3 3" xfId="12273"/>
    <cellStyle name="20% - Accent6 2 2 2 4 2 3 4" xfId="12274"/>
    <cellStyle name="20% - Accent6 2 2 2 4 2 3 4 2" xfId="12275"/>
    <cellStyle name="20% - Accent6 2 2 2 4 2 3 5" xfId="12276"/>
    <cellStyle name="20% - Accent6 2 2 2 4 2 3 5 2" xfId="12277"/>
    <cellStyle name="20% - Accent6 2 2 2 4 2 3 6" xfId="12278"/>
    <cellStyle name="20% - Accent6 2 2 2 4 2 4" xfId="12279"/>
    <cellStyle name="20% - Accent6 2 2 2 4 2 4 2" xfId="12280"/>
    <cellStyle name="20% - Accent6 2 2 2 4 2 4 2 2" xfId="12281"/>
    <cellStyle name="20% - Accent6 2 2 2 4 2 4 2 2 2" xfId="12282"/>
    <cellStyle name="20% - Accent6 2 2 2 4 2 4 2 3" xfId="12283"/>
    <cellStyle name="20% - Accent6 2 2 2 4 2 4 3" xfId="12284"/>
    <cellStyle name="20% - Accent6 2 2 2 4 2 4 3 2" xfId="12285"/>
    <cellStyle name="20% - Accent6 2 2 2 4 2 4 4" xfId="12286"/>
    <cellStyle name="20% - Accent6 2 2 2 4 2 5" xfId="12287"/>
    <cellStyle name="20% - Accent6 2 2 2 4 2 5 2" xfId="12288"/>
    <cellStyle name="20% - Accent6 2 2 2 4 2 5 2 2" xfId="12289"/>
    <cellStyle name="20% - Accent6 2 2 2 4 2 5 3" xfId="12290"/>
    <cellStyle name="20% - Accent6 2 2 2 4 2 6" xfId="12291"/>
    <cellStyle name="20% - Accent6 2 2 2 4 2 6 2" xfId="12292"/>
    <cellStyle name="20% - Accent6 2 2 2 4 2 7" xfId="12293"/>
    <cellStyle name="20% - Accent6 2 2 2 4 2 7 2" xfId="12294"/>
    <cellStyle name="20% - Accent6 2 2 2 4 2 8" xfId="12295"/>
    <cellStyle name="20% - Accent6 2 2 2 4 3" xfId="12296"/>
    <cellStyle name="20% - Accent6 2 2 2 4 3 2" xfId="12297"/>
    <cellStyle name="20% - Accent6 2 2 2 4 3 2 2" xfId="12298"/>
    <cellStyle name="20% - Accent6 2 2 2 4 3 2 2 2" xfId="12299"/>
    <cellStyle name="20% - Accent6 2 2 2 4 3 2 2 2 2" xfId="12300"/>
    <cellStyle name="20% - Accent6 2 2 2 4 3 2 2 2 2 2" xfId="12301"/>
    <cellStyle name="20% - Accent6 2 2 2 4 3 2 2 2 3" xfId="12302"/>
    <cellStyle name="20% - Accent6 2 2 2 4 3 2 2 3" xfId="12303"/>
    <cellStyle name="20% - Accent6 2 2 2 4 3 2 2 3 2" xfId="12304"/>
    <cellStyle name="20% - Accent6 2 2 2 4 3 2 2 4" xfId="12305"/>
    <cellStyle name="20% - Accent6 2 2 2 4 3 2 3" xfId="12306"/>
    <cellStyle name="20% - Accent6 2 2 2 4 3 2 3 2" xfId="12307"/>
    <cellStyle name="20% - Accent6 2 2 2 4 3 2 3 2 2" xfId="12308"/>
    <cellStyle name="20% - Accent6 2 2 2 4 3 2 3 3" xfId="12309"/>
    <cellStyle name="20% - Accent6 2 2 2 4 3 2 4" xfId="12310"/>
    <cellStyle name="20% - Accent6 2 2 2 4 3 2 4 2" xfId="12311"/>
    <cellStyle name="20% - Accent6 2 2 2 4 3 2 5" xfId="12312"/>
    <cellStyle name="20% - Accent6 2 2 2 4 3 2 5 2" xfId="12313"/>
    <cellStyle name="20% - Accent6 2 2 2 4 3 2 6" xfId="12314"/>
    <cellStyle name="20% - Accent6 2 2 2 4 3 3" xfId="12315"/>
    <cellStyle name="20% - Accent6 2 2 2 4 3 3 2" xfId="12316"/>
    <cellStyle name="20% - Accent6 2 2 2 4 3 3 2 2" xfId="12317"/>
    <cellStyle name="20% - Accent6 2 2 2 4 3 3 2 2 2" xfId="12318"/>
    <cellStyle name="20% - Accent6 2 2 2 4 3 3 2 2 2 2" xfId="12319"/>
    <cellStyle name="20% - Accent6 2 2 2 4 3 3 2 2 3" xfId="12320"/>
    <cellStyle name="20% - Accent6 2 2 2 4 3 3 2 3" xfId="12321"/>
    <cellStyle name="20% - Accent6 2 2 2 4 3 3 2 3 2" xfId="12322"/>
    <cellStyle name="20% - Accent6 2 2 2 4 3 3 2 4" xfId="12323"/>
    <cellStyle name="20% - Accent6 2 2 2 4 3 3 3" xfId="12324"/>
    <cellStyle name="20% - Accent6 2 2 2 4 3 3 3 2" xfId="12325"/>
    <cellStyle name="20% - Accent6 2 2 2 4 3 3 3 2 2" xfId="12326"/>
    <cellStyle name="20% - Accent6 2 2 2 4 3 3 3 3" xfId="12327"/>
    <cellStyle name="20% - Accent6 2 2 2 4 3 3 4" xfId="12328"/>
    <cellStyle name="20% - Accent6 2 2 2 4 3 3 4 2" xfId="12329"/>
    <cellStyle name="20% - Accent6 2 2 2 4 3 3 5" xfId="12330"/>
    <cellStyle name="20% - Accent6 2 2 2 4 3 3 5 2" xfId="12331"/>
    <cellStyle name="20% - Accent6 2 2 2 4 3 3 6" xfId="12332"/>
    <cellStyle name="20% - Accent6 2 2 2 4 3 4" xfId="12333"/>
    <cellStyle name="20% - Accent6 2 2 2 4 3 4 2" xfId="12334"/>
    <cellStyle name="20% - Accent6 2 2 2 4 3 4 2 2" xfId="12335"/>
    <cellStyle name="20% - Accent6 2 2 2 4 3 4 2 2 2" xfId="12336"/>
    <cellStyle name="20% - Accent6 2 2 2 4 3 4 2 3" xfId="12337"/>
    <cellStyle name="20% - Accent6 2 2 2 4 3 4 3" xfId="12338"/>
    <cellStyle name="20% - Accent6 2 2 2 4 3 4 3 2" xfId="12339"/>
    <cellStyle name="20% - Accent6 2 2 2 4 3 4 4" xfId="12340"/>
    <cellStyle name="20% - Accent6 2 2 2 4 3 5" xfId="12341"/>
    <cellStyle name="20% - Accent6 2 2 2 4 3 5 2" xfId="12342"/>
    <cellStyle name="20% - Accent6 2 2 2 4 3 5 2 2" xfId="12343"/>
    <cellStyle name="20% - Accent6 2 2 2 4 3 5 3" xfId="12344"/>
    <cellStyle name="20% - Accent6 2 2 2 4 3 6" xfId="12345"/>
    <cellStyle name="20% - Accent6 2 2 2 4 3 6 2" xfId="12346"/>
    <cellStyle name="20% - Accent6 2 2 2 4 3 7" xfId="12347"/>
    <cellStyle name="20% - Accent6 2 2 2 4 3 7 2" xfId="12348"/>
    <cellStyle name="20% - Accent6 2 2 2 4 3 8" xfId="12349"/>
    <cellStyle name="20% - Accent6 2 2 2 4 4" xfId="12350"/>
    <cellStyle name="20% - Accent6 2 2 2 4 4 2" xfId="12351"/>
    <cellStyle name="20% - Accent6 2 2 2 4 4 2 2" xfId="12352"/>
    <cellStyle name="20% - Accent6 2 2 2 4 4 2 2 2" xfId="12353"/>
    <cellStyle name="20% - Accent6 2 2 2 4 4 2 2 2 2" xfId="12354"/>
    <cellStyle name="20% - Accent6 2 2 2 4 4 2 2 3" xfId="12355"/>
    <cellStyle name="20% - Accent6 2 2 2 4 4 2 3" xfId="12356"/>
    <cellStyle name="20% - Accent6 2 2 2 4 4 2 3 2" xfId="12357"/>
    <cellStyle name="20% - Accent6 2 2 2 4 4 2 4" xfId="12358"/>
    <cellStyle name="20% - Accent6 2 2 2 4 4 3" xfId="12359"/>
    <cellStyle name="20% - Accent6 2 2 2 4 4 3 2" xfId="12360"/>
    <cellStyle name="20% - Accent6 2 2 2 4 4 3 2 2" xfId="12361"/>
    <cellStyle name="20% - Accent6 2 2 2 4 4 3 3" xfId="12362"/>
    <cellStyle name="20% - Accent6 2 2 2 4 4 4" xfId="12363"/>
    <cellStyle name="20% - Accent6 2 2 2 4 4 4 2" xfId="12364"/>
    <cellStyle name="20% - Accent6 2 2 2 4 4 5" xfId="12365"/>
    <cellStyle name="20% - Accent6 2 2 2 4 4 5 2" xfId="12366"/>
    <cellStyle name="20% - Accent6 2 2 2 4 4 6" xfId="12367"/>
    <cellStyle name="20% - Accent6 2 2 2 4 5" xfId="12368"/>
    <cellStyle name="20% - Accent6 2 2 2 4 5 2" xfId="12369"/>
    <cellStyle name="20% - Accent6 2 2 2 4 5 2 2" xfId="12370"/>
    <cellStyle name="20% - Accent6 2 2 2 4 5 2 2 2" xfId="12371"/>
    <cellStyle name="20% - Accent6 2 2 2 4 5 2 2 2 2" xfId="12372"/>
    <cellStyle name="20% - Accent6 2 2 2 4 5 2 2 3" xfId="12373"/>
    <cellStyle name="20% - Accent6 2 2 2 4 5 2 3" xfId="12374"/>
    <cellStyle name="20% - Accent6 2 2 2 4 5 2 3 2" xfId="12375"/>
    <cellStyle name="20% - Accent6 2 2 2 4 5 2 4" xfId="12376"/>
    <cellStyle name="20% - Accent6 2 2 2 4 5 3" xfId="12377"/>
    <cellStyle name="20% - Accent6 2 2 2 4 5 3 2" xfId="12378"/>
    <cellStyle name="20% - Accent6 2 2 2 4 5 3 2 2" xfId="12379"/>
    <cellStyle name="20% - Accent6 2 2 2 4 5 3 3" xfId="12380"/>
    <cellStyle name="20% - Accent6 2 2 2 4 5 4" xfId="12381"/>
    <cellStyle name="20% - Accent6 2 2 2 4 5 4 2" xfId="12382"/>
    <cellStyle name="20% - Accent6 2 2 2 4 5 5" xfId="12383"/>
    <cellStyle name="20% - Accent6 2 2 2 4 5 5 2" xfId="12384"/>
    <cellStyle name="20% - Accent6 2 2 2 4 5 6" xfId="12385"/>
    <cellStyle name="20% - Accent6 2 2 2 4 6" xfId="12386"/>
    <cellStyle name="20% - Accent6 2 2 2 4 6 2" xfId="12387"/>
    <cellStyle name="20% - Accent6 2 2 2 4 6 2 2" xfId="12388"/>
    <cellStyle name="20% - Accent6 2 2 2 4 6 2 2 2" xfId="12389"/>
    <cellStyle name="20% - Accent6 2 2 2 4 6 2 2 2 2" xfId="12390"/>
    <cellStyle name="20% - Accent6 2 2 2 4 6 2 2 3" xfId="12391"/>
    <cellStyle name="20% - Accent6 2 2 2 4 6 2 3" xfId="12392"/>
    <cellStyle name="20% - Accent6 2 2 2 4 6 2 3 2" xfId="12393"/>
    <cellStyle name="20% - Accent6 2 2 2 4 6 2 4" xfId="12394"/>
    <cellStyle name="20% - Accent6 2 2 2 4 6 3" xfId="12395"/>
    <cellStyle name="20% - Accent6 2 2 2 4 6 3 2" xfId="12396"/>
    <cellStyle name="20% - Accent6 2 2 2 4 6 3 2 2" xfId="12397"/>
    <cellStyle name="20% - Accent6 2 2 2 4 6 3 3" xfId="12398"/>
    <cellStyle name="20% - Accent6 2 2 2 4 6 4" xfId="12399"/>
    <cellStyle name="20% - Accent6 2 2 2 4 6 4 2" xfId="12400"/>
    <cellStyle name="20% - Accent6 2 2 2 4 6 5" xfId="12401"/>
    <cellStyle name="20% - Accent6 2 2 2 4 6 5 2" xfId="12402"/>
    <cellStyle name="20% - Accent6 2 2 2 4 6 6" xfId="12403"/>
    <cellStyle name="20% - Accent6 2 2 2 4 7" xfId="12404"/>
    <cellStyle name="20% - Accent6 2 2 2 4 7 2" xfId="12405"/>
    <cellStyle name="20% - Accent6 2 2 2 4 7 2 2" xfId="12406"/>
    <cellStyle name="20% - Accent6 2 2 2 4 7 2 2 2" xfId="12407"/>
    <cellStyle name="20% - Accent6 2 2 2 4 7 2 3" xfId="12408"/>
    <cellStyle name="20% - Accent6 2 2 2 4 7 3" xfId="12409"/>
    <cellStyle name="20% - Accent6 2 2 2 4 7 3 2" xfId="12410"/>
    <cellStyle name="20% - Accent6 2 2 2 4 7 4" xfId="12411"/>
    <cellStyle name="20% - Accent6 2 2 2 4 8" xfId="12412"/>
    <cellStyle name="20% - Accent6 2 2 2 4 8 2" xfId="12413"/>
    <cellStyle name="20% - Accent6 2 2 2 4 8 2 2" xfId="12414"/>
    <cellStyle name="20% - Accent6 2 2 2 4 8 3" xfId="12415"/>
    <cellStyle name="20% - Accent6 2 2 2 4 9" xfId="12416"/>
    <cellStyle name="20% - Accent6 2 2 2 4 9 2" xfId="12417"/>
    <cellStyle name="20% - Accent6 2 2 2 5" xfId="12418"/>
    <cellStyle name="20% - Accent6 2 2 2 5 2" xfId="12419"/>
    <cellStyle name="20% - Accent6 2 2 2 5 2 2" xfId="12420"/>
    <cellStyle name="20% - Accent6 2 2 2 5 2 2 2" xfId="12421"/>
    <cellStyle name="20% - Accent6 2 2 2 5 2 2 2 2" xfId="12422"/>
    <cellStyle name="20% - Accent6 2 2 2 5 2 2 2 2 2" xfId="12423"/>
    <cellStyle name="20% - Accent6 2 2 2 5 2 2 2 3" xfId="12424"/>
    <cellStyle name="20% - Accent6 2 2 2 5 2 2 3" xfId="12425"/>
    <cellStyle name="20% - Accent6 2 2 2 5 2 2 3 2" xfId="12426"/>
    <cellStyle name="20% - Accent6 2 2 2 5 2 2 4" xfId="12427"/>
    <cellStyle name="20% - Accent6 2 2 2 5 2 3" xfId="12428"/>
    <cellStyle name="20% - Accent6 2 2 2 5 2 3 2" xfId="12429"/>
    <cellStyle name="20% - Accent6 2 2 2 5 2 3 2 2" xfId="12430"/>
    <cellStyle name="20% - Accent6 2 2 2 5 2 3 3" xfId="12431"/>
    <cellStyle name="20% - Accent6 2 2 2 5 2 4" xfId="12432"/>
    <cellStyle name="20% - Accent6 2 2 2 5 2 4 2" xfId="12433"/>
    <cellStyle name="20% - Accent6 2 2 2 5 2 5" xfId="12434"/>
    <cellStyle name="20% - Accent6 2 2 2 5 2 5 2" xfId="12435"/>
    <cellStyle name="20% - Accent6 2 2 2 5 2 6" xfId="12436"/>
    <cellStyle name="20% - Accent6 2 2 2 5 3" xfId="12437"/>
    <cellStyle name="20% - Accent6 2 2 2 5 3 2" xfId="12438"/>
    <cellStyle name="20% - Accent6 2 2 2 5 3 2 2" xfId="12439"/>
    <cellStyle name="20% - Accent6 2 2 2 5 3 2 2 2" xfId="12440"/>
    <cellStyle name="20% - Accent6 2 2 2 5 3 2 2 2 2" xfId="12441"/>
    <cellStyle name="20% - Accent6 2 2 2 5 3 2 2 3" xfId="12442"/>
    <cellStyle name="20% - Accent6 2 2 2 5 3 2 3" xfId="12443"/>
    <cellStyle name="20% - Accent6 2 2 2 5 3 2 3 2" xfId="12444"/>
    <cellStyle name="20% - Accent6 2 2 2 5 3 2 4" xfId="12445"/>
    <cellStyle name="20% - Accent6 2 2 2 5 3 3" xfId="12446"/>
    <cellStyle name="20% - Accent6 2 2 2 5 3 3 2" xfId="12447"/>
    <cellStyle name="20% - Accent6 2 2 2 5 3 3 2 2" xfId="12448"/>
    <cellStyle name="20% - Accent6 2 2 2 5 3 3 3" xfId="12449"/>
    <cellStyle name="20% - Accent6 2 2 2 5 3 4" xfId="12450"/>
    <cellStyle name="20% - Accent6 2 2 2 5 3 4 2" xfId="12451"/>
    <cellStyle name="20% - Accent6 2 2 2 5 3 5" xfId="12452"/>
    <cellStyle name="20% - Accent6 2 2 2 5 3 5 2" xfId="12453"/>
    <cellStyle name="20% - Accent6 2 2 2 5 3 6" xfId="12454"/>
    <cellStyle name="20% - Accent6 2 2 2 5 4" xfId="12455"/>
    <cellStyle name="20% - Accent6 2 2 2 5 4 2" xfId="12456"/>
    <cellStyle name="20% - Accent6 2 2 2 5 4 2 2" xfId="12457"/>
    <cellStyle name="20% - Accent6 2 2 2 5 4 2 2 2" xfId="12458"/>
    <cellStyle name="20% - Accent6 2 2 2 5 4 2 3" xfId="12459"/>
    <cellStyle name="20% - Accent6 2 2 2 5 4 3" xfId="12460"/>
    <cellStyle name="20% - Accent6 2 2 2 5 4 3 2" xfId="12461"/>
    <cellStyle name="20% - Accent6 2 2 2 5 4 4" xfId="12462"/>
    <cellStyle name="20% - Accent6 2 2 2 5 5" xfId="12463"/>
    <cellStyle name="20% - Accent6 2 2 2 5 5 2" xfId="12464"/>
    <cellStyle name="20% - Accent6 2 2 2 5 5 2 2" xfId="12465"/>
    <cellStyle name="20% - Accent6 2 2 2 5 5 3" xfId="12466"/>
    <cellStyle name="20% - Accent6 2 2 2 5 6" xfId="12467"/>
    <cellStyle name="20% - Accent6 2 2 2 5 6 2" xfId="12468"/>
    <cellStyle name="20% - Accent6 2 2 2 5 7" xfId="12469"/>
    <cellStyle name="20% - Accent6 2 2 2 5 7 2" xfId="12470"/>
    <cellStyle name="20% - Accent6 2 2 2 5 8" xfId="12471"/>
    <cellStyle name="20% - Accent6 2 2 2 6" xfId="12472"/>
    <cellStyle name="20% - Accent6 2 2 2 6 2" xfId="12473"/>
    <cellStyle name="20% - Accent6 2 2 2 6 2 2" xfId="12474"/>
    <cellStyle name="20% - Accent6 2 2 2 6 2 2 2" xfId="12475"/>
    <cellStyle name="20% - Accent6 2 2 2 6 2 2 2 2" xfId="12476"/>
    <cellStyle name="20% - Accent6 2 2 2 6 2 2 2 2 2" xfId="12477"/>
    <cellStyle name="20% - Accent6 2 2 2 6 2 2 2 3" xfId="12478"/>
    <cellStyle name="20% - Accent6 2 2 2 6 2 2 3" xfId="12479"/>
    <cellStyle name="20% - Accent6 2 2 2 6 2 2 3 2" xfId="12480"/>
    <cellStyle name="20% - Accent6 2 2 2 6 2 2 4" xfId="12481"/>
    <cellStyle name="20% - Accent6 2 2 2 6 2 3" xfId="12482"/>
    <cellStyle name="20% - Accent6 2 2 2 6 2 3 2" xfId="12483"/>
    <cellStyle name="20% - Accent6 2 2 2 6 2 3 2 2" xfId="12484"/>
    <cellStyle name="20% - Accent6 2 2 2 6 2 3 3" xfId="12485"/>
    <cellStyle name="20% - Accent6 2 2 2 6 2 4" xfId="12486"/>
    <cellStyle name="20% - Accent6 2 2 2 6 2 4 2" xfId="12487"/>
    <cellStyle name="20% - Accent6 2 2 2 6 2 5" xfId="12488"/>
    <cellStyle name="20% - Accent6 2 2 2 6 2 5 2" xfId="12489"/>
    <cellStyle name="20% - Accent6 2 2 2 6 2 6" xfId="12490"/>
    <cellStyle name="20% - Accent6 2 2 2 6 3" xfId="12491"/>
    <cellStyle name="20% - Accent6 2 2 2 6 3 2" xfId="12492"/>
    <cellStyle name="20% - Accent6 2 2 2 6 3 2 2" xfId="12493"/>
    <cellStyle name="20% - Accent6 2 2 2 6 3 2 2 2" xfId="12494"/>
    <cellStyle name="20% - Accent6 2 2 2 6 3 2 2 2 2" xfId="12495"/>
    <cellStyle name="20% - Accent6 2 2 2 6 3 2 2 3" xfId="12496"/>
    <cellStyle name="20% - Accent6 2 2 2 6 3 2 3" xfId="12497"/>
    <cellStyle name="20% - Accent6 2 2 2 6 3 2 3 2" xfId="12498"/>
    <cellStyle name="20% - Accent6 2 2 2 6 3 2 4" xfId="12499"/>
    <cellStyle name="20% - Accent6 2 2 2 6 3 3" xfId="12500"/>
    <cellStyle name="20% - Accent6 2 2 2 6 3 3 2" xfId="12501"/>
    <cellStyle name="20% - Accent6 2 2 2 6 3 3 2 2" xfId="12502"/>
    <cellStyle name="20% - Accent6 2 2 2 6 3 3 3" xfId="12503"/>
    <cellStyle name="20% - Accent6 2 2 2 6 3 4" xfId="12504"/>
    <cellStyle name="20% - Accent6 2 2 2 6 3 4 2" xfId="12505"/>
    <cellStyle name="20% - Accent6 2 2 2 6 3 5" xfId="12506"/>
    <cellStyle name="20% - Accent6 2 2 2 6 3 5 2" xfId="12507"/>
    <cellStyle name="20% - Accent6 2 2 2 6 3 6" xfId="12508"/>
    <cellStyle name="20% - Accent6 2 2 2 6 4" xfId="12509"/>
    <cellStyle name="20% - Accent6 2 2 2 6 4 2" xfId="12510"/>
    <cellStyle name="20% - Accent6 2 2 2 6 4 2 2" xfId="12511"/>
    <cellStyle name="20% - Accent6 2 2 2 6 4 2 2 2" xfId="12512"/>
    <cellStyle name="20% - Accent6 2 2 2 6 4 2 3" xfId="12513"/>
    <cellStyle name="20% - Accent6 2 2 2 6 4 3" xfId="12514"/>
    <cellStyle name="20% - Accent6 2 2 2 6 4 3 2" xfId="12515"/>
    <cellStyle name="20% - Accent6 2 2 2 6 4 4" xfId="12516"/>
    <cellStyle name="20% - Accent6 2 2 2 6 5" xfId="12517"/>
    <cellStyle name="20% - Accent6 2 2 2 6 5 2" xfId="12518"/>
    <cellStyle name="20% - Accent6 2 2 2 6 5 2 2" xfId="12519"/>
    <cellStyle name="20% - Accent6 2 2 2 6 5 3" xfId="12520"/>
    <cellStyle name="20% - Accent6 2 2 2 6 6" xfId="12521"/>
    <cellStyle name="20% - Accent6 2 2 2 6 6 2" xfId="12522"/>
    <cellStyle name="20% - Accent6 2 2 2 6 7" xfId="12523"/>
    <cellStyle name="20% - Accent6 2 2 2 6 7 2" xfId="12524"/>
    <cellStyle name="20% - Accent6 2 2 2 6 8" xfId="12525"/>
    <cellStyle name="20% - Accent6 2 2 2 7" xfId="12526"/>
    <cellStyle name="20% - Accent6 2 2 2 7 2" xfId="12527"/>
    <cellStyle name="20% - Accent6 2 2 2 7 2 2" xfId="12528"/>
    <cellStyle name="20% - Accent6 2 2 2 7 2 2 2" xfId="12529"/>
    <cellStyle name="20% - Accent6 2 2 2 7 2 2 2 2" xfId="12530"/>
    <cellStyle name="20% - Accent6 2 2 2 7 2 2 3" xfId="12531"/>
    <cellStyle name="20% - Accent6 2 2 2 7 2 3" xfId="12532"/>
    <cellStyle name="20% - Accent6 2 2 2 7 2 3 2" xfId="12533"/>
    <cellStyle name="20% - Accent6 2 2 2 7 2 4" xfId="12534"/>
    <cellStyle name="20% - Accent6 2 2 2 7 3" xfId="12535"/>
    <cellStyle name="20% - Accent6 2 2 2 7 3 2" xfId="12536"/>
    <cellStyle name="20% - Accent6 2 2 2 7 3 2 2" xfId="12537"/>
    <cellStyle name="20% - Accent6 2 2 2 7 3 3" xfId="12538"/>
    <cellStyle name="20% - Accent6 2 2 2 7 4" xfId="12539"/>
    <cellStyle name="20% - Accent6 2 2 2 7 4 2" xfId="12540"/>
    <cellStyle name="20% - Accent6 2 2 2 7 5" xfId="12541"/>
    <cellStyle name="20% - Accent6 2 2 2 7 5 2" xfId="12542"/>
    <cellStyle name="20% - Accent6 2 2 2 7 6" xfId="12543"/>
    <cellStyle name="20% - Accent6 2 2 2 8" xfId="12544"/>
    <cellStyle name="20% - Accent6 2 2 2 8 2" xfId="12545"/>
    <cellStyle name="20% - Accent6 2 2 2 8 2 2" xfId="12546"/>
    <cellStyle name="20% - Accent6 2 2 2 8 2 2 2" xfId="12547"/>
    <cellStyle name="20% - Accent6 2 2 2 8 2 2 2 2" xfId="12548"/>
    <cellStyle name="20% - Accent6 2 2 2 8 2 2 3" xfId="12549"/>
    <cellStyle name="20% - Accent6 2 2 2 8 2 3" xfId="12550"/>
    <cellStyle name="20% - Accent6 2 2 2 8 2 3 2" xfId="12551"/>
    <cellStyle name="20% - Accent6 2 2 2 8 2 4" xfId="12552"/>
    <cellStyle name="20% - Accent6 2 2 2 8 3" xfId="12553"/>
    <cellStyle name="20% - Accent6 2 2 2 8 3 2" xfId="12554"/>
    <cellStyle name="20% - Accent6 2 2 2 8 3 2 2" xfId="12555"/>
    <cellStyle name="20% - Accent6 2 2 2 8 3 3" xfId="12556"/>
    <cellStyle name="20% - Accent6 2 2 2 8 4" xfId="12557"/>
    <cellStyle name="20% - Accent6 2 2 2 8 4 2" xfId="12558"/>
    <cellStyle name="20% - Accent6 2 2 2 8 5" xfId="12559"/>
    <cellStyle name="20% - Accent6 2 2 2 8 5 2" xfId="12560"/>
    <cellStyle name="20% - Accent6 2 2 2 8 6" xfId="12561"/>
    <cellStyle name="20% - Accent6 2 2 2 9" xfId="12562"/>
    <cellStyle name="20% - Accent6 2 2 2 9 2" xfId="12563"/>
    <cellStyle name="20% - Accent6 2 2 2 9 2 2" xfId="12564"/>
    <cellStyle name="20% - Accent6 2 2 2 9 2 2 2" xfId="12565"/>
    <cellStyle name="20% - Accent6 2 2 2 9 2 2 2 2" xfId="12566"/>
    <cellStyle name="20% - Accent6 2 2 2 9 2 2 3" xfId="12567"/>
    <cellStyle name="20% - Accent6 2 2 2 9 2 3" xfId="12568"/>
    <cellStyle name="20% - Accent6 2 2 2 9 2 3 2" xfId="12569"/>
    <cellStyle name="20% - Accent6 2 2 2 9 2 4" xfId="12570"/>
    <cellStyle name="20% - Accent6 2 2 2 9 3" xfId="12571"/>
    <cellStyle name="20% - Accent6 2 2 2 9 3 2" xfId="12572"/>
    <cellStyle name="20% - Accent6 2 2 2 9 3 2 2" xfId="12573"/>
    <cellStyle name="20% - Accent6 2 2 2 9 3 3" xfId="12574"/>
    <cellStyle name="20% - Accent6 2 2 2 9 4" xfId="12575"/>
    <cellStyle name="20% - Accent6 2 2 2 9 4 2" xfId="12576"/>
    <cellStyle name="20% - Accent6 2 2 2 9 5" xfId="12577"/>
    <cellStyle name="20% - Accent6 2 2 2 9 5 2" xfId="12578"/>
    <cellStyle name="20% - Accent6 2 2 2 9 6" xfId="12579"/>
    <cellStyle name="20% - Accent6 2 2 3" xfId="12580"/>
    <cellStyle name="20% - Accent6 2 2 3 10" xfId="12581"/>
    <cellStyle name="20% - Accent6 2 2 3 10 2" xfId="12582"/>
    <cellStyle name="20% - Accent6 2 2 3 11" xfId="12583"/>
    <cellStyle name="20% - Accent6 2 2 3 2" xfId="12584"/>
    <cellStyle name="20% - Accent6 2 2 3 2 2" xfId="12585"/>
    <cellStyle name="20% - Accent6 2 2 3 2 2 2" xfId="12586"/>
    <cellStyle name="20% - Accent6 2 2 3 2 2 2 2" xfId="12587"/>
    <cellStyle name="20% - Accent6 2 2 3 2 2 2 2 2" xfId="12588"/>
    <cellStyle name="20% - Accent6 2 2 3 2 2 2 2 2 2" xfId="12589"/>
    <cellStyle name="20% - Accent6 2 2 3 2 2 2 2 3" xfId="12590"/>
    <cellStyle name="20% - Accent6 2 2 3 2 2 2 3" xfId="12591"/>
    <cellStyle name="20% - Accent6 2 2 3 2 2 2 3 2" xfId="12592"/>
    <cellStyle name="20% - Accent6 2 2 3 2 2 2 4" xfId="12593"/>
    <cellStyle name="20% - Accent6 2 2 3 2 2 3" xfId="12594"/>
    <cellStyle name="20% - Accent6 2 2 3 2 2 3 2" xfId="12595"/>
    <cellStyle name="20% - Accent6 2 2 3 2 2 3 2 2" xfId="12596"/>
    <cellStyle name="20% - Accent6 2 2 3 2 2 3 3" xfId="12597"/>
    <cellStyle name="20% - Accent6 2 2 3 2 2 4" xfId="12598"/>
    <cellStyle name="20% - Accent6 2 2 3 2 2 4 2" xfId="12599"/>
    <cellStyle name="20% - Accent6 2 2 3 2 2 5" xfId="12600"/>
    <cellStyle name="20% - Accent6 2 2 3 2 2 5 2" xfId="12601"/>
    <cellStyle name="20% - Accent6 2 2 3 2 2 6" xfId="12602"/>
    <cellStyle name="20% - Accent6 2 2 3 2 3" xfId="12603"/>
    <cellStyle name="20% - Accent6 2 2 3 2 3 2" xfId="12604"/>
    <cellStyle name="20% - Accent6 2 2 3 2 3 2 2" xfId="12605"/>
    <cellStyle name="20% - Accent6 2 2 3 2 3 2 2 2" xfId="12606"/>
    <cellStyle name="20% - Accent6 2 2 3 2 3 2 2 2 2" xfId="12607"/>
    <cellStyle name="20% - Accent6 2 2 3 2 3 2 2 3" xfId="12608"/>
    <cellStyle name="20% - Accent6 2 2 3 2 3 2 3" xfId="12609"/>
    <cellStyle name="20% - Accent6 2 2 3 2 3 2 3 2" xfId="12610"/>
    <cellStyle name="20% - Accent6 2 2 3 2 3 2 4" xfId="12611"/>
    <cellStyle name="20% - Accent6 2 2 3 2 3 3" xfId="12612"/>
    <cellStyle name="20% - Accent6 2 2 3 2 3 3 2" xfId="12613"/>
    <cellStyle name="20% - Accent6 2 2 3 2 3 3 2 2" xfId="12614"/>
    <cellStyle name="20% - Accent6 2 2 3 2 3 3 3" xfId="12615"/>
    <cellStyle name="20% - Accent6 2 2 3 2 3 4" xfId="12616"/>
    <cellStyle name="20% - Accent6 2 2 3 2 3 4 2" xfId="12617"/>
    <cellStyle name="20% - Accent6 2 2 3 2 3 5" xfId="12618"/>
    <cellStyle name="20% - Accent6 2 2 3 2 3 5 2" xfId="12619"/>
    <cellStyle name="20% - Accent6 2 2 3 2 3 6" xfId="12620"/>
    <cellStyle name="20% - Accent6 2 2 3 2 4" xfId="12621"/>
    <cellStyle name="20% - Accent6 2 2 3 2 4 2" xfId="12622"/>
    <cellStyle name="20% - Accent6 2 2 3 2 4 2 2" xfId="12623"/>
    <cellStyle name="20% - Accent6 2 2 3 2 4 2 2 2" xfId="12624"/>
    <cellStyle name="20% - Accent6 2 2 3 2 4 2 3" xfId="12625"/>
    <cellStyle name="20% - Accent6 2 2 3 2 4 3" xfId="12626"/>
    <cellStyle name="20% - Accent6 2 2 3 2 4 3 2" xfId="12627"/>
    <cellStyle name="20% - Accent6 2 2 3 2 4 4" xfId="12628"/>
    <cellStyle name="20% - Accent6 2 2 3 2 5" xfId="12629"/>
    <cellStyle name="20% - Accent6 2 2 3 2 5 2" xfId="12630"/>
    <cellStyle name="20% - Accent6 2 2 3 2 5 2 2" xfId="12631"/>
    <cellStyle name="20% - Accent6 2 2 3 2 5 3" xfId="12632"/>
    <cellStyle name="20% - Accent6 2 2 3 2 6" xfId="12633"/>
    <cellStyle name="20% - Accent6 2 2 3 2 6 2" xfId="12634"/>
    <cellStyle name="20% - Accent6 2 2 3 2 7" xfId="12635"/>
    <cellStyle name="20% - Accent6 2 2 3 2 7 2" xfId="12636"/>
    <cellStyle name="20% - Accent6 2 2 3 2 8" xfId="12637"/>
    <cellStyle name="20% - Accent6 2 2 3 3" xfId="12638"/>
    <cellStyle name="20% - Accent6 2 2 3 3 2" xfId="12639"/>
    <cellStyle name="20% - Accent6 2 2 3 3 2 2" xfId="12640"/>
    <cellStyle name="20% - Accent6 2 2 3 3 2 2 2" xfId="12641"/>
    <cellStyle name="20% - Accent6 2 2 3 3 2 2 2 2" xfId="12642"/>
    <cellStyle name="20% - Accent6 2 2 3 3 2 2 2 2 2" xfId="12643"/>
    <cellStyle name="20% - Accent6 2 2 3 3 2 2 2 3" xfId="12644"/>
    <cellStyle name="20% - Accent6 2 2 3 3 2 2 3" xfId="12645"/>
    <cellStyle name="20% - Accent6 2 2 3 3 2 2 3 2" xfId="12646"/>
    <cellStyle name="20% - Accent6 2 2 3 3 2 2 4" xfId="12647"/>
    <cellStyle name="20% - Accent6 2 2 3 3 2 3" xfId="12648"/>
    <cellStyle name="20% - Accent6 2 2 3 3 2 3 2" xfId="12649"/>
    <cellStyle name="20% - Accent6 2 2 3 3 2 3 2 2" xfId="12650"/>
    <cellStyle name="20% - Accent6 2 2 3 3 2 3 3" xfId="12651"/>
    <cellStyle name="20% - Accent6 2 2 3 3 2 4" xfId="12652"/>
    <cellStyle name="20% - Accent6 2 2 3 3 2 4 2" xfId="12653"/>
    <cellStyle name="20% - Accent6 2 2 3 3 2 5" xfId="12654"/>
    <cellStyle name="20% - Accent6 2 2 3 3 2 5 2" xfId="12655"/>
    <cellStyle name="20% - Accent6 2 2 3 3 2 6" xfId="12656"/>
    <cellStyle name="20% - Accent6 2 2 3 3 3" xfId="12657"/>
    <cellStyle name="20% - Accent6 2 2 3 3 3 2" xfId="12658"/>
    <cellStyle name="20% - Accent6 2 2 3 3 3 2 2" xfId="12659"/>
    <cellStyle name="20% - Accent6 2 2 3 3 3 2 2 2" xfId="12660"/>
    <cellStyle name="20% - Accent6 2 2 3 3 3 2 2 2 2" xfId="12661"/>
    <cellStyle name="20% - Accent6 2 2 3 3 3 2 2 3" xfId="12662"/>
    <cellStyle name="20% - Accent6 2 2 3 3 3 2 3" xfId="12663"/>
    <cellStyle name="20% - Accent6 2 2 3 3 3 2 3 2" xfId="12664"/>
    <cellStyle name="20% - Accent6 2 2 3 3 3 2 4" xfId="12665"/>
    <cellStyle name="20% - Accent6 2 2 3 3 3 3" xfId="12666"/>
    <cellStyle name="20% - Accent6 2 2 3 3 3 3 2" xfId="12667"/>
    <cellStyle name="20% - Accent6 2 2 3 3 3 3 2 2" xfId="12668"/>
    <cellStyle name="20% - Accent6 2 2 3 3 3 3 3" xfId="12669"/>
    <cellStyle name="20% - Accent6 2 2 3 3 3 4" xfId="12670"/>
    <cellStyle name="20% - Accent6 2 2 3 3 3 4 2" xfId="12671"/>
    <cellStyle name="20% - Accent6 2 2 3 3 3 5" xfId="12672"/>
    <cellStyle name="20% - Accent6 2 2 3 3 3 5 2" xfId="12673"/>
    <cellStyle name="20% - Accent6 2 2 3 3 3 6" xfId="12674"/>
    <cellStyle name="20% - Accent6 2 2 3 3 4" xfId="12675"/>
    <cellStyle name="20% - Accent6 2 2 3 3 4 2" xfId="12676"/>
    <cellStyle name="20% - Accent6 2 2 3 3 4 2 2" xfId="12677"/>
    <cellStyle name="20% - Accent6 2 2 3 3 4 2 2 2" xfId="12678"/>
    <cellStyle name="20% - Accent6 2 2 3 3 4 2 3" xfId="12679"/>
    <cellStyle name="20% - Accent6 2 2 3 3 4 3" xfId="12680"/>
    <cellStyle name="20% - Accent6 2 2 3 3 4 3 2" xfId="12681"/>
    <cellStyle name="20% - Accent6 2 2 3 3 4 4" xfId="12682"/>
    <cellStyle name="20% - Accent6 2 2 3 3 5" xfId="12683"/>
    <cellStyle name="20% - Accent6 2 2 3 3 5 2" xfId="12684"/>
    <cellStyle name="20% - Accent6 2 2 3 3 5 2 2" xfId="12685"/>
    <cellStyle name="20% - Accent6 2 2 3 3 5 3" xfId="12686"/>
    <cellStyle name="20% - Accent6 2 2 3 3 6" xfId="12687"/>
    <cellStyle name="20% - Accent6 2 2 3 3 6 2" xfId="12688"/>
    <cellStyle name="20% - Accent6 2 2 3 3 7" xfId="12689"/>
    <cellStyle name="20% - Accent6 2 2 3 3 7 2" xfId="12690"/>
    <cellStyle name="20% - Accent6 2 2 3 3 8" xfId="12691"/>
    <cellStyle name="20% - Accent6 2 2 3 4" xfId="12692"/>
    <cellStyle name="20% - Accent6 2 2 3 4 2" xfId="12693"/>
    <cellStyle name="20% - Accent6 2 2 3 4 2 2" xfId="12694"/>
    <cellStyle name="20% - Accent6 2 2 3 4 2 2 2" xfId="12695"/>
    <cellStyle name="20% - Accent6 2 2 3 4 2 2 2 2" xfId="12696"/>
    <cellStyle name="20% - Accent6 2 2 3 4 2 2 3" xfId="12697"/>
    <cellStyle name="20% - Accent6 2 2 3 4 2 3" xfId="12698"/>
    <cellStyle name="20% - Accent6 2 2 3 4 2 3 2" xfId="12699"/>
    <cellStyle name="20% - Accent6 2 2 3 4 2 4" xfId="12700"/>
    <cellStyle name="20% - Accent6 2 2 3 4 3" xfId="12701"/>
    <cellStyle name="20% - Accent6 2 2 3 4 3 2" xfId="12702"/>
    <cellStyle name="20% - Accent6 2 2 3 4 3 2 2" xfId="12703"/>
    <cellStyle name="20% - Accent6 2 2 3 4 3 3" xfId="12704"/>
    <cellStyle name="20% - Accent6 2 2 3 4 4" xfId="12705"/>
    <cellStyle name="20% - Accent6 2 2 3 4 4 2" xfId="12706"/>
    <cellStyle name="20% - Accent6 2 2 3 4 5" xfId="12707"/>
    <cellStyle name="20% - Accent6 2 2 3 4 5 2" xfId="12708"/>
    <cellStyle name="20% - Accent6 2 2 3 4 6" xfId="12709"/>
    <cellStyle name="20% - Accent6 2 2 3 5" xfId="12710"/>
    <cellStyle name="20% - Accent6 2 2 3 5 2" xfId="12711"/>
    <cellStyle name="20% - Accent6 2 2 3 5 2 2" xfId="12712"/>
    <cellStyle name="20% - Accent6 2 2 3 5 2 2 2" xfId="12713"/>
    <cellStyle name="20% - Accent6 2 2 3 5 2 2 2 2" xfId="12714"/>
    <cellStyle name="20% - Accent6 2 2 3 5 2 2 3" xfId="12715"/>
    <cellStyle name="20% - Accent6 2 2 3 5 2 3" xfId="12716"/>
    <cellStyle name="20% - Accent6 2 2 3 5 2 3 2" xfId="12717"/>
    <cellStyle name="20% - Accent6 2 2 3 5 2 4" xfId="12718"/>
    <cellStyle name="20% - Accent6 2 2 3 5 3" xfId="12719"/>
    <cellStyle name="20% - Accent6 2 2 3 5 3 2" xfId="12720"/>
    <cellStyle name="20% - Accent6 2 2 3 5 3 2 2" xfId="12721"/>
    <cellStyle name="20% - Accent6 2 2 3 5 3 3" xfId="12722"/>
    <cellStyle name="20% - Accent6 2 2 3 5 4" xfId="12723"/>
    <cellStyle name="20% - Accent6 2 2 3 5 4 2" xfId="12724"/>
    <cellStyle name="20% - Accent6 2 2 3 5 5" xfId="12725"/>
    <cellStyle name="20% - Accent6 2 2 3 5 5 2" xfId="12726"/>
    <cellStyle name="20% - Accent6 2 2 3 5 6" xfId="12727"/>
    <cellStyle name="20% - Accent6 2 2 3 6" xfId="12728"/>
    <cellStyle name="20% - Accent6 2 2 3 6 2" xfId="12729"/>
    <cellStyle name="20% - Accent6 2 2 3 6 2 2" xfId="12730"/>
    <cellStyle name="20% - Accent6 2 2 3 6 2 2 2" xfId="12731"/>
    <cellStyle name="20% - Accent6 2 2 3 6 2 2 2 2" xfId="12732"/>
    <cellStyle name="20% - Accent6 2 2 3 6 2 2 3" xfId="12733"/>
    <cellStyle name="20% - Accent6 2 2 3 6 2 3" xfId="12734"/>
    <cellStyle name="20% - Accent6 2 2 3 6 2 3 2" xfId="12735"/>
    <cellStyle name="20% - Accent6 2 2 3 6 2 4" xfId="12736"/>
    <cellStyle name="20% - Accent6 2 2 3 6 3" xfId="12737"/>
    <cellStyle name="20% - Accent6 2 2 3 6 3 2" xfId="12738"/>
    <cellStyle name="20% - Accent6 2 2 3 6 3 2 2" xfId="12739"/>
    <cellStyle name="20% - Accent6 2 2 3 6 3 3" xfId="12740"/>
    <cellStyle name="20% - Accent6 2 2 3 6 4" xfId="12741"/>
    <cellStyle name="20% - Accent6 2 2 3 6 4 2" xfId="12742"/>
    <cellStyle name="20% - Accent6 2 2 3 6 5" xfId="12743"/>
    <cellStyle name="20% - Accent6 2 2 3 6 5 2" xfId="12744"/>
    <cellStyle name="20% - Accent6 2 2 3 6 6" xfId="12745"/>
    <cellStyle name="20% - Accent6 2 2 3 7" xfId="12746"/>
    <cellStyle name="20% - Accent6 2 2 3 7 2" xfId="12747"/>
    <cellStyle name="20% - Accent6 2 2 3 7 2 2" xfId="12748"/>
    <cellStyle name="20% - Accent6 2 2 3 7 2 2 2" xfId="12749"/>
    <cellStyle name="20% - Accent6 2 2 3 7 2 3" xfId="12750"/>
    <cellStyle name="20% - Accent6 2 2 3 7 3" xfId="12751"/>
    <cellStyle name="20% - Accent6 2 2 3 7 3 2" xfId="12752"/>
    <cellStyle name="20% - Accent6 2 2 3 7 4" xfId="12753"/>
    <cellStyle name="20% - Accent6 2 2 3 8" xfId="12754"/>
    <cellStyle name="20% - Accent6 2 2 3 8 2" xfId="12755"/>
    <cellStyle name="20% - Accent6 2 2 3 8 2 2" xfId="12756"/>
    <cellStyle name="20% - Accent6 2 2 3 8 3" xfId="12757"/>
    <cellStyle name="20% - Accent6 2 2 3 9" xfId="12758"/>
    <cellStyle name="20% - Accent6 2 2 3 9 2" xfId="12759"/>
    <cellStyle name="20% - Accent6 2 2 4" xfId="12760"/>
    <cellStyle name="20% - Accent6 2 2 4 10" xfId="12761"/>
    <cellStyle name="20% - Accent6 2 2 4 10 2" xfId="12762"/>
    <cellStyle name="20% - Accent6 2 2 4 11" xfId="12763"/>
    <cellStyle name="20% - Accent6 2 2 4 2" xfId="12764"/>
    <cellStyle name="20% - Accent6 2 2 4 2 2" xfId="12765"/>
    <cellStyle name="20% - Accent6 2 2 4 2 2 2" xfId="12766"/>
    <cellStyle name="20% - Accent6 2 2 4 2 2 2 2" xfId="12767"/>
    <cellStyle name="20% - Accent6 2 2 4 2 2 2 2 2" xfId="12768"/>
    <cellStyle name="20% - Accent6 2 2 4 2 2 2 2 2 2" xfId="12769"/>
    <cellStyle name="20% - Accent6 2 2 4 2 2 2 2 3" xfId="12770"/>
    <cellStyle name="20% - Accent6 2 2 4 2 2 2 3" xfId="12771"/>
    <cellStyle name="20% - Accent6 2 2 4 2 2 2 3 2" xfId="12772"/>
    <cellStyle name="20% - Accent6 2 2 4 2 2 2 4" xfId="12773"/>
    <cellStyle name="20% - Accent6 2 2 4 2 2 3" xfId="12774"/>
    <cellStyle name="20% - Accent6 2 2 4 2 2 3 2" xfId="12775"/>
    <cellStyle name="20% - Accent6 2 2 4 2 2 3 2 2" xfId="12776"/>
    <cellStyle name="20% - Accent6 2 2 4 2 2 3 3" xfId="12777"/>
    <cellStyle name="20% - Accent6 2 2 4 2 2 4" xfId="12778"/>
    <cellStyle name="20% - Accent6 2 2 4 2 2 4 2" xfId="12779"/>
    <cellStyle name="20% - Accent6 2 2 4 2 2 5" xfId="12780"/>
    <cellStyle name="20% - Accent6 2 2 4 2 2 5 2" xfId="12781"/>
    <cellStyle name="20% - Accent6 2 2 4 2 2 6" xfId="12782"/>
    <cellStyle name="20% - Accent6 2 2 4 2 3" xfId="12783"/>
    <cellStyle name="20% - Accent6 2 2 4 2 3 2" xfId="12784"/>
    <cellStyle name="20% - Accent6 2 2 4 2 3 2 2" xfId="12785"/>
    <cellStyle name="20% - Accent6 2 2 4 2 3 2 2 2" xfId="12786"/>
    <cellStyle name="20% - Accent6 2 2 4 2 3 2 2 2 2" xfId="12787"/>
    <cellStyle name="20% - Accent6 2 2 4 2 3 2 2 3" xfId="12788"/>
    <cellStyle name="20% - Accent6 2 2 4 2 3 2 3" xfId="12789"/>
    <cellStyle name="20% - Accent6 2 2 4 2 3 2 3 2" xfId="12790"/>
    <cellStyle name="20% - Accent6 2 2 4 2 3 2 4" xfId="12791"/>
    <cellStyle name="20% - Accent6 2 2 4 2 3 3" xfId="12792"/>
    <cellStyle name="20% - Accent6 2 2 4 2 3 3 2" xfId="12793"/>
    <cellStyle name="20% - Accent6 2 2 4 2 3 3 2 2" xfId="12794"/>
    <cellStyle name="20% - Accent6 2 2 4 2 3 3 3" xfId="12795"/>
    <cellStyle name="20% - Accent6 2 2 4 2 3 4" xfId="12796"/>
    <cellStyle name="20% - Accent6 2 2 4 2 3 4 2" xfId="12797"/>
    <cellStyle name="20% - Accent6 2 2 4 2 3 5" xfId="12798"/>
    <cellStyle name="20% - Accent6 2 2 4 2 3 5 2" xfId="12799"/>
    <cellStyle name="20% - Accent6 2 2 4 2 3 6" xfId="12800"/>
    <cellStyle name="20% - Accent6 2 2 4 2 4" xfId="12801"/>
    <cellStyle name="20% - Accent6 2 2 4 2 4 2" xfId="12802"/>
    <cellStyle name="20% - Accent6 2 2 4 2 4 2 2" xfId="12803"/>
    <cellStyle name="20% - Accent6 2 2 4 2 4 2 2 2" xfId="12804"/>
    <cellStyle name="20% - Accent6 2 2 4 2 4 2 3" xfId="12805"/>
    <cellStyle name="20% - Accent6 2 2 4 2 4 3" xfId="12806"/>
    <cellStyle name="20% - Accent6 2 2 4 2 4 3 2" xfId="12807"/>
    <cellStyle name="20% - Accent6 2 2 4 2 4 4" xfId="12808"/>
    <cellStyle name="20% - Accent6 2 2 4 2 5" xfId="12809"/>
    <cellStyle name="20% - Accent6 2 2 4 2 5 2" xfId="12810"/>
    <cellStyle name="20% - Accent6 2 2 4 2 5 2 2" xfId="12811"/>
    <cellStyle name="20% - Accent6 2 2 4 2 5 3" xfId="12812"/>
    <cellStyle name="20% - Accent6 2 2 4 2 6" xfId="12813"/>
    <cellStyle name="20% - Accent6 2 2 4 2 6 2" xfId="12814"/>
    <cellStyle name="20% - Accent6 2 2 4 2 7" xfId="12815"/>
    <cellStyle name="20% - Accent6 2 2 4 2 7 2" xfId="12816"/>
    <cellStyle name="20% - Accent6 2 2 4 2 8" xfId="12817"/>
    <cellStyle name="20% - Accent6 2 2 4 3" xfId="12818"/>
    <cellStyle name="20% - Accent6 2 2 4 3 2" xfId="12819"/>
    <cellStyle name="20% - Accent6 2 2 4 3 2 2" xfId="12820"/>
    <cellStyle name="20% - Accent6 2 2 4 3 2 2 2" xfId="12821"/>
    <cellStyle name="20% - Accent6 2 2 4 3 2 2 2 2" xfId="12822"/>
    <cellStyle name="20% - Accent6 2 2 4 3 2 2 2 2 2" xfId="12823"/>
    <cellStyle name="20% - Accent6 2 2 4 3 2 2 2 3" xfId="12824"/>
    <cellStyle name="20% - Accent6 2 2 4 3 2 2 3" xfId="12825"/>
    <cellStyle name="20% - Accent6 2 2 4 3 2 2 3 2" xfId="12826"/>
    <cellStyle name="20% - Accent6 2 2 4 3 2 2 4" xfId="12827"/>
    <cellStyle name="20% - Accent6 2 2 4 3 2 3" xfId="12828"/>
    <cellStyle name="20% - Accent6 2 2 4 3 2 3 2" xfId="12829"/>
    <cellStyle name="20% - Accent6 2 2 4 3 2 3 2 2" xfId="12830"/>
    <cellStyle name="20% - Accent6 2 2 4 3 2 3 3" xfId="12831"/>
    <cellStyle name="20% - Accent6 2 2 4 3 2 4" xfId="12832"/>
    <cellStyle name="20% - Accent6 2 2 4 3 2 4 2" xfId="12833"/>
    <cellStyle name="20% - Accent6 2 2 4 3 2 5" xfId="12834"/>
    <cellStyle name="20% - Accent6 2 2 4 3 2 5 2" xfId="12835"/>
    <cellStyle name="20% - Accent6 2 2 4 3 2 6" xfId="12836"/>
    <cellStyle name="20% - Accent6 2 2 4 3 3" xfId="12837"/>
    <cellStyle name="20% - Accent6 2 2 4 3 3 2" xfId="12838"/>
    <cellStyle name="20% - Accent6 2 2 4 3 3 2 2" xfId="12839"/>
    <cellStyle name="20% - Accent6 2 2 4 3 3 2 2 2" xfId="12840"/>
    <cellStyle name="20% - Accent6 2 2 4 3 3 2 2 2 2" xfId="12841"/>
    <cellStyle name="20% - Accent6 2 2 4 3 3 2 2 3" xfId="12842"/>
    <cellStyle name="20% - Accent6 2 2 4 3 3 2 3" xfId="12843"/>
    <cellStyle name="20% - Accent6 2 2 4 3 3 2 3 2" xfId="12844"/>
    <cellStyle name="20% - Accent6 2 2 4 3 3 2 4" xfId="12845"/>
    <cellStyle name="20% - Accent6 2 2 4 3 3 3" xfId="12846"/>
    <cellStyle name="20% - Accent6 2 2 4 3 3 3 2" xfId="12847"/>
    <cellStyle name="20% - Accent6 2 2 4 3 3 3 2 2" xfId="12848"/>
    <cellStyle name="20% - Accent6 2 2 4 3 3 3 3" xfId="12849"/>
    <cellStyle name="20% - Accent6 2 2 4 3 3 4" xfId="12850"/>
    <cellStyle name="20% - Accent6 2 2 4 3 3 4 2" xfId="12851"/>
    <cellStyle name="20% - Accent6 2 2 4 3 3 5" xfId="12852"/>
    <cellStyle name="20% - Accent6 2 2 4 3 3 5 2" xfId="12853"/>
    <cellStyle name="20% - Accent6 2 2 4 3 3 6" xfId="12854"/>
    <cellStyle name="20% - Accent6 2 2 4 3 4" xfId="12855"/>
    <cellStyle name="20% - Accent6 2 2 4 3 4 2" xfId="12856"/>
    <cellStyle name="20% - Accent6 2 2 4 3 4 2 2" xfId="12857"/>
    <cellStyle name="20% - Accent6 2 2 4 3 4 2 2 2" xfId="12858"/>
    <cellStyle name="20% - Accent6 2 2 4 3 4 2 3" xfId="12859"/>
    <cellStyle name="20% - Accent6 2 2 4 3 4 3" xfId="12860"/>
    <cellStyle name="20% - Accent6 2 2 4 3 4 3 2" xfId="12861"/>
    <cellStyle name="20% - Accent6 2 2 4 3 4 4" xfId="12862"/>
    <cellStyle name="20% - Accent6 2 2 4 3 5" xfId="12863"/>
    <cellStyle name="20% - Accent6 2 2 4 3 5 2" xfId="12864"/>
    <cellStyle name="20% - Accent6 2 2 4 3 5 2 2" xfId="12865"/>
    <cellStyle name="20% - Accent6 2 2 4 3 5 3" xfId="12866"/>
    <cellStyle name="20% - Accent6 2 2 4 3 6" xfId="12867"/>
    <cellStyle name="20% - Accent6 2 2 4 3 6 2" xfId="12868"/>
    <cellStyle name="20% - Accent6 2 2 4 3 7" xfId="12869"/>
    <cellStyle name="20% - Accent6 2 2 4 3 7 2" xfId="12870"/>
    <cellStyle name="20% - Accent6 2 2 4 3 8" xfId="12871"/>
    <cellStyle name="20% - Accent6 2 2 4 4" xfId="12872"/>
    <cellStyle name="20% - Accent6 2 2 4 4 2" xfId="12873"/>
    <cellStyle name="20% - Accent6 2 2 4 4 2 2" xfId="12874"/>
    <cellStyle name="20% - Accent6 2 2 4 4 2 2 2" xfId="12875"/>
    <cellStyle name="20% - Accent6 2 2 4 4 2 2 2 2" xfId="12876"/>
    <cellStyle name="20% - Accent6 2 2 4 4 2 2 3" xfId="12877"/>
    <cellStyle name="20% - Accent6 2 2 4 4 2 3" xfId="12878"/>
    <cellStyle name="20% - Accent6 2 2 4 4 2 3 2" xfId="12879"/>
    <cellStyle name="20% - Accent6 2 2 4 4 2 4" xfId="12880"/>
    <cellStyle name="20% - Accent6 2 2 4 4 3" xfId="12881"/>
    <cellStyle name="20% - Accent6 2 2 4 4 3 2" xfId="12882"/>
    <cellStyle name="20% - Accent6 2 2 4 4 3 2 2" xfId="12883"/>
    <cellStyle name="20% - Accent6 2 2 4 4 3 3" xfId="12884"/>
    <cellStyle name="20% - Accent6 2 2 4 4 4" xfId="12885"/>
    <cellStyle name="20% - Accent6 2 2 4 4 4 2" xfId="12886"/>
    <cellStyle name="20% - Accent6 2 2 4 4 5" xfId="12887"/>
    <cellStyle name="20% - Accent6 2 2 4 4 5 2" xfId="12888"/>
    <cellStyle name="20% - Accent6 2 2 4 4 6" xfId="12889"/>
    <cellStyle name="20% - Accent6 2 2 4 5" xfId="12890"/>
    <cellStyle name="20% - Accent6 2 2 4 5 2" xfId="12891"/>
    <cellStyle name="20% - Accent6 2 2 4 5 2 2" xfId="12892"/>
    <cellStyle name="20% - Accent6 2 2 4 5 2 2 2" xfId="12893"/>
    <cellStyle name="20% - Accent6 2 2 4 5 2 2 2 2" xfId="12894"/>
    <cellStyle name="20% - Accent6 2 2 4 5 2 2 3" xfId="12895"/>
    <cellStyle name="20% - Accent6 2 2 4 5 2 3" xfId="12896"/>
    <cellStyle name="20% - Accent6 2 2 4 5 2 3 2" xfId="12897"/>
    <cellStyle name="20% - Accent6 2 2 4 5 2 4" xfId="12898"/>
    <cellStyle name="20% - Accent6 2 2 4 5 3" xfId="12899"/>
    <cellStyle name="20% - Accent6 2 2 4 5 3 2" xfId="12900"/>
    <cellStyle name="20% - Accent6 2 2 4 5 3 2 2" xfId="12901"/>
    <cellStyle name="20% - Accent6 2 2 4 5 3 3" xfId="12902"/>
    <cellStyle name="20% - Accent6 2 2 4 5 4" xfId="12903"/>
    <cellStyle name="20% - Accent6 2 2 4 5 4 2" xfId="12904"/>
    <cellStyle name="20% - Accent6 2 2 4 5 5" xfId="12905"/>
    <cellStyle name="20% - Accent6 2 2 4 5 5 2" xfId="12906"/>
    <cellStyle name="20% - Accent6 2 2 4 5 6" xfId="12907"/>
    <cellStyle name="20% - Accent6 2 2 4 6" xfId="12908"/>
    <cellStyle name="20% - Accent6 2 2 4 6 2" xfId="12909"/>
    <cellStyle name="20% - Accent6 2 2 4 6 2 2" xfId="12910"/>
    <cellStyle name="20% - Accent6 2 2 4 6 2 2 2" xfId="12911"/>
    <cellStyle name="20% - Accent6 2 2 4 6 2 2 2 2" xfId="12912"/>
    <cellStyle name="20% - Accent6 2 2 4 6 2 2 3" xfId="12913"/>
    <cellStyle name="20% - Accent6 2 2 4 6 2 3" xfId="12914"/>
    <cellStyle name="20% - Accent6 2 2 4 6 2 3 2" xfId="12915"/>
    <cellStyle name="20% - Accent6 2 2 4 6 2 4" xfId="12916"/>
    <cellStyle name="20% - Accent6 2 2 4 6 3" xfId="12917"/>
    <cellStyle name="20% - Accent6 2 2 4 6 3 2" xfId="12918"/>
    <cellStyle name="20% - Accent6 2 2 4 6 3 2 2" xfId="12919"/>
    <cellStyle name="20% - Accent6 2 2 4 6 3 3" xfId="12920"/>
    <cellStyle name="20% - Accent6 2 2 4 6 4" xfId="12921"/>
    <cellStyle name="20% - Accent6 2 2 4 6 4 2" xfId="12922"/>
    <cellStyle name="20% - Accent6 2 2 4 6 5" xfId="12923"/>
    <cellStyle name="20% - Accent6 2 2 4 6 5 2" xfId="12924"/>
    <cellStyle name="20% - Accent6 2 2 4 6 6" xfId="12925"/>
    <cellStyle name="20% - Accent6 2 2 4 7" xfId="12926"/>
    <cellStyle name="20% - Accent6 2 2 4 7 2" xfId="12927"/>
    <cellStyle name="20% - Accent6 2 2 4 7 2 2" xfId="12928"/>
    <cellStyle name="20% - Accent6 2 2 4 7 2 2 2" xfId="12929"/>
    <cellStyle name="20% - Accent6 2 2 4 7 2 3" xfId="12930"/>
    <cellStyle name="20% - Accent6 2 2 4 7 3" xfId="12931"/>
    <cellStyle name="20% - Accent6 2 2 4 7 3 2" xfId="12932"/>
    <cellStyle name="20% - Accent6 2 2 4 7 4" xfId="12933"/>
    <cellStyle name="20% - Accent6 2 2 4 8" xfId="12934"/>
    <cellStyle name="20% - Accent6 2 2 4 8 2" xfId="12935"/>
    <cellStyle name="20% - Accent6 2 2 4 8 2 2" xfId="12936"/>
    <cellStyle name="20% - Accent6 2 2 4 8 3" xfId="12937"/>
    <cellStyle name="20% - Accent6 2 2 4 9" xfId="12938"/>
    <cellStyle name="20% - Accent6 2 2 4 9 2" xfId="12939"/>
    <cellStyle name="20% - Accent6 2 2 5" xfId="12940"/>
    <cellStyle name="20% - Accent6 2 2 5 10" xfId="12941"/>
    <cellStyle name="20% - Accent6 2 2 5 10 2" xfId="12942"/>
    <cellStyle name="20% - Accent6 2 2 5 11" xfId="12943"/>
    <cellStyle name="20% - Accent6 2 2 5 2" xfId="12944"/>
    <cellStyle name="20% - Accent6 2 2 5 2 2" xfId="12945"/>
    <cellStyle name="20% - Accent6 2 2 5 2 2 2" xfId="12946"/>
    <cellStyle name="20% - Accent6 2 2 5 2 2 2 2" xfId="12947"/>
    <cellStyle name="20% - Accent6 2 2 5 2 2 2 2 2" xfId="12948"/>
    <cellStyle name="20% - Accent6 2 2 5 2 2 2 2 2 2" xfId="12949"/>
    <cellStyle name="20% - Accent6 2 2 5 2 2 2 2 3" xfId="12950"/>
    <cellStyle name="20% - Accent6 2 2 5 2 2 2 3" xfId="12951"/>
    <cellStyle name="20% - Accent6 2 2 5 2 2 2 3 2" xfId="12952"/>
    <cellStyle name="20% - Accent6 2 2 5 2 2 2 4" xfId="12953"/>
    <cellStyle name="20% - Accent6 2 2 5 2 2 3" xfId="12954"/>
    <cellStyle name="20% - Accent6 2 2 5 2 2 3 2" xfId="12955"/>
    <cellStyle name="20% - Accent6 2 2 5 2 2 3 2 2" xfId="12956"/>
    <cellStyle name="20% - Accent6 2 2 5 2 2 3 3" xfId="12957"/>
    <cellStyle name="20% - Accent6 2 2 5 2 2 4" xfId="12958"/>
    <cellStyle name="20% - Accent6 2 2 5 2 2 4 2" xfId="12959"/>
    <cellStyle name="20% - Accent6 2 2 5 2 2 5" xfId="12960"/>
    <cellStyle name="20% - Accent6 2 2 5 2 2 5 2" xfId="12961"/>
    <cellStyle name="20% - Accent6 2 2 5 2 2 6" xfId="12962"/>
    <cellStyle name="20% - Accent6 2 2 5 2 3" xfId="12963"/>
    <cellStyle name="20% - Accent6 2 2 5 2 3 2" xfId="12964"/>
    <cellStyle name="20% - Accent6 2 2 5 2 3 2 2" xfId="12965"/>
    <cellStyle name="20% - Accent6 2 2 5 2 3 2 2 2" xfId="12966"/>
    <cellStyle name="20% - Accent6 2 2 5 2 3 2 2 2 2" xfId="12967"/>
    <cellStyle name="20% - Accent6 2 2 5 2 3 2 2 3" xfId="12968"/>
    <cellStyle name="20% - Accent6 2 2 5 2 3 2 3" xfId="12969"/>
    <cellStyle name="20% - Accent6 2 2 5 2 3 2 3 2" xfId="12970"/>
    <cellStyle name="20% - Accent6 2 2 5 2 3 2 4" xfId="12971"/>
    <cellStyle name="20% - Accent6 2 2 5 2 3 3" xfId="12972"/>
    <cellStyle name="20% - Accent6 2 2 5 2 3 3 2" xfId="12973"/>
    <cellStyle name="20% - Accent6 2 2 5 2 3 3 2 2" xfId="12974"/>
    <cellStyle name="20% - Accent6 2 2 5 2 3 3 3" xfId="12975"/>
    <cellStyle name="20% - Accent6 2 2 5 2 3 4" xfId="12976"/>
    <cellStyle name="20% - Accent6 2 2 5 2 3 4 2" xfId="12977"/>
    <cellStyle name="20% - Accent6 2 2 5 2 3 5" xfId="12978"/>
    <cellStyle name="20% - Accent6 2 2 5 2 3 5 2" xfId="12979"/>
    <cellStyle name="20% - Accent6 2 2 5 2 3 6" xfId="12980"/>
    <cellStyle name="20% - Accent6 2 2 5 2 4" xfId="12981"/>
    <cellStyle name="20% - Accent6 2 2 5 2 4 2" xfId="12982"/>
    <cellStyle name="20% - Accent6 2 2 5 2 4 2 2" xfId="12983"/>
    <cellStyle name="20% - Accent6 2 2 5 2 4 2 2 2" xfId="12984"/>
    <cellStyle name="20% - Accent6 2 2 5 2 4 2 3" xfId="12985"/>
    <cellStyle name="20% - Accent6 2 2 5 2 4 3" xfId="12986"/>
    <cellStyle name="20% - Accent6 2 2 5 2 4 3 2" xfId="12987"/>
    <cellStyle name="20% - Accent6 2 2 5 2 4 4" xfId="12988"/>
    <cellStyle name="20% - Accent6 2 2 5 2 5" xfId="12989"/>
    <cellStyle name="20% - Accent6 2 2 5 2 5 2" xfId="12990"/>
    <cellStyle name="20% - Accent6 2 2 5 2 5 2 2" xfId="12991"/>
    <cellStyle name="20% - Accent6 2 2 5 2 5 3" xfId="12992"/>
    <cellStyle name="20% - Accent6 2 2 5 2 6" xfId="12993"/>
    <cellStyle name="20% - Accent6 2 2 5 2 6 2" xfId="12994"/>
    <cellStyle name="20% - Accent6 2 2 5 2 7" xfId="12995"/>
    <cellStyle name="20% - Accent6 2 2 5 2 7 2" xfId="12996"/>
    <cellStyle name="20% - Accent6 2 2 5 2 8" xfId="12997"/>
    <cellStyle name="20% - Accent6 2 2 5 3" xfId="12998"/>
    <cellStyle name="20% - Accent6 2 2 5 3 2" xfId="12999"/>
    <cellStyle name="20% - Accent6 2 2 5 3 2 2" xfId="13000"/>
    <cellStyle name="20% - Accent6 2 2 5 3 2 2 2" xfId="13001"/>
    <cellStyle name="20% - Accent6 2 2 5 3 2 2 2 2" xfId="13002"/>
    <cellStyle name="20% - Accent6 2 2 5 3 2 2 2 2 2" xfId="13003"/>
    <cellStyle name="20% - Accent6 2 2 5 3 2 2 2 3" xfId="13004"/>
    <cellStyle name="20% - Accent6 2 2 5 3 2 2 3" xfId="13005"/>
    <cellStyle name="20% - Accent6 2 2 5 3 2 2 3 2" xfId="13006"/>
    <cellStyle name="20% - Accent6 2 2 5 3 2 2 4" xfId="13007"/>
    <cellStyle name="20% - Accent6 2 2 5 3 2 3" xfId="13008"/>
    <cellStyle name="20% - Accent6 2 2 5 3 2 3 2" xfId="13009"/>
    <cellStyle name="20% - Accent6 2 2 5 3 2 3 2 2" xfId="13010"/>
    <cellStyle name="20% - Accent6 2 2 5 3 2 3 3" xfId="13011"/>
    <cellStyle name="20% - Accent6 2 2 5 3 2 4" xfId="13012"/>
    <cellStyle name="20% - Accent6 2 2 5 3 2 4 2" xfId="13013"/>
    <cellStyle name="20% - Accent6 2 2 5 3 2 5" xfId="13014"/>
    <cellStyle name="20% - Accent6 2 2 5 3 2 5 2" xfId="13015"/>
    <cellStyle name="20% - Accent6 2 2 5 3 2 6" xfId="13016"/>
    <cellStyle name="20% - Accent6 2 2 5 3 3" xfId="13017"/>
    <cellStyle name="20% - Accent6 2 2 5 3 3 2" xfId="13018"/>
    <cellStyle name="20% - Accent6 2 2 5 3 3 2 2" xfId="13019"/>
    <cellStyle name="20% - Accent6 2 2 5 3 3 2 2 2" xfId="13020"/>
    <cellStyle name="20% - Accent6 2 2 5 3 3 2 2 2 2" xfId="13021"/>
    <cellStyle name="20% - Accent6 2 2 5 3 3 2 2 3" xfId="13022"/>
    <cellStyle name="20% - Accent6 2 2 5 3 3 2 3" xfId="13023"/>
    <cellStyle name="20% - Accent6 2 2 5 3 3 2 3 2" xfId="13024"/>
    <cellStyle name="20% - Accent6 2 2 5 3 3 2 4" xfId="13025"/>
    <cellStyle name="20% - Accent6 2 2 5 3 3 3" xfId="13026"/>
    <cellStyle name="20% - Accent6 2 2 5 3 3 3 2" xfId="13027"/>
    <cellStyle name="20% - Accent6 2 2 5 3 3 3 2 2" xfId="13028"/>
    <cellStyle name="20% - Accent6 2 2 5 3 3 3 3" xfId="13029"/>
    <cellStyle name="20% - Accent6 2 2 5 3 3 4" xfId="13030"/>
    <cellStyle name="20% - Accent6 2 2 5 3 3 4 2" xfId="13031"/>
    <cellStyle name="20% - Accent6 2 2 5 3 3 5" xfId="13032"/>
    <cellStyle name="20% - Accent6 2 2 5 3 3 5 2" xfId="13033"/>
    <cellStyle name="20% - Accent6 2 2 5 3 3 6" xfId="13034"/>
    <cellStyle name="20% - Accent6 2 2 5 3 4" xfId="13035"/>
    <cellStyle name="20% - Accent6 2 2 5 3 4 2" xfId="13036"/>
    <cellStyle name="20% - Accent6 2 2 5 3 4 2 2" xfId="13037"/>
    <cellStyle name="20% - Accent6 2 2 5 3 4 2 2 2" xfId="13038"/>
    <cellStyle name="20% - Accent6 2 2 5 3 4 2 3" xfId="13039"/>
    <cellStyle name="20% - Accent6 2 2 5 3 4 3" xfId="13040"/>
    <cellStyle name="20% - Accent6 2 2 5 3 4 3 2" xfId="13041"/>
    <cellStyle name="20% - Accent6 2 2 5 3 4 4" xfId="13042"/>
    <cellStyle name="20% - Accent6 2 2 5 3 5" xfId="13043"/>
    <cellStyle name="20% - Accent6 2 2 5 3 5 2" xfId="13044"/>
    <cellStyle name="20% - Accent6 2 2 5 3 5 2 2" xfId="13045"/>
    <cellStyle name="20% - Accent6 2 2 5 3 5 3" xfId="13046"/>
    <cellStyle name="20% - Accent6 2 2 5 3 6" xfId="13047"/>
    <cellStyle name="20% - Accent6 2 2 5 3 6 2" xfId="13048"/>
    <cellStyle name="20% - Accent6 2 2 5 3 7" xfId="13049"/>
    <cellStyle name="20% - Accent6 2 2 5 3 7 2" xfId="13050"/>
    <cellStyle name="20% - Accent6 2 2 5 3 8" xfId="13051"/>
    <cellStyle name="20% - Accent6 2 2 5 4" xfId="13052"/>
    <cellStyle name="20% - Accent6 2 2 5 4 2" xfId="13053"/>
    <cellStyle name="20% - Accent6 2 2 5 4 2 2" xfId="13054"/>
    <cellStyle name="20% - Accent6 2 2 5 4 2 2 2" xfId="13055"/>
    <cellStyle name="20% - Accent6 2 2 5 4 2 2 2 2" xfId="13056"/>
    <cellStyle name="20% - Accent6 2 2 5 4 2 2 3" xfId="13057"/>
    <cellStyle name="20% - Accent6 2 2 5 4 2 3" xfId="13058"/>
    <cellStyle name="20% - Accent6 2 2 5 4 2 3 2" xfId="13059"/>
    <cellStyle name="20% - Accent6 2 2 5 4 2 4" xfId="13060"/>
    <cellStyle name="20% - Accent6 2 2 5 4 3" xfId="13061"/>
    <cellStyle name="20% - Accent6 2 2 5 4 3 2" xfId="13062"/>
    <cellStyle name="20% - Accent6 2 2 5 4 3 2 2" xfId="13063"/>
    <cellStyle name="20% - Accent6 2 2 5 4 3 3" xfId="13064"/>
    <cellStyle name="20% - Accent6 2 2 5 4 4" xfId="13065"/>
    <cellStyle name="20% - Accent6 2 2 5 4 4 2" xfId="13066"/>
    <cellStyle name="20% - Accent6 2 2 5 4 5" xfId="13067"/>
    <cellStyle name="20% - Accent6 2 2 5 4 5 2" xfId="13068"/>
    <cellStyle name="20% - Accent6 2 2 5 4 6" xfId="13069"/>
    <cellStyle name="20% - Accent6 2 2 5 5" xfId="13070"/>
    <cellStyle name="20% - Accent6 2 2 5 5 2" xfId="13071"/>
    <cellStyle name="20% - Accent6 2 2 5 5 2 2" xfId="13072"/>
    <cellStyle name="20% - Accent6 2 2 5 5 2 2 2" xfId="13073"/>
    <cellStyle name="20% - Accent6 2 2 5 5 2 2 2 2" xfId="13074"/>
    <cellStyle name="20% - Accent6 2 2 5 5 2 2 3" xfId="13075"/>
    <cellStyle name="20% - Accent6 2 2 5 5 2 3" xfId="13076"/>
    <cellStyle name="20% - Accent6 2 2 5 5 2 3 2" xfId="13077"/>
    <cellStyle name="20% - Accent6 2 2 5 5 2 4" xfId="13078"/>
    <cellStyle name="20% - Accent6 2 2 5 5 3" xfId="13079"/>
    <cellStyle name="20% - Accent6 2 2 5 5 3 2" xfId="13080"/>
    <cellStyle name="20% - Accent6 2 2 5 5 3 2 2" xfId="13081"/>
    <cellStyle name="20% - Accent6 2 2 5 5 3 3" xfId="13082"/>
    <cellStyle name="20% - Accent6 2 2 5 5 4" xfId="13083"/>
    <cellStyle name="20% - Accent6 2 2 5 5 4 2" xfId="13084"/>
    <cellStyle name="20% - Accent6 2 2 5 5 5" xfId="13085"/>
    <cellStyle name="20% - Accent6 2 2 5 5 5 2" xfId="13086"/>
    <cellStyle name="20% - Accent6 2 2 5 5 6" xfId="13087"/>
    <cellStyle name="20% - Accent6 2 2 5 6" xfId="13088"/>
    <cellStyle name="20% - Accent6 2 2 5 6 2" xfId="13089"/>
    <cellStyle name="20% - Accent6 2 2 5 6 2 2" xfId="13090"/>
    <cellStyle name="20% - Accent6 2 2 5 6 2 2 2" xfId="13091"/>
    <cellStyle name="20% - Accent6 2 2 5 6 2 2 2 2" xfId="13092"/>
    <cellStyle name="20% - Accent6 2 2 5 6 2 2 3" xfId="13093"/>
    <cellStyle name="20% - Accent6 2 2 5 6 2 3" xfId="13094"/>
    <cellStyle name="20% - Accent6 2 2 5 6 2 3 2" xfId="13095"/>
    <cellStyle name="20% - Accent6 2 2 5 6 2 4" xfId="13096"/>
    <cellStyle name="20% - Accent6 2 2 5 6 3" xfId="13097"/>
    <cellStyle name="20% - Accent6 2 2 5 6 3 2" xfId="13098"/>
    <cellStyle name="20% - Accent6 2 2 5 6 3 2 2" xfId="13099"/>
    <cellStyle name="20% - Accent6 2 2 5 6 3 3" xfId="13100"/>
    <cellStyle name="20% - Accent6 2 2 5 6 4" xfId="13101"/>
    <cellStyle name="20% - Accent6 2 2 5 6 4 2" xfId="13102"/>
    <cellStyle name="20% - Accent6 2 2 5 6 5" xfId="13103"/>
    <cellStyle name="20% - Accent6 2 2 5 6 5 2" xfId="13104"/>
    <cellStyle name="20% - Accent6 2 2 5 6 6" xfId="13105"/>
    <cellStyle name="20% - Accent6 2 2 5 7" xfId="13106"/>
    <cellStyle name="20% - Accent6 2 2 5 7 2" xfId="13107"/>
    <cellStyle name="20% - Accent6 2 2 5 7 2 2" xfId="13108"/>
    <cellStyle name="20% - Accent6 2 2 5 7 2 2 2" xfId="13109"/>
    <cellStyle name="20% - Accent6 2 2 5 7 2 3" xfId="13110"/>
    <cellStyle name="20% - Accent6 2 2 5 7 3" xfId="13111"/>
    <cellStyle name="20% - Accent6 2 2 5 7 3 2" xfId="13112"/>
    <cellStyle name="20% - Accent6 2 2 5 7 4" xfId="13113"/>
    <cellStyle name="20% - Accent6 2 2 5 8" xfId="13114"/>
    <cellStyle name="20% - Accent6 2 2 5 8 2" xfId="13115"/>
    <cellStyle name="20% - Accent6 2 2 5 8 2 2" xfId="13116"/>
    <cellStyle name="20% - Accent6 2 2 5 8 3" xfId="13117"/>
    <cellStyle name="20% - Accent6 2 2 5 9" xfId="13118"/>
    <cellStyle name="20% - Accent6 2 2 5 9 2" xfId="13119"/>
    <cellStyle name="20% - Accent6 2 2 6" xfId="13120"/>
    <cellStyle name="20% - Accent6 2 2 6 2" xfId="13121"/>
    <cellStyle name="20% - Accent6 2 2 6 2 2" xfId="13122"/>
    <cellStyle name="20% - Accent6 2 2 6 2 2 2" xfId="13123"/>
    <cellStyle name="20% - Accent6 2 2 6 2 2 2 2" xfId="13124"/>
    <cellStyle name="20% - Accent6 2 2 6 2 2 2 2 2" xfId="13125"/>
    <cellStyle name="20% - Accent6 2 2 6 2 2 2 3" xfId="13126"/>
    <cellStyle name="20% - Accent6 2 2 6 2 2 3" xfId="13127"/>
    <cellStyle name="20% - Accent6 2 2 6 2 2 3 2" xfId="13128"/>
    <cellStyle name="20% - Accent6 2 2 6 2 2 4" xfId="13129"/>
    <cellStyle name="20% - Accent6 2 2 6 2 3" xfId="13130"/>
    <cellStyle name="20% - Accent6 2 2 6 2 3 2" xfId="13131"/>
    <cellStyle name="20% - Accent6 2 2 6 2 3 2 2" xfId="13132"/>
    <cellStyle name="20% - Accent6 2 2 6 2 3 3" xfId="13133"/>
    <cellStyle name="20% - Accent6 2 2 6 2 4" xfId="13134"/>
    <cellStyle name="20% - Accent6 2 2 6 2 4 2" xfId="13135"/>
    <cellStyle name="20% - Accent6 2 2 6 2 5" xfId="13136"/>
    <cellStyle name="20% - Accent6 2 2 6 2 5 2" xfId="13137"/>
    <cellStyle name="20% - Accent6 2 2 6 2 6" xfId="13138"/>
    <cellStyle name="20% - Accent6 2 2 6 3" xfId="13139"/>
    <cellStyle name="20% - Accent6 2 2 6 3 2" xfId="13140"/>
    <cellStyle name="20% - Accent6 2 2 6 3 2 2" xfId="13141"/>
    <cellStyle name="20% - Accent6 2 2 6 3 2 2 2" xfId="13142"/>
    <cellStyle name="20% - Accent6 2 2 6 3 2 2 2 2" xfId="13143"/>
    <cellStyle name="20% - Accent6 2 2 6 3 2 2 3" xfId="13144"/>
    <cellStyle name="20% - Accent6 2 2 6 3 2 3" xfId="13145"/>
    <cellStyle name="20% - Accent6 2 2 6 3 2 3 2" xfId="13146"/>
    <cellStyle name="20% - Accent6 2 2 6 3 2 4" xfId="13147"/>
    <cellStyle name="20% - Accent6 2 2 6 3 3" xfId="13148"/>
    <cellStyle name="20% - Accent6 2 2 6 3 3 2" xfId="13149"/>
    <cellStyle name="20% - Accent6 2 2 6 3 3 2 2" xfId="13150"/>
    <cellStyle name="20% - Accent6 2 2 6 3 3 3" xfId="13151"/>
    <cellStyle name="20% - Accent6 2 2 6 3 4" xfId="13152"/>
    <cellStyle name="20% - Accent6 2 2 6 3 4 2" xfId="13153"/>
    <cellStyle name="20% - Accent6 2 2 6 3 5" xfId="13154"/>
    <cellStyle name="20% - Accent6 2 2 6 3 5 2" xfId="13155"/>
    <cellStyle name="20% - Accent6 2 2 6 3 6" xfId="13156"/>
    <cellStyle name="20% - Accent6 2 2 6 4" xfId="13157"/>
    <cellStyle name="20% - Accent6 2 2 6 4 2" xfId="13158"/>
    <cellStyle name="20% - Accent6 2 2 6 4 2 2" xfId="13159"/>
    <cellStyle name="20% - Accent6 2 2 6 4 2 2 2" xfId="13160"/>
    <cellStyle name="20% - Accent6 2 2 6 4 2 3" xfId="13161"/>
    <cellStyle name="20% - Accent6 2 2 6 4 3" xfId="13162"/>
    <cellStyle name="20% - Accent6 2 2 6 4 3 2" xfId="13163"/>
    <cellStyle name="20% - Accent6 2 2 6 4 4" xfId="13164"/>
    <cellStyle name="20% - Accent6 2 2 6 5" xfId="13165"/>
    <cellStyle name="20% - Accent6 2 2 6 5 2" xfId="13166"/>
    <cellStyle name="20% - Accent6 2 2 6 5 2 2" xfId="13167"/>
    <cellStyle name="20% - Accent6 2 2 6 5 3" xfId="13168"/>
    <cellStyle name="20% - Accent6 2 2 6 6" xfId="13169"/>
    <cellStyle name="20% - Accent6 2 2 6 6 2" xfId="13170"/>
    <cellStyle name="20% - Accent6 2 2 6 7" xfId="13171"/>
    <cellStyle name="20% - Accent6 2 2 6 7 2" xfId="13172"/>
    <cellStyle name="20% - Accent6 2 2 6 8" xfId="13173"/>
    <cellStyle name="20% - Accent6 2 2 7" xfId="13174"/>
    <cellStyle name="20% - Accent6 2 2 7 2" xfId="13175"/>
    <cellStyle name="20% - Accent6 2 2 7 2 2" xfId="13176"/>
    <cellStyle name="20% - Accent6 2 2 7 2 2 2" xfId="13177"/>
    <cellStyle name="20% - Accent6 2 2 7 2 2 2 2" xfId="13178"/>
    <cellStyle name="20% - Accent6 2 2 7 2 2 2 2 2" xfId="13179"/>
    <cellStyle name="20% - Accent6 2 2 7 2 2 2 3" xfId="13180"/>
    <cellStyle name="20% - Accent6 2 2 7 2 2 3" xfId="13181"/>
    <cellStyle name="20% - Accent6 2 2 7 2 2 3 2" xfId="13182"/>
    <cellStyle name="20% - Accent6 2 2 7 2 2 4" xfId="13183"/>
    <cellStyle name="20% - Accent6 2 2 7 2 3" xfId="13184"/>
    <cellStyle name="20% - Accent6 2 2 7 2 3 2" xfId="13185"/>
    <cellStyle name="20% - Accent6 2 2 7 2 3 2 2" xfId="13186"/>
    <cellStyle name="20% - Accent6 2 2 7 2 3 3" xfId="13187"/>
    <cellStyle name="20% - Accent6 2 2 7 2 4" xfId="13188"/>
    <cellStyle name="20% - Accent6 2 2 7 2 4 2" xfId="13189"/>
    <cellStyle name="20% - Accent6 2 2 7 2 5" xfId="13190"/>
    <cellStyle name="20% - Accent6 2 2 7 2 5 2" xfId="13191"/>
    <cellStyle name="20% - Accent6 2 2 7 2 6" xfId="13192"/>
    <cellStyle name="20% - Accent6 2 2 7 3" xfId="13193"/>
    <cellStyle name="20% - Accent6 2 2 7 3 2" xfId="13194"/>
    <cellStyle name="20% - Accent6 2 2 7 3 2 2" xfId="13195"/>
    <cellStyle name="20% - Accent6 2 2 7 3 2 2 2" xfId="13196"/>
    <cellStyle name="20% - Accent6 2 2 7 3 2 2 2 2" xfId="13197"/>
    <cellStyle name="20% - Accent6 2 2 7 3 2 2 3" xfId="13198"/>
    <cellStyle name="20% - Accent6 2 2 7 3 2 3" xfId="13199"/>
    <cellStyle name="20% - Accent6 2 2 7 3 2 3 2" xfId="13200"/>
    <cellStyle name="20% - Accent6 2 2 7 3 2 4" xfId="13201"/>
    <cellStyle name="20% - Accent6 2 2 7 3 3" xfId="13202"/>
    <cellStyle name="20% - Accent6 2 2 7 3 3 2" xfId="13203"/>
    <cellStyle name="20% - Accent6 2 2 7 3 3 2 2" xfId="13204"/>
    <cellStyle name="20% - Accent6 2 2 7 3 3 3" xfId="13205"/>
    <cellStyle name="20% - Accent6 2 2 7 3 4" xfId="13206"/>
    <cellStyle name="20% - Accent6 2 2 7 3 4 2" xfId="13207"/>
    <cellStyle name="20% - Accent6 2 2 7 3 5" xfId="13208"/>
    <cellStyle name="20% - Accent6 2 2 7 3 5 2" xfId="13209"/>
    <cellStyle name="20% - Accent6 2 2 7 3 6" xfId="13210"/>
    <cellStyle name="20% - Accent6 2 2 7 4" xfId="13211"/>
    <cellStyle name="20% - Accent6 2 2 7 4 2" xfId="13212"/>
    <cellStyle name="20% - Accent6 2 2 7 4 2 2" xfId="13213"/>
    <cellStyle name="20% - Accent6 2 2 7 4 2 2 2" xfId="13214"/>
    <cellStyle name="20% - Accent6 2 2 7 4 2 3" xfId="13215"/>
    <cellStyle name="20% - Accent6 2 2 7 4 3" xfId="13216"/>
    <cellStyle name="20% - Accent6 2 2 7 4 3 2" xfId="13217"/>
    <cellStyle name="20% - Accent6 2 2 7 4 4" xfId="13218"/>
    <cellStyle name="20% - Accent6 2 2 7 5" xfId="13219"/>
    <cellStyle name="20% - Accent6 2 2 7 5 2" xfId="13220"/>
    <cellStyle name="20% - Accent6 2 2 7 5 2 2" xfId="13221"/>
    <cellStyle name="20% - Accent6 2 2 7 5 3" xfId="13222"/>
    <cellStyle name="20% - Accent6 2 2 7 6" xfId="13223"/>
    <cellStyle name="20% - Accent6 2 2 7 6 2" xfId="13224"/>
    <cellStyle name="20% - Accent6 2 2 7 7" xfId="13225"/>
    <cellStyle name="20% - Accent6 2 2 7 7 2" xfId="13226"/>
    <cellStyle name="20% - Accent6 2 2 7 8" xfId="13227"/>
    <cellStyle name="20% - Accent6 2 2 8" xfId="13228"/>
    <cellStyle name="20% - Accent6 2 2 8 2" xfId="13229"/>
    <cellStyle name="20% - Accent6 2 2 8 2 2" xfId="13230"/>
    <cellStyle name="20% - Accent6 2 2 8 2 2 2" xfId="13231"/>
    <cellStyle name="20% - Accent6 2 2 8 2 2 2 2" xfId="13232"/>
    <cellStyle name="20% - Accent6 2 2 8 2 2 3" xfId="13233"/>
    <cellStyle name="20% - Accent6 2 2 8 2 3" xfId="13234"/>
    <cellStyle name="20% - Accent6 2 2 8 2 3 2" xfId="13235"/>
    <cellStyle name="20% - Accent6 2 2 8 2 4" xfId="13236"/>
    <cellStyle name="20% - Accent6 2 2 8 3" xfId="13237"/>
    <cellStyle name="20% - Accent6 2 2 8 3 2" xfId="13238"/>
    <cellStyle name="20% - Accent6 2 2 8 3 2 2" xfId="13239"/>
    <cellStyle name="20% - Accent6 2 2 8 3 3" xfId="13240"/>
    <cellStyle name="20% - Accent6 2 2 8 4" xfId="13241"/>
    <cellStyle name="20% - Accent6 2 2 8 4 2" xfId="13242"/>
    <cellStyle name="20% - Accent6 2 2 8 5" xfId="13243"/>
    <cellStyle name="20% - Accent6 2 2 8 5 2" xfId="13244"/>
    <cellStyle name="20% - Accent6 2 2 8 6" xfId="13245"/>
    <cellStyle name="20% - Accent6 2 2 9" xfId="13246"/>
    <cellStyle name="20% - Accent6 2 2 9 2" xfId="13247"/>
    <cellStyle name="20% - Accent6 2 2 9 2 2" xfId="13248"/>
    <cellStyle name="20% - Accent6 2 2 9 2 2 2" xfId="13249"/>
    <cellStyle name="20% - Accent6 2 2 9 2 2 2 2" xfId="13250"/>
    <cellStyle name="20% - Accent6 2 2 9 2 2 3" xfId="13251"/>
    <cellStyle name="20% - Accent6 2 2 9 2 3" xfId="13252"/>
    <cellStyle name="20% - Accent6 2 2 9 2 3 2" xfId="13253"/>
    <cellStyle name="20% - Accent6 2 2 9 2 4" xfId="13254"/>
    <cellStyle name="20% - Accent6 2 2 9 3" xfId="13255"/>
    <cellStyle name="20% - Accent6 2 2 9 3 2" xfId="13256"/>
    <cellStyle name="20% - Accent6 2 2 9 3 2 2" xfId="13257"/>
    <cellStyle name="20% - Accent6 2 2 9 3 3" xfId="13258"/>
    <cellStyle name="20% - Accent6 2 2 9 4" xfId="13259"/>
    <cellStyle name="20% - Accent6 2 2 9 4 2" xfId="13260"/>
    <cellStyle name="20% - Accent6 2 2 9 5" xfId="13261"/>
    <cellStyle name="20% - Accent6 2 2 9 5 2" xfId="13262"/>
    <cellStyle name="20% - Accent6 2 2 9 6" xfId="13263"/>
    <cellStyle name="20% - Accent6 2 3" xfId="13264"/>
    <cellStyle name="20% - Accent6 3" xfId="13265"/>
    <cellStyle name="20% - Accent6 3 2" xfId="13266"/>
    <cellStyle name="20% - Accent6 3 3" xfId="13267"/>
    <cellStyle name="20% - Accent6 3 3 10" xfId="13268"/>
    <cellStyle name="20% - Accent6 3 3 10 2" xfId="13269"/>
    <cellStyle name="20% - Accent6 3 3 10 2 2" xfId="13270"/>
    <cellStyle name="20% - Accent6 3 3 10 2 2 2" xfId="13271"/>
    <cellStyle name="20% - Accent6 3 3 10 2 3" xfId="13272"/>
    <cellStyle name="20% - Accent6 3 3 10 3" xfId="13273"/>
    <cellStyle name="20% - Accent6 3 3 10 3 2" xfId="13274"/>
    <cellStyle name="20% - Accent6 3 3 10 4" xfId="13275"/>
    <cellStyle name="20% - Accent6 3 3 11" xfId="13276"/>
    <cellStyle name="20% - Accent6 3 3 11 2" xfId="13277"/>
    <cellStyle name="20% - Accent6 3 3 11 2 2" xfId="13278"/>
    <cellStyle name="20% - Accent6 3 3 11 3" xfId="13279"/>
    <cellStyle name="20% - Accent6 3 3 12" xfId="13280"/>
    <cellStyle name="20% - Accent6 3 3 12 2" xfId="13281"/>
    <cellStyle name="20% - Accent6 3 3 13" xfId="13282"/>
    <cellStyle name="20% - Accent6 3 3 13 2" xfId="13283"/>
    <cellStyle name="20% - Accent6 3 3 14" xfId="13284"/>
    <cellStyle name="20% - Accent6 3 3 2" xfId="13285"/>
    <cellStyle name="20% - Accent6 3 3 2 10" xfId="13286"/>
    <cellStyle name="20% - Accent6 3 3 2 10 2" xfId="13287"/>
    <cellStyle name="20% - Accent6 3 3 2 11" xfId="13288"/>
    <cellStyle name="20% - Accent6 3 3 2 2" xfId="13289"/>
    <cellStyle name="20% - Accent6 3 3 2 2 2" xfId="13290"/>
    <cellStyle name="20% - Accent6 3 3 2 2 2 2" xfId="13291"/>
    <cellStyle name="20% - Accent6 3 3 2 2 2 2 2" xfId="13292"/>
    <cellStyle name="20% - Accent6 3 3 2 2 2 2 2 2" xfId="13293"/>
    <cellStyle name="20% - Accent6 3 3 2 2 2 2 2 2 2" xfId="13294"/>
    <cellStyle name="20% - Accent6 3 3 2 2 2 2 2 3" xfId="13295"/>
    <cellStyle name="20% - Accent6 3 3 2 2 2 2 3" xfId="13296"/>
    <cellStyle name="20% - Accent6 3 3 2 2 2 2 3 2" xfId="13297"/>
    <cellStyle name="20% - Accent6 3 3 2 2 2 2 4" xfId="13298"/>
    <cellStyle name="20% - Accent6 3 3 2 2 2 3" xfId="13299"/>
    <cellStyle name="20% - Accent6 3 3 2 2 2 3 2" xfId="13300"/>
    <cellStyle name="20% - Accent6 3 3 2 2 2 3 2 2" xfId="13301"/>
    <cellStyle name="20% - Accent6 3 3 2 2 2 3 3" xfId="13302"/>
    <cellStyle name="20% - Accent6 3 3 2 2 2 4" xfId="13303"/>
    <cellStyle name="20% - Accent6 3 3 2 2 2 4 2" xfId="13304"/>
    <cellStyle name="20% - Accent6 3 3 2 2 2 5" xfId="13305"/>
    <cellStyle name="20% - Accent6 3 3 2 2 2 5 2" xfId="13306"/>
    <cellStyle name="20% - Accent6 3 3 2 2 2 6" xfId="13307"/>
    <cellStyle name="20% - Accent6 3 3 2 2 3" xfId="13308"/>
    <cellStyle name="20% - Accent6 3 3 2 2 3 2" xfId="13309"/>
    <cellStyle name="20% - Accent6 3 3 2 2 3 2 2" xfId="13310"/>
    <cellStyle name="20% - Accent6 3 3 2 2 3 2 2 2" xfId="13311"/>
    <cellStyle name="20% - Accent6 3 3 2 2 3 2 2 2 2" xfId="13312"/>
    <cellStyle name="20% - Accent6 3 3 2 2 3 2 2 3" xfId="13313"/>
    <cellStyle name="20% - Accent6 3 3 2 2 3 2 3" xfId="13314"/>
    <cellStyle name="20% - Accent6 3 3 2 2 3 2 3 2" xfId="13315"/>
    <cellStyle name="20% - Accent6 3 3 2 2 3 2 4" xfId="13316"/>
    <cellStyle name="20% - Accent6 3 3 2 2 3 3" xfId="13317"/>
    <cellStyle name="20% - Accent6 3 3 2 2 3 3 2" xfId="13318"/>
    <cellStyle name="20% - Accent6 3 3 2 2 3 3 2 2" xfId="13319"/>
    <cellStyle name="20% - Accent6 3 3 2 2 3 3 3" xfId="13320"/>
    <cellStyle name="20% - Accent6 3 3 2 2 3 4" xfId="13321"/>
    <cellStyle name="20% - Accent6 3 3 2 2 3 4 2" xfId="13322"/>
    <cellStyle name="20% - Accent6 3 3 2 2 3 5" xfId="13323"/>
    <cellStyle name="20% - Accent6 3 3 2 2 3 5 2" xfId="13324"/>
    <cellStyle name="20% - Accent6 3 3 2 2 3 6" xfId="13325"/>
    <cellStyle name="20% - Accent6 3 3 2 2 4" xfId="13326"/>
    <cellStyle name="20% - Accent6 3 3 2 2 4 2" xfId="13327"/>
    <cellStyle name="20% - Accent6 3 3 2 2 4 2 2" xfId="13328"/>
    <cellStyle name="20% - Accent6 3 3 2 2 4 2 2 2" xfId="13329"/>
    <cellStyle name="20% - Accent6 3 3 2 2 4 2 3" xfId="13330"/>
    <cellStyle name="20% - Accent6 3 3 2 2 4 3" xfId="13331"/>
    <cellStyle name="20% - Accent6 3 3 2 2 4 3 2" xfId="13332"/>
    <cellStyle name="20% - Accent6 3 3 2 2 4 4" xfId="13333"/>
    <cellStyle name="20% - Accent6 3 3 2 2 5" xfId="13334"/>
    <cellStyle name="20% - Accent6 3 3 2 2 5 2" xfId="13335"/>
    <cellStyle name="20% - Accent6 3 3 2 2 5 2 2" xfId="13336"/>
    <cellStyle name="20% - Accent6 3 3 2 2 5 3" xfId="13337"/>
    <cellStyle name="20% - Accent6 3 3 2 2 6" xfId="13338"/>
    <cellStyle name="20% - Accent6 3 3 2 2 6 2" xfId="13339"/>
    <cellStyle name="20% - Accent6 3 3 2 2 7" xfId="13340"/>
    <cellStyle name="20% - Accent6 3 3 2 2 7 2" xfId="13341"/>
    <cellStyle name="20% - Accent6 3 3 2 2 8" xfId="13342"/>
    <cellStyle name="20% - Accent6 3 3 2 3" xfId="13343"/>
    <cellStyle name="20% - Accent6 3 3 2 3 2" xfId="13344"/>
    <cellStyle name="20% - Accent6 3 3 2 3 2 2" xfId="13345"/>
    <cellStyle name="20% - Accent6 3 3 2 3 2 2 2" xfId="13346"/>
    <cellStyle name="20% - Accent6 3 3 2 3 2 2 2 2" xfId="13347"/>
    <cellStyle name="20% - Accent6 3 3 2 3 2 2 2 2 2" xfId="13348"/>
    <cellStyle name="20% - Accent6 3 3 2 3 2 2 2 3" xfId="13349"/>
    <cellStyle name="20% - Accent6 3 3 2 3 2 2 3" xfId="13350"/>
    <cellStyle name="20% - Accent6 3 3 2 3 2 2 3 2" xfId="13351"/>
    <cellStyle name="20% - Accent6 3 3 2 3 2 2 4" xfId="13352"/>
    <cellStyle name="20% - Accent6 3 3 2 3 2 3" xfId="13353"/>
    <cellStyle name="20% - Accent6 3 3 2 3 2 3 2" xfId="13354"/>
    <cellStyle name="20% - Accent6 3 3 2 3 2 3 2 2" xfId="13355"/>
    <cellStyle name="20% - Accent6 3 3 2 3 2 3 3" xfId="13356"/>
    <cellStyle name="20% - Accent6 3 3 2 3 2 4" xfId="13357"/>
    <cellStyle name="20% - Accent6 3 3 2 3 2 4 2" xfId="13358"/>
    <cellStyle name="20% - Accent6 3 3 2 3 2 5" xfId="13359"/>
    <cellStyle name="20% - Accent6 3 3 2 3 2 5 2" xfId="13360"/>
    <cellStyle name="20% - Accent6 3 3 2 3 2 6" xfId="13361"/>
    <cellStyle name="20% - Accent6 3 3 2 3 3" xfId="13362"/>
    <cellStyle name="20% - Accent6 3 3 2 3 3 2" xfId="13363"/>
    <cellStyle name="20% - Accent6 3 3 2 3 3 2 2" xfId="13364"/>
    <cellStyle name="20% - Accent6 3 3 2 3 3 2 2 2" xfId="13365"/>
    <cellStyle name="20% - Accent6 3 3 2 3 3 2 2 2 2" xfId="13366"/>
    <cellStyle name="20% - Accent6 3 3 2 3 3 2 2 3" xfId="13367"/>
    <cellStyle name="20% - Accent6 3 3 2 3 3 2 3" xfId="13368"/>
    <cellStyle name="20% - Accent6 3 3 2 3 3 2 3 2" xfId="13369"/>
    <cellStyle name="20% - Accent6 3 3 2 3 3 2 4" xfId="13370"/>
    <cellStyle name="20% - Accent6 3 3 2 3 3 3" xfId="13371"/>
    <cellStyle name="20% - Accent6 3 3 2 3 3 3 2" xfId="13372"/>
    <cellStyle name="20% - Accent6 3 3 2 3 3 3 2 2" xfId="13373"/>
    <cellStyle name="20% - Accent6 3 3 2 3 3 3 3" xfId="13374"/>
    <cellStyle name="20% - Accent6 3 3 2 3 3 4" xfId="13375"/>
    <cellStyle name="20% - Accent6 3 3 2 3 3 4 2" xfId="13376"/>
    <cellStyle name="20% - Accent6 3 3 2 3 3 5" xfId="13377"/>
    <cellStyle name="20% - Accent6 3 3 2 3 3 5 2" xfId="13378"/>
    <cellStyle name="20% - Accent6 3 3 2 3 3 6" xfId="13379"/>
    <cellStyle name="20% - Accent6 3 3 2 3 4" xfId="13380"/>
    <cellStyle name="20% - Accent6 3 3 2 3 4 2" xfId="13381"/>
    <cellStyle name="20% - Accent6 3 3 2 3 4 2 2" xfId="13382"/>
    <cellStyle name="20% - Accent6 3 3 2 3 4 2 2 2" xfId="13383"/>
    <cellStyle name="20% - Accent6 3 3 2 3 4 2 3" xfId="13384"/>
    <cellStyle name="20% - Accent6 3 3 2 3 4 3" xfId="13385"/>
    <cellStyle name="20% - Accent6 3 3 2 3 4 3 2" xfId="13386"/>
    <cellStyle name="20% - Accent6 3 3 2 3 4 4" xfId="13387"/>
    <cellStyle name="20% - Accent6 3 3 2 3 5" xfId="13388"/>
    <cellStyle name="20% - Accent6 3 3 2 3 5 2" xfId="13389"/>
    <cellStyle name="20% - Accent6 3 3 2 3 5 2 2" xfId="13390"/>
    <cellStyle name="20% - Accent6 3 3 2 3 5 3" xfId="13391"/>
    <cellStyle name="20% - Accent6 3 3 2 3 6" xfId="13392"/>
    <cellStyle name="20% - Accent6 3 3 2 3 6 2" xfId="13393"/>
    <cellStyle name="20% - Accent6 3 3 2 3 7" xfId="13394"/>
    <cellStyle name="20% - Accent6 3 3 2 3 7 2" xfId="13395"/>
    <cellStyle name="20% - Accent6 3 3 2 3 8" xfId="13396"/>
    <cellStyle name="20% - Accent6 3 3 2 4" xfId="13397"/>
    <cellStyle name="20% - Accent6 3 3 2 4 2" xfId="13398"/>
    <cellStyle name="20% - Accent6 3 3 2 4 2 2" xfId="13399"/>
    <cellStyle name="20% - Accent6 3 3 2 4 2 2 2" xfId="13400"/>
    <cellStyle name="20% - Accent6 3 3 2 4 2 2 2 2" xfId="13401"/>
    <cellStyle name="20% - Accent6 3 3 2 4 2 2 3" xfId="13402"/>
    <cellStyle name="20% - Accent6 3 3 2 4 2 3" xfId="13403"/>
    <cellStyle name="20% - Accent6 3 3 2 4 2 3 2" xfId="13404"/>
    <cellStyle name="20% - Accent6 3 3 2 4 2 4" xfId="13405"/>
    <cellStyle name="20% - Accent6 3 3 2 4 3" xfId="13406"/>
    <cellStyle name="20% - Accent6 3 3 2 4 3 2" xfId="13407"/>
    <cellStyle name="20% - Accent6 3 3 2 4 3 2 2" xfId="13408"/>
    <cellStyle name="20% - Accent6 3 3 2 4 3 3" xfId="13409"/>
    <cellStyle name="20% - Accent6 3 3 2 4 4" xfId="13410"/>
    <cellStyle name="20% - Accent6 3 3 2 4 4 2" xfId="13411"/>
    <cellStyle name="20% - Accent6 3 3 2 4 5" xfId="13412"/>
    <cellStyle name="20% - Accent6 3 3 2 4 5 2" xfId="13413"/>
    <cellStyle name="20% - Accent6 3 3 2 4 6" xfId="13414"/>
    <cellStyle name="20% - Accent6 3 3 2 5" xfId="13415"/>
    <cellStyle name="20% - Accent6 3 3 2 5 2" xfId="13416"/>
    <cellStyle name="20% - Accent6 3 3 2 5 2 2" xfId="13417"/>
    <cellStyle name="20% - Accent6 3 3 2 5 2 2 2" xfId="13418"/>
    <cellStyle name="20% - Accent6 3 3 2 5 2 2 2 2" xfId="13419"/>
    <cellStyle name="20% - Accent6 3 3 2 5 2 2 3" xfId="13420"/>
    <cellStyle name="20% - Accent6 3 3 2 5 2 3" xfId="13421"/>
    <cellStyle name="20% - Accent6 3 3 2 5 2 3 2" xfId="13422"/>
    <cellStyle name="20% - Accent6 3 3 2 5 2 4" xfId="13423"/>
    <cellStyle name="20% - Accent6 3 3 2 5 3" xfId="13424"/>
    <cellStyle name="20% - Accent6 3 3 2 5 3 2" xfId="13425"/>
    <cellStyle name="20% - Accent6 3 3 2 5 3 2 2" xfId="13426"/>
    <cellStyle name="20% - Accent6 3 3 2 5 3 3" xfId="13427"/>
    <cellStyle name="20% - Accent6 3 3 2 5 4" xfId="13428"/>
    <cellStyle name="20% - Accent6 3 3 2 5 4 2" xfId="13429"/>
    <cellStyle name="20% - Accent6 3 3 2 5 5" xfId="13430"/>
    <cellStyle name="20% - Accent6 3 3 2 5 5 2" xfId="13431"/>
    <cellStyle name="20% - Accent6 3 3 2 5 6" xfId="13432"/>
    <cellStyle name="20% - Accent6 3 3 2 6" xfId="13433"/>
    <cellStyle name="20% - Accent6 3 3 2 6 2" xfId="13434"/>
    <cellStyle name="20% - Accent6 3 3 2 6 2 2" xfId="13435"/>
    <cellStyle name="20% - Accent6 3 3 2 6 2 2 2" xfId="13436"/>
    <cellStyle name="20% - Accent6 3 3 2 6 2 2 2 2" xfId="13437"/>
    <cellStyle name="20% - Accent6 3 3 2 6 2 2 3" xfId="13438"/>
    <cellStyle name="20% - Accent6 3 3 2 6 2 3" xfId="13439"/>
    <cellStyle name="20% - Accent6 3 3 2 6 2 3 2" xfId="13440"/>
    <cellStyle name="20% - Accent6 3 3 2 6 2 4" xfId="13441"/>
    <cellStyle name="20% - Accent6 3 3 2 6 3" xfId="13442"/>
    <cellStyle name="20% - Accent6 3 3 2 6 3 2" xfId="13443"/>
    <cellStyle name="20% - Accent6 3 3 2 6 3 2 2" xfId="13444"/>
    <cellStyle name="20% - Accent6 3 3 2 6 3 3" xfId="13445"/>
    <cellStyle name="20% - Accent6 3 3 2 6 4" xfId="13446"/>
    <cellStyle name="20% - Accent6 3 3 2 6 4 2" xfId="13447"/>
    <cellStyle name="20% - Accent6 3 3 2 6 5" xfId="13448"/>
    <cellStyle name="20% - Accent6 3 3 2 6 5 2" xfId="13449"/>
    <cellStyle name="20% - Accent6 3 3 2 6 6" xfId="13450"/>
    <cellStyle name="20% - Accent6 3 3 2 7" xfId="13451"/>
    <cellStyle name="20% - Accent6 3 3 2 7 2" xfId="13452"/>
    <cellStyle name="20% - Accent6 3 3 2 7 2 2" xfId="13453"/>
    <cellStyle name="20% - Accent6 3 3 2 7 2 2 2" xfId="13454"/>
    <cellStyle name="20% - Accent6 3 3 2 7 2 3" xfId="13455"/>
    <cellStyle name="20% - Accent6 3 3 2 7 3" xfId="13456"/>
    <cellStyle name="20% - Accent6 3 3 2 7 3 2" xfId="13457"/>
    <cellStyle name="20% - Accent6 3 3 2 7 4" xfId="13458"/>
    <cellStyle name="20% - Accent6 3 3 2 8" xfId="13459"/>
    <cellStyle name="20% - Accent6 3 3 2 8 2" xfId="13460"/>
    <cellStyle name="20% - Accent6 3 3 2 8 2 2" xfId="13461"/>
    <cellStyle name="20% - Accent6 3 3 2 8 3" xfId="13462"/>
    <cellStyle name="20% - Accent6 3 3 2 9" xfId="13463"/>
    <cellStyle name="20% - Accent6 3 3 2 9 2" xfId="13464"/>
    <cellStyle name="20% - Accent6 3 3 3" xfId="13465"/>
    <cellStyle name="20% - Accent6 3 3 3 10" xfId="13466"/>
    <cellStyle name="20% - Accent6 3 3 3 10 2" xfId="13467"/>
    <cellStyle name="20% - Accent6 3 3 3 11" xfId="13468"/>
    <cellStyle name="20% - Accent6 3 3 3 2" xfId="13469"/>
    <cellStyle name="20% - Accent6 3 3 3 2 2" xfId="13470"/>
    <cellStyle name="20% - Accent6 3 3 3 2 2 2" xfId="13471"/>
    <cellStyle name="20% - Accent6 3 3 3 2 2 2 2" xfId="13472"/>
    <cellStyle name="20% - Accent6 3 3 3 2 2 2 2 2" xfId="13473"/>
    <cellStyle name="20% - Accent6 3 3 3 2 2 2 2 2 2" xfId="13474"/>
    <cellStyle name="20% - Accent6 3 3 3 2 2 2 2 3" xfId="13475"/>
    <cellStyle name="20% - Accent6 3 3 3 2 2 2 3" xfId="13476"/>
    <cellStyle name="20% - Accent6 3 3 3 2 2 2 3 2" xfId="13477"/>
    <cellStyle name="20% - Accent6 3 3 3 2 2 2 4" xfId="13478"/>
    <cellStyle name="20% - Accent6 3 3 3 2 2 3" xfId="13479"/>
    <cellStyle name="20% - Accent6 3 3 3 2 2 3 2" xfId="13480"/>
    <cellStyle name="20% - Accent6 3 3 3 2 2 3 2 2" xfId="13481"/>
    <cellStyle name="20% - Accent6 3 3 3 2 2 3 3" xfId="13482"/>
    <cellStyle name="20% - Accent6 3 3 3 2 2 4" xfId="13483"/>
    <cellStyle name="20% - Accent6 3 3 3 2 2 4 2" xfId="13484"/>
    <cellStyle name="20% - Accent6 3 3 3 2 2 5" xfId="13485"/>
    <cellStyle name="20% - Accent6 3 3 3 2 2 5 2" xfId="13486"/>
    <cellStyle name="20% - Accent6 3 3 3 2 2 6" xfId="13487"/>
    <cellStyle name="20% - Accent6 3 3 3 2 3" xfId="13488"/>
    <cellStyle name="20% - Accent6 3 3 3 2 3 2" xfId="13489"/>
    <cellStyle name="20% - Accent6 3 3 3 2 3 2 2" xfId="13490"/>
    <cellStyle name="20% - Accent6 3 3 3 2 3 2 2 2" xfId="13491"/>
    <cellStyle name="20% - Accent6 3 3 3 2 3 2 2 2 2" xfId="13492"/>
    <cellStyle name="20% - Accent6 3 3 3 2 3 2 2 3" xfId="13493"/>
    <cellStyle name="20% - Accent6 3 3 3 2 3 2 3" xfId="13494"/>
    <cellStyle name="20% - Accent6 3 3 3 2 3 2 3 2" xfId="13495"/>
    <cellStyle name="20% - Accent6 3 3 3 2 3 2 4" xfId="13496"/>
    <cellStyle name="20% - Accent6 3 3 3 2 3 3" xfId="13497"/>
    <cellStyle name="20% - Accent6 3 3 3 2 3 3 2" xfId="13498"/>
    <cellStyle name="20% - Accent6 3 3 3 2 3 3 2 2" xfId="13499"/>
    <cellStyle name="20% - Accent6 3 3 3 2 3 3 3" xfId="13500"/>
    <cellStyle name="20% - Accent6 3 3 3 2 3 4" xfId="13501"/>
    <cellStyle name="20% - Accent6 3 3 3 2 3 4 2" xfId="13502"/>
    <cellStyle name="20% - Accent6 3 3 3 2 3 5" xfId="13503"/>
    <cellStyle name="20% - Accent6 3 3 3 2 3 5 2" xfId="13504"/>
    <cellStyle name="20% - Accent6 3 3 3 2 3 6" xfId="13505"/>
    <cellStyle name="20% - Accent6 3 3 3 2 4" xfId="13506"/>
    <cellStyle name="20% - Accent6 3 3 3 2 4 2" xfId="13507"/>
    <cellStyle name="20% - Accent6 3 3 3 2 4 2 2" xfId="13508"/>
    <cellStyle name="20% - Accent6 3 3 3 2 4 2 2 2" xfId="13509"/>
    <cellStyle name="20% - Accent6 3 3 3 2 4 2 3" xfId="13510"/>
    <cellStyle name="20% - Accent6 3 3 3 2 4 3" xfId="13511"/>
    <cellStyle name="20% - Accent6 3 3 3 2 4 3 2" xfId="13512"/>
    <cellStyle name="20% - Accent6 3 3 3 2 4 4" xfId="13513"/>
    <cellStyle name="20% - Accent6 3 3 3 2 5" xfId="13514"/>
    <cellStyle name="20% - Accent6 3 3 3 2 5 2" xfId="13515"/>
    <cellStyle name="20% - Accent6 3 3 3 2 5 2 2" xfId="13516"/>
    <cellStyle name="20% - Accent6 3 3 3 2 5 3" xfId="13517"/>
    <cellStyle name="20% - Accent6 3 3 3 2 6" xfId="13518"/>
    <cellStyle name="20% - Accent6 3 3 3 2 6 2" xfId="13519"/>
    <cellStyle name="20% - Accent6 3 3 3 2 7" xfId="13520"/>
    <cellStyle name="20% - Accent6 3 3 3 2 7 2" xfId="13521"/>
    <cellStyle name="20% - Accent6 3 3 3 2 8" xfId="13522"/>
    <cellStyle name="20% - Accent6 3 3 3 3" xfId="13523"/>
    <cellStyle name="20% - Accent6 3 3 3 3 2" xfId="13524"/>
    <cellStyle name="20% - Accent6 3 3 3 3 2 2" xfId="13525"/>
    <cellStyle name="20% - Accent6 3 3 3 3 2 2 2" xfId="13526"/>
    <cellStyle name="20% - Accent6 3 3 3 3 2 2 2 2" xfId="13527"/>
    <cellStyle name="20% - Accent6 3 3 3 3 2 2 2 2 2" xfId="13528"/>
    <cellStyle name="20% - Accent6 3 3 3 3 2 2 2 3" xfId="13529"/>
    <cellStyle name="20% - Accent6 3 3 3 3 2 2 3" xfId="13530"/>
    <cellStyle name="20% - Accent6 3 3 3 3 2 2 3 2" xfId="13531"/>
    <cellStyle name="20% - Accent6 3 3 3 3 2 2 4" xfId="13532"/>
    <cellStyle name="20% - Accent6 3 3 3 3 2 3" xfId="13533"/>
    <cellStyle name="20% - Accent6 3 3 3 3 2 3 2" xfId="13534"/>
    <cellStyle name="20% - Accent6 3 3 3 3 2 3 2 2" xfId="13535"/>
    <cellStyle name="20% - Accent6 3 3 3 3 2 3 3" xfId="13536"/>
    <cellStyle name="20% - Accent6 3 3 3 3 2 4" xfId="13537"/>
    <cellStyle name="20% - Accent6 3 3 3 3 2 4 2" xfId="13538"/>
    <cellStyle name="20% - Accent6 3 3 3 3 2 5" xfId="13539"/>
    <cellStyle name="20% - Accent6 3 3 3 3 2 5 2" xfId="13540"/>
    <cellStyle name="20% - Accent6 3 3 3 3 2 6" xfId="13541"/>
    <cellStyle name="20% - Accent6 3 3 3 3 3" xfId="13542"/>
    <cellStyle name="20% - Accent6 3 3 3 3 3 2" xfId="13543"/>
    <cellStyle name="20% - Accent6 3 3 3 3 3 2 2" xfId="13544"/>
    <cellStyle name="20% - Accent6 3 3 3 3 3 2 2 2" xfId="13545"/>
    <cellStyle name="20% - Accent6 3 3 3 3 3 2 2 2 2" xfId="13546"/>
    <cellStyle name="20% - Accent6 3 3 3 3 3 2 2 3" xfId="13547"/>
    <cellStyle name="20% - Accent6 3 3 3 3 3 2 3" xfId="13548"/>
    <cellStyle name="20% - Accent6 3 3 3 3 3 2 3 2" xfId="13549"/>
    <cellStyle name="20% - Accent6 3 3 3 3 3 2 4" xfId="13550"/>
    <cellStyle name="20% - Accent6 3 3 3 3 3 3" xfId="13551"/>
    <cellStyle name="20% - Accent6 3 3 3 3 3 3 2" xfId="13552"/>
    <cellStyle name="20% - Accent6 3 3 3 3 3 3 2 2" xfId="13553"/>
    <cellStyle name="20% - Accent6 3 3 3 3 3 3 3" xfId="13554"/>
    <cellStyle name="20% - Accent6 3 3 3 3 3 4" xfId="13555"/>
    <cellStyle name="20% - Accent6 3 3 3 3 3 4 2" xfId="13556"/>
    <cellStyle name="20% - Accent6 3 3 3 3 3 5" xfId="13557"/>
    <cellStyle name="20% - Accent6 3 3 3 3 3 5 2" xfId="13558"/>
    <cellStyle name="20% - Accent6 3 3 3 3 3 6" xfId="13559"/>
    <cellStyle name="20% - Accent6 3 3 3 3 4" xfId="13560"/>
    <cellStyle name="20% - Accent6 3 3 3 3 4 2" xfId="13561"/>
    <cellStyle name="20% - Accent6 3 3 3 3 4 2 2" xfId="13562"/>
    <cellStyle name="20% - Accent6 3 3 3 3 4 2 2 2" xfId="13563"/>
    <cellStyle name="20% - Accent6 3 3 3 3 4 2 3" xfId="13564"/>
    <cellStyle name="20% - Accent6 3 3 3 3 4 3" xfId="13565"/>
    <cellStyle name="20% - Accent6 3 3 3 3 4 3 2" xfId="13566"/>
    <cellStyle name="20% - Accent6 3 3 3 3 4 4" xfId="13567"/>
    <cellStyle name="20% - Accent6 3 3 3 3 5" xfId="13568"/>
    <cellStyle name="20% - Accent6 3 3 3 3 5 2" xfId="13569"/>
    <cellStyle name="20% - Accent6 3 3 3 3 5 2 2" xfId="13570"/>
    <cellStyle name="20% - Accent6 3 3 3 3 5 3" xfId="13571"/>
    <cellStyle name="20% - Accent6 3 3 3 3 6" xfId="13572"/>
    <cellStyle name="20% - Accent6 3 3 3 3 6 2" xfId="13573"/>
    <cellStyle name="20% - Accent6 3 3 3 3 7" xfId="13574"/>
    <cellStyle name="20% - Accent6 3 3 3 3 7 2" xfId="13575"/>
    <cellStyle name="20% - Accent6 3 3 3 3 8" xfId="13576"/>
    <cellStyle name="20% - Accent6 3 3 3 4" xfId="13577"/>
    <cellStyle name="20% - Accent6 3 3 3 4 2" xfId="13578"/>
    <cellStyle name="20% - Accent6 3 3 3 4 2 2" xfId="13579"/>
    <cellStyle name="20% - Accent6 3 3 3 4 2 2 2" xfId="13580"/>
    <cellStyle name="20% - Accent6 3 3 3 4 2 2 2 2" xfId="13581"/>
    <cellStyle name="20% - Accent6 3 3 3 4 2 2 3" xfId="13582"/>
    <cellStyle name="20% - Accent6 3 3 3 4 2 3" xfId="13583"/>
    <cellStyle name="20% - Accent6 3 3 3 4 2 3 2" xfId="13584"/>
    <cellStyle name="20% - Accent6 3 3 3 4 2 4" xfId="13585"/>
    <cellStyle name="20% - Accent6 3 3 3 4 3" xfId="13586"/>
    <cellStyle name="20% - Accent6 3 3 3 4 3 2" xfId="13587"/>
    <cellStyle name="20% - Accent6 3 3 3 4 3 2 2" xfId="13588"/>
    <cellStyle name="20% - Accent6 3 3 3 4 3 3" xfId="13589"/>
    <cellStyle name="20% - Accent6 3 3 3 4 4" xfId="13590"/>
    <cellStyle name="20% - Accent6 3 3 3 4 4 2" xfId="13591"/>
    <cellStyle name="20% - Accent6 3 3 3 4 5" xfId="13592"/>
    <cellStyle name="20% - Accent6 3 3 3 4 5 2" xfId="13593"/>
    <cellStyle name="20% - Accent6 3 3 3 4 6" xfId="13594"/>
    <cellStyle name="20% - Accent6 3 3 3 5" xfId="13595"/>
    <cellStyle name="20% - Accent6 3 3 3 5 2" xfId="13596"/>
    <cellStyle name="20% - Accent6 3 3 3 5 2 2" xfId="13597"/>
    <cellStyle name="20% - Accent6 3 3 3 5 2 2 2" xfId="13598"/>
    <cellStyle name="20% - Accent6 3 3 3 5 2 2 2 2" xfId="13599"/>
    <cellStyle name="20% - Accent6 3 3 3 5 2 2 3" xfId="13600"/>
    <cellStyle name="20% - Accent6 3 3 3 5 2 3" xfId="13601"/>
    <cellStyle name="20% - Accent6 3 3 3 5 2 3 2" xfId="13602"/>
    <cellStyle name="20% - Accent6 3 3 3 5 2 4" xfId="13603"/>
    <cellStyle name="20% - Accent6 3 3 3 5 3" xfId="13604"/>
    <cellStyle name="20% - Accent6 3 3 3 5 3 2" xfId="13605"/>
    <cellStyle name="20% - Accent6 3 3 3 5 3 2 2" xfId="13606"/>
    <cellStyle name="20% - Accent6 3 3 3 5 3 3" xfId="13607"/>
    <cellStyle name="20% - Accent6 3 3 3 5 4" xfId="13608"/>
    <cellStyle name="20% - Accent6 3 3 3 5 4 2" xfId="13609"/>
    <cellStyle name="20% - Accent6 3 3 3 5 5" xfId="13610"/>
    <cellStyle name="20% - Accent6 3 3 3 5 5 2" xfId="13611"/>
    <cellStyle name="20% - Accent6 3 3 3 5 6" xfId="13612"/>
    <cellStyle name="20% - Accent6 3 3 3 6" xfId="13613"/>
    <cellStyle name="20% - Accent6 3 3 3 6 2" xfId="13614"/>
    <cellStyle name="20% - Accent6 3 3 3 6 2 2" xfId="13615"/>
    <cellStyle name="20% - Accent6 3 3 3 6 2 2 2" xfId="13616"/>
    <cellStyle name="20% - Accent6 3 3 3 6 2 2 2 2" xfId="13617"/>
    <cellStyle name="20% - Accent6 3 3 3 6 2 2 3" xfId="13618"/>
    <cellStyle name="20% - Accent6 3 3 3 6 2 3" xfId="13619"/>
    <cellStyle name="20% - Accent6 3 3 3 6 2 3 2" xfId="13620"/>
    <cellStyle name="20% - Accent6 3 3 3 6 2 4" xfId="13621"/>
    <cellStyle name="20% - Accent6 3 3 3 6 3" xfId="13622"/>
    <cellStyle name="20% - Accent6 3 3 3 6 3 2" xfId="13623"/>
    <cellStyle name="20% - Accent6 3 3 3 6 3 2 2" xfId="13624"/>
    <cellStyle name="20% - Accent6 3 3 3 6 3 3" xfId="13625"/>
    <cellStyle name="20% - Accent6 3 3 3 6 4" xfId="13626"/>
    <cellStyle name="20% - Accent6 3 3 3 6 4 2" xfId="13627"/>
    <cellStyle name="20% - Accent6 3 3 3 6 5" xfId="13628"/>
    <cellStyle name="20% - Accent6 3 3 3 6 5 2" xfId="13629"/>
    <cellStyle name="20% - Accent6 3 3 3 6 6" xfId="13630"/>
    <cellStyle name="20% - Accent6 3 3 3 7" xfId="13631"/>
    <cellStyle name="20% - Accent6 3 3 3 7 2" xfId="13632"/>
    <cellStyle name="20% - Accent6 3 3 3 7 2 2" xfId="13633"/>
    <cellStyle name="20% - Accent6 3 3 3 7 2 2 2" xfId="13634"/>
    <cellStyle name="20% - Accent6 3 3 3 7 2 3" xfId="13635"/>
    <cellStyle name="20% - Accent6 3 3 3 7 3" xfId="13636"/>
    <cellStyle name="20% - Accent6 3 3 3 7 3 2" xfId="13637"/>
    <cellStyle name="20% - Accent6 3 3 3 7 4" xfId="13638"/>
    <cellStyle name="20% - Accent6 3 3 3 8" xfId="13639"/>
    <cellStyle name="20% - Accent6 3 3 3 8 2" xfId="13640"/>
    <cellStyle name="20% - Accent6 3 3 3 8 2 2" xfId="13641"/>
    <cellStyle name="20% - Accent6 3 3 3 8 3" xfId="13642"/>
    <cellStyle name="20% - Accent6 3 3 3 9" xfId="13643"/>
    <cellStyle name="20% - Accent6 3 3 3 9 2" xfId="13644"/>
    <cellStyle name="20% - Accent6 3 3 4" xfId="13645"/>
    <cellStyle name="20% - Accent6 3 3 4 2" xfId="13646"/>
    <cellStyle name="20% - Accent6 3 3 4 2 2" xfId="13647"/>
    <cellStyle name="20% - Accent6 3 3 4 2 2 2" xfId="13648"/>
    <cellStyle name="20% - Accent6 3 3 4 2 2 2 2" xfId="13649"/>
    <cellStyle name="20% - Accent6 3 3 4 2 2 2 2 2" xfId="13650"/>
    <cellStyle name="20% - Accent6 3 3 4 2 2 2 3" xfId="13651"/>
    <cellStyle name="20% - Accent6 3 3 4 2 2 3" xfId="13652"/>
    <cellStyle name="20% - Accent6 3 3 4 2 2 3 2" xfId="13653"/>
    <cellStyle name="20% - Accent6 3 3 4 2 2 4" xfId="13654"/>
    <cellStyle name="20% - Accent6 3 3 4 2 3" xfId="13655"/>
    <cellStyle name="20% - Accent6 3 3 4 2 3 2" xfId="13656"/>
    <cellStyle name="20% - Accent6 3 3 4 2 3 2 2" xfId="13657"/>
    <cellStyle name="20% - Accent6 3 3 4 2 3 3" xfId="13658"/>
    <cellStyle name="20% - Accent6 3 3 4 2 4" xfId="13659"/>
    <cellStyle name="20% - Accent6 3 3 4 2 4 2" xfId="13660"/>
    <cellStyle name="20% - Accent6 3 3 4 2 5" xfId="13661"/>
    <cellStyle name="20% - Accent6 3 3 4 2 5 2" xfId="13662"/>
    <cellStyle name="20% - Accent6 3 3 4 2 6" xfId="13663"/>
    <cellStyle name="20% - Accent6 3 3 4 3" xfId="13664"/>
    <cellStyle name="20% - Accent6 3 3 4 3 2" xfId="13665"/>
    <cellStyle name="20% - Accent6 3 3 4 3 2 2" xfId="13666"/>
    <cellStyle name="20% - Accent6 3 3 4 3 2 2 2" xfId="13667"/>
    <cellStyle name="20% - Accent6 3 3 4 3 2 2 2 2" xfId="13668"/>
    <cellStyle name="20% - Accent6 3 3 4 3 2 2 3" xfId="13669"/>
    <cellStyle name="20% - Accent6 3 3 4 3 2 3" xfId="13670"/>
    <cellStyle name="20% - Accent6 3 3 4 3 2 3 2" xfId="13671"/>
    <cellStyle name="20% - Accent6 3 3 4 3 2 4" xfId="13672"/>
    <cellStyle name="20% - Accent6 3 3 4 3 3" xfId="13673"/>
    <cellStyle name="20% - Accent6 3 3 4 3 3 2" xfId="13674"/>
    <cellStyle name="20% - Accent6 3 3 4 3 3 2 2" xfId="13675"/>
    <cellStyle name="20% - Accent6 3 3 4 3 3 3" xfId="13676"/>
    <cellStyle name="20% - Accent6 3 3 4 3 4" xfId="13677"/>
    <cellStyle name="20% - Accent6 3 3 4 3 4 2" xfId="13678"/>
    <cellStyle name="20% - Accent6 3 3 4 3 5" xfId="13679"/>
    <cellStyle name="20% - Accent6 3 3 4 3 5 2" xfId="13680"/>
    <cellStyle name="20% - Accent6 3 3 4 3 6" xfId="13681"/>
    <cellStyle name="20% - Accent6 3 3 4 4" xfId="13682"/>
    <cellStyle name="20% - Accent6 3 3 4 4 2" xfId="13683"/>
    <cellStyle name="20% - Accent6 3 3 4 4 2 2" xfId="13684"/>
    <cellStyle name="20% - Accent6 3 3 4 4 2 2 2" xfId="13685"/>
    <cellStyle name="20% - Accent6 3 3 4 4 2 3" xfId="13686"/>
    <cellStyle name="20% - Accent6 3 3 4 4 3" xfId="13687"/>
    <cellStyle name="20% - Accent6 3 3 4 4 3 2" xfId="13688"/>
    <cellStyle name="20% - Accent6 3 3 4 4 4" xfId="13689"/>
    <cellStyle name="20% - Accent6 3 3 4 5" xfId="13690"/>
    <cellStyle name="20% - Accent6 3 3 4 5 2" xfId="13691"/>
    <cellStyle name="20% - Accent6 3 3 4 5 2 2" xfId="13692"/>
    <cellStyle name="20% - Accent6 3 3 4 5 3" xfId="13693"/>
    <cellStyle name="20% - Accent6 3 3 4 6" xfId="13694"/>
    <cellStyle name="20% - Accent6 3 3 4 6 2" xfId="13695"/>
    <cellStyle name="20% - Accent6 3 3 4 7" xfId="13696"/>
    <cellStyle name="20% - Accent6 3 3 4 7 2" xfId="13697"/>
    <cellStyle name="20% - Accent6 3 3 4 8" xfId="13698"/>
    <cellStyle name="20% - Accent6 3 3 5" xfId="13699"/>
    <cellStyle name="20% - Accent6 3 3 5 2" xfId="13700"/>
    <cellStyle name="20% - Accent6 3 3 5 2 2" xfId="13701"/>
    <cellStyle name="20% - Accent6 3 3 5 2 2 2" xfId="13702"/>
    <cellStyle name="20% - Accent6 3 3 5 2 2 2 2" xfId="13703"/>
    <cellStyle name="20% - Accent6 3 3 5 2 2 2 2 2" xfId="13704"/>
    <cellStyle name="20% - Accent6 3 3 5 2 2 2 3" xfId="13705"/>
    <cellStyle name="20% - Accent6 3 3 5 2 2 3" xfId="13706"/>
    <cellStyle name="20% - Accent6 3 3 5 2 2 3 2" xfId="13707"/>
    <cellStyle name="20% - Accent6 3 3 5 2 2 4" xfId="13708"/>
    <cellStyle name="20% - Accent6 3 3 5 2 3" xfId="13709"/>
    <cellStyle name="20% - Accent6 3 3 5 2 3 2" xfId="13710"/>
    <cellStyle name="20% - Accent6 3 3 5 2 3 2 2" xfId="13711"/>
    <cellStyle name="20% - Accent6 3 3 5 2 3 3" xfId="13712"/>
    <cellStyle name="20% - Accent6 3 3 5 2 4" xfId="13713"/>
    <cellStyle name="20% - Accent6 3 3 5 2 4 2" xfId="13714"/>
    <cellStyle name="20% - Accent6 3 3 5 2 5" xfId="13715"/>
    <cellStyle name="20% - Accent6 3 3 5 2 5 2" xfId="13716"/>
    <cellStyle name="20% - Accent6 3 3 5 2 6" xfId="13717"/>
    <cellStyle name="20% - Accent6 3 3 5 3" xfId="13718"/>
    <cellStyle name="20% - Accent6 3 3 5 3 2" xfId="13719"/>
    <cellStyle name="20% - Accent6 3 3 5 3 2 2" xfId="13720"/>
    <cellStyle name="20% - Accent6 3 3 5 3 2 2 2" xfId="13721"/>
    <cellStyle name="20% - Accent6 3 3 5 3 2 2 2 2" xfId="13722"/>
    <cellStyle name="20% - Accent6 3 3 5 3 2 2 3" xfId="13723"/>
    <cellStyle name="20% - Accent6 3 3 5 3 2 3" xfId="13724"/>
    <cellStyle name="20% - Accent6 3 3 5 3 2 3 2" xfId="13725"/>
    <cellStyle name="20% - Accent6 3 3 5 3 2 4" xfId="13726"/>
    <cellStyle name="20% - Accent6 3 3 5 3 3" xfId="13727"/>
    <cellStyle name="20% - Accent6 3 3 5 3 3 2" xfId="13728"/>
    <cellStyle name="20% - Accent6 3 3 5 3 3 2 2" xfId="13729"/>
    <cellStyle name="20% - Accent6 3 3 5 3 3 3" xfId="13730"/>
    <cellStyle name="20% - Accent6 3 3 5 3 4" xfId="13731"/>
    <cellStyle name="20% - Accent6 3 3 5 3 4 2" xfId="13732"/>
    <cellStyle name="20% - Accent6 3 3 5 3 5" xfId="13733"/>
    <cellStyle name="20% - Accent6 3 3 5 3 5 2" xfId="13734"/>
    <cellStyle name="20% - Accent6 3 3 5 3 6" xfId="13735"/>
    <cellStyle name="20% - Accent6 3 3 5 4" xfId="13736"/>
    <cellStyle name="20% - Accent6 3 3 5 4 2" xfId="13737"/>
    <cellStyle name="20% - Accent6 3 3 5 4 2 2" xfId="13738"/>
    <cellStyle name="20% - Accent6 3 3 5 4 2 2 2" xfId="13739"/>
    <cellStyle name="20% - Accent6 3 3 5 4 2 3" xfId="13740"/>
    <cellStyle name="20% - Accent6 3 3 5 4 3" xfId="13741"/>
    <cellStyle name="20% - Accent6 3 3 5 4 3 2" xfId="13742"/>
    <cellStyle name="20% - Accent6 3 3 5 4 4" xfId="13743"/>
    <cellStyle name="20% - Accent6 3 3 5 5" xfId="13744"/>
    <cellStyle name="20% - Accent6 3 3 5 5 2" xfId="13745"/>
    <cellStyle name="20% - Accent6 3 3 5 5 2 2" xfId="13746"/>
    <cellStyle name="20% - Accent6 3 3 5 5 3" xfId="13747"/>
    <cellStyle name="20% - Accent6 3 3 5 6" xfId="13748"/>
    <cellStyle name="20% - Accent6 3 3 5 6 2" xfId="13749"/>
    <cellStyle name="20% - Accent6 3 3 5 7" xfId="13750"/>
    <cellStyle name="20% - Accent6 3 3 5 7 2" xfId="13751"/>
    <cellStyle name="20% - Accent6 3 3 5 8" xfId="13752"/>
    <cellStyle name="20% - Accent6 3 3 6" xfId="13753"/>
    <cellStyle name="20% - Accent6 3 3 6 2" xfId="13754"/>
    <cellStyle name="20% - Accent6 3 3 6 2 2" xfId="13755"/>
    <cellStyle name="20% - Accent6 3 3 6 2 2 2" xfId="13756"/>
    <cellStyle name="20% - Accent6 3 3 6 2 2 2 2" xfId="13757"/>
    <cellStyle name="20% - Accent6 3 3 6 2 2 3" xfId="13758"/>
    <cellStyle name="20% - Accent6 3 3 6 2 3" xfId="13759"/>
    <cellStyle name="20% - Accent6 3 3 6 2 3 2" xfId="13760"/>
    <cellStyle name="20% - Accent6 3 3 6 2 4" xfId="13761"/>
    <cellStyle name="20% - Accent6 3 3 6 3" xfId="13762"/>
    <cellStyle name="20% - Accent6 3 3 6 3 2" xfId="13763"/>
    <cellStyle name="20% - Accent6 3 3 6 3 2 2" xfId="13764"/>
    <cellStyle name="20% - Accent6 3 3 6 3 3" xfId="13765"/>
    <cellStyle name="20% - Accent6 3 3 6 4" xfId="13766"/>
    <cellStyle name="20% - Accent6 3 3 6 4 2" xfId="13767"/>
    <cellStyle name="20% - Accent6 3 3 6 5" xfId="13768"/>
    <cellStyle name="20% - Accent6 3 3 6 5 2" xfId="13769"/>
    <cellStyle name="20% - Accent6 3 3 6 6" xfId="13770"/>
    <cellStyle name="20% - Accent6 3 3 7" xfId="13771"/>
    <cellStyle name="20% - Accent6 3 3 7 2" xfId="13772"/>
    <cellStyle name="20% - Accent6 3 3 7 2 2" xfId="13773"/>
    <cellStyle name="20% - Accent6 3 3 7 2 2 2" xfId="13774"/>
    <cellStyle name="20% - Accent6 3 3 7 2 2 2 2" xfId="13775"/>
    <cellStyle name="20% - Accent6 3 3 7 2 2 3" xfId="13776"/>
    <cellStyle name="20% - Accent6 3 3 7 2 3" xfId="13777"/>
    <cellStyle name="20% - Accent6 3 3 7 2 3 2" xfId="13778"/>
    <cellStyle name="20% - Accent6 3 3 7 2 4" xfId="13779"/>
    <cellStyle name="20% - Accent6 3 3 7 3" xfId="13780"/>
    <cellStyle name="20% - Accent6 3 3 7 3 2" xfId="13781"/>
    <cellStyle name="20% - Accent6 3 3 7 3 2 2" xfId="13782"/>
    <cellStyle name="20% - Accent6 3 3 7 3 3" xfId="13783"/>
    <cellStyle name="20% - Accent6 3 3 7 4" xfId="13784"/>
    <cellStyle name="20% - Accent6 3 3 7 4 2" xfId="13785"/>
    <cellStyle name="20% - Accent6 3 3 7 5" xfId="13786"/>
    <cellStyle name="20% - Accent6 3 3 7 5 2" xfId="13787"/>
    <cellStyle name="20% - Accent6 3 3 7 6" xfId="13788"/>
    <cellStyle name="20% - Accent6 3 3 8" xfId="13789"/>
    <cellStyle name="20% - Accent6 3 3 8 2" xfId="13790"/>
    <cellStyle name="20% - Accent6 3 3 8 2 2" xfId="13791"/>
    <cellStyle name="20% - Accent6 3 3 8 2 2 2" xfId="13792"/>
    <cellStyle name="20% - Accent6 3 3 8 2 2 2 2" xfId="13793"/>
    <cellStyle name="20% - Accent6 3 3 8 2 2 3" xfId="13794"/>
    <cellStyle name="20% - Accent6 3 3 8 2 3" xfId="13795"/>
    <cellStyle name="20% - Accent6 3 3 8 2 3 2" xfId="13796"/>
    <cellStyle name="20% - Accent6 3 3 8 2 4" xfId="13797"/>
    <cellStyle name="20% - Accent6 3 3 8 3" xfId="13798"/>
    <cellStyle name="20% - Accent6 3 3 8 3 2" xfId="13799"/>
    <cellStyle name="20% - Accent6 3 3 8 3 2 2" xfId="13800"/>
    <cellStyle name="20% - Accent6 3 3 8 3 3" xfId="13801"/>
    <cellStyle name="20% - Accent6 3 3 8 4" xfId="13802"/>
    <cellStyle name="20% - Accent6 3 3 8 4 2" xfId="13803"/>
    <cellStyle name="20% - Accent6 3 3 8 5" xfId="13804"/>
    <cellStyle name="20% - Accent6 3 3 8 5 2" xfId="13805"/>
    <cellStyle name="20% - Accent6 3 3 8 6" xfId="13806"/>
    <cellStyle name="20% - Accent6 3 3 9" xfId="13807"/>
    <cellStyle name="20% - Accent6 3 3 9 2" xfId="13808"/>
    <cellStyle name="20% - Accent6 3 3 9 2 2" xfId="13809"/>
    <cellStyle name="20% - Accent6 3 3 9 2 2 2" xfId="13810"/>
    <cellStyle name="20% - Accent6 3 3 9 2 2 2 2" xfId="13811"/>
    <cellStyle name="20% - Accent6 3 3 9 2 2 3" xfId="13812"/>
    <cellStyle name="20% - Accent6 3 3 9 2 3" xfId="13813"/>
    <cellStyle name="20% - Accent6 3 3 9 2 3 2" xfId="13814"/>
    <cellStyle name="20% - Accent6 3 3 9 2 4" xfId="13815"/>
    <cellStyle name="20% - Accent6 3 3 9 3" xfId="13816"/>
    <cellStyle name="20% - Accent6 3 3 9 3 2" xfId="13817"/>
    <cellStyle name="20% - Accent6 3 3 9 3 2 2" xfId="13818"/>
    <cellStyle name="20% - Accent6 3 3 9 3 3" xfId="13819"/>
    <cellStyle name="20% - Accent6 3 3 9 4" xfId="13820"/>
    <cellStyle name="20% - Accent6 3 3 9 4 2" xfId="13821"/>
    <cellStyle name="20% - Accent6 3 3 9 5" xfId="13822"/>
    <cellStyle name="20% - Accent6 3 3 9 5 2" xfId="13823"/>
    <cellStyle name="20% - Accent6 3 3 9 6" xfId="13824"/>
    <cellStyle name="20% - Accent6 3 4" xfId="13825"/>
    <cellStyle name="20% - Accent6 3 4 10" xfId="13826"/>
    <cellStyle name="20% - Accent6 3 4 10 2" xfId="13827"/>
    <cellStyle name="20% - Accent6 3 4 11" xfId="13828"/>
    <cellStyle name="20% - Accent6 3 4 2" xfId="13829"/>
    <cellStyle name="20% - Accent6 3 4 2 2" xfId="13830"/>
    <cellStyle name="20% - Accent6 3 4 2 2 2" xfId="13831"/>
    <cellStyle name="20% - Accent6 3 4 2 2 2 2" xfId="13832"/>
    <cellStyle name="20% - Accent6 3 4 2 2 2 2 2" xfId="13833"/>
    <cellStyle name="20% - Accent6 3 4 2 2 2 2 2 2" xfId="13834"/>
    <cellStyle name="20% - Accent6 3 4 2 2 2 2 3" xfId="13835"/>
    <cellStyle name="20% - Accent6 3 4 2 2 2 3" xfId="13836"/>
    <cellStyle name="20% - Accent6 3 4 2 2 2 3 2" xfId="13837"/>
    <cellStyle name="20% - Accent6 3 4 2 2 2 4" xfId="13838"/>
    <cellStyle name="20% - Accent6 3 4 2 2 3" xfId="13839"/>
    <cellStyle name="20% - Accent6 3 4 2 2 3 2" xfId="13840"/>
    <cellStyle name="20% - Accent6 3 4 2 2 3 2 2" xfId="13841"/>
    <cellStyle name="20% - Accent6 3 4 2 2 3 3" xfId="13842"/>
    <cellStyle name="20% - Accent6 3 4 2 2 4" xfId="13843"/>
    <cellStyle name="20% - Accent6 3 4 2 2 4 2" xfId="13844"/>
    <cellStyle name="20% - Accent6 3 4 2 2 5" xfId="13845"/>
    <cellStyle name="20% - Accent6 3 4 2 2 5 2" xfId="13846"/>
    <cellStyle name="20% - Accent6 3 4 2 2 6" xfId="13847"/>
    <cellStyle name="20% - Accent6 3 4 2 3" xfId="13848"/>
    <cellStyle name="20% - Accent6 3 4 2 3 2" xfId="13849"/>
    <cellStyle name="20% - Accent6 3 4 2 3 2 2" xfId="13850"/>
    <cellStyle name="20% - Accent6 3 4 2 3 2 2 2" xfId="13851"/>
    <cellStyle name="20% - Accent6 3 4 2 3 2 2 2 2" xfId="13852"/>
    <cellStyle name="20% - Accent6 3 4 2 3 2 2 3" xfId="13853"/>
    <cellStyle name="20% - Accent6 3 4 2 3 2 3" xfId="13854"/>
    <cellStyle name="20% - Accent6 3 4 2 3 2 3 2" xfId="13855"/>
    <cellStyle name="20% - Accent6 3 4 2 3 2 4" xfId="13856"/>
    <cellStyle name="20% - Accent6 3 4 2 3 3" xfId="13857"/>
    <cellStyle name="20% - Accent6 3 4 2 3 3 2" xfId="13858"/>
    <cellStyle name="20% - Accent6 3 4 2 3 3 2 2" xfId="13859"/>
    <cellStyle name="20% - Accent6 3 4 2 3 3 3" xfId="13860"/>
    <cellStyle name="20% - Accent6 3 4 2 3 4" xfId="13861"/>
    <cellStyle name="20% - Accent6 3 4 2 3 4 2" xfId="13862"/>
    <cellStyle name="20% - Accent6 3 4 2 3 5" xfId="13863"/>
    <cellStyle name="20% - Accent6 3 4 2 3 5 2" xfId="13864"/>
    <cellStyle name="20% - Accent6 3 4 2 3 6" xfId="13865"/>
    <cellStyle name="20% - Accent6 3 4 2 4" xfId="13866"/>
    <cellStyle name="20% - Accent6 3 4 2 4 2" xfId="13867"/>
    <cellStyle name="20% - Accent6 3 4 2 4 2 2" xfId="13868"/>
    <cellStyle name="20% - Accent6 3 4 2 4 2 2 2" xfId="13869"/>
    <cellStyle name="20% - Accent6 3 4 2 4 2 3" xfId="13870"/>
    <cellStyle name="20% - Accent6 3 4 2 4 3" xfId="13871"/>
    <cellStyle name="20% - Accent6 3 4 2 4 3 2" xfId="13872"/>
    <cellStyle name="20% - Accent6 3 4 2 4 4" xfId="13873"/>
    <cellStyle name="20% - Accent6 3 4 2 5" xfId="13874"/>
    <cellStyle name="20% - Accent6 3 4 2 5 2" xfId="13875"/>
    <cellStyle name="20% - Accent6 3 4 2 5 2 2" xfId="13876"/>
    <cellStyle name="20% - Accent6 3 4 2 5 3" xfId="13877"/>
    <cellStyle name="20% - Accent6 3 4 2 6" xfId="13878"/>
    <cellStyle name="20% - Accent6 3 4 2 6 2" xfId="13879"/>
    <cellStyle name="20% - Accent6 3 4 2 7" xfId="13880"/>
    <cellStyle name="20% - Accent6 3 4 2 7 2" xfId="13881"/>
    <cellStyle name="20% - Accent6 3 4 2 8" xfId="13882"/>
    <cellStyle name="20% - Accent6 3 4 3" xfId="13883"/>
    <cellStyle name="20% - Accent6 3 4 3 2" xfId="13884"/>
    <cellStyle name="20% - Accent6 3 4 3 2 2" xfId="13885"/>
    <cellStyle name="20% - Accent6 3 4 3 2 2 2" xfId="13886"/>
    <cellStyle name="20% - Accent6 3 4 3 2 2 2 2" xfId="13887"/>
    <cellStyle name="20% - Accent6 3 4 3 2 2 2 2 2" xfId="13888"/>
    <cellStyle name="20% - Accent6 3 4 3 2 2 2 3" xfId="13889"/>
    <cellStyle name="20% - Accent6 3 4 3 2 2 3" xfId="13890"/>
    <cellStyle name="20% - Accent6 3 4 3 2 2 3 2" xfId="13891"/>
    <cellStyle name="20% - Accent6 3 4 3 2 2 4" xfId="13892"/>
    <cellStyle name="20% - Accent6 3 4 3 2 3" xfId="13893"/>
    <cellStyle name="20% - Accent6 3 4 3 2 3 2" xfId="13894"/>
    <cellStyle name="20% - Accent6 3 4 3 2 3 2 2" xfId="13895"/>
    <cellStyle name="20% - Accent6 3 4 3 2 3 3" xfId="13896"/>
    <cellStyle name="20% - Accent6 3 4 3 2 4" xfId="13897"/>
    <cellStyle name="20% - Accent6 3 4 3 2 4 2" xfId="13898"/>
    <cellStyle name="20% - Accent6 3 4 3 2 5" xfId="13899"/>
    <cellStyle name="20% - Accent6 3 4 3 2 5 2" xfId="13900"/>
    <cellStyle name="20% - Accent6 3 4 3 2 6" xfId="13901"/>
    <cellStyle name="20% - Accent6 3 4 3 3" xfId="13902"/>
    <cellStyle name="20% - Accent6 3 4 3 3 2" xfId="13903"/>
    <cellStyle name="20% - Accent6 3 4 3 3 2 2" xfId="13904"/>
    <cellStyle name="20% - Accent6 3 4 3 3 2 2 2" xfId="13905"/>
    <cellStyle name="20% - Accent6 3 4 3 3 2 2 2 2" xfId="13906"/>
    <cellStyle name="20% - Accent6 3 4 3 3 2 2 3" xfId="13907"/>
    <cellStyle name="20% - Accent6 3 4 3 3 2 3" xfId="13908"/>
    <cellStyle name="20% - Accent6 3 4 3 3 2 3 2" xfId="13909"/>
    <cellStyle name="20% - Accent6 3 4 3 3 2 4" xfId="13910"/>
    <cellStyle name="20% - Accent6 3 4 3 3 3" xfId="13911"/>
    <cellStyle name="20% - Accent6 3 4 3 3 3 2" xfId="13912"/>
    <cellStyle name="20% - Accent6 3 4 3 3 3 2 2" xfId="13913"/>
    <cellStyle name="20% - Accent6 3 4 3 3 3 3" xfId="13914"/>
    <cellStyle name="20% - Accent6 3 4 3 3 4" xfId="13915"/>
    <cellStyle name="20% - Accent6 3 4 3 3 4 2" xfId="13916"/>
    <cellStyle name="20% - Accent6 3 4 3 3 5" xfId="13917"/>
    <cellStyle name="20% - Accent6 3 4 3 3 5 2" xfId="13918"/>
    <cellStyle name="20% - Accent6 3 4 3 3 6" xfId="13919"/>
    <cellStyle name="20% - Accent6 3 4 3 4" xfId="13920"/>
    <cellStyle name="20% - Accent6 3 4 3 4 2" xfId="13921"/>
    <cellStyle name="20% - Accent6 3 4 3 4 2 2" xfId="13922"/>
    <cellStyle name="20% - Accent6 3 4 3 4 2 2 2" xfId="13923"/>
    <cellStyle name="20% - Accent6 3 4 3 4 2 3" xfId="13924"/>
    <cellStyle name="20% - Accent6 3 4 3 4 3" xfId="13925"/>
    <cellStyle name="20% - Accent6 3 4 3 4 3 2" xfId="13926"/>
    <cellStyle name="20% - Accent6 3 4 3 4 4" xfId="13927"/>
    <cellStyle name="20% - Accent6 3 4 3 5" xfId="13928"/>
    <cellStyle name="20% - Accent6 3 4 3 5 2" xfId="13929"/>
    <cellStyle name="20% - Accent6 3 4 3 5 2 2" xfId="13930"/>
    <cellStyle name="20% - Accent6 3 4 3 5 3" xfId="13931"/>
    <cellStyle name="20% - Accent6 3 4 3 6" xfId="13932"/>
    <cellStyle name="20% - Accent6 3 4 3 6 2" xfId="13933"/>
    <cellStyle name="20% - Accent6 3 4 3 7" xfId="13934"/>
    <cellStyle name="20% - Accent6 3 4 3 7 2" xfId="13935"/>
    <cellStyle name="20% - Accent6 3 4 3 8" xfId="13936"/>
    <cellStyle name="20% - Accent6 3 4 4" xfId="13937"/>
    <cellStyle name="20% - Accent6 3 4 4 2" xfId="13938"/>
    <cellStyle name="20% - Accent6 3 4 4 2 2" xfId="13939"/>
    <cellStyle name="20% - Accent6 3 4 4 2 2 2" xfId="13940"/>
    <cellStyle name="20% - Accent6 3 4 4 2 2 2 2" xfId="13941"/>
    <cellStyle name="20% - Accent6 3 4 4 2 2 3" xfId="13942"/>
    <cellStyle name="20% - Accent6 3 4 4 2 3" xfId="13943"/>
    <cellStyle name="20% - Accent6 3 4 4 2 3 2" xfId="13944"/>
    <cellStyle name="20% - Accent6 3 4 4 2 4" xfId="13945"/>
    <cellStyle name="20% - Accent6 3 4 4 3" xfId="13946"/>
    <cellStyle name="20% - Accent6 3 4 4 3 2" xfId="13947"/>
    <cellStyle name="20% - Accent6 3 4 4 3 2 2" xfId="13948"/>
    <cellStyle name="20% - Accent6 3 4 4 3 3" xfId="13949"/>
    <cellStyle name="20% - Accent6 3 4 4 4" xfId="13950"/>
    <cellStyle name="20% - Accent6 3 4 4 4 2" xfId="13951"/>
    <cellStyle name="20% - Accent6 3 4 4 5" xfId="13952"/>
    <cellStyle name="20% - Accent6 3 4 4 5 2" xfId="13953"/>
    <cellStyle name="20% - Accent6 3 4 4 6" xfId="13954"/>
    <cellStyle name="20% - Accent6 3 4 5" xfId="13955"/>
    <cellStyle name="20% - Accent6 3 4 5 2" xfId="13956"/>
    <cellStyle name="20% - Accent6 3 4 5 2 2" xfId="13957"/>
    <cellStyle name="20% - Accent6 3 4 5 2 2 2" xfId="13958"/>
    <cellStyle name="20% - Accent6 3 4 5 2 2 2 2" xfId="13959"/>
    <cellStyle name="20% - Accent6 3 4 5 2 2 3" xfId="13960"/>
    <cellStyle name="20% - Accent6 3 4 5 2 3" xfId="13961"/>
    <cellStyle name="20% - Accent6 3 4 5 2 3 2" xfId="13962"/>
    <cellStyle name="20% - Accent6 3 4 5 2 4" xfId="13963"/>
    <cellStyle name="20% - Accent6 3 4 5 3" xfId="13964"/>
    <cellStyle name="20% - Accent6 3 4 5 3 2" xfId="13965"/>
    <cellStyle name="20% - Accent6 3 4 5 3 2 2" xfId="13966"/>
    <cellStyle name="20% - Accent6 3 4 5 3 3" xfId="13967"/>
    <cellStyle name="20% - Accent6 3 4 5 4" xfId="13968"/>
    <cellStyle name="20% - Accent6 3 4 5 4 2" xfId="13969"/>
    <cellStyle name="20% - Accent6 3 4 5 5" xfId="13970"/>
    <cellStyle name="20% - Accent6 3 4 5 5 2" xfId="13971"/>
    <cellStyle name="20% - Accent6 3 4 5 6" xfId="13972"/>
    <cellStyle name="20% - Accent6 3 4 6" xfId="13973"/>
    <cellStyle name="20% - Accent6 3 4 6 2" xfId="13974"/>
    <cellStyle name="20% - Accent6 3 4 6 2 2" xfId="13975"/>
    <cellStyle name="20% - Accent6 3 4 6 2 2 2" xfId="13976"/>
    <cellStyle name="20% - Accent6 3 4 6 2 2 2 2" xfId="13977"/>
    <cellStyle name="20% - Accent6 3 4 6 2 2 3" xfId="13978"/>
    <cellStyle name="20% - Accent6 3 4 6 2 3" xfId="13979"/>
    <cellStyle name="20% - Accent6 3 4 6 2 3 2" xfId="13980"/>
    <cellStyle name="20% - Accent6 3 4 6 2 4" xfId="13981"/>
    <cellStyle name="20% - Accent6 3 4 6 3" xfId="13982"/>
    <cellStyle name="20% - Accent6 3 4 6 3 2" xfId="13983"/>
    <cellStyle name="20% - Accent6 3 4 6 3 2 2" xfId="13984"/>
    <cellStyle name="20% - Accent6 3 4 6 3 3" xfId="13985"/>
    <cellStyle name="20% - Accent6 3 4 6 4" xfId="13986"/>
    <cellStyle name="20% - Accent6 3 4 6 4 2" xfId="13987"/>
    <cellStyle name="20% - Accent6 3 4 6 5" xfId="13988"/>
    <cellStyle name="20% - Accent6 3 4 6 5 2" xfId="13989"/>
    <cellStyle name="20% - Accent6 3 4 6 6" xfId="13990"/>
    <cellStyle name="20% - Accent6 3 4 7" xfId="13991"/>
    <cellStyle name="20% - Accent6 3 4 7 2" xfId="13992"/>
    <cellStyle name="20% - Accent6 3 4 7 2 2" xfId="13993"/>
    <cellStyle name="20% - Accent6 3 4 7 2 2 2" xfId="13994"/>
    <cellStyle name="20% - Accent6 3 4 7 2 3" xfId="13995"/>
    <cellStyle name="20% - Accent6 3 4 7 3" xfId="13996"/>
    <cellStyle name="20% - Accent6 3 4 7 3 2" xfId="13997"/>
    <cellStyle name="20% - Accent6 3 4 7 4" xfId="13998"/>
    <cellStyle name="20% - Accent6 3 4 8" xfId="13999"/>
    <cellStyle name="20% - Accent6 3 4 8 2" xfId="14000"/>
    <cellStyle name="20% - Accent6 3 4 8 2 2" xfId="14001"/>
    <cellStyle name="20% - Accent6 3 4 8 3" xfId="14002"/>
    <cellStyle name="20% - Accent6 3 4 9" xfId="14003"/>
    <cellStyle name="20% - Accent6 3 4 9 2" xfId="14004"/>
    <cellStyle name="20% - Accent6 3 5" xfId="14005"/>
    <cellStyle name="20% - Accent6 3 5 2" xfId="14006"/>
    <cellStyle name="20% - Accent6 3 5 2 2" xfId="14007"/>
    <cellStyle name="20% - Accent6 3 5 2 2 2" xfId="14008"/>
    <cellStyle name="20% - Accent6 3 5 2 2 2 2" xfId="14009"/>
    <cellStyle name="20% - Accent6 3 5 2 2 2 2 2" xfId="14010"/>
    <cellStyle name="20% - Accent6 3 5 2 2 2 3" xfId="14011"/>
    <cellStyle name="20% - Accent6 3 5 2 2 3" xfId="14012"/>
    <cellStyle name="20% - Accent6 3 5 2 2 3 2" xfId="14013"/>
    <cellStyle name="20% - Accent6 3 5 2 2 4" xfId="14014"/>
    <cellStyle name="20% - Accent6 3 5 2 3" xfId="14015"/>
    <cellStyle name="20% - Accent6 3 5 2 3 2" xfId="14016"/>
    <cellStyle name="20% - Accent6 3 5 2 3 2 2" xfId="14017"/>
    <cellStyle name="20% - Accent6 3 5 2 3 3" xfId="14018"/>
    <cellStyle name="20% - Accent6 3 5 2 4" xfId="14019"/>
    <cellStyle name="20% - Accent6 3 5 2 4 2" xfId="14020"/>
    <cellStyle name="20% - Accent6 3 5 2 5" xfId="14021"/>
    <cellStyle name="20% - Accent6 3 5 2 5 2" xfId="14022"/>
    <cellStyle name="20% - Accent6 3 5 2 6" xfId="14023"/>
    <cellStyle name="20% - Accent6 3 5 3" xfId="14024"/>
    <cellStyle name="20% - Accent6 3 5 3 2" xfId="14025"/>
    <cellStyle name="20% - Accent6 3 5 3 2 2" xfId="14026"/>
    <cellStyle name="20% - Accent6 3 5 3 2 2 2" xfId="14027"/>
    <cellStyle name="20% - Accent6 3 5 3 2 2 2 2" xfId="14028"/>
    <cellStyle name="20% - Accent6 3 5 3 2 2 3" xfId="14029"/>
    <cellStyle name="20% - Accent6 3 5 3 2 3" xfId="14030"/>
    <cellStyle name="20% - Accent6 3 5 3 2 3 2" xfId="14031"/>
    <cellStyle name="20% - Accent6 3 5 3 2 4" xfId="14032"/>
    <cellStyle name="20% - Accent6 3 5 3 3" xfId="14033"/>
    <cellStyle name="20% - Accent6 3 5 3 3 2" xfId="14034"/>
    <cellStyle name="20% - Accent6 3 5 3 3 2 2" xfId="14035"/>
    <cellStyle name="20% - Accent6 3 5 3 3 3" xfId="14036"/>
    <cellStyle name="20% - Accent6 3 5 3 4" xfId="14037"/>
    <cellStyle name="20% - Accent6 3 5 3 4 2" xfId="14038"/>
    <cellStyle name="20% - Accent6 3 5 3 5" xfId="14039"/>
    <cellStyle name="20% - Accent6 3 5 3 5 2" xfId="14040"/>
    <cellStyle name="20% - Accent6 3 5 3 6" xfId="14041"/>
    <cellStyle name="20% - Accent6 3 5 4" xfId="14042"/>
    <cellStyle name="20% - Accent6 3 5 4 2" xfId="14043"/>
    <cellStyle name="20% - Accent6 3 5 4 2 2" xfId="14044"/>
    <cellStyle name="20% - Accent6 3 5 4 2 2 2" xfId="14045"/>
    <cellStyle name="20% - Accent6 3 5 4 2 3" xfId="14046"/>
    <cellStyle name="20% - Accent6 3 5 4 3" xfId="14047"/>
    <cellStyle name="20% - Accent6 3 5 4 3 2" xfId="14048"/>
    <cellStyle name="20% - Accent6 3 5 4 4" xfId="14049"/>
    <cellStyle name="20% - Accent6 3 5 5" xfId="14050"/>
    <cellStyle name="20% - Accent6 3 5 5 2" xfId="14051"/>
    <cellStyle name="20% - Accent6 3 5 5 2 2" xfId="14052"/>
    <cellStyle name="20% - Accent6 3 5 5 3" xfId="14053"/>
    <cellStyle name="20% - Accent6 3 5 6" xfId="14054"/>
    <cellStyle name="20% - Accent6 3 5 6 2" xfId="14055"/>
    <cellStyle name="20% - Accent6 3 5 7" xfId="14056"/>
    <cellStyle name="20% - Accent6 3 5 7 2" xfId="14057"/>
    <cellStyle name="20% - Accent6 3 5 8" xfId="14058"/>
    <cellStyle name="20% - Accent6 3 6" xfId="14059"/>
    <cellStyle name="20% - Accent6 3 6 2" xfId="14060"/>
    <cellStyle name="20% - Accent6 3 6 2 2" xfId="14061"/>
    <cellStyle name="20% - Accent6 3 6 2 2 2" xfId="14062"/>
    <cellStyle name="20% - Accent6 3 6 2 2 2 2" xfId="14063"/>
    <cellStyle name="20% - Accent6 3 6 2 2 2 2 2" xfId="14064"/>
    <cellStyle name="20% - Accent6 3 6 2 2 2 3" xfId="14065"/>
    <cellStyle name="20% - Accent6 3 6 2 2 3" xfId="14066"/>
    <cellStyle name="20% - Accent6 3 6 2 2 3 2" xfId="14067"/>
    <cellStyle name="20% - Accent6 3 6 2 2 4" xfId="14068"/>
    <cellStyle name="20% - Accent6 3 6 2 3" xfId="14069"/>
    <cellStyle name="20% - Accent6 3 6 2 3 2" xfId="14070"/>
    <cellStyle name="20% - Accent6 3 6 2 3 2 2" xfId="14071"/>
    <cellStyle name="20% - Accent6 3 6 2 3 3" xfId="14072"/>
    <cellStyle name="20% - Accent6 3 6 2 4" xfId="14073"/>
    <cellStyle name="20% - Accent6 3 6 2 4 2" xfId="14074"/>
    <cellStyle name="20% - Accent6 3 6 2 5" xfId="14075"/>
    <cellStyle name="20% - Accent6 3 6 2 5 2" xfId="14076"/>
    <cellStyle name="20% - Accent6 3 6 2 6" xfId="14077"/>
    <cellStyle name="20% - Accent6 3 6 3" xfId="14078"/>
    <cellStyle name="20% - Accent6 3 6 3 2" xfId="14079"/>
    <cellStyle name="20% - Accent6 3 6 3 2 2" xfId="14080"/>
    <cellStyle name="20% - Accent6 3 6 3 2 2 2" xfId="14081"/>
    <cellStyle name="20% - Accent6 3 6 3 2 2 2 2" xfId="14082"/>
    <cellStyle name="20% - Accent6 3 6 3 2 2 3" xfId="14083"/>
    <cellStyle name="20% - Accent6 3 6 3 2 3" xfId="14084"/>
    <cellStyle name="20% - Accent6 3 6 3 2 3 2" xfId="14085"/>
    <cellStyle name="20% - Accent6 3 6 3 2 4" xfId="14086"/>
    <cellStyle name="20% - Accent6 3 6 3 3" xfId="14087"/>
    <cellStyle name="20% - Accent6 3 6 3 3 2" xfId="14088"/>
    <cellStyle name="20% - Accent6 3 6 3 3 2 2" xfId="14089"/>
    <cellStyle name="20% - Accent6 3 6 3 3 3" xfId="14090"/>
    <cellStyle name="20% - Accent6 3 6 3 4" xfId="14091"/>
    <cellStyle name="20% - Accent6 3 6 3 4 2" xfId="14092"/>
    <cellStyle name="20% - Accent6 3 6 3 5" xfId="14093"/>
    <cellStyle name="20% - Accent6 3 6 3 5 2" xfId="14094"/>
    <cellStyle name="20% - Accent6 3 6 3 6" xfId="14095"/>
    <cellStyle name="20% - Accent6 3 6 4" xfId="14096"/>
    <cellStyle name="20% - Accent6 3 6 4 2" xfId="14097"/>
    <cellStyle name="20% - Accent6 3 6 4 2 2" xfId="14098"/>
    <cellStyle name="20% - Accent6 3 6 4 2 2 2" xfId="14099"/>
    <cellStyle name="20% - Accent6 3 6 4 2 3" xfId="14100"/>
    <cellStyle name="20% - Accent6 3 6 4 3" xfId="14101"/>
    <cellStyle name="20% - Accent6 3 6 4 3 2" xfId="14102"/>
    <cellStyle name="20% - Accent6 3 6 4 4" xfId="14103"/>
    <cellStyle name="20% - Accent6 3 6 5" xfId="14104"/>
    <cellStyle name="20% - Accent6 3 6 5 2" xfId="14105"/>
    <cellStyle name="20% - Accent6 3 6 5 2 2" xfId="14106"/>
    <cellStyle name="20% - Accent6 3 6 5 3" xfId="14107"/>
    <cellStyle name="20% - Accent6 3 6 6" xfId="14108"/>
    <cellStyle name="20% - Accent6 3 6 6 2" xfId="14109"/>
    <cellStyle name="20% - Accent6 3 6 7" xfId="14110"/>
    <cellStyle name="20% - Accent6 3 6 7 2" xfId="14111"/>
    <cellStyle name="20% - Accent6 3 6 8" xfId="14112"/>
    <cellStyle name="20% - Accent6 3 7" xfId="14113"/>
    <cellStyle name="20% - Accent6 3 7 2" xfId="14114"/>
    <cellStyle name="20% - Accent6 3 7 2 2" xfId="14115"/>
    <cellStyle name="20% - Accent6 3 7 2 2 2" xfId="14116"/>
    <cellStyle name="20% - Accent6 3 7 2 2 2 2" xfId="14117"/>
    <cellStyle name="20% - Accent6 3 7 2 2 3" xfId="14118"/>
    <cellStyle name="20% - Accent6 3 7 2 3" xfId="14119"/>
    <cellStyle name="20% - Accent6 3 7 2 3 2" xfId="14120"/>
    <cellStyle name="20% - Accent6 3 7 2 4" xfId="14121"/>
    <cellStyle name="20% - Accent6 3 7 3" xfId="14122"/>
    <cellStyle name="20% - Accent6 3 7 3 2" xfId="14123"/>
    <cellStyle name="20% - Accent6 3 7 3 2 2" xfId="14124"/>
    <cellStyle name="20% - Accent6 3 7 3 3" xfId="14125"/>
    <cellStyle name="20% - Accent6 3 7 4" xfId="14126"/>
    <cellStyle name="20% - Accent6 3 7 4 2" xfId="14127"/>
    <cellStyle name="20% - Accent6 3 7 5" xfId="14128"/>
    <cellStyle name="20% - Accent6 3 7 5 2" xfId="14129"/>
    <cellStyle name="20% - Accent6 3 7 6" xfId="14130"/>
    <cellStyle name="20% - Accent6 4" xfId="14131"/>
    <cellStyle name="20% - Accent6 4 10" xfId="14132"/>
    <cellStyle name="20% - Accent6 4 10 2" xfId="14133"/>
    <cellStyle name="20% - Accent6 4 11" xfId="14134"/>
    <cellStyle name="20% - Accent6 4 2" xfId="14135"/>
    <cellStyle name="20% - Accent6 4 2 2" xfId="14136"/>
    <cellStyle name="20% - Accent6 4 2 2 2" xfId="14137"/>
    <cellStyle name="20% - Accent6 4 2 2 2 2" xfId="14138"/>
    <cellStyle name="20% - Accent6 4 2 2 2 2 2" xfId="14139"/>
    <cellStyle name="20% - Accent6 4 2 2 2 2 2 2" xfId="14140"/>
    <cellStyle name="20% - Accent6 4 2 2 2 2 3" xfId="14141"/>
    <cellStyle name="20% - Accent6 4 2 2 2 3" xfId="14142"/>
    <cellStyle name="20% - Accent6 4 2 2 2 3 2" xfId="14143"/>
    <cellStyle name="20% - Accent6 4 2 2 2 4" xfId="14144"/>
    <cellStyle name="20% - Accent6 4 2 2 3" xfId="14145"/>
    <cellStyle name="20% - Accent6 4 2 2 3 2" xfId="14146"/>
    <cellStyle name="20% - Accent6 4 2 2 3 2 2" xfId="14147"/>
    <cellStyle name="20% - Accent6 4 2 2 3 3" xfId="14148"/>
    <cellStyle name="20% - Accent6 4 2 2 4" xfId="14149"/>
    <cellStyle name="20% - Accent6 4 2 2 4 2" xfId="14150"/>
    <cellStyle name="20% - Accent6 4 2 2 5" xfId="14151"/>
    <cellStyle name="20% - Accent6 4 2 2 5 2" xfId="14152"/>
    <cellStyle name="20% - Accent6 4 2 2 6" xfId="14153"/>
    <cellStyle name="20% - Accent6 4 2 3" xfId="14154"/>
    <cellStyle name="20% - Accent6 4 2 3 2" xfId="14155"/>
    <cellStyle name="20% - Accent6 4 2 3 2 2" xfId="14156"/>
    <cellStyle name="20% - Accent6 4 2 3 2 2 2" xfId="14157"/>
    <cellStyle name="20% - Accent6 4 2 3 2 2 2 2" xfId="14158"/>
    <cellStyle name="20% - Accent6 4 2 3 2 2 3" xfId="14159"/>
    <cellStyle name="20% - Accent6 4 2 3 2 3" xfId="14160"/>
    <cellStyle name="20% - Accent6 4 2 3 2 3 2" xfId="14161"/>
    <cellStyle name="20% - Accent6 4 2 3 2 4" xfId="14162"/>
    <cellStyle name="20% - Accent6 4 2 3 3" xfId="14163"/>
    <cellStyle name="20% - Accent6 4 2 3 3 2" xfId="14164"/>
    <cellStyle name="20% - Accent6 4 2 3 3 2 2" xfId="14165"/>
    <cellStyle name="20% - Accent6 4 2 3 3 3" xfId="14166"/>
    <cellStyle name="20% - Accent6 4 2 3 4" xfId="14167"/>
    <cellStyle name="20% - Accent6 4 2 3 4 2" xfId="14168"/>
    <cellStyle name="20% - Accent6 4 2 3 5" xfId="14169"/>
    <cellStyle name="20% - Accent6 4 2 3 5 2" xfId="14170"/>
    <cellStyle name="20% - Accent6 4 2 3 6" xfId="14171"/>
    <cellStyle name="20% - Accent6 4 2 4" xfId="14172"/>
    <cellStyle name="20% - Accent6 4 2 4 2" xfId="14173"/>
    <cellStyle name="20% - Accent6 4 2 4 2 2" xfId="14174"/>
    <cellStyle name="20% - Accent6 4 2 4 2 2 2" xfId="14175"/>
    <cellStyle name="20% - Accent6 4 2 4 2 3" xfId="14176"/>
    <cellStyle name="20% - Accent6 4 2 4 3" xfId="14177"/>
    <cellStyle name="20% - Accent6 4 2 4 3 2" xfId="14178"/>
    <cellStyle name="20% - Accent6 4 2 4 4" xfId="14179"/>
    <cellStyle name="20% - Accent6 4 2 5" xfId="14180"/>
    <cellStyle name="20% - Accent6 4 2 5 2" xfId="14181"/>
    <cellStyle name="20% - Accent6 4 2 5 2 2" xfId="14182"/>
    <cellStyle name="20% - Accent6 4 2 5 3" xfId="14183"/>
    <cellStyle name="20% - Accent6 4 2 6" xfId="14184"/>
    <cellStyle name="20% - Accent6 4 2 6 2" xfId="14185"/>
    <cellStyle name="20% - Accent6 4 2 7" xfId="14186"/>
    <cellStyle name="20% - Accent6 4 2 7 2" xfId="14187"/>
    <cellStyle name="20% - Accent6 4 2 8" xfId="14188"/>
    <cellStyle name="20% - Accent6 4 3" xfId="14189"/>
    <cellStyle name="20% - Accent6 4 3 2" xfId="14190"/>
    <cellStyle name="20% - Accent6 4 3 2 2" xfId="14191"/>
    <cellStyle name="20% - Accent6 4 3 2 2 2" xfId="14192"/>
    <cellStyle name="20% - Accent6 4 3 2 2 2 2" xfId="14193"/>
    <cellStyle name="20% - Accent6 4 3 2 2 2 2 2" xfId="14194"/>
    <cellStyle name="20% - Accent6 4 3 2 2 2 3" xfId="14195"/>
    <cellStyle name="20% - Accent6 4 3 2 2 3" xfId="14196"/>
    <cellStyle name="20% - Accent6 4 3 2 2 3 2" xfId="14197"/>
    <cellStyle name="20% - Accent6 4 3 2 2 4" xfId="14198"/>
    <cellStyle name="20% - Accent6 4 3 2 3" xfId="14199"/>
    <cellStyle name="20% - Accent6 4 3 2 3 2" xfId="14200"/>
    <cellStyle name="20% - Accent6 4 3 2 3 2 2" xfId="14201"/>
    <cellStyle name="20% - Accent6 4 3 2 3 3" xfId="14202"/>
    <cellStyle name="20% - Accent6 4 3 2 4" xfId="14203"/>
    <cellStyle name="20% - Accent6 4 3 2 4 2" xfId="14204"/>
    <cellStyle name="20% - Accent6 4 3 2 5" xfId="14205"/>
    <cellStyle name="20% - Accent6 4 3 2 5 2" xfId="14206"/>
    <cellStyle name="20% - Accent6 4 3 2 6" xfId="14207"/>
    <cellStyle name="20% - Accent6 4 3 3" xfId="14208"/>
    <cellStyle name="20% - Accent6 4 3 3 2" xfId="14209"/>
    <cellStyle name="20% - Accent6 4 3 3 2 2" xfId="14210"/>
    <cellStyle name="20% - Accent6 4 3 3 2 2 2" xfId="14211"/>
    <cellStyle name="20% - Accent6 4 3 3 2 2 2 2" xfId="14212"/>
    <cellStyle name="20% - Accent6 4 3 3 2 2 3" xfId="14213"/>
    <cellStyle name="20% - Accent6 4 3 3 2 3" xfId="14214"/>
    <cellStyle name="20% - Accent6 4 3 3 2 3 2" xfId="14215"/>
    <cellStyle name="20% - Accent6 4 3 3 2 4" xfId="14216"/>
    <cellStyle name="20% - Accent6 4 3 3 3" xfId="14217"/>
    <cellStyle name="20% - Accent6 4 3 3 3 2" xfId="14218"/>
    <cellStyle name="20% - Accent6 4 3 3 3 2 2" xfId="14219"/>
    <cellStyle name="20% - Accent6 4 3 3 3 3" xfId="14220"/>
    <cellStyle name="20% - Accent6 4 3 3 4" xfId="14221"/>
    <cellStyle name="20% - Accent6 4 3 3 4 2" xfId="14222"/>
    <cellStyle name="20% - Accent6 4 3 3 5" xfId="14223"/>
    <cellStyle name="20% - Accent6 4 3 3 5 2" xfId="14224"/>
    <cellStyle name="20% - Accent6 4 3 3 6" xfId="14225"/>
    <cellStyle name="20% - Accent6 4 3 4" xfId="14226"/>
    <cellStyle name="20% - Accent6 4 3 4 2" xfId="14227"/>
    <cellStyle name="20% - Accent6 4 3 4 2 2" xfId="14228"/>
    <cellStyle name="20% - Accent6 4 3 4 2 2 2" xfId="14229"/>
    <cellStyle name="20% - Accent6 4 3 4 2 3" xfId="14230"/>
    <cellStyle name="20% - Accent6 4 3 4 3" xfId="14231"/>
    <cellStyle name="20% - Accent6 4 3 4 3 2" xfId="14232"/>
    <cellStyle name="20% - Accent6 4 3 4 4" xfId="14233"/>
    <cellStyle name="20% - Accent6 4 3 5" xfId="14234"/>
    <cellStyle name="20% - Accent6 4 3 5 2" xfId="14235"/>
    <cellStyle name="20% - Accent6 4 3 5 2 2" xfId="14236"/>
    <cellStyle name="20% - Accent6 4 3 5 3" xfId="14237"/>
    <cellStyle name="20% - Accent6 4 3 6" xfId="14238"/>
    <cellStyle name="20% - Accent6 4 3 6 2" xfId="14239"/>
    <cellStyle name="20% - Accent6 4 3 7" xfId="14240"/>
    <cellStyle name="20% - Accent6 4 3 7 2" xfId="14241"/>
    <cellStyle name="20% - Accent6 4 3 8" xfId="14242"/>
    <cellStyle name="20% - Accent6 4 4" xfId="14243"/>
    <cellStyle name="20% - Accent6 4 4 2" xfId="14244"/>
    <cellStyle name="20% - Accent6 4 4 2 2" xfId="14245"/>
    <cellStyle name="20% - Accent6 4 4 2 2 2" xfId="14246"/>
    <cellStyle name="20% - Accent6 4 4 2 2 2 2" xfId="14247"/>
    <cellStyle name="20% - Accent6 4 4 2 2 3" xfId="14248"/>
    <cellStyle name="20% - Accent6 4 4 2 3" xfId="14249"/>
    <cellStyle name="20% - Accent6 4 4 2 3 2" xfId="14250"/>
    <cellStyle name="20% - Accent6 4 4 2 4" xfId="14251"/>
    <cellStyle name="20% - Accent6 4 4 3" xfId="14252"/>
    <cellStyle name="20% - Accent6 4 4 3 2" xfId="14253"/>
    <cellStyle name="20% - Accent6 4 4 3 2 2" xfId="14254"/>
    <cellStyle name="20% - Accent6 4 4 3 3" xfId="14255"/>
    <cellStyle name="20% - Accent6 4 4 4" xfId="14256"/>
    <cellStyle name="20% - Accent6 4 4 4 2" xfId="14257"/>
    <cellStyle name="20% - Accent6 4 4 5" xfId="14258"/>
    <cellStyle name="20% - Accent6 4 4 5 2" xfId="14259"/>
    <cellStyle name="20% - Accent6 4 4 6" xfId="14260"/>
    <cellStyle name="20% - Accent6 4 5" xfId="14261"/>
    <cellStyle name="20% - Accent6 4 5 2" xfId="14262"/>
    <cellStyle name="20% - Accent6 4 5 2 2" xfId="14263"/>
    <cellStyle name="20% - Accent6 4 5 2 2 2" xfId="14264"/>
    <cellStyle name="20% - Accent6 4 5 2 2 2 2" xfId="14265"/>
    <cellStyle name="20% - Accent6 4 5 2 2 3" xfId="14266"/>
    <cellStyle name="20% - Accent6 4 5 2 3" xfId="14267"/>
    <cellStyle name="20% - Accent6 4 5 2 3 2" xfId="14268"/>
    <cellStyle name="20% - Accent6 4 5 2 4" xfId="14269"/>
    <cellStyle name="20% - Accent6 4 5 3" xfId="14270"/>
    <cellStyle name="20% - Accent6 4 5 3 2" xfId="14271"/>
    <cellStyle name="20% - Accent6 4 5 3 2 2" xfId="14272"/>
    <cellStyle name="20% - Accent6 4 5 3 3" xfId="14273"/>
    <cellStyle name="20% - Accent6 4 5 4" xfId="14274"/>
    <cellStyle name="20% - Accent6 4 5 4 2" xfId="14275"/>
    <cellStyle name="20% - Accent6 4 5 5" xfId="14276"/>
    <cellStyle name="20% - Accent6 4 5 5 2" xfId="14277"/>
    <cellStyle name="20% - Accent6 4 5 6" xfId="14278"/>
    <cellStyle name="20% - Accent6 4 6" xfId="14279"/>
    <cellStyle name="20% - Accent6 4 6 2" xfId="14280"/>
    <cellStyle name="20% - Accent6 4 6 2 2" xfId="14281"/>
    <cellStyle name="20% - Accent6 4 6 2 2 2" xfId="14282"/>
    <cellStyle name="20% - Accent6 4 6 2 2 2 2" xfId="14283"/>
    <cellStyle name="20% - Accent6 4 6 2 2 3" xfId="14284"/>
    <cellStyle name="20% - Accent6 4 6 2 3" xfId="14285"/>
    <cellStyle name="20% - Accent6 4 6 2 3 2" xfId="14286"/>
    <cellStyle name="20% - Accent6 4 6 2 4" xfId="14287"/>
    <cellStyle name="20% - Accent6 4 6 3" xfId="14288"/>
    <cellStyle name="20% - Accent6 4 6 3 2" xfId="14289"/>
    <cellStyle name="20% - Accent6 4 6 3 2 2" xfId="14290"/>
    <cellStyle name="20% - Accent6 4 6 3 3" xfId="14291"/>
    <cellStyle name="20% - Accent6 4 6 4" xfId="14292"/>
    <cellStyle name="20% - Accent6 4 6 4 2" xfId="14293"/>
    <cellStyle name="20% - Accent6 4 6 5" xfId="14294"/>
    <cellStyle name="20% - Accent6 4 6 5 2" xfId="14295"/>
    <cellStyle name="20% - Accent6 4 6 6" xfId="14296"/>
    <cellStyle name="20% - Accent6 4 7" xfId="14297"/>
    <cellStyle name="20% - Accent6 4 7 2" xfId="14298"/>
    <cellStyle name="20% - Accent6 4 7 2 2" xfId="14299"/>
    <cellStyle name="20% - Accent6 4 7 2 2 2" xfId="14300"/>
    <cellStyle name="20% - Accent6 4 7 2 3" xfId="14301"/>
    <cellStyle name="20% - Accent6 4 7 3" xfId="14302"/>
    <cellStyle name="20% - Accent6 4 7 3 2" xfId="14303"/>
    <cellStyle name="20% - Accent6 4 7 4" xfId="14304"/>
    <cellStyle name="20% - Accent6 4 8" xfId="14305"/>
    <cellStyle name="20% - Accent6 4 8 2" xfId="14306"/>
    <cellStyle name="20% - Accent6 4 8 2 2" xfId="14307"/>
    <cellStyle name="20% - Accent6 4 8 3" xfId="14308"/>
    <cellStyle name="20% - Accent6 4 9" xfId="14309"/>
    <cellStyle name="20% - Accent6 4 9 2" xfId="14310"/>
    <cellStyle name="20% - Accent6 5" xfId="14311"/>
    <cellStyle name="20% - Accent6 5 10" xfId="14312"/>
    <cellStyle name="20% - Accent6 5 10 2" xfId="14313"/>
    <cellStyle name="20% - Accent6 5 11" xfId="14314"/>
    <cellStyle name="20% - Accent6 5 2" xfId="14315"/>
    <cellStyle name="20% - Accent6 5 2 2" xfId="14316"/>
    <cellStyle name="20% - Accent6 5 2 2 2" xfId="14317"/>
    <cellStyle name="20% - Accent6 5 2 2 2 2" xfId="14318"/>
    <cellStyle name="20% - Accent6 5 2 2 2 2 2" xfId="14319"/>
    <cellStyle name="20% - Accent6 5 2 2 2 2 2 2" xfId="14320"/>
    <cellStyle name="20% - Accent6 5 2 2 2 2 3" xfId="14321"/>
    <cellStyle name="20% - Accent6 5 2 2 2 3" xfId="14322"/>
    <cellStyle name="20% - Accent6 5 2 2 2 3 2" xfId="14323"/>
    <cellStyle name="20% - Accent6 5 2 2 2 4" xfId="14324"/>
    <cellStyle name="20% - Accent6 5 2 2 3" xfId="14325"/>
    <cellStyle name="20% - Accent6 5 2 2 3 2" xfId="14326"/>
    <cellStyle name="20% - Accent6 5 2 2 3 2 2" xfId="14327"/>
    <cellStyle name="20% - Accent6 5 2 2 3 3" xfId="14328"/>
    <cellStyle name="20% - Accent6 5 2 2 4" xfId="14329"/>
    <cellStyle name="20% - Accent6 5 2 2 4 2" xfId="14330"/>
    <cellStyle name="20% - Accent6 5 2 2 5" xfId="14331"/>
    <cellStyle name="20% - Accent6 5 2 2 5 2" xfId="14332"/>
    <cellStyle name="20% - Accent6 5 2 2 6" xfId="14333"/>
    <cellStyle name="20% - Accent6 5 2 3" xfId="14334"/>
    <cellStyle name="20% - Accent6 5 2 3 2" xfId="14335"/>
    <cellStyle name="20% - Accent6 5 2 3 2 2" xfId="14336"/>
    <cellStyle name="20% - Accent6 5 2 3 2 2 2" xfId="14337"/>
    <cellStyle name="20% - Accent6 5 2 3 2 2 2 2" xfId="14338"/>
    <cellStyle name="20% - Accent6 5 2 3 2 2 3" xfId="14339"/>
    <cellStyle name="20% - Accent6 5 2 3 2 3" xfId="14340"/>
    <cellStyle name="20% - Accent6 5 2 3 2 3 2" xfId="14341"/>
    <cellStyle name="20% - Accent6 5 2 3 2 4" xfId="14342"/>
    <cellStyle name="20% - Accent6 5 2 3 3" xfId="14343"/>
    <cellStyle name="20% - Accent6 5 2 3 3 2" xfId="14344"/>
    <cellStyle name="20% - Accent6 5 2 3 3 2 2" xfId="14345"/>
    <cellStyle name="20% - Accent6 5 2 3 3 3" xfId="14346"/>
    <cellStyle name="20% - Accent6 5 2 3 4" xfId="14347"/>
    <cellStyle name="20% - Accent6 5 2 3 4 2" xfId="14348"/>
    <cellStyle name="20% - Accent6 5 2 3 5" xfId="14349"/>
    <cellStyle name="20% - Accent6 5 2 3 5 2" xfId="14350"/>
    <cellStyle name="20% - Accent6 5 2 3 6" xfId="14351"/>
    <cellStyle name="20% - Accent6 5 2 4" xfId="14352"/>
    <cellStyle name="20% - Accent6 5 2 4 2" xfId="14353"/>
    <cellStyle name="20% - Accent6 5 2 4 2 2" xfId="14354"/>
    <cellStyle name="20% - Accent6 5 2 4 2 2 2" xfId="14355"/>
    <cellStyle name="20% - Accent6 5 2 4 2 3" xfId="14356"/>
    <cellStyle name="20% - Accent6 5 2 4 3" xfId="14357"/>
    <cellStyle name="20% - Accent6 5 2 4 3 2" xfId="14358"/>
    <cellStyle name="20% - Accent6 5 2 4 4" xfId="14359"/>
    <cellStyle name="20% - Accent6 5 2 5" xfId="14360"/>
    <cellStyle name="20% - Accent6 5 2 5 2" xfId="14361"/>
    <cellStyle name="20% - Accent6 5 2 5 2 2" xfId="14362"/>
    <cellStyle name="20% - Accent6 5 2 5 3" xfId="14363"/>
    <cellStyle name="20% - Accent6 5 2 6" xfId="14364"/>
    <cellStyle name="20% - Accent6 5 2 6 2" xfId="14365"/>
    <cellStyle name="20% - Accent6 5 2 7" xfId="14366"/>
    <cellStyle name="20% - Accent6 5 2 7 2" xfId="14367"/>
    <cellStyle name="20% - Accent6 5 2 8" xfId="14368"/>
    <cellStyle name="20% - Accent6 5 3" xfId="14369"/>
    <cellStyle name="20% - Accent6 5 3 2" xfId="14370"/>
    <cellStyle name="20% - Accent6 5 3 2 2" xfId="14371"/>
    <cellStyle name="20% - Accent6 5 3 2 2 2" xfId="14372"/>
    <cellStyle name="20% - Accent6 5 3 2 2 2 2" xfId="14373"/>
    <cellStyle name="20% - Accent6 5 3 2 2 2 2 2" xfId="14374"/>
    <cellStyle name="20% - Accent6 5 3 2 2 2 3" xfId="14375"/>
    <cellStyle name="20% - Accent6 5 3 2 2 3" xfId="14376"/>
    <cellStyle name="20% - Accent6 5 3 2 2 3 2" xfId="14377"/>
    <cellStyle name="20% - Accent6 5 3 2 2 4" xfId="14378"/>
    <cellStyle name="20% - Accent6 5 3 2 3" xfId="14379"/>
    <cellStyle name="20% - Accent6 5 3 2 3 2" xfId="14380"/>
    <cellStyle name="20% - Accent6 5 3 2 3 2 2" xfId="14381"/>
    <cellStyle name="20% - Accent6 5 3 2 3 3" xfId="14382"/>
    <cellStyle name="20% - Accent6 5 3 2 4" xfId="14383"/>
    <cellStyle name="20% - Accent6 5 3 2 4 2" xfId="14384"/>
    <cellStyle name="20% - Accent6 5 3 2 5" xfId="14385"/>
    <cellStyle name="20% - Accent6 5 3 2 5 2" xfId="14386"/>
    <cellStyle name="20% - Accent6 5 3 2 6" xfId="14387"/>
    <cellStyle name="20% - Accent6 5 3 3" xfId="14388"/>
    <cellStyle name="20% - Accent6 5 3 3 2" xfId="14389"/>
    <cellStyle name="20% - Accent6 5 3 3 2 2" xfId="14390"/>
    <cellStyle name="20% - Accent6 5 3 3 2 2 2" xfId="14391"/>
    <cellStyle name="20% - Accent6 5 3 3 2 2 2 2" xfId="14392"/>
    <cellStyle name="20% - Accent6 5 3 3 2 2 3" xfId="14393"/>
    <cellStyle name="20% - Accent6 5 3 3 2 3" xfId="14394"/>
    <cellStyle name="20% - Accent6 5 3 3 2 3 2" xfId="14395"/>
    <cellStyle name="20% - Accent6 5 3 3 2 4" xfId="14396"/>
    <cellStyle name="20% - Accent6 5 3 3 3" xfId="14397"/>
    <cellStyle name="20% - Accent6 5 3 3 3 2" xfId="14398"/>
    <cellStyle name="20% - Accent6 5 3 3 3 2 2" xfId="14399"/>
    <cellStyle name="20% - Accent6 5 3 3 3 3" xfId="14400"/>
    <cellStyle name="20% - Accent6 5 3 3 4" xfId="14401"/>
    <cellStyle name="20% - Accent6 5 3 3 4 2" xfId="14402"/>
    <cellStyle name="20% - Accent6 5 3 3 5" xfId="14403"/>
    <cellStyle name="20% - Accent6 5 3 3 5 2" xfId="14404"/>
    <cellStyle name="20% - Accent6 5 3 3 6" xfId="14405"/>
    <cellStyle name="20% - Accent6 5 3 4" xfId="14406"/>
    <cellStyle name="20% - Accent6 5 3 4 2" xfId="14407"/>
    <cellStyle name="20% - Accent6 5 3 4 2 2" xfId="14408"/>
    <cellStyle name="20% - Accent6 5 3 4 2 2 2" xfId="14409"/>
    <cellStyle name="20% - Accent6 5 3 4 2 3" xfId="14410"/>
    <cellStyle name="20% - Accent6 5 3 4 3" xfId="14411"/>
    <cellStyle name="20% - Accent6 5 3 4 3 2" xfId="14412"/>
    <cellStyle name="20% - Accent6 5 3 4 4" xfId="14413"/>
    <cellStyle name="20% - Accent6 5 3 5" xfId="14414"/>
    <cellStyle name="20% - Accent6 5 3 5 2" xfId="14415"/>
    <cellStyle name="20% - Accent6 5 3 5 2 2" xfId="14416"/>
    <cellStyle name="20% - Accent6 5 3 5 3" xfId="14417"/>
    <cellStyle name="20% - Accent6 5 3 6" xfId="14418"/>
    <cellStyle name="20% - Accent6 5 3 6 2" xfId="14419"/>
    <cellStyle name="20% - Accent6 5 3 7" xfId="14420"/>
    <cellStyle name="20% - Accent6 5 3 7 2" xfId="14421"/>
    <cellStyle name="20% - Accent6 5 3 8" xfId="14422"/>
    <cellStyle name="20% - Accent6 5 4" xfId="14423"/>
    <cellStyle name="20% - Accent6 5 4 2" xfId="14424"/>
    <cellStyle name="20% - Accent6 5 4 2 2" xfId="14425"/>
    <cellStyle name="20% - Accent6 5 4 2 2 2" xfId="14426"/>
    <cellStyle name="20% - Accent6 5 4 2 2 2 2" xfId="14427"/>
    <cellStyle name="20% - Accent6 5 4 2 2 3" xfId="14428"/>
    <cellStyle name="20% - Accent6 5 4 2 3" xfId="14429"/>
    <cellStyle name="20% - Accent6 5 4 2 3 2" xfId="14430"/>
    <cellStyle name="20% - Accent6 5 4 2 4" xfId="14431"/>
    <cellStyle name="20% - Accent6 5 4 3" xfId="14432"/>
    <cellStyle name="20% - Accent6 5 4 3 2" xfId="14433"/>
    <cellStyle name="20% - Accent6 5 4 3 2 2" xfId="14434"/>
    <cellStyle name="20% - Accent6 5 4 3 3" xfId="14435"/>
    <cellStyle name="20% - Accent6 5 4 4" xfId="14436"/>
    <cellStyle name="20% - Accent6 5 4 4 2" xfId="14437"/>
    <cellStyle name="20% - Accent6 5 4 5" xfId="14438"/>
    <cellStyle name="20% - Accent6 5 4 5 2" xfId="14439"/>
    <cellStyle name="20% - Accent6 5 4 6" xfId="14440"/>
    <cellStyle name="20% - Accent6 5 5" xfId="14441"/>
    <cellStyle name="20% - Accent6 5 5 2" xfId="14442"/>
    <cellStyle name="20% - Accent6 5 5 2 2" xfId="14443"/>
    <cellStyle name="20% - Accent6 5 5 2 2 2" xfId="14444"/>
    <cellStyle name="20% - Accent6 5 5 2 2 2 2" xfId="14445"/>
    <cellStyle name="20% - Accent6 5 5 2 2 3" xfId="14446"/>
    <cellStyle name="20% - Accent6 5 5 2 3" xfId="14447"/>
    <cellStyle name="20% - Accent6 5 5 2 3 2" xfId="14448"/>
    <cellStyle name="20% - Accent6 5 5 2 4" xfId="14449"/>
    <cellStyle name="20% - Accent6 5 5 3" xfId="14450"/>
    <cellStyle name="20% - Accent6 5 5 3 2" xfId="14451"/>
    <cellStyle name="20% - Accent6 5 5 3 2 2" xfId="14452"/>
    <cellStyle name="20% - Accent6 5 5 3 3" xfId="14453"/>
    <cellStyle name="20% - Accent6 5 5 4" xfId="14454"/>
    <cellStyle name="20% - Accent6 5 5 4 2" xfId="14455"/>
    <cellStyle name="20% - Accent6 5 5 5" xfId="14456"/>
    <cellStyle name="20% - Accent6 5 5 5 2" xfId="14457"/>
    <cellStyle name="20% - Accent6 5 5 6" xfId="14458"/>
    <cellStyle name="20% - Accent6 5 6" xfId="14459"/>
    <cellStyle name="20% - Accent6 5 6 2" xfId="14460"/>
    <cellStyle name="20% - Accent6 5 6 2 2" xfId="14461"/>
    <cellStyle name="20% - Accent6 5 6 2 2 2" xfId="14462"/>
    <cellStyle name="20% - Accent6 5 6 2 2 2 2" xfId="14463"/>
    <cellStyle name="20% - Accent6 5 6 2 2 3" xfId="14464"/>
    <cellStyle name="20% - Accent6 5 6 2 3" xfId="14465"/>
    <cellStyle name="20% - Accent6 5 6 2 3 2" xfId="14466"/>
    <cellStyle name="20% - Accent6 5 6 2 4" xfId="14467"/>
    <cellStyle name="20% - Accent6 5 6 3" xfId="14468"/>
    <cellStyle name="20% - Accent6 5 6 3 2" xfId="14469"/>
    <cellStyle name="20% - Accent6 5 6 3 2 2" xfId="14470"/>
    <cellStyle name="20% - Accent6 5 6 3 3" xfId="14471"/>
    <cellStyle name="20% - Accent6 5 6 4" xfId="14472"/>
    <cellStyle name="20% - Accent6 5 6 4 2" xfId="14473"/>
    <cellStyle name="20% - Accent6 5 6 5" xfId="14474"/>
    <cellStyle name="20% - Accent6 5 6 5 2" xfId="14475"/>
    <cellStyle name="20% - Accent6 5 6 6" xfId="14476"/>
    <cellStyle name="20% - Accent6 5 7" xfId="14477"/>
    <cellStyle name="20% - Accent6 5 7 2" xfId="14478"/>
    <cellStyle name="20% - Accent6 5 7 2 2" xfId="14479"/>
    <cellStyle name="20% - Accent6 5 7 2 2 2" xfId="14480"/>
    <cellStyle name="20% - Accent6 5 7 2 3" xfId="14481"/>
    <cellStyle name="20% - Accent6 5 7 3" xfId="14482"/>
    <cellStyle name="20% - Accent6 5 7 3 2" xfId="14483"/>
    <cellStyle name="20% - Accent6 5 7 4" xfId="14484"/>
    <cellStyle name="20% - Accent6 5 8" xfId="14485"/>
    <cellStyle name="20% - Accent6 5 8 2" xfId="14486"/>
    <cellStyle name="20% - Accent6 5 8 2 2" xfId="14487"/>
    <cellStyle name="20% - Accent6 5 8 3" xfId="14488"/>
    <cellStyle name="20% - Accent6 5 9" xfId="14489"/>
    <cellStyle name="20% - Accent6 5 9 2" xfId="14490"/>
    <cellStyle name="20% - Accent6 6" xfId="14491"/>
    <cellStyle name="20% - Accent6 6 10" xfId="14492"/>
    <cellStyle name="20% - Accent6 6 10 2" xfId="14493"/>
    <cellStyle name="20% - Accent6 6 11" xfId="14494"/>
    <cellStyle name="20% - Accent6 6 2" xfId="14495"/>
    <cellStyle name="20% - Accent6 6 2 2" xfId="14496"/>
    <cellStyle name="20% - Accent6 6 2 2 2" xfId="14497"/>
    <cellStyle name="20% - Accent6 6 2 2 2 2" xfId="14498"/>
    <cellStyle name="20% - Accent6 6 2 2 2 2 2" xfId="14499"/>
    <cellStyle name="20% - Accent6 6 2 2 2 2 2 2" xfId="14500"/>
    <cellStyle name="20% - Accent6 6 2 2 2 2 3" xfId="14501"/>
    <cellStyle name="20% - Accent6 6 2 2 2 3" xfId="14502"/>
    <cellStyle name="20% - Accent6 6 2 2 2 3 2" xfId="14503"/>
    <cellStyle name="20% - Accent6 6 2 2 2 4" xfId="14504"/>
    <cellStyle name="20% - Accent6 6 2 2 3" xfId="14505"/>
    <cellStyle name="20% - Accent6 6 2 2 3 2" xfId="14506"/>
    <cellStyle name="20% - Accent6 6 2 2 3 2 2" xfId="14507"/>
    <cellStyle name="20% - Accent6 6 2 2 3 3" xfId="14508"/>
    <cellStyle name="20% - Accent6 6 2 2 4" xfId="14509"/>
    <cellStyle name="20% - Accent6 6 2 2 4 2" xfId="14510"/>
    <cellStyle name="20% - Accent6 6 2 2 5" xfId="14511"/>
    <cellStyle name="20% - Accent6 6 2 2 5 2" xfId="14512"/>
    <cellStyle name="20% - Accent6 6 2 2 6" xfId="14513"/>
    <cellStyle name="20% - Accent6 6 2 3" xfId="14514"/>
    <cellStyle name="20% - Accent6 6 2 3 2" xfId="14515"/>
    <cellStyle name="20% - Accent6 6 2 3 2 2" xfId="14516"/>
    <cellStyle name="20% - Accent6 6 2 3 2 2 2" xfId="14517"/>
    <cellStyle name="20% - Accent6 6 2 3 2 2 2 2" xfId="14518"/>
    <cellStyle name="20% - Accent6 6 2 3 2 2 3" xfId="14519"/>
    <cellStyle name="20% - Accent6 6 2 3 2 3" xfId="14520"/>
    <cellStyle name="20% - Accent6 6 2 3 2 3 2" xfId="14521"/>
    <cellStyle name="20% - Accent6 6 2 3 2 4" xfId="14522"/>
    <cellStyle name="20% - Accent6 6 2 3 3" xfId="14523"/>
    <cellStyle name="20% - Accent6 6 2 3 3 2" xfId="14524"/>
    <cellStyle name="20% - Accent6 6 2 3 3 2 2" xfId="14525"/>
    <cellStyle name="20% - Accent6 6 2 3 3 3" xfId="14526"/>
    <cellStyle name="20% - Accent6 6 2 3 4" xfId="14527"/>
    <cellStyle name="20% - Accent6 6 2 3 4 2" xfId="14528"/>
    <cellStyle name="20% - Accent6 6 2 3 5" xfId="14529"/>
    <cellStyle name="20% - Accent6 6 2 3 5 2" xfId="14530"/>
    <cellStyle name="20% - Accent6 6 2 3 6" xfId="14531"/>
    <cellStyle name="20% - Accent6 6 2 4" xfId="14532"/>
    <cellStyle name="20% - Accent6 6 2 4 2" xfId="14533"/>
    <cellStyle name="20% - Accent6 6 2 4 2 2" xfId="14534"/>
    <cellStyle name="20% - Accent6 6 2 4 2 2 2" xfId="14535"/>
    <cellStyle name="20% - Accent6 6 2 4 2 3" xfId="14536"/>
    <cellStyle name="20% - Accent6 6 2 4 3" xfId="14537"/>
    <cellStyle name="20% - Accent6 6 2 4 3 2" xfId="14538"/>
    <cellStyle name="20% - Accent6 6 2 4 4" xfId="14539"/>
    <cellStyle name="20% - Accent6 6 2 5" xfId="14540"/>
    <cellStyle name="20% - Accent6 6 2 5 2" xfId="14541"/>
    <cellStyle name="20% - Accent6 6 2 5 2 2" xfId="14542"/>
    <cellStyle name="20% - Accent6 6 2 5 3" xfId="14543"/>
    <cellStyle name="20% - Accent6 6 2 6" xfId="14544"/>
    <cellStyle name="20% - Accent6 6 2 6 2" xfId="14545"/>
    <cellStyle name="20% - Accent6 6 2 7" xfId="14546"/>
    <cellStyle name="20% - Accent6 6 2 7 2" xfId="14547"/>
    <cellStyle name="20% - Accent6 6 2 8" xfId="14548"/>
    <cellStyle name="20% - Accent6 6 3" xfId="14549"/>
    <cellStyle name="20% - Accent6 6 3 2" xfId="14550"/>
    <cellStyle name="20% - Accent6 6 3 2 2" xfId="14551"/>
    <cellStyle name="20% - Accent6 6 3 2 2 2" xfId="14552"/>
    <cellStyle name="20% - Accent6 6 3 2 2 2 2" xfId="14553"/>
    <cellStyle name="20% - Accent6 6 3 2 2 2 2 2" xfId="14554"/>
    <cellStyle name="20% - Accent6 6 3 2 2 2 3" xfId="14555"/>
    <cellStyle name="20% - Accent6 6 3 2 2 3" xfId="14556"/>
    <cellStyle name="20% - Accent6 6 3 2 2 3 2" xfId="14557"/>
    <cellStyle name="20% - Accent6 6 3 2 2 4" xfId="14558"/>
    <cellStyle name="20% - Accent6 6 3 2 3" xfId="14559"/>
    <cellStyle name="20% - Accent6 6 3 2 3 2" xfId="14560"/>
    <cellStyle name="20% - Accent6 6 3 2 3 2 2" xfId="14561"/>
    <cellStyle name="20% - Accent6 6 3 2 3 3" xfId="14562"/>
    <cellStyle name="20% - Accent6 6 3 2 4" xfId="14563"/>
    <cellStyle name="20% - Accent6 6 3 2 4 2" xfId="14564"/>
    <cellStyle name="20% - Accent6 6 3 2 5" xfId="14565"/>
    <cellStyle name="20% - Accent6 6 3 2 5 2" xfId="14566"/>
    <cellStyle name="20% - Accent6 6 3 2 6" xfId="14567"/>
    <cellStyle name="20% - Accent6 6 3 3" xfId="14568"/>
    <cellStyle name="20% - Accent6 6 3 3 2" xfId="14569"/>
    <cellStyle name="20% - Accent6 6 3 3 2 2" xfId="14570"/>
    <cellStyle name="20% - Accent6 6 3 3 2 2 2" xfId="14571"/>
    <cellStyle name="20% - Accent6 6 3 3 2 2 2 2" xfId="14572"/>
    <cellStyle name="20% - Accent6 6 3 3 2 2 3" xfId="14573"/>
    <cellStyle name="20% - Accent6 6 3 3 2 3" xfId="14574"/>
    <cellStyle name="20% - Accent6 6 3 3 2 3 2" xfId="14575"/>
    <cellStyle name="20% - Accent6 6 3 3 2 4" xfId="14576"/>
    <cellStyle name="20% - Accent6 6 3 3 3" xfId="14577"/>
    <cellStyle name="20% - Accent6 6 3 3 3 2" xfId="14578"/>
    <cellStyle name="20% - Accent6 6 3 3 3 2 2" xfId="14579"/>
    <cellStyle name="20% - Accent6 6 3 3 3 3" xfId="14580"/>
    <cellStyle name="20% - Accent6 6 3 3 4" xfId="14581"/>
    <cellStyle name="20% - Accent6 6 3 3 4 2" xfId="14582"/>
    <cellStyle name="20% - Accent6 6 3 3 5" xfId="14583"/>
    <cellStyle name="20% - Accent6 6 3 3 5 2" xfId="14584"/>
    <cellStyle name="20% - Accent6 6 3 3 6" xfId="14585"/>
    <cellStyle name="20% - Accent6 6 3 4" xfId="14586"/>
    <cellStyle name="20% - Accent6 6 3 4 2" xfId="14587"/>
    <cellStyle name="20% - Accent6 6 3 4 2 2" xfId="14588"/>
    <cellStyle name="20% - Accent6 6 3 4 2 2 2" xfId="14589"/>
    <cellStyle name="20% - Accent6 6 3 4 2 3" xfId="14590"/>
    <cellStyle name="20% - Accent6 6 3 4 3" xfId="14591"/>
    <cellStyle name="20% - Accent6 6 3 4 3 2" xfId="14592"/>
    <cellStyle name="20% - Accent6 6 3 4 4" xfId="14593"/>
    <cellStyle name="20% - Accent6 6 3 5" xfId="14594"/>
    <cellStyle name="20% - Accent6 6 3 5 2" xfId="14595"/>
    <cellStyle name="20% - Accent6 6 3 5 2 2" xfId="14596"/>
    <cellStyle name="20% - Accent6 6 3 5 3" xfId="14597"/>
    <cellStyle name="20% - Accent6 6 3 6" xfId="14598"/>
    <cellStyle name="20% - Accent6 6 3 6 2" xfId="14599"/>
    <cellStyle name="20% - Accent6 6 3 7" xfId="14600"/>
    <cellStyle name="20% - Accent6 6 3 7 2" xfId="14601"/>
    <cellStyle name="20% - Accent6 6 3 8" xfId="14602"/>
    <cellStyle name="20% - Accent6 6 4" xfId="14603"/>
    <cellStyle name="20% - Accent6 6 4 2" xfId="14604"/>
    <cellStyle name="20% - Accent6 6 4 2 2" xfId="14605"/>
    <cellStyle name="20% - Accent6 6 4 2 2 2" xfId="14606"/>
    <cellStyle name="20% - Accent6 6 4 2 2 2 2" xfId="14607"/>
    <cellStyle name="20% - Accent6 6 4 2 2 3" xfId="14608"/>
    <cellStyle name="20% - Accent6 6 4 2 3" xfId="14609"/>
    <cellStyle name="20% - Accent6 6 4 2 3 2" xfId="14610"/>
    <cellStyle name="20% - Accent6 6 4 2 4" xfId="14611"/>
    <cellStyle name="20% - Accent6 6 4 3" xfId="14612"/>
    <cellStyle name="20% - Accent6 6 4 3 2" xfId="14613"/>
    <cellStyle name="20% - Accent6 6 4 3 2 2" xfId="14614"/>
    <cellStyle name="20% - Accent6 6 4 3 3" xfId="14615"/>
    <cellStyle name="20% - Accent6 6 4 4" xfId="14616"/>
    <cellStyle name="20% - Accent6 6 4 4 2" xfId="14617"/>
    <cellStyle name="20% - Accent6 6 4 5" xfId="14618"/>
    <cellStyle name="20% - Accent6 6 4 5 2" xfId="14619"/>
    <cellStyle name="20% - Accent6 6 4 6" xfId="14620"/>
    <cellStyle name="20% - Accent6 6 5" xfId="14621"/>
    <cellStyle name="20% - Accent6 6 5 2" xfId="14622"/>
    <cellStyle name="20% - Accent6 6 5 2 2" xfId="14623"/>
    <cellStyle name="20% - Accent6 6 5 2 2 2" xfId="14624"/>
    <cellStyle name="20% - Accent6 6 5 2 2 2 2" xfId="14625"/>
    <cellStyle name="20% - Accent6 6 5 2 2 3" xfId="14626"/>
    <cellStyle name="20% - Accent6 6 5 2 3" xfId="14627"/>
    <cellStyle name="20% - Accent6 6 5 2 3 2" xfId="14628"/>
    <cellStyle name="20% - Accent6 6 5 2 4" xfId="14629"/>
    <cellStyle name="20% - Accent6 6 5 3" xfId="14630"/>
    <cellStyle name="20% - Accent6 6 5 3 2" xfId="14631"/>
    <cellStyle name="20% - Accent6 6 5 3 2 2" xfId="14632"/>
    <cellStyle name="20% - Accent6 6 5 3 3" xfId="14633"/>
    <cellStyle name="20% - Accent6 6 5 4" xfId="14634"/>
    <cellStyle name="20% - Accent6 6 5 4 2" xfId="14635"/>
    <cellStyle name="20% - Accent6 6 5 5" xfId="14636"/>
    <cellStyle name="20% - Accent6 6 5 5 2" xfId="14637"/>
    <cellStyle name="20% - Accent6 6 5 6" xfId="14638"/>
    <cellStyle name="20% - Accent6 6 6" xfId="14639"/>
    <cellStyle name="20% - Accent6 6 6 2" xfId="14640"/>
    <cellStyle name="20% - Accent6 6 6 2 2" xfId="14641"/>
    <cellStyle name="20% - Accent6 6 6 2 2 2" xfId="14642"/>
    <cellStyle name="20% - Accent6 6 6 2 2 2 2" xfId="14643"/>
    <cellStyle name="20% - Accent6 6 6 2 2 3" xfId="14644"/>
    <cellStyle name="20% - Accent6 6 6 2 3" xfId="14645"/>
    <cellStyle name="20% - Accent6 6 6 2 3 2" xfId="14646"/>
    <cellStyle name="20% - Accent6 6 6 2 4" xfId="14647"/>
    <cellStyle name="20% - Accent6 6 6 3" xfId="14648"/>
    <cellStyle name="20% - Accent6 6 6 3 2" xfId="14649"/>
    <cellStyle name="20% - Accent6 6 6 3 2 2" xfId="14650"/>
    <cellStyle name="20% - Accent6 6 6 3 3" xfId="14651"/>
    <cellStyle name="20% - Accent6 6 6 4" xfId="14652"/>
    <cellStyle name="20% - Accent6 6 6 4 2" xfId="14653"/>
    <cellStyle name="20% - Accent6 6 6 5" xfId="14654"/>
    <cellStyle name="20% - Accent6 6 6 5 2" xfId="14655"/>
    <cellStyle name="20% - Accent6 6 6 6" xfId="14656"/>
    <cellStyle name="20% - Accent6 6 7" xfId="14657"/>
    <cellStyle name="20% - Accent6 6 7 2" xfId="14658"/>
    <cellStyle name="20% - Accent6 6 7 2 2" xfId="14659"/>
    <cellStyle name="20% - Accent6 6 7 2 2 2" xfId="14660"/>
    <cellStyle name="20% - Accent6 6 7 2 3" xfId="14661"/>
    <cellStyle name="20% - Accent6 6 7 3" xfId="14662"/>
    <cellStyle name="20% - Accent6 6 7 3 2" xfId="14663"/>
    <cellStyle name="20% - Accent6 6 7 4" xfId="14664"/>
    <cellStyle name="20% - Accent6 6 8" xfId="14665"/>
    <cellStyle name="20% - Accent6 6 8 2" xfId="14666"/>
    <cellStyle name="20% - Accent6 6 8 2 2" xfId="14667"/>
    <cellStyle name="20% - Accent6 6 8 3" xfId="14668"/>
    <cellStyle name="20% - Accent6 6 9" xfId="14669"/>
    <cellStyle name="20% - Accent6 6 9 2" xfId="14670"/>
    <cellStyle name="20% - Accent6 7" xfId="14671"/>
    <cellStyle name="20% - Accent6 7 2" xfId="14672"/>
    <cellStyle name="20% - Accent6 7 2 2" xfId="14673"/>
    <cellStyle name="20% - Accent6 7 2 2 2" xfId="14674"/>
    <cellStyle name="20% - Accent6 7 2 2 2 2" xfId="14675"/>
    <cellStyle name="20% - Accent6 7 2 2 2 2 2" xfId="14676"/>
    <cellStyle name="20% - Accent6 7 2 2 2 3" xfId="14677"/>
    <cellStyle name="20% - Accent6 7 2 2 3" xfId="14678"/>
    <cellStyle name="20% - Accent6 7 2 2 3 2" xfId="14679"/>
    <cellStyle name="20% - Accent6 7 2 2 4" xfId="14680"/>
    <cellStyle name="20% - Accent6 7 2 3" xfId="14681"/>
    <cellStyle name="20% - Accent6 7 2 3 2" xfId="14682"/>
    <cellStyle name="20% - Accent6 7 2 3 2 2" xfId="14683"/>
    <cellStyle name="20% - Accent6 7 2 3 3" xfId="14684"/>
    <cellStyle name="20% - Accent6 7 2 4" xfId="14685"/>
    <cellStyle name="20% - Accent6 7 2 4 2" xfId="14686"/>
    <cellStyle name="20% - Accent6 7 2 5" xfId="14687"/>
    <cellStyle name="20% - Accent6 7 2 5 2" xfId="14688"/>
    <cellStyle name="20% - Accent6 7 2 6" xfId="14689"/>
    <cellStyle name="20% - Accent6 7 3" xfId="14690"/>
    <cellStyle name="20% - Accent6 7 3 2" xfId="14691"/>
    <cellStyle name="20% - Accent6 7 3 2 2" xfId="14692"/>
    <cellStyle name="20% - Accent6 7 3 2 2 2" xfId="14693"/>
    <cellStyle name="20% - Accent6 7 3 2 2 2 2" xfId="14694"/>
    <cellStyle name="20% - Accent6 7 3 2 2 3" xfId="14695"/>
    <cellStyle name="20% - Accent6 7 3 2 3" xfId="14696"/>
    <cellStyle name="20% - Accent6 7 3 2 3 2" xfId="14697"/>
    <cellStyle name="20% - Accent6 7 3 2 4" xfId="14698"/>
    <cellStyle name="20% - Accent6 7 3 3" xfId="14699"/>
    <cellStyle name="20% - Accent6 7 3 3 2" xfId="14700"/>
    <cellStyle name="20% - Accent6 7 3 3 2 2" xfId="14701"/>
    <cellStyle name="20% - Accent6 7 3 3 3" xfId="14702"/>
    <cellStyle name="20% - Accent6 7 3 4" xfId="14703"/>
    <cellStyle name="20% - Accent6 7 3 4 2" xfId="14704"/>
    <cellStyle name="20% - Accent6 7 3 5" xfId="14705"/>
    <cellStyle name="20% - Accent6 7 3 5 2" xfId="14706"/>
    <cellStyle name="20% - Accent6 7 3 6" xfId="14707"/>
    <cellStyle name="20% - Accent6 7 4" xfId="14708"/>
    <cellStyle name="20% - Accent6 7 4 2" xfId="14709"/>
    <cellStyle name="20% - Accent6 7 4 2 2" xfId="14710"/>
    <cellStyle name="20% - Accent6 7 4 2 2 2" xfId="14711"/>
    <cellStyle name="20% - Accent6 7 4 2 3" xfId="14712"/>
    <cellStyle name="20% - Accent6 7 4 3" xfId="14713"/>
    <cellStyle name="20% - Accent6 7 4 3 2" xfId="14714"/>
    <cellStyle name="20% - Accent6 7 4 4" xfId="14715"/>
    <cellStyle name="20% - Accent6 7 5" xfId="14716"/>
    <cellStyle name="20% - Accent6 7 5 2" xfId="14717"/>
    <cellStyle name="20% - Accent6 7 5 2 2" xfId="14718"/>
    <cellStyle name="20% - Accent6 7 5 3" xfId="14719"/>
    <cellStyle name="20% - Accent6 7 6" xfId="14720"/>
    <cellStyle name="20% - Accent6 7 6 2" xfId="14721"/>
    <cellStyle name="20% - Accent6 7 7" xfId="14722"/>
    <cellStyle name="20% - Accent6 7 7 2" xfId="14723"/>
    <cellStyle name="20% - Accent6 7 8" xfId="14724"/>
    <cellStyle name="20% - Accent6 8" xfId="14725"/>
    <cellStyle name="20% - Accent6 8 2" xfId="14726"/>
    <cellStyle name="20% - Accent6 8 2 2" xfId="14727"/>
    <cellStyle name="20% - Accent6 8 2 2 2" xfId="14728"/>
    <cellStyle name="20% - Accent6 8 2 2 2 2" xfId="14729"/>
    <cellStyle name="20% - Accent6 8 2 2 2 2 2" xfId="14730"/>
    <cellStyle name="20% - Accent6 8 2 2 2 3" xfId="14731"/>
    <cellStyle name="20% - Accent6 8 2 2 3" xfId="14732"/>
    <cellStyle name="20% - Accent6 8 2 2 3 2" xfId="14733"/>
    <cellStyle name="20% - Accent6 8 2 2 4" xfId="14734"/>
    <cellStyle name="20% - Accent6 8 2 3" xfId="14735"/>
    <cellStyle name="20% - Accent6 8 2 3 2" xfId="14736"/>
    <cellStyle name="20% - Accent6 8 2 3 2 2" xfId="14737"/>
    <cellStyle name="20% - Accent6 8 2 3 3" xfId="14738"/>
    <cellStyle name="20% - Accent6 8 2 4" xfId="14739"/>
    <cellStyle name="20% - Accent6 8 2 4 2" xfId="14740"/>
    <cellStyle name="20% - Accent6 8 2 5" xfId="14741"/>
    <cellStyle name="20% - Accent6 8 2 5 2" xfId="14742"/>
    <cellStyle name="20% - Accent6 8 2 6" xfId="14743"/>
    <cellStyle name="20% - Accent6 8 3" xfId="14744"/>
    <cellStyle name="20% - Accent6 8 3 2" xfId="14745"/>
    <cellStyle name="20% - Accent6 8 3 2 2" xfId="14746"/>
    <cellStyle name="20% - Accent6 8 3 2 2 2" xfId="14747"/>
    <cellStyle name="20% - Accent6 8 3 2 2 2 2" xfId="14748"/>
    <cellStyle name="20% - Accent6 8 3 2 2 3" xfId="14749"/>
    <cellStyle name="20% - Accent6 8 3 2 3" xfId="14750"/>
    <cellStyle name="20% - Accent6 8 3 2 3 2" xfId="14751"/>
    <cellStyle name="20% - Accent6 8 3 2 4" xfId="14752"/>
    <cellStyle name="20% - Accent6 8 3 3" xfId="14753"/>
    <cellStyle name="20% - Accent6 8 3 3 2" xfId="14754"/>
    <cellStyle name="20% - Accent6 8 3 3 2 2" xfId="14755"/>
    <cellStyle name="20% - Accent6 8 3 3 3" xfId="14756"/>
    <cellStyle name="20% - Accent6 8 3 4" xfId="14757"/>
    <cellStyle name="20% - Accent6 8 3 4 2" xfId="14758"/>
    <cellStyle name="20% - Accent6 8 3 5" xfId="14759"/>
    <cellStyle name="20% - Accent6 8 3 5 2" xfId="14760"/>
    <cellStyle name="20% - Accent6 8 3 6" xfId="14761"/>
    <cellStyle name="20% - Accent6 8 4" xfId="14762"/>
    <cellStyle name="20% - Accent6 8 4 2" xfId="14763"/>
    <cellStyle name="20% - Accent6 8 4 2 2" xfId="14764"/>
    <cellStyle name="20% - Accent6 8 4 2 2 2" xfId="14765"/>
    <cellStyle name="20% - Accent6 8 4 2 3" xfId="14766"/>
    <cellStyle name="20% - Accent6 8 4 3" xfId="14767"/>
    <cellStyle name="20% - Accent6 8 4 3 2" xfId="14768"/>
    <cellStyle name="20% - Accent6 8 4 4" xfId="14769"/>
    <cellStyle name="20% - Accent6 8 5" xfId="14770"/>
    <cellStyle name="20% - Accent6 8 5 2" xfId="14771"/>
    <cellStyle name="20% - Accent6 8 5 2 2" xfId="14772"/>
    <cellStyle name="20% - Accent6 8 5 3" xfId="14773"/>
    <cellStyle name="20% - Accent6 8 6" xfId="14774"/>
    <cellStyle name="20% - Accent6 8 6 2" xfId="14775"/>
    <cellStyle name="20% - Accent6 8 7" xfId="14776"/>
    <cellStyle name="20% - Accent6 8 7 2" xfId="14777"/>
    <cellStyle name="20% - Accent6 8 8" xfId="14778"/>
    <cellStyle name="20% - Accent6 9" xfId="14779"/>
    <cellStyle name="20% - Accent6 9 2" xfId="14780"/>
    <cellStyle name="20% - Accent6 9 2 2" xfId="14781"/>
    <cellStyle name="20% - Accent6 9 2 2 2" xfId="14782"/>
    <cellStyle name="20% - Accent6 9 2 2 2 2" xfId="14783"/>
    <cellStyle name="20% - Accent6 9 2 2 3" xfId="14784"/>
    <cellStyle name="20% - Accent6 9 2 3" xfId="14785"/>
    <cellStyle name="20% - Accent6 9 2 3 2" xfId="14786"/>
    <cellStyle name="20% - Accent6 9 2 4" xfId="14787"/>
    <cellStyle name="20% - Accent6 9 3" xfId="14788"/>
    <cellStyle name="20% - Accent6 9 3 2" xfId="14789"/>
    <cellStyle name="20% - Accent6 9 3 2 2" xfId="14790"/>
    <cellStyle name="20% - Accent6 9 3 3" xfId="14791"/>
    <cellStyle name="20% - Accent6 9 4" xfId="14792"/>
    <cellStyle name="20% - Accent6 9 4 2" xfId="14793"/>
    <cellStyle name="20% - Accent6 9 5" xfId="14794"/>
    <cellStyle name="20% - Accent6 9 5 2" xfId="14795"/>
    <cellStyle name="20% - Accent6 9 6" xfId="14796"/>
    <cellStyle name="40% - Accent1 10" xfId="14797"/>
    <cellStyle name="40% - Accent1 10 2" xfId="14798"/>
    <cellStyle name="40% - Accent1 10 2 2" xfId="14799"/>
    <cellStyle name="40% - Accent1 10 2 2 2" xfId="14800"/>
    <cellStyle name="40% - Accent1 10 2 2 2 2" xfId="14801"/>
    <cellStyle name="40% - Accent1 10 2 2 3" xfId="14802"/>
    <cellStyle name="40% - Accent1 10 2 3" xfId="14803"/>
    <cellStyle name="40% - Accent1 10 2 3 2" xfId="14804"/>
    <cellStyle name="40% - Accent1 10 2 4" xfId="14805"/>
    <cellStyle name="40% - Accent1 10 3" xfId="14806"/>
    <cellStyle name="40% - Accent1 10 3 2" xfId="14807"/>
    <cellStyle name="40% - Accent1 10 3 2 2" xfId="14808"/>
    <cellStyle name="40% - Accent1 10 3 3" xfId="14809"/>
    <cellStyle name="40% - Accent1 10 4" xfId="14810"/>
    <cellStyle name="40% - Accent1 10 4 2" xfId="14811"/>
    <cellStyle name="40% - Accent1 10 5" xfId="14812"/>
    <cellStyle name="40% - Accent1 10 5 2" xfId="14813"/>
    <cellStyle name="40% - Accent1 10 6" xfId="14814"/>
    <cellStyle name="40% - Accent1 11" xfId="14815"/>
    <cellStyle name="40% - Accent1 11 2" xfId="14816"/>
    <cellStyle name="40% - Accent1 11 2 2" xfId="14817"/>
    <cellStyle name="40% - Accent1 11 2 2 2" xfId="14818"/>
    <cellStyle name="40% - Accent1 11 2 2 2 2" xfId="14819"/>
    <cellStyle name="40% - Accent1 11 2 2 3" xfId="14820"/>
    <cellStyle name="40% - Accent1 11 2 3" xfId="14821"/>
    <cellStyle name="40% - Accent1 11 2 3 2" xfId="14822"/>
    <cellStyle name="40% - Accent1 11 2 4" xfId="14823"/>
    <cellStyle name="40% - Accent1 11 3" xfId="14824"/>
    <cellStyle name="40% - Accent1 11 3 2" xfId="14825"/>
    <cellStyle name="40% - Accent1 11 3 2 2" xfId="14826"/>
    <cellStyle name="40% - Accent1 11 3 3" xfId="14827"/>
    <cellStyle name="40% - Accent1 11 4" xfId="14828"/>
    <cellStyle name="40% - Accent1 11 4 2" xfId="14829"/>
    <cellStyle name="40% - Accent1 11 5" xfId="14830"/>
    <cellStyle name="40% - Accent1 11 5 2" xfId="14831"/>
    <cellStyle name="40% - Accent1 11 6" xfId="14832"/>
    <cellStyle name="40% - Accent1 12" xfId="14833"/>
    <cellStyle name="40% - Accent1 12 2" xfId="14834"/>
    <cellStyle name="40% - Accent1 12 2 2" xfId="14835"/>
    <cellStyle name="40% - Accent1 12 2 2 2" xfId="14836"/>
    <cellStyle name="40% - Accent1 12 2 2 2 2" xfId="14837"/>
    <cellStyle name="40% - Accent1 12 2 2 3" xfId="14838"/>
    <cellStyle name="40% - Accent1 12 2 3" xfId="14839"/>
    <cellStyle name="40% - Accent1 12 2 3 2" xfId="14840"/>
    <cellStyle name="40% - Accent1 12 2 4" xfId="14841"/>
    <cellStyle name="40% - Accent1 12 3" xfId="14842"/>
    <cellStyle name="40% - Accent1 12 3 2" xfId="14843"/>
    <cellStyle name="40% - Accent1 12 3 2 2" xfId="14844"/>
    <cellStyle name="40% - Accent1 12 3 3" xfId="14845"/>
    <cellStyle name="40% - Accent1 12 4" xfId="14846"/>
    <cellStyle name="40% - Accent1 12 4 2" xfId="14847"/>
    <cellStyle name="40% - Accent1 12 5" xfId="14848"/>
    <cellStyle name="40% - Accent1 12 5 2" xfId="14849"/>
    <cellStyle name="40% - Accent1 12 6" xfId="14850"/>
    <cellStyle name="40% - Accent1 13" xfId="14851"/>
    <cellStyle name="40% - Accent1 13 2" xfId="14852"/>
    <cellStyle name="40% - Accent1 13 2 2" xfId="14853"/>
    <cellStyle name="40% - Accent1 13 2 2 2" xfId="14854"/>
    <cellStyle name="40% - Accent1 13 2 3" xfId="14855"/>
    <cellStyle name="40% - Accent1 13 3" xfId="14856"/>
    <cellStyle name="40% - Accent1 13 3 2" xfId="14857"/>
    <cellStyle name="40% - Accent1 13 4" xfId="14858"/>
    <cellStyle name="40% - Accent1 14" xfId="14859"/>
    <cellStyle name="40% - Accent1 14 2" xfId="14860"/>
    <cellStyle name="40% - Accent1 14 2 2" xfId="14861"/>
    <cellStyle name="40% - Accent1 14 3" xfId="14862"/>
    <cellStyle name="40% - Accent1 15" xfId="14863"/>
    <cellStyle name="40% - Accent1 15 2" xfId="14864"/>
    <cellStyle name="40% - Accent1 16" xfId="14865"/>
    <cellStyle name="40% - Accent1 16 2" xfId="14866"/>
    <cellStyle name="40% - Accent1 17" xfId="14867"/>
    <cellStyle name="40% - Accent1 2" xfId="14868"/>
    <cellStyle name="40% - Accent1 2 2" xfId="14869"/>
    <cellStyle name="40% - Accent1 2 2 10" xfId="14870"/>
    <cellStyle name="40% - Accent1 2 2 10 2" xfId="14871"/>
    <cellStyle name="40% - Accent1 2 2 10 2 2" xfId="14872"/>
    <cellStyle name="40% - Accent1 2 2 10 2 2 2" xfId="14873"/>
    <cellStyle name="40% - Accent1 2 2 10 2 2 2 2" xfId="14874"/>
    <cellStyle name="40% - Accent1 2 2 10 2 2 3" xfId="14875"/>
    <cellStyle name="40% - Accent1 2 2 10 2 3" xfId="14876"/>
    <cellStyle name="40% - Accent1 2 2 10 2 3 2" xfId="14877"/>
    <cellStyle name="40% - Accent1 2 2 10 2 4" xfId="14878"/>
    <cellStyle name="40% - Accent1 2 2 10 3" xfId="14879"/>
    <cellStyle name="40% - Accent1 2 2 10 3 2" xfId="14880"/>
    <cellStyle name="40% - Accent1 2 2 10 3 2 2" xfId="14881"/>
    <cellStyle name="40% - Accent1 2 2 10 3 3" xfId="14882"/>
    <cellStyle name="40% - Accent1 2 2 10 4" xfId="14883"/>
    <cellStyle name="40% - Accent1 2 2 10 4 2" xfId="14884"/>
    <cellStyle name="40% - Accent1 2 2 10 5" xfId="14885"/>
    <cellStyle name="40% - Accent1 2 2 10 5 2" xfId="14886"/>
    <cellStyle name="40% - Accent1 2 2 10 6" xfId="14887"/>
    <cellStyle name="40% - Accent1 2 2 11" xfId="14888"/>
    <cellStyle name="40% - Accent1 2 2 11 2" xfId="14889"/>
    <cellStyle name="40% - Accent1 2 2 11 2 2" xfId="14890"/>
    <cellStyle name="40% - Accent1 2 2 11 2 2 2" xfId="14891"/>
    <cellStyle name="40% - Accent1 2 2 11 2 2 2 2" xfId="14892"/>
    <cellStyle name="40% - Accent1 2 2 11 2 2 3" xfId="14893"/>
    <cellStyle name="40% - Accent1 2 2 11 2 3" xfId="14894"/>
    <cellStyle name="40% - Accent1 2 2 11 2 3 2" xfId="14895"/>
    <cellStyle name="40% - Accent1 2 2 11 2 4" xfId="14896"/>
    <cellStyle name="40% - Accent1 2 2 11 3" xfId="14897"/>
    <cellStyle name="40% - Accent1 2 2 11 3 2" xfId="14898"/>
    <cellStyle name="40% - Accent1 2 2 11 3 2 2" xfId="14899"/>
    <cellStyle name="40% - Accent1 2 2 11 3 3" xfId="14900"/>
    <cellStyle name="40% - Accent1 2 2 11 4" xfId="14901"/>
    <cellStyle name="40% - Accent1 2 2 11 4 2" xfId="14902"/>
    <cellStyle name="40% - Accent1 2 2 11 5" xfId="14903"/>
    <cellStyle name="40% - Accent1 2 2 11 5 2" xfId="14904"/>
    <cellStyle name="40% - Accent1 2 2 11 6" xfId="14905"/>
    <cellStyle name="40% - Accent1 2 2 12" xfId="14906"/>
    <cellStyle name="40% - Accent1 2 2 12 2" xfId="14907"/>
    <cellStyle name="40% - Accent1 2 2 12 2 2" xfId="14908"/>
    <cellStyle name="40% - Accent1 2 2 12 2 2 2" xfId="14909"/>
    <cellStyle name="40% - Accent1 2 2 12 2 3" xfId="14910"/>
    <cellStyle name="40% - Accent1 2 2 12 3" xfId="14911"/>
    <cellStyle name="40% - Accent1 2 2 12 3 2" xfId="14912"/>
    <cellStyle name="40% - Accent1 2 2 12 4" xfId="14913"/>
    <cellStyle name="40% - Accent1 2 2 13" xfId="14914"/>
    <cellStyle name="40% - Accent1 2 2 13 2" xfId="14915"/>
    <cellStyle name="40% - Accent1 2 2 13 2 2" xfId="14916"/>
    <cellStyle name="40% - Accent1 2 2 13 3" xfId="14917"/>
    <cellStyle name="40% - Accent1 2 2 14" xfId="14918"/>
    <cellStyle name="40% - Accent1 2 2 14 2" xfId="14919"/>
    <cellStyle name="40% - Accent1 2 2 15" xfId="14920"/>
    <cellStyle name="40% - Accent1 2 2 15 2" xfId="14921"/>
    <cellStyle name="40% - Accent1 2 2 16" xfId="14922"/>
    <cellStyle name="40% - Accent1 2 2 2" xfId="14923"/>
    <cellStyle name="40% - Accent1 2 2 2 10" xfId="14924"/>
    <cellStyle name="40% - Accent1 2 2 2 10 2" xfId="14925"/>
    <cellStyle name="40% - Accent1 2 2 2 10 2 2" xfId="14926"/>
    <cellStyle name="40% - Accent1 2 2 2 10 2 2 2" xfId="14927"/>
    <cellStyle name="40% - Accent1 2 2 2 10 2 2 2 2" xfId="14928"/>
    <cellStyle name="40% - Accent1 2 2 2 10 2 2 3" xfId="14929"/>
    <cellStyle name="40% - Accent1 2 2 2 10 2 3" xfId="14930"/>
    <cellStyle name="40% - Accent1 2 2 2 10 2 3 2" xfId="14931"/>
    <cellStyle name="40% - Accent1 2 2 2 10 2 4" xfId="14932"/>
    <cellStyle name="40% - Accent1 2 2 2 10 3" xfId="14933"/>
    <cellStyle name="40% - Accent1 2 2 2 10 3 2" xfId="14934"/>
    <cellStyle name="40% - Accent1 2 2 2 10 3 2 2" xfId="14935"/>
    <cellStyle name="40% - Accent1 2 2 2 10 3 3" xfId="14936"/>
    <cellStyle name="40% - Accent1 2 2 2 10 4" xfId="14937"/>
    <cellStyle name="40% - Accent1 2 2 2 10 4 2" xfId="14938"/>
    <cellStyle name="40% - Accent1 2 2 2 10 5" xfId="14939"/>
    <cellStyle name="40% - Accent1 2 2 2 10 5 2" xfId="14940"/>
    <cellStyle name="40% - Accent1 2 2 2 10 6" xfId="14941"/>
    <cellStyle name="40% - Accent1 2 2 2 11" xfId="14942"/>
    <cellStyle name="40% - Accent1 2 2 2 11 2" xfId="14943"/>
    <cellStyle name="40% - Accent1 2 2 2 11 2 2" xfId="14944"/>
    <cellStyle name="40% - Accent1 2 2 2 11 2 2 2" xfId="14945"/>
    <cellStyle name="40% - Accent1 2 2 2 11 2 3" xfId="14946"/>
    <cellStyle name="40% - Accent1 2 2 2 11 3" xfId="14947"/>
    <cellStyle name="40% - Accent1 2 2 2 11 3 2" xfId="14948"/>
    <cellStyle name="40% - Accent1 2 2 2 11 4" xfId="14949"/>
    <cellStyle name="40% - Accent1 2 2 2 12" xfId="14950"/>
    <cellStyle name="40% - Accent1 2 2 2 12 2" xfId="14951"/>
    <cellStyle name="40% - Accent1 2 2 2 12 2 2" xfId="14952"/>
    <cellStyle name="40% - Accent1 2 2 2 12 3" xfId="14953"/>
    <cellStyle name="40% - Accent1 2 2 2 13" xfId="14954"/>
    <cellStyle name="40% - Accent1 2 2 2 13 2" xfId="14955"/>
    <cellStyle name="40% - Accent1 2 2 2 14" xfId="14956"/>
    <cellStyle name="40% - Accent1 2 2 2 14 2" xfId="14957"/>
    <cellStyle name="40% - Accent1 2 2 2 15" xfId="14958"/>
    <cellStyle name="40% - Accent1 2 2 2 2" xfId="14959"/>
    <cellStyle name="40% - Accent1 2 2 2 2 10" xfId="14960"/>
    <cellStyle name="40% - Accent1 2 2 2 2 10 2" xfId="14961"/>
    <cellStyle name="40% - Accent1 2 2 2 2 11" xfId="14962"/>
    <cellStyle name="40% - Accent1 2 2 2 2 2" xfId="14963"/>
    <cellStyle name="40% - Accent1 2 2 2 2 2 2" xfId="14964"/>
    <cellStyle name="40% - Accent1 2 2 2 2 2 2 2" xfId="14965"/>
    <cellStyle name="40% - Accent1 2 2 2 2 2 2 2 2" xfId="14966"/>
    <cellStyle name="40% - Accent1 2 2 2 2 2 2 2 2 2" xfId="14967"/>
    <cellStyle name="40% - Accent1 2 2 2 2 2 2 2 2 2 2" xfId="14968"/>
    <cellStyle name="40% - Accent1 2 2 2 2 2 2 2 2 3" xfId="14969"/>
    <cellStyle name="40% - Accent1 2 2 2 2 2 2 2 3" xfId="14970"/>
    <cellStyle name="40% - Accent1 2 2 2 2 2 2 2 3 2" xfId="14971"/>
    <cellStyle name="40% - Accent1 2 2 2 2 2 2 2 4" xfId="14972"/>
    <cellStyle name="40% - Accent1 2 2 2 2 2 2 3" xfId="14973"/>
    <cellStyle name="40% - Accent1 2 2 2 2 2 2 3 2" xfId="14974"/>
    <cellStyle name="40% - Accent1 2 2 2 2 2 2 3 2 2" xfId="14975"/>
    <cellStyle name="40% - Accent1 2 2 2 2 2 2 3 3" xfId="14976"/>
    <cellStyle name="40% - Accent1 2 2 2 2 2 2 4" xfId="14977"/>
    <cellStyle name="40% - Accent1 2 2 2 2 2 2 4 2" xfId="14978"/>
    <cellStyle name="40% - Accent1 2 2 2 2 2 2 5" xfId="14979"/>
    <cellStyle name="40% - Accent1 2 2 2 2 2 2 5 2" xfId="14980"/>
    <cellStyle name="40% - Accent1 2 2 2 2 2 2 6" xfId="14981"/>
    <cellStyle name="40% - Accent1 2 2 2 2 2 3" xfId="14982"/>
    <cellStyle name="40% - Accent1 2 2 2 2 2 3 2" xfId="14983"/>
    <cellStyle name="40% - Accent1 2 2 2 2 2 3 2 2" xfId="14984"/>
    <cellStyle name="40% - Accent1 2 2 2 2 2 3 2 2 2" xfId="14985"/>
    <cellStyle name="40% - Accent1 2 2 2 2 2 3 2 2 2 2" xfId="14986"/>
    <cellStyle name="40% - Accent1 2 2 2 2 2 3 2 2 3" xfId="14987"/>
    <cellStyle name="40% - Accent1 2 2 2 2 2 3 2 3" xfId="14988"/>
    <cellStyle name="40% - Accent1 2 2 2 2 2 3 2 3 2" xfId="14989"/>
    <cellStyle name="40% - Accent1 2 2 2 2 2 3 2 4" xfId="14990"/>
    <cellStyle name="40% - Accent1 2 2 2 2 2 3 3" xfId="14991"/>
    <cellStyle name="40% - Accent1 2 2 2 2 2 3 3 2" xfId="14992"/>
    <cellStyle name="40% - Accent1 2 2 2 2 2 3 3 2 2" xfId="14993"/>
    <cellStyle name="40% - Accent1 2 2 2 2 2 3 3 3" xfId="14994"/>
    <cellStyle name="40% - Accent1 2 2 2 2 2 3 4" xfId="14995"/>
    <cellStyle name="40% - Accent1 2 2 2 2 2 3 4 2" xfId="14996"/>
    <cellStyle name="40% - Accent1 2 2 2 2 2 3 5" xfId="14997"/>
    <cellStyle name="40% - Accent1 2 2 2 2 2 3 5 2" xfId="14998"/>
    <cellStyle name="40% - Accent1 2 2 2 2 2 3 6" xfId="14999"/>
    <cellStyle name="40% - Accent1 2 2 2 2 2 4" xfId="15000"/>
    <cellStyle name="40% - Accent1 2 2 2 2 2 4 2" xfId="15001"/>
    <cellStyle name="40% - Accent1 2 2 2 2 2 4 2 2" xfId="15002"/>
    <cellStyle name="40% - Accent1 2 2 2 2 2 4 2 2 2" xfId="15003"/>
    <cellStyle name="40% - Accent1 2 2 2 2 2 4 2 3" xfId="15004"/>
    <cellStyle name="40% - Accent1 2 2 2 2 2 4 3" xfId="15005"/>
    <cellStyle name="40% - Accent1 2 2 2 2 2 4 3 2" xfId="15006"/>
    <cellStyle name="40% - Accent1 2 2 2 2 2 4 4" xfId="15007"/>
    <cellStyle name="40% - Accent1 2 2 2 2 2 5" xfId="15008"/>
    <cellStyle name="40% - Accent1 2 2 2 2 2 5 2" xfId="15009"/>
    <cellStyle name="40% - Accent1 2 2 2 2 2 5 2 2" xfId="15010"/>
    <cellStyle name="40% - Accent1 2 2 2 2 2 5 3" xfId="15011"/>
    <cellStyle name="40% - Accent1 2 2 2 2 2 6" xfId="15012"/>
    <cellStyle name="40% - Accent1 2 2 2 2 2 6 2" xfId="15013"/>
    <cellStyle name="40% - Accent1 2 2 2 2 2 7" xfId="15014"/>
    <cellStyle name="40% - Accent1 2 2 2 2 2 7 2" xfId="15015"/>
    <cellStyle name="40% - Accent1 2 2 2 2 2 8" xfId="15016"/>
    <cellStyle name="40% - Accent1 2 2 2 2 3" xfId="15017"/>
    <cellStyle name="40% - Accent1 2 2 2 2 3 2" xfId="15018"/>
    <cellStyle name="40% - Accent1 2 2 2 2 3 2 2" xfId="15019"/>
    <cellStyle name="40% - Accent1 2 2 2 2 3 2 2 2" xfId="15020"/>
    <cellStyle name="40% - Accent1 2 2 2 2 3 2 2 2 2" xfId="15021"/>
    <cellStyle name="40% - Accent1 2 2 2 2 3 2 2 2 2 2" xfId="15022"/>
    <cellStyle name="40% - Accent1 2 2 2 2 3 2 2 2 3" xfId="15023"/>
    <cellStyle name="40% - Accent1 2 2 2 2 3 2 2 3" xfId="15024"/>
    <cellStyle name="40% - Accent1 2 2 2 2 3 2 2 3 2" xfId="15025"/>
    <cellStyle name="40% - Accent1 2 2 2 2 3 2 2 4" xfId="15026"/>
    <cellStyle name="40% - Accent1 2 2 2 2 3 2 3" xfId="15027"/>
    <cellStyle name="40% - Accent1 2 2 2 2 3 2 3 2" xfId="15028"/>
    <cellStyle name="40% - Accent1 2 2 2 2 3 2 3 2 2" xfId="15029"/>
    <cellStyle name="40% - Accent1 2 2 2 2 3 2 3 3" xfId="15030"/>
    <cellStyle name="40% - Accent1 2 2 2 2 3 2 4" xfId="15031"/>
    <cellStyle name="40% - Accent1 2 2 2 2 3 2 4 2" xfId="15032"/>
    <cellStyle name="40% - Accent1 2 2 2 2 3 2 5" xfId="15033"/>
    <cellStyle name="40% - Accent1 2 2 2 2 3 2 5 2" xfId="15034"/>
    <cellStyle name="40% - Accent1 2 2 2 2 3 2 6" xfId="15035"/>
    <cellStyle name="40% - Accent1 2 2 2 2 3 3" xfId="15036"/>
    <cellStyle name="40% - Accent1 2 2 2 2 3 3 2" xfId="15037"/>
    <cellStyle name="40% - Accent1 2 2 2 2 3 3 2 2" xfId="15038"/>
    <cellStyle name="40% - Accent1 2 2 2 2 3 3 2 2 2" xfId="15039"/>
    <cellStyle name="40% - Accent1 2 2 2 2 3 3 2 2 2 2" xfId="15040"/>
    <cellStyle name="40% - Accent1 2 2 2 2 3 3 2 2 3" xfId="15041"/>
    <cellStyle name="40% - Accent1 2 2 2 2 3 3 2 3" xfId="15042"/>
    <cellStyle name="40% - Accent1 2 2 2 2 3 3 2 3 2" xfId="15043"/>
    <cellStyle name="40% - Accent1 2 2 2 2 3 3 2 4" xfId="15044"/>
    <cellStyle name="40% - Accent1 2 2 2 2 3 3 3" xfId="15045"/>
    <cellStyle name="40% - Accent1 2 2 2 2 3 3 3 2" xfId="15046"/>
    <cellStyle name="40% - Accent1 2 2 2 2 3 3 3 2 2" xfId="15047"/>
    <cellStyle name="40% - Accent1 2 2 2 2 3 3 3 3" xfId="15048"/>
    <cellStyle name="40% - Accent1 2 2 2 2 3 3 4" xfId="15049"/>
    <cellStyle name="40% - Accent1 2 2 2 2 3 3 4 2" xfId="15050"/>
    <cellStyle name="40% - Accent1 2 2 2 2 3 3 5" xfId="15051"/>
    <cellStyle name="40% - Accent1 2 2 2 2 3 3 5 2" xfId="15052"/>
    <cellStyle name="40% - Accent1 2 2 2 2 3 3 6" xfId="15053"/>
    <cellStyle name="40% - Accent1 2 2 2 2 3 4" xfId="15054"/>
    <cellStyle name="40% - Accent1 2 2 2 2 3 4 2" xfId="15055"/>
    <cellStyle name="40% - Accent1 2 2 2 2 3 4 2 2" xfId="15056"/>
    <cellStyle name="40% - Accent1 2 2 2 2 3 4 2 2 2" xfId="15057"/>
    <cellStyle name="40% - Accent1 2 2 2 2 3 4 2 3" xfId="15058"/>
    <cellStyle name="40% - Accent1 2 2 2 2 3 4 3" xfId="15059"/>
    <cellStyle name="40% - Accent1 2 2 2 2 3 4 3 2" xfId="15060"/>
    <cellStyle name="40% - Accent1 2 2 2 2 3 4 4" xfId="15061"/>
    <cellStyle name="40% - Accent1 2 2 2 2 3 5" xfId="15062"/>
    <cellStyle name="40% - Accent1 2 2 2 2 3 5 2" xfId="15063"/>
    <cellStyle name="40% - Accent1 2 2 2 2 3 5 2 2" xfId="15064"/>
    <cellStyle name="40% - Accent1 2 2 2 2 3 5 3" xfId="15065"/>
    <cellStyle name="40% - Accent1 2 2 2 2 3 6" xfId="15066"/>
    <cellStyle name="40% - Accent1 2 2 2 2 3 6 2" xfId="15067"/>
    <cellStyle name="40% - Accent1 2 2 2 2 3 7" xfId="15068"/>
    <cellStyle name="40% - Accent1 2 2 2 2 3 7 2" xfId="15069"/>
    <cellStyle name="40% - Accent1 2 2 2 2 3 8" xfId="15070"/>
    <cellStyle name="40% - Accent1 2 2 2 2 4" xfId="15071"/>
    <cellStyle name="40% - Accent1 2 2 2 2 4 2" xfId="15072"/>
    <cellStyle name="40% - Accent1 2 2 2 2 4 2 2" xfId="15073"/>
    <cellStyle name="40% - Accent1 2 2 2 2 4 2 2 2" xfId="15074"/>
    <cellStyle name="40% - Accent1 2 2 2 2 4 2 2 2 2" xfId="15075"/>
    <cellStyle name="40% - Accent1 2 2 2 2 4 2 2 3" xfId="15076"/>
    <cellStyle name="40% - Accent1 2 2 2 2 4 2 3" xfId="15077"/>
    <cellStyle name="40% - Accent1 2 2 2 2 4 2 3 2" xfId="15078"/>
    <cellStyle name="40% - Accent1 2 2 2 2 4 2 4" xfId="15079"/>
    <cellStyle name="40% - Accent1 2 2 2 2 4 3" xfId="15080"/>
    <cellStyle name="40% - Accent1 2 2 2 2 4 3 2" xfId="15081"/>
    <cellStyle name="40% - Accent1 2 2 2 2 4 3 2 2" xfId="15082"/>
    <cellStyle name="40% - Accent1 2 2 2 2 4 3 3" xfId="15083"/>
    <cellStyle name="40% - Accent1 2 2 2 2 4 4" xfId="15084"/>
    <cellStyle name="40% - Accent1 2 2 2 2 4 4 2" xfId="15085"/>
    <cellStyle name="40% - Accent1 2 2 2 2 4 5" xfId="15086"/>
    <cellStyle name="40% - Accent1 2 2 2 2 4 5 2" xfId="15087"/>
    <cellStyle name="40% - Accent1 2 2 2 2 4 6" xfId="15088"/>
    <cellStyle name="40% - Accent1 2 2 2 2 5" xfId="15089"/>
    <cellStyle name="40% - Accent1 2 2 2 2 5 2" xfId="15090"/>
    <cellStyle name="40% - Accent1 2 2 2 2 5 2 2" xfId="15091"/>
    <cellStyle name="40% - Accent1 2 2 2 2 5 2 2 2" xfId="15092"/>
    <cellStyle name="40% - Accent1 2 2 2 2 5 2 2 2 2" xfId="15093"/>
    <cellStyle name="40% - Accent1 2 2 2 2 5 2 2 3" xfId="15094"/>
    <cellStyle name="40% - Accent1 2 2 2 2 5 2 3" xfId="15095"/>
    <cellStyle name="40% - Accent1 2 2 2 2 5 2 3 2" xfId="15096"/>
    <cellStyle name="40% - Accent1 2 2 2 2 5 2 4" xfId="15097"/>
    <cellStyle name="40% - Accent1 2 2 2 2 5 3" xfId="15098"/>
    <cellStyle name="40% - Accent1 2 2 2 2 5 3 2" xfId="15099"/>
    <cellStyle name="40% - Accent1 2 2 2 2 5 3 2 2" xfId="15100"/>
    <cellStyle name="40% - Accent1 2 2 2 2 5 3 3" xfId="15101"/>
    <cellStyle name="40% - Accent1 2 2 2 2 5 4" xfId="15102"/>
    <cellStyle name="40% - Accent1 2 2 2 2 5 4 2" xfId="15103"/>
    <cellStyle name="40% - Accent1 2 2 2 2 5 5" xfId="15104"/>
    <cellStyle name="40% - Accent1 2 2 2 2 5 5 2" xfId="15105"/>
    <cellStyle name="40% - Accent1 2 2 2 2 5 6" xfId="15106"/>
    <cellStyle name="40% - Accent1 2 2 2 2 6" xfId="15107"/>
    <cellStyle name="40% - Accent1 2 2 2 2 6 2" xfId="15108"/>
    <cellStyle name="40% - Accent1 2 2 2 2 6 2 2" xfId="15109"/>
    <cellStyle name="40% - Accent1 2 2 2 2 6 2 2 2" xfId="15110"/>
    <cellStyle name="40% - Accent1 2 2 2 2 6 2 2 2 2" xfId="15111"/>
    <cellStyle name="40% - Accent1 2 2 2 2 6 2 2 3" xfId="15112"/>
    <cellStyle name="40% - Accent1 2 2 2 2 6 2 3" xfId="15113"/>
    <cellStyle name="40% - Accent1 2 2 2 2 6 2 3 2" xfId="15114"/>
    <cellStyle name="40% - Accent1 2 2 2 2 6 2 4" xfId="15115"/>
    <cellStyle name="40% - Accent1 2 2 2 2 6 3" xfId="15116"/>
    <cellStyle name="40% - Accent1 2 2 2 2 6 3 2" xfId="15117"/>
    <cellStyle name="40% - Accent1 2 2 2 2 6 3 2 2" xfId="15118"/>
    <cellStyle name="40% - Accent1 2 2 2 2 6 3 3" xfId="15119"/>
    <cellStyle name="40% - Accent1 2 2 2 2 6 4" xfId="15120"/>
    <cellStyle name="40% - Accent1 2 2 2 2 6 4 2" xfId="15121"/>
    <cellStyle name="40% - Accent1 2 2 2 2 6 5" xfId="15122"/>
    <cellStyle name="40% - Accent1 2 2 2 2 6 5 2" xfId="15123"/>
    <cellStyle name="40% - Accent1 2 2 2 2 6 6" xfId="15124"/>
    <cellStyle name="40% - Accent1 2 2 2 2 7" xfId="15125"/>
    <cellStyle name="40% - Accent1 2 2 2 2 7 2" xfId="15126"/>
    <cellStyle name="40% - Accent1 2 2 2 2 7 2 2" xfId="15127"/>
    <cellStyle name="40% - Accent1 2 2 2 2 7 2 2 2" xfId="15128"/>
    <cellStyle name="40% - Accent1 2 2 2 2 7 2 3" xfId="15129"/>
    <cellStyle name="40% - Accent1 2 2 2 2 7 3" xfId="15130"/>
    <cellStyle name="40% - Accent1 2 2 2 2 7 3 2" xfId="15131"/>
    <cellStyle name="40% - Accent1 2 2 2 2 7 4" xfId="15132"/>
    <cellStyle name="40% - Accent1 2 2 2 2 8" xfId="15133"/>
    <cellStyle name="40% - Accent1 2 2 2 2 8 2" xfId="15134"/>
    <cellStyle name="40% - Accent1 2 2 2 2 8 2 2" xfId="15135"/>
    <cellStyle name="40% - Accent1 2 2 2 2 8 3" xfId="15136"/>
    <cellStyle name="40% - Accent1 2 2 2 2 9" xfId="15137"/>
    <cellStyle name="40% - Accent1 2 2 2 2 9 2" xfId="15138"/>
    <cellStyle name="40% - Accent1 2 2 2 3" xfId="15139"/>
    <cellStyle name="40% - Accent1 2 2 2 3 10" xfId="15140"/>
    <cellStyle name="40% - Accent1 2 2 2 3 10 2" xfId="15141"/>
    <cellStyle name="40% - Accent1 2 2 2 3 11" xfId="15142"/>
    <cellStyle name="40% - Accent1 2 2 2 3 2" xfId="15143"/>
    <cellStyle name="40% - Accent1 2 2 2 3 2 2" xfId="15144"/>
    <cellStyle name="40% - Accent1 2 2 2 3 2 2 2" xfId="15145"/>
    <cellStyle name="40% - Accent1 2 2 2 3 2 2 2 2" xfId="15146"/>
    <cellStyle name="40% - Accent1 2 2 2 3 2 2 2 2 2" xfId="15147"/>
    <cellStyle name="40% - Accent1 2 2 2 3 2 2 2 2 2 2" xfId="15148"/>
    <cellStyle name="40% - Accent1 2 2 2 3 2 2 2 2 3" xfId="15149"/>
    <cellStyle name="40% - Accent1 2 2 2 3 2 2 2 3" xfId="15150"/>
    <cellStyle name="40% - Accent1 2 2 2 3 2 2 2 3 2" xfId="15151"/>
    <cellStyle name="40% - Accent1 2 2 2 3 2 2 2 4" xfId="15152"/>
    <cellStyle name="40% - Accent1 2 2 2 3 2 2 3" xfId="15153"/>
    <cellStyle name="40% - Accent1 2 2 2 3 2 2 3 2" xfId="15154"/>
    <cellStyle name="40% - Accent1 2 2 2 3 2 2 3 2 2" xfId="15155"/>
    <cellStyle name="40% - Accent1 2 2 2 3 2 2 3 3" xfId="15156"/>
    <cellStyle name="40% - Accent1 2 2 2 3 2 2 4" xfId="15157"/>
    <cellStyle name="40% - Accent1 2 2 2 3 2 2 4 2" xfId="15158"/>
    <cellStyle name="40% - Accent1 2 2 2 3 2 2 5" xfId="15159"/>
    <cellStyle name="40% - Accent1 2 2 2 3 2 2 5 2" xfId="15160"/>
    <cellStyle name="40% - Accent1 2 2 2 3 2 2 6" xfId="15161"/>
    <cellStyle name="40% - Accent1 2 2 2 3 2 3" xfId="15162"/>
    <cellStyle name="40% - Accent1 2 2 2 3 2 3 2" xfId="15163"/>
    <cellStyle name="40% - Accent1 2 2 2 3 2 3 2 2" xfId="15164"/>
    <cellStyle name="40% - Accent1 2 2 2 3 2 3 2 2 2" xfId="15165"/>
    <cellStyle name="40% - Accent1 2 2 2 3 2 3 2 2 2 2" xfId="15166"/>
    <cellStyle name="40% - Accent1 2 2 2 3 2 3 2 2 3" xfId="15167"/>
    <cellStyle name="40% - Accent1 2 2 2 3 2 3 2 3" xfId="15168"/>
    <cellStyle name="40% - Accent1 2 2 2 3 2 3 2 3 2" xfId="15169"/>
    <cellStyle name="40% - Accent1 2 2 2 3 2 3 2 4" xfId="15170"/>
    <cellStyle name="40% - Accent1 2 2 2 3 2 3 3" xfId="15171"/>
    <cellStyle name="40% - Accent1 2 2 2 3 2 3 3 2" xfId="15172"/>
    <cellStyle name="40% - Accent1 2 2 2 3 2 3 3 2 2" xfId="15173"/>
    <cellStyle name="40% - Accent1 2 2 2 3 2 3 3 3" xfId="15174"/>
    <cellStyle name="40% - Accent1 2 2 2 3 2 3 4" xfId="15175"/>
    <cellStyle name="40% - Accent1 2 2 2 3 2 3 4 2" xfId="15176"/>
    <cellStyle name="40% - Accent1 2 2 2 3 2 3 5" xfId="15177"/>
    <cellStyle name="40% - Accent1 2 2 2 3 2 3 5 2" xfId="15178"/>
    <cellStyle name="40% - Accent1 2 2 2 3 2 3 6" xfId="15179"/>
    <cellStyle name="40% - Accent1 2 2 2 3 2 4" xfId="15180"/>
    <cellStyle name="40% - Accent1 2 2 2 3 2 4 2" xfId="15181"/>
    <cellStyle name="40% - Accent1 2 2 2 3 2 4 2 2" xfId="15182"/>
    <cellStyle name="40% - Accent1 2 2 2 3 2 4 2 2 2" xfId="15183"/>
    <cellStyle name="40% - Accent1 2 2 2 3 2 4 2 3" xfId="15184"/>
    <cellStyle name="40% - Accent1 2 2 2 3 2 4 3" xfId="15185"/>
    <cellStyle name="40% - Accent1 2 2 2 3 2 4 3 2" xfId="15186"/>
    <cellStyle name="40% - Accent1 2 2 2 3 2 4 4" xfId="15187"/>
    <cellStyle name="40% - Accent1 2 2 2 3 2 5" xfId="15188"/>
    <cellStyle name="40% - Accent1 2 2 2 3 2 5 2" xfId="15189"/>
    <cellStyle name="40% - Accent1 2 2 2 3 2 5 2 2" xfId="15190"/>
    <cellStyle name="40% - Accent1 2 2 2 3 2 5 3" xfId="15191"/>
    <cellStyle name="40% - Accent1 2 2 2 3 2 6" xfId="15192"/>
    <cellStyle name="40% - Accent1 2 2 2 3 2 6 2" xfId="15193"/>
    <cellStyle name="40% - Accent1 2 2 2 3 2 7" xfId="15194"/>
    <cellStyle name="40% - Accent1 2 2 2 3 2 7 2" xfId="15195"/>
    <cellStyle name="40% - Accent1 2 2 2 3 2 8" xfId="15196"/>
    <cellStyle name="40% - Accent1 2 2 2 3 3" xfId="15197"/>
    <cellStyle name="40% - Accent1 2 2 2 3 3 2" xfId="15198"/>
    <cellStyle name="40% - Accent1 2 2 2 3 3 2 2" xfId="15199"/>
    <cellStyle name="40% - Accent1 2 2 2 3 3 2 2 2" xfId="15200"/>
    <cellStyle name="40% - Accent1 2 2 2 3 3 2 2 2 2" xfId="15201"/>
    <cellStyle name="40% - Accent1 2 2 2 3 3 2 2 2 2 2" xfId="15202"/>
    <cellStyle name="40% - Accent1 2 2 2 3 3 2 2 2 3" xfId="15203"/>
    <cellStyle name="40% - Accent1 2 2 2 3 3 2 2 3" xfId="15204"/>
    <cellStyle name="40% - Accent1 2 2 2 3 3 2 2 3 2" xfId="15205"/>
    <cellStyle name="40% - Accent1 2 2 2 3 3 2 2 4" xfId="15206"/>
    <cellStyle name="40% - Accent1 2 2 2 3 3 2 3" xfId="15207"/>
    <cellStyle name="40% - Accent1 2 2 2 3 3 2 3 2" xfId="15208"/>
    <cellStyle name="40% - Accent1 2 2 2 3 3 2 3 2 2" xfId="15209"/>
    <cellStyle name="40% - Accent1 2 2 2 3 3 2 3 3" xfId="15210"/>
    <cellStyle name="40% - Accent1 2 2 2 3 3 2 4" xfId="15211"/>
    <cellStyle name="40% - Accent1 2 2 2 3 3 2 4 2" xfId="15212"/>
    <cellStyle name="40% - Accent1 2 2 2 3 3 2 5" xfId="15213"/>
    <cellStyle name="40% - Accent1 2 2 2 3 3 2 5 2" xfId="15214"/>
    <cellStyle name="40% - Accent1 2 2 2 3 3 2 6" xfId="15215"/>
    <cellStyle name="40% - Accent1 2 2 2 3 3 3" xfId="15216"/>
    <cellStyle name="40% - Accent1 2 2 2 3 3 3 2" xfId="15217"/>
    <cellStyle name="40% - Accent1 2 2 2 3 3 3 2 2" xfId="15218"/>
    <cellStyle name="40% - Accent1 2 2 2 3 3 3 2 2 2" xfId="15219"/>
    <cellStyle name="40% - Accent1 2 2 2 3 3 3 2 2 2 2" xfId="15220"/>
    <cellStyle name="40% - Accent1 2 2 2 3 3 3 2 2 3" xfId="15221"/>
    <cellStyle name="40% - Accent1 2 2 2 3 3 3 2 3" xfId="15222"/>
    <cellStyle name="40% - Accent1 2 2 2 3 3 3 2 3 2" xfId="15223"/>
    <cellStyle name="40% - Accent1 2 2 2 3 3 3 2 4" xfId="15224"/>
    <cellStyle name="40% - Accent1 2 2 2 3 3 3 3" xfId="15225"/>
    <cellStyle name="40% - Accent1 2 2 2 3 3 3 3 2" xfId="15226"/>
    <cellStyle name="40% - Accent1 2 2 2 3 3 3 3 2 2" xfId="15227"/>
    <cellStyle name="40% - Accent1 2 2 2 3 3 3 3 3" xfId="15228"/>
    <cellStyle name="40% - Accent1 2 2 2 3 3 3 4" xfId="15229"/>
    <cellStyle name="40% - Accent1 2 2 2 3 3 3 4 2" xfId="15230"/>
    <cellStyle name="40% - Accent1 2 2 2 3 3 3 5" xfId="15231"/>
    <cellStyle name="40% - Accent1 2 2 2 3 3 3 5 2" xfId="15232"/>
    <cellStyle name="40% - Accent1 2 2 2 3 3 3 6" xfId="15233"/>
    <cellStyle name="40% - Accent1 2 2 2 3 3 4" xfId="15234"/>
    <cellStyle name="40% - Accent1 2 2 2 3 3 4 2" xfId="15235"/>
    <cellStyle name="40% - Accent1 2 2 2 3 3 4 2 2" xfId="15236"/>
    <cellStyle name="40% - Accent1 2 2 2 3 3 4 2 2 2" xfId="15237"/>
    <cellStyle name="40% - Accent1 2 2 2 3 3 4 2 3" xfId="15238"/>
    <cellStyle name="40% - Accent1 2 2 2 3 3 4 3" xfId="15239"/>
    <cellStyle name="40% - Accent1 2 2 2 3 3 4 3 2" xfId="15240"/>
    <cellStyle name="40% - Accent1 2 2 2 3 3 4 4" xfId="15241"/>
    <cellStyle name="40% - Accent1 2 2 2 3 3 5" xfId="15242"/>
    <cellStyle name="40% - Accent1 2 2 2 3 3 5 2" xfId="15243"/>
    <cellStyle name="40% - Accent1 2 2 2 3 3 5 2 2" xfId="15244"/>
    <cellStyle name="40% - Accent1 2 2 2 3 3 5 3" xfId="15245"/>
    <cellStyle name="40% - Accent1 2 2 2 3 3 6" xfId="15246"/>
    <cellStyle name="40% - Accent1 2 2 2 3 3 6 2" xfId="15247"/>
    <cellStyle name="40% - Accent1 2 2 2 3 3 7" xfId="15248"/>
    <cellStyle name="40% - Accent1 2 2 2 3 3 7 2" xfId="15249"/>
    <cellStyle name="40% - Accent1 2 2 2 3 3 8" xfId="15250"/>
    <cellStyle name="40% - Accent1 2 2 2 3 4" xfId="15251"/>
    <cellStyle name="40% - Accent1 2 2 2 3 4 2" xfId="15252"/>
    <cellStyle name="40% - Accent1 2 2 2 3 4 2 2" xfId="15253"/>
    <cellStyle name="40% - Accent1 2 2 2 3 4 2 2 2" xfId="15254"/>
    <cellStyle name="40% - Accent1 2 2 2 3 4 2 2 2 2" xfId="15255"/>
    <cellStyle name="40% - Accent1 2 2 2 3 4 2 2 3" xfId="15256"/>
    <cellStyle name="40% - Accent1 2 2 2 3 4 2 3" xfId="15257"/>
    <cellStyle name="40% - Accent1 2 2 2 3 4 2 3 2" xfId="15258"/>
    <cellStyle name="40% - Accent1 2 2 2 3 4 2 4" xfId="15259"/>
    <cellStyle name="40% - Accent1 2 2 2 3 4 3" xfId="15260"/>
    <cellStyle name="40% - Accent1 2 2 2 3 4 3 2" xfId="15261"/>
    <cellStyle name="40% - Accent1 2 2 2 3 4 3 2 2" xfId="15262"/>
    <cellStyle name="40% - Accent1 2 2 2 3 4 3 3" xfId="15263"/>
    <cellStyle name="40% - Accent1 2 2 2 3 4 4" xfId="15264"/>
    <cellStyle name="40% - Accent1 2 2 2 3 4 4 2" xfId="15265"/>
    <cellStyle name="40% - Accent1 2 2 2 3 4 5" xfId="15266"/>
    <cellStyle name="40% - Accent1 2 2 2 3 4 5 2" xfId="15267"/>
    <cellStyle name="40% - Accent1 2 2 2 3 4 6" xfId="15268"/>
    <cellStyle name="40% - Accent1 2 2 2 3 5" xfId="15269"/>
    <cellStyle name="40% - Accent1 2 2 2 3 5 2" xfId="15270"/>
    <cellStyle name="40% - Accent1 2 2 2 3 5 2 2" xfId="15271"/>
    <cellStyle name="40% - Accent1 2 2 2 3 5 2 2 2" xfId="15272"/>
    <cellStyle name="40% - Accent1 2 2 2 3 5 2 2 2 2" xfId="15273"/>
    <cellStyle name="40% - Accent1 2 2 2 3 5 2 2 3" xfId="15274"/>
    <cellStyle name="40% - Accent1 2 2 2 3 5 2 3" xfId="15275"/>
    <cellStyle name="40% - Accent1 2 2 2 3 5 2 3 2" xfId="15276"/>
    <cellStyle name="40% - Accent1 2 2 2 3 5 2 4" xfId="15277"/>
    <cellStyle name="40% - Accent1 2 2 2 3 5 3" xfId="15278"/>
    <cellStyle name="40% - Accent1 2 2 2 3 5 3 2" xfId="15279"/>
    <cellStyle name="40% - Accent1 2 2 2 3 5 3 2 2" xfId="15280"/>
    <cellStyle name="40% - Accent1 2 2 2 3 5 3 3" xfId="15281"/>
    <cellStyle name="40% - Accent1 2 2 2 3 5 4" xfId="15282"/>
    <cellStyle name="40% - Accent1 2 2 2 3 5 4 2" xfId="15283"/>
    <cellStyle name="40% - Accent1 2 2 2 3 5 5" xfId="15284"/>
    <cellStyle name="40% - Accent1 2 2 2 3 5 5 2" xfId="15285"/>
    <cellStyle name="40% - Accent1 2 2 2 3 5 6" xfId="15286"/>
    <cellStyle name="40% - Accent1 2 2 2 3 6" xfId="15287"/>
    <cellStyle name="40% - Accent1 2 2 2 3 6 2" xfId="15288"/>
    <cellStyle name="40% - Accent1 2 2 2 3 6 2 2" xfId="15289"/>
    <cellStyle name="40% - Accent1 2 2 2 3 6 2 2 2" xfId="15290"/>
    <cellStyle name="40% - Accent1 2 2 2 3 6 2 2 2 2" xfId="15291"/>
    <cellStyle name="40% - Accent1 2 2 2 3 6 2 2 3" xfId="15292"/>
    <cellStyle name="40% - Accent1 2 2 2 3 6 2 3" xfId="15293"/>
    <cellStyle name="40% - Accent1 2 2 2 3 6 2 3 2" xfId="15294"/>
    <cellStyle name="40% - Accent1 2 2 2 3 6 2 4" xfId="15295"/>
    <cellStyle name="40% - Accent1 2 2 2 3 6 3" xfId="15296"/>
    <cellStyle name="40% - Accent1 2 2 2 3 6 3 2" xfId="15297"/>
    <cellStyle name="40% - Accent1 2 2 2 3 6 3 2 2" xfId="15298"/>
    <cellStyle name="40% - Accent1 2 2 2 3 6 3 3" xfId="15299"/>
    <cellStyle name="40% - Accent1 2 2 2 3 6 4" xfId="15300"/>
    <cellStyle name="40% - Accent1 2 2 2 3 6 4 2" xfId="15301"/>
    <cellStyle name="40% - Accent1 2 2 2 3 6 5" xfId="15302"/>
    <cellStyle name="40% - Accent1 2 2 2 3 6 5 2" xfId="15303"/>
    <cellStyle name="40% - Accent1 2 2 2 3 6 6" xfId="15304"/>
    <cellStyle name="40% - Accent1 2 2 2 3 7" xfId="15305"/>
    <cellStyle name="40% - Accent1 2 2 2 3 7 2" xfId="15306"/>
    <cellStyle name="40% - Accent1 2 2 2 3 7 2 2" xfId="15307"/>
    <cellStyle name="40% - Accent1 2 2 2 3 7 2 2 2" xfId="15308"/>
    <cellStyle name="40% - Accent1 2 2 2 3 7 2 3" xfId="15309"/>
    <cellStyle name="40% - Accent1 2 2 2 3 7 3" xfId="15310"/>
    <cellStyle name="40% - Accent1 2 2 2 3 7 3 2" xfId="15311"/>
    <cellStyle name="40% - Accent1 2 2 2 3 7 4" xfId="15312"/>
    <cellStyle name="40% - Accent1 2 2 2 3 8" xfId="15313"/>
    <cellStyle name="40% - Accent1 2 2 2 3 8 2" xfId="15314"/>
    <cellStyle name="40% - Accent1 2 2 2 3 8 2 2" xfId="15315"/>
    <cellStyle name="40% - Accent1 2 2 2 3 8 3" xfId="15316"/>
    <cellStyle name="40% - Accent1 2 2 2 3 9" xfId="15317"/>
    <cellStyle name="40% - Accent1 2 2 2 3 9 2" xfId="15318"/>
    <cellStyle name="40% - Accent1 2 2 2 4" xfId="15319"/>
    <cellStyle name="40% - Accent1 2 2 2 4 10" xfId="15320"/>
    <cellStyle name="40% - Accent1 2 2 2 4 10 2" xfId="15321"/>
    <cellStyle name="40% - Accent1 2 2 2 4 11" xfId="15322"/>
    <cellStyle name="40% - Accent1 2 2 2 4 2" xfId="15323"/>
    <cellStyle name="40% - Accent1 2 2 2 4 2 2" xfId="15324"/>
    <cellStyle name="40% - Accent1 2 2 2 4 2 2 2" xfId="15325"/>
    <cellStyle name="40% - Accent1 2 2 2 4 2 2 2 2" xfId="15326"/>
    <cellStyle name="40% - Accent1 2 2 2 4 2 2 2 2 2" xfId="15327"/>
    <cellStyle name="40% - Accent1 2 2 2 4 2 2 2 2 2 2" xfId="15328"/>
    <cellStyle name="40% - Accent1 2 2 2 4 2 2 2 2 3" xfId="15329"/>
    <cellStyle name="40% - Accent1 2 2 2 4 2 2 2 3" xfId="15330"/>
    <cellStyle name="40% - Accent1 2 2 2 4 2 2 2 3 2" xfId="15331"/>
    <cellStyle name="40% - Accent1 2 2 2 4 2 2 2 4" xfId="15332"/>
    <cellStyle name="40% - Accent1 2 2 2 4 2 2 3" xfId="15333"/>
    <cellStyle name="40% - Accent1 2 2 2 4 2 2 3 2" xfId="15334"/>
    <cellStyle name="40% - Accent1 2 2 2 4 2 2 3 2 2" xfId="15335"/>
    <cellStyle name="40% - Accent1 2 2 2 4 2 2 3 3" xfId="15336"/>
    <cellStyle name="40% - Accent1 2 2 2 4 2 2 4" xfId="15337"/>
    <cellStyle name="40% - Accent1 2 2 2 4 2 2 4 2" xfId="15338"/>
    <cellStyle name="40% - Accent1 2 2 2 4 2 2 5" xfId="15339"/>
    <cellStyle name="40% - Accent1 2 2 2 4 2 2 5 2" xfId="15340"/>
    <cellStyle name="40% - Accent1 2 2 2 4 2 2 6" xfId="15341"/>
    <cellStyle name="40% - Accent1 2 2 2 4 2 3" xfId="15342"/>
    <cellStyle name="40% - Accent1 2 2 2 4 2 3 2" xfId="15343"/>
    <cellStyle name="40% - Accent1 2 2 2 4 2 3 2 2" xfId="15344"/>
    <cellStyle name="40% - Accent1 2 2 2 4 2 3 2 2 2" xfId="15345"/>
    <cellStyle name="40% - Accent1 2 2 2 4 2 3 2 2 2 2" xfId="15346"/>
    <cellStyle name="40% - Accent1 2 2 2 4 2 3 2 2 3" xfId="15347"/>
    <cellStyle name="40% - Accent1 2 2 2 4 2 3 2 3" xfId="15348"/>
    <cellStyle name="40% - Accent1 2 2 2 4 2 3 2 3 2" xfId="15349"/>
    <cellStyle name="40% - Accent1 2 2 2 4 2 3 2 4" xfId="15350"/>
    <cellStyle name="40% - Accent1 2 2 2 4 2 3 3" xfId="15351"/>
    <cellStyle name="40% - Accent1 2 2 2 4 2 3 3 2" xfId="15352"/>
    <cellStyle name="40% - Accent1 2 2 2 4 2 3 3 2 2" xfId="15353"/>
    <cellStyle name="40% - Accent1 2 2 2 4 2 3 3 3" xfId="15354"/>
    <cellStyle name="40% - Accent1 2 2 2 4 2 3 4" xfId="15355"/>
    <cellStyle name="40% - Accent1 2 2 2 4 2 3 4 2" xfId="15356"/>
    <cellStyle name="40% - Accent1 2 2 2 4 2 3 5" xfId="15357"/>
    <cellStyle name="40% - Accent1 2 2 2 4 2 3 5 2" xfId="15358"/>
    <cellStyle name="40% - Accent1 2 2 2 4 2 3 6" xfId="15359"/>
    <cellStyle name="40% - Accent1 2 2 2 4 2 4" xfId="15360"/>
    <cellStyle name="40% - Accent1 2 2 2 4 2 4 2" xfId="15361"/>
    <cellStyle name="40% - Accent1 2 2 2 4 2 4 2 2" xfId="15362"/>
    <cellStyle name="40% - Accent1 2 2 2 4 2 4 2 2 2" xfId="15363"/>
    <cellStyle name="40% - Accent1 2 2 2 4 2 4 2 3" xfId="15364"/>
    <cellStyle name="40% - Accent1 2 2 2 4 2 4 3" xfId="15365"/>
    <cellStyle name="40% - Accent1 2 2 2 4 2 4 3 2" xfId="15366"/>
    <cellStyle name="40% - Accent1 2 2 2 4 2 4 4" xfId="15367"/>
    <cellStyle name="40% - Accent1 2 2 2 4 2 5" xfId="15368"/>
    <cellStyle name="40% - Accent1 2 2 2 4 2 5 2" xfId="15369"/>
    <cellStyle name="40% - Accent1 2 2 2 4 2 5 2 2" xfId="15370"/>
    <cellStyle name="40% - Accent1 2 2 2 4 2 5 3" xfId="15371"/>
    <cellStyle name="40% - Accent1 2 2 2 4 2 6" xfId="15372"/>
    <cellStyle name="40% - Accent1 2 2 2 4 2 6 2" xfId="15373"/>
    <cellStyle name="40% - Accent1 2 2 2 4 2 7" xfId="15374"/>
    <cellStyle name="40% - Accent1 2 2 2 4 2 7 2" xfId="15375"/>
    <cellStyle name="40% - Accent1 2 2 2 4 2 8" xfId="15376"/>
    <cellStyle name="40% - Accent1 2 2 2 4 3" xfId="15377"/>
    <cellStyle name="40% - Accent1 2 2 2 4 3 2" xfId="15378"/>
    <cellStyle name="40% - Accent1 2 2 2 4 3 2 2" xfId="15379"/>
    <cellStyle name="40% - Accent1 2 2 2 4 3 2 2 2" xfId="15380"/>
    <cellStyle name="40% - Accent1 2 2 2 4 3 2 2 2 2" xfId="15381"/>
    <cellStyle name="40% - Accent1 2 2 2 4 3 2 2 2 2 2" xfId="15382"/>
    <cellStyle name="40% - Accent1 2 2 2 4 3 2 2 2 3" xfId="15383"/>
    <cellStyle name="40% - Accent1 2 2 2 4 3 2 2 3" xfId="15384"/>
    <cellStyle name="40% - Accent1 2 2 2 4 3 2 2 3 2" xfId="15385"/>
    <cellStyle name="40% - Accent1 2 2 2 4 3 2 2 4" xfId="15386"/>
    <cellStyle name="40% - Accent1 2 2 2 4 3 2 3" xfId="15387"/>
    <cellStyle name="40% - Accent1 2 2 2 4 3 2 3 2" xfId="15388"/>
    <cellStyle name="40% - Accent1 2 2 2 4 3 2 3 2 2" xfId="15389"/>
    <cellStyle name="40% - Accent1 2 2 2 4 3 2 3 3" xfId="15390"/>
    <cellStyle name="40% - Accent1 2 2 2 4 3 2 4" xfId="15391"/>
    <cellStyle name="40% - Accent1 2 2 2 4 3 2 4 2" xfId="15392"/>
    <cellStyle name="40% - Accent1 2 2 2 4 3 2 5" xfId="15393"/>
    <cellStyle name="40% - Accent1 2 2 2 4 3 2 5 2" xfId="15394"/>
    <cellStyle name="40% - Accent1 2 2 2 4 3 2 6" xfId="15395"/>
    <cellStyle name="40% - Accent1 2 2 2 4 3 3" xfId="15396"/>
    <cellStyle name="40% - Accent1 2 2 2 4 3 3 2" xfId="15397"/>
    <cellStyle name="40% - Accent1 2 2 2 4 3 3 2 2" xfId="15398"/>
    <cellStyle name="40% - Accent1 2 2 2 4 3 3 2 2 2" xfId="15399"/>
    <cellStyle name="40% - Accent1 2 2 2 4 3 3 2 2 2 2" xfId="15400"/>
    <cellStyle name="40% - Accent1 2 2 2 4 3 3 2 2 3" xfId="15401"/>
    <cellStyle name="40% - Accent1 2 2 2 4 3 3 2 3" xfId="15402"/>
    <cellStyle name="40% - Accent1 2 2 2 4 3 3 2 3 2" xfId="15403"/>
    <cellStyle name="40% - Accent1 2 2 2 4 3 3 2 4" xfId="15404"/>
    <cellStyle name="40% - Accent1 2 2 2 4 3 3 3" xfId="15405"/>
    <cellStyle name="40% - Accent1 2 2 2 4 3 3 3 2" xfId="15406"/>
    <cellStyle name="40% - Accent1 2 2 2 4 3 3 3 2 2" xfId="15407"/>
    <cellStyle name="40% - Accent1 2 2 2 4 3 3 3 3" xfId="15408"/>
    <cellStyle name="40% - Accent1 2 2 2 4 3 3 4" xfId="15409"/>
    <cellStyle name="40% - Accent1 2 2 2 4 3 3 4 2" xfId="15410"/>
    <cellStyle name="40% - Accent1 2 2 2 4 3 3 5" xfId="15411"/>
    <cellStyle name="40% - Accent1 2 2 2 4 3 3 5 2" xfId="15412"/>
    <cellStyle name="40% - Accent1 2 2 2 4 3 3 6" xfId="15413"/>
    <cellStyle name="40% - Accent1 2 2 2 4 3 4" xfId="15414"/>
    <cellStyle name="40% - Accent1 2 2 2 4 3 4 2" xfId="15415"/>
    <cellStyle name="40% - Accent1 2 2 2 4 3 4 2 2" xfId="15416"/>
    <cellStyle name="40% - Accent1 2 2 2 4 3 4 2 2 2" xfId="15417"/>
    <cellStyle name="40% - Accent1 2 2 2 4 3 4 2 3" xfId="15418"/>
    <cellStyle name="40% - Accent1 2 2 2 4 3 4 3" xfId="15419"/>
    <cellStyle name="40% - Accent1 2 2 2 4 3 4 3 2" xfId="15420"/>
    <cellStyle name="40% - Accent1 2 2 2 4 3 4 4" xfId="15421"/>
    <cellStyle name="40% - Accent1 2 2 2 4 3 5" xfId="15422"/>
    <cellStyle name="40% - Accent1 2 2 2 4 3 5 2" xfId="15423"/>
    <cellStyle name="40% - Accent1 2 2 2 4 3 5 2 2" xfId="15424"/>
    <cellStyle name="40% - Accent1 2 2 2 4 3 5 3" xfId="15425"/>
    <cellStyle name="40% - Accent1 2 2 2 4 3 6" xfId="15426"/>
    <cellStyle name="40% - Accent1 2 2 2 4 3 6 2" xfId="15427"/>
    <cellStyle name="40% - Accent1 2 2 2 4 3 7" xfId="15428"/>
    <cellStyle name="40% - Accent1 2 2 2 4 3 7 2" xfId="15429"/>
    <cellStyle name="40% - Accent1 2 2 2 4 3 8" xfId="15430"/>
    <cellStyle name="40% - Accent1 2 2 2 4 4" xfId="15431"/>
    <cellStyle name="40% - Accent1 2 2 2 4 4 2" xfId="15432"/>
    <cellStyle name="40% - Accent1 2 2 2 4 4 2 2" xfId="15433"/>
    <cellStyle name="40% - Accent1 2 2 2 4 4 2 2 2" xfId="15434"/>
    <cellStyle name="40% - Accent1 2 2 2 4 4 2 2 2 2" xfId="15435"/>
    <cellStyle name="40% - Accent1 2 2 2 4 4 2 2 3" xfId="15436"/>
    <cellStyle name="40% - Accent1 2 2 2 4 4 2 3" xfId="15437"/>
    <cellStyle name="40% - Accent1 2 2 2 4 4 2 3 2" xfId="15438"/>
    <cellStyle name="40% - Accent1 2 2 2 4 4 2 4" xfId="15439"/>
    <cellStyle name="40% - Accent1 2 2 2 4 4 3" xfId="15440"/>
    <cellStyle name="40% - Accent1 2 2 2 4 4 3 2" xfId="15441"/>
    <cellStyle name="40% - Accent1 2 2 2 4 4 3 2 2" xfId="15442"/>
    <cellStyle name="40% - Accent1 2 2 2 4 4 3 3" xfId="15443"/>
    <cellStyle name="40% - Accent1 2 2 2 4 4 4" xfId="15444"/>
    <cellStyle name="40% - Accent1 2 2 2 4 4 4 2" xfId="15445"/>
    <cellStyle name="40% - Accent1 2 2 2 4 4 5" xfId="15446"/>
    <cellStyle name="40% - Accent1 2 2 2 4 4 5 2" xfId="15447"/>
    <cellStyle name="40% - Accent1 2 2 2 4 4 6" xfId="15448"/>
    <cellStyle name="40% - Accent1 2 2 2 4 5" xfId="15449"/>
    <cellStyle name="40% - Accent1 2 2 2 4 5 2" xfId="15450"/>
    <cellStyle name="40% - Accent1 2 2 2 4 5 2 2" xfId="15451"/>
    <cellStyle name="40% - Accent1 2 2 2 4 5 2 2 2" xfId="15452"/>
    <cellStyle name="40% - Accent1 2 2 2 4 5 2 2 2 2" xfId="15453"/>
    <cellStyle name="40% - Accent1 2 2 2 4 5 2 2 3" xfId="15454"/>
    <cellStyle name="40% - Accent1 2 2 2 4 5 2 3" xfId="15455"/>
    <cellStyle name="40% - Accent1 2 2 2 4 5 2 3 2" xfId="15456"/>
    <cellStyle name="40% - Accent1 2 2 2 4 5 2 4" xfId="15457"/>
    <cellStyle name="40% - Accent1 2 2 2 4 5 3" xfId="15458"/>
    <cellStyle name="40% - Accent1 2 2 2 4 5 3 2" xfId="15459"/>
    <cellStyle name="40% - Accent1 2 2 2 4 5 3 2 2" xfId="15460"/>
    <cellStyle name="40% - Accent1 2 2 2 4 5 3 3" xfId="15461"/>
    <cellStyle name="40% - Accent1 2 2 2 4 5 4" xfId="15462"/>
    <cellStyle name="40% - Accent1 2 2 2 4 5 4 2" xfId="15463"/>
    <cellStyle name="40% - Accent1 2 2 2 4 5 5" xfId="15464"/>
    <cellStyle name="40% - Accent1 2 2 2 4 5 5 2" xfId="15465"/>
    <cellStyle name="40% - Accent1 2 2 2 4 5 6" xfId="15466"/>
    <cellStyle name="40% - Accent1 2 2 2 4 6" xfId="15467"/>
    <cellStyle name="40% - Accent1 2 2 2 4 6 2" xfId="15468"/>
    <cellStyle name="40% - Accent1 2 2 2 4 6 2 2" xfId="15469"/>
    <cellStyle name="40% - Accent1 2 2 2 4 6 2 2 2" xfId="15470"/>
    <cellStyle name="40% - Accent1 2 2 2 4 6 2 2 2 2" xfId="15471"/>
    <cellStyle name="40% - Accent1 2 2 2 4 6 2 2 3" xfId="15472"/>
    <cellStyle name="40% - Accent1 2 2 2 4 6 2 3" xfId="15473"/>
    <cellStyle name="40% - Accent1 2 2 2 4 6 2 3 2" xfId="15474"/>
    <cellStyle name="40% - Accent1 2 2 2 4 6 2 4" xfId="15475"/>
    <cellStyle name="40% - Accent1 2 2 2 4 6 3" xfId="15476"/>
    <cellStyle name="40% - Accent1 2 2 2 4 6 3 2" xfId="15477"/>
    <cellStyle name="40% - Accent1 2 2 2 4 6 3 2 2" xfId="15478"/>
    <cellStyle name="40% - Accent1 2 2 2 4 6 3 3" xfId="15479"/>
    <cellStyle name="40% - Accent1 2 2 2 4 6 4" xfId="15480"/>
    <cellStyle name="40% - Accent1 2 2 2 4 6 4 2" xfId="15481"/>
    <cellStyle name="40% - Accent1 2 2 2 4 6 5" xfId="15482"/>
    <cellStyle name="40% - Accent1 2 2 2 4 6 5 2" xfId="15483"/>
    <cellStyle name="40% - Accent1 2 2 2 4 6 6" xfId="15484"/>
    <cellStyle name="40% - Accent1 2 2 2 4 7" xfId="15485"/>
    <cellStyle name="40% - Accent1 2 2 2 4 7 2" xfId="15486"/>
    <cellStyle name="40% - Accent1 2 2 2 4 7 2 2" xfId="15487"/>
    <cellStyle name="40% - Accent1 2 2 2 4 7 2 2 2" xfId="15488"/>
    <cellStyle name="40% - Accent1 2 2 2 4 7 2 3" xfId="15489"/>
    <cellStyle name="40% - Accent1 2 2 2 4 7 3" xfId="15490"/>
    <cellStyle name="40% - Accent1 2 2 2 4 7 3 2" xfId="15491"/>
    <cellStyle name="40% - Accent1 2 2 2 4 7 4" xfId="15492"/>
    <cellStyle name="40% - Accent1 2 2 2 4 8" xfId="15493"/>
    <cellStyle name="40% - Accent1 2 2 2 4 8 2" xfId="15494"/>
    <cellStyle name="40% - Accent1 2 2 2 4 8 2 2" xfId="15495"/>
    <cellStyle name="40% - Accent1 2 2 2 4 8 3" xfId="15496"/>
    <cellStyle name="40% - Accent1 2 2 2 4 9" xfId="15497"/>
    <cellStyle name="40% - Accent1 2 2 2 4 9 2" xfId="15498"/>
    <cellStyle name="40% - Accent1 2 2 2 5" xfId="15499"/>
    <cellStyle name="40% - Accent1 2 2 2 5 2" xfId="15500"/>
    <cellStyle name="40% - Accent1 2 2 2 5 2 2" xfId="15501"/>
    <cellStyle name="40% - Accent1 2 2 2 5 2 2 2" xfId="15502"/>
    <cellStyle name="40% - Accent1 2 2 2 5 2 2 2 2" xfId="15503"/>
    <cellStyle name="40% - Accent1 2 2 2 5 2 2 2 2 2" xfId="15504"/>
    <cellStyle name="40% - Accent1 2 2 2 5 2 2 2 3" xfId="15505"/>
    <cellStyle name="40% - Accent1 2 2 2 5 2 2 3" xfId="15506"/>
    <cellStyle name="40% - Accent1 2 2 2 5 2 2 3 2" xfId="15507"/>
    <cellStyle name="40% - Accent1 2 2 2 5 2 2 4" xfId="15508"/>
    <cellStyle name="40% - Accent1 2 2 2 5 2 3" xfId="15509"/>
    <cellStyle name="40% - Accent1 2 2 2 5 2 3 2" xfId="15510"/>
    <cellStyle name="40% - Accent1 2 2 2 5 2 3 2 2" xfId="15511"/>
    <cellStyle name="40% - Accent1 2 2 2 5 2 3 3" xfId="15512"/>
    <cellStyle name="40% - Accent1 2 2 2 5 2 4" xfId="15513"/>
    <cellStyle name="40% - Accent1 2 2 2 5 2 4 2" xfId="15514"/>
    <cellStyle name="40% - Accent1 2 2 2 5 2 5" xfId="15515"/>
    <cellStyle name="40% - Accent1 2 2 2 5 2 5 2" xfId="15516"/>
    <cellStyle name="40% - Accent1 2 2 2 5 2 6" xfId="15517"/>
    <cellStyle name="40% - Accent1 2 2 2 5 3" xfId="15518"/>
    <cellStyle name="40% - Accent1 2 2 2 5 3 2" xfId="15519"/>
    <cellStyle name="40% - Accent1 2 2 2 5 3 2 2" xfId="15520"/>
    <cellStyle name="40% - Accent1 2 2 2 5 3 2 2 2" xfId="15521"/>
    <cellStyle name="40% - Accent1 2 2 2 5 3 2 2 2 2" xfId="15522"/>
    <cellStyle name="40% - Accent1 2 2 2 5 3 2 2 3" xfId="15523"/>
    <cellStyle name="40% - Accent1 2 2 2 5 3 2 3" xfId="15524"/>
    <cellStyle name="40% - Accent1 2 2 2 5 3 2 3 2" xfId="15525"/>
    <cellStyle name="40% - Accent1 2 2 2 5 3 2 4" xfId="15526"/>
    <cellStyle name="40% - Accent1 2 2 2 5 3 3" xfId="15527"/>
    <cellStyle name="40% - Accent1 2 2 2 5 3 3 2" xfId="15528"/>
    <cellStyle name="40% - Accent1 2 2 2 5 3 3 2 2" xfId="15529"/>
    <cellStyle name="40% - Accent1 2 2 2 5 3 3 3" xfId="15530"/>
    <cellStyle name="40% - Accent1 2 2 2 5 3 4" xfId="15531"/>
    <cellStyle name="40% - Accent1 2 2 2 5 3 4 2" xfId="15532"/>
    <cellStyle name="40% - Accent1 2 2 2 5 3 5" xfId="15533"/>
    <cellStyle name="40% - Accent1 2 2 2 5 3 5 2" xfId="15534"/>
    <cellStyle name="40% - Accent1 2 2 2 5 3 6" xfId="15535"/>
    <cellStyle name="40% - Accent1 2 2 2 5 4" xfId="15536"/>
    <cellStyle name="40% - Accent1 2 2 2 5 4 2" xfId="15537"/>
    <cellStyle name="40% - Accent1 2 2 2 5 4 2 2" xfId="15538"/>
    <cellStyle name="40% - Accent1 2 2 2 5 4 2 2 2" xfId="15539"/>
    <cellStyle name="40% - Accent1 2 2 2 5 4 2 3" xfId="15540"/>
    <cellStyle name="40% - Accent1 2 2 2 5 4 3" xfId="15541"/>
    <cellStyle name="40% - Accent1 2 2 2 5 4 3 2" xfId="15542"/>
    <cellStyle name="40% - Accent1 2 2 2 5 4 4" xfId="15543"/>
    <cellStyle name="40% - Accent1 2 2 2 5 5" xfId="15544"/>
    <cellStyle name="40% - Accent1 2 2 2 5 5 2" xfId="15545"/>
    <cellStyle name="40% - Accent1 2 2 2 5 5 2 2" xfId="15546"/>
    <cellStyle name="40% - Accent1 2 2 2 5 5 3" xfId="15547"/>
    <cellStyle name="40% - Accent1 2 2 2 5 6" xfId="15548"/>
    <cellStyle name="40% - Accent1 2 2 2 5 6 2" xfId="15549"/>
    <cellStyle name="40% - Accent1 2 2 2 5 7" xfId="15550"/>
    <cellStyle name="40% - Accent1 2 2 2 5 7 2" xfId="15551"/>
    <cellStyle name="40% - Accent1 2 2 2 5 8" xfId="15552"/>
    <cellStyle name="40% - Accent1 2 2 2 6" xfId="15553"/>
    <cellStyle name="40% - Accent1 2 2 2 6 2" xfId="15554"/>
    <cellStyle name="40% - Accent1 2 2 2 6 2 2" xfId="15555"/>
    <cellStyle name="40% - Accent1 2 2 2 6 2 2 2" xfId="15556"/>
    <cellStyle name="40% - Accent1 2 2 2 6 2 2 2 2" xfId="15557"/>
    <cellStyle name="40% - Accent1 2 2 2 6 2 2 2 2 2" xfId="15558"/>
    <cellStyle name="40% - Accent1 2 2 2 6 2 2 2 3" xfId="15559"/>
    <cellStyle name="40% - Accent1 2 2 2 6 2 2 3" xfId="15560"/>
    <cellStyle name="40% - Accent1 2 2 2 6 2 2 3 2" xfId="15561"/>
    <cellStyle name="40% - Accent1 2 2 2 6 2 2 4" xfId="15562"/>
    <cellStyle name="40% - Accent1 2 2 2 6 2 3" xfId="15563"/>
    <cellStyle name="40% - Accent1 2 2 2 6 2 3 2" xfId="15564"/>
    <cellStyle name="40% - Accent1 2 2 2 6 2 3 2 2" xfId="15565"/>
    <cellStyle name="40% - Accent1 2 2 2 6 2 3 3" xfId="15566"/>
    <cellStyle name="40% - Accent1 2 2 2 6 2 4" xfId="15567"/>
    <cellStyle name="40% - Accent1 2 2 2 6 2 4 2" xfId="15568"/>
    <cellStyle name="40% - Accent1 2 2 2 6 2 5" xfId="15569"/>
    <cellStyle name="40% - Accent1 2 2 2 6 2 5 2" xfId="15570"/>
    <cellStyle name="40% - Accent1 2 2 2 6 2 6" xfId="15571"/>
    <cellStyle name="40% - Accent1 2 2 2 6 3" xfId="15572"/>
    <cellStyle name="40% - Accent1 2 2 2 6 3 2" xfId="15573"/>
    <cellStyle name="40% - Accent1 2 2 2 6 3 2 2" xfId="15574"/>
    <cellStyle name="40% - Accent1 2 2 2 6 3 2 2 2" xfId="15575"/>
    <cellStyle name="40% - Accent1 2 2 2 6 3 2 2 2 2" xfId="15576"/>
    <cellStyle name="40% - Accent1 2 2 2 6 3 2 2 3" xfId="15577"/>
    <cellStyle name="40% - Accent1 2 2 2 6 3 2 3" xfId="15578"/>
    <cellStyle name="40% - Accent1 2 2 2 6 3 2 3 2" xfId="15579"/>
    <cellStyle name="40% - Accent1 2 2 2 6 3 2 4" xfId="15580"/>
    <cellStyle name="40% - Accent1 2 2 2 6 3 3" xfId="15581"/>
    <cellStyle name="40% - Accent1 2 2 2 6 3 3 2" xfId="15582"/>
    <cellStyle name="40% - Accent1 2 2 2 6 3 3 2 2" xfId="15583"/>
    <cellStyle name="40% - Accent1 2 2 2 6 3 3 3" xfId="15584"/>
    <cellStyle name="40% - Accent1 2 2 2 6 3 4" xfId="15585"/>
    <cellStyle name="40% - Accent1 2 2 2 6 3 4 2" xfId="15586"/>
    <cellStyle name="40% - Accent1 2 2 2 6 3 5" xfId="15587"/>
    <cellStyle name="40% - Accent1 2 2 2 6 3 5 2" xfId="15588"/>
    <cellStyle name="40% - Accent1 2 2 2 6 3 6" xfId="15589"/>
    <cellStyle name="40% - Accent1 2 2 2 6 4" xfId="15590"/>
    <cellStyle name="40% - Accent1 2 2 2 6 4 2" xfId="15591"/>
    <cellStyle name="40% - Accent1 2 2 2 6 4 2 2" xfId="15592"/>
    <cellStyle name="40% - Accent1 2 2 2 6 4 2 2 2" xfId="15593"/>
    <cellStyle name="40% - Accent1 2 2 2 6 4 2 3" xfId="15594"/>
    <cellStyle name="40% - Accent1 2 2 2 6 4 3" xfId="15595"/>
    <cellStyle name="40% - Accent1 2 2 2 6 4 3 2" xfId="15596"/>
    <cellStyle name="40% - Accent1 2 2 2 6 4 4" xfId="15597"/>
    <cellStyle name="40% - Accent1 2 2 2 6 5" xfId="15598"/>
    <cellStyle name="40% - Accent1 2 2 2 6 5 2" xfId="15599"/>
    <cellStyle name="40% - Accent1 2 2 2 6 5 2 2" xfId="15600"/>
    <cellStyle name="40% - Accent1 2 2 2 6 5 3" xfId="15601"/>
    <cellStyle name="40% - Accent1 2 2 2 6 6" xfId="15602"/>
    <cellStyle name="40% - Accent1 2 2 2 6 6 2" xfId="15603"/>
    <cellStyle name="40% - Accent1 2 2 2 6 7" xfId="15604"/>
    <cellStyle name="40% - Accent1 2 2 2 6 7 2" xfId="15605"/>
    <cellStyle name="40% - Accent1 2 2 2 6 8" xfId="15606"/>
    <cellStyle name="40% - Accent1 2 2 2 7" xfId="15607"/>
    <cellStyle name="40% - Accent1 2 2 2 7 2" xfId="15608"/>
    <cellStyle name="40% - Accent1 2 2 2 7 2 2" xfId="15609"/>
    <cellStyle name="40% - Accent1 2 2 2 7 2 2 2" xfId="15610"/>
    <cellStyle name="40% - Accent1 2 2 2 7 2 2 2 2" xfId="15611"/>
    <cellStyle name="40% - Accent1 2 2 2 7 2 2 3" xfId="15612"/>
    <cellStyle name="40% - Accent1 2 2 2 7 2 3" xfId="15613"/>
    <cellStyle name="40% - Accent1 2 2 2 7 2 3 2" xfId="15614"/>
    <cellStyle name="40% - Accent1 2 2 2 7 2 4" xfId="15615"/>
    <cellStyle name="40% - Accent1 2 2 2 7 3" xfId="15616"/>
    <cellStyle name="40% - Accent1 2 2 2 7 3 2" xfId="15617"/>
    <cellStyle name="40% - Accent1 2 2 2 7 3 2 2" xfId="15618"/>
    <cellStyle name="40% - Accent1 2 2 2 7 3 3" xfId="15619"/>
    <cellStyle name="40% - Accent1 2 2 2 7 4" xfId="15620"/>
    <cellStyle name="40% - Accent1 2 2 2 7 4 2" xfId="15621"/>
    <cellStyle name="40% - Accent1 2 2 2 7 5" xfId="15622"/>
    <cellStyle name="40% - Accent1 2 2 2 7 5 2" xfId="15623"/>
    <cellStyle name="40% - Accent1 2 2 2 7 6" xfId="15624"/>
    <cellStyle name="40% - Accent1 2 2 2 8" xfId="15625"/>
    <cellStyle name="40% - Accent1 2 2 2 8 2" xfId="15626"/>
    <cellStyle name="40% - Accent1 2 2 2 8 2 2" xfId="15627"/>
    <cellStyle name="40% - Accent1 2 2 2 8 2 2 2" xfId="15628"/>
    <cellStyle name="40% - Accent1 2 2 2 8 2 2 2 2" xfId="15629"/>
    <cellStyle name="40% - Accent1 2 2 2 8 2 2 3" xfId="15630"/>
    <cellStyle name="40% - Accent1 2 2 2 8 2 3" xfId="15631"/>
    <cellStyle name="40% - Accent1 2 2 2 8 2 3 2" xfId="15632"/>
    <cellStyle name="40% - Accent1 2 2 2 8 2 4" xfId="15633"/>
    <cellStyle name="40% - Accent1 2 2 2 8 3" xfId="15634"/>
    <cellStyle name="40% - Accent1 2 2 2 8 3 2" xfId="15635"/>
    <cellStyle name="40% - Accent1 2 2 2 8 3 2 2" xfId="15636"/>
    <cellStyle name="40% - Accent1 2 2 2 8 3 3" xfId="15637"/>
    <cellStyle name="40% - Accent1 2 2 2 8 4" xfId="15638"/>
    <cellStyle name="40% - Accent1 2 2 2 8 4 2" xfId="15639"/>
    <cellStyle name="40% - Accent1 2 2 2 8 5" xfId="15640"/>
    <cellStyle name="40% - Accent1 2 2 2 8 5 2" xfId="15641"/>
    <cellStyle name="40% - Accent1 2 2 2 8 6" xfId="15642"/>
    <cellStyle name="40% - Accent1 2 2 2 9" xfId="15643"/>
    <cellStyle name="40% - Accent1 2 2 2 9 2" xfId="15644"/>
    <cellStyle name="40% - Accent1 2 2 2 9 2 2" xfId="15645"/>
    <cellStyle name="40% - Accent1 2 2 2 9 2 2 2" xfId="15646"/>
    <cellStyle name="40% - Accent1 2 2 2 9 2 2 2 2" xfId="15647"/>
    <cellStyle name="40% - Accent1 2 2 2 9 2 2 3" xfId="15648"/>
    <cellStyle name="40% - Accent1 2 2 2 9 2 3" xfId="15649"/>
    <cellStyle name="40% - Accent1 2 2 2 9 2 3 2" xfId="15650"/>
    <cellStyle name="40% - Accent1 2 2 2 9 2 4" xfId="15651"/>
    <cellStyle name="40% - Accent1 2 2 2 9 3" xfId="15652"/>
    <cellStyle name="40% - Accent1 2 2 2 9 3 2" xfId="15653"/>
    <cellStyle name="40% - Accent1 2 2 2 9 3 2 2" xfId="15654"/>
    <cellStyle name="40% - Accent1 2 2 2 9 3 3" xfId="15655"/>
    <cellStyle name="40% - Accent1 2 2 2 9 4" xfId="15656"/>
    <cellStyle name="40% - Accent1 2 2 2 9 4 2" xfId="15657"/>
    <cellStyle name="40% - Accent1 2 2 2 9 5" xfId="15658"/>
    <cellStyle name="40% - Accent1 2 2 2 9 5 2" xfId="15659"/>
    <cellStyle name="40% - Accent1 2 2 2 9 6" xfId="15660"/>
    <cellStyle name="40% - Accent1 2 2 3" xfId="15661"/>
    <cellStyle name="40% - Accent1 2 2 3 10" xfId="15662"/>
    <cellStyle name="40% - Accent1 2 2 3 10 2" xfId="15663"/>
    <cellStyle name="40% - Accent1 2 2 3 11" xfId="15664"/>
    <cellStyle name="40% - Accent1 2 2 3 2" xfId="15665"/>
    <cellStyle name="40% - Accent1 2 2 3 2 2" xfId="15666"/>
    <cellStyle name="40% - Accent1 2 2 3 2 2 2" xfId="15667"/>
    <cellStyle name="40% - Accent1 2 2 3 2 2 2 2" xfId="15668"/>
    <cellStyle name="40% - Accent1 2 2 3 2 2 2 2 2" xfId="15669"/>
    <cellStyle name="40% - Accent1 2 2 3 2 2 2 2 2 2" xfId="15670"/>
    <cellStyle name="40% - Accent1 2 2 3 2 2 2 2 3" xfId="15671"/>
    <cellStyle name="40% - Accent1 2 2 3 2 2 2 3" xfId="15672"/>
    <cellStyle name="40% - Accent1 2 2 3 2 2 2 3 2" xfId="15673"/>
    <cellStyle name="40% - Accent1 2 2 3 2 2 2 4" xfId="15674"/>
    <cellStyle name="40% - Accent1 2 2 3 2 2 3" xfId="15675"/>
    <cellStyle name="40% - Accent1 2 2 3 2 2 3 2" xfId="15676"/>
    <cellStyle name="40% - Accent1 2 2 3 2 2 3 2 2" xfId="15677"/>
    <cellStyle name="40% - Accent1 2 2 3 2 2 3 3" xfId="15678"/>
    <cellStyle name="40% - Accent1 2 2 3 2 2 4" xfId="15679"/>
    <cellStyle name="40% - Accent1 2 2 3 2 2 4 2" xfId="15680"/>
    <cellStyle name="40% - Accent1 2 2 3 2 2 5" xfId="15681"/>
    <cellStyle name="40% - Accent1 2 2 3 2 2 5 2" xfId="15682"/>
    <cellStyle name="40% - Accent1 2 2 3 2 2 6" xfId="15683"/>
    <cellStyle name="40% - Accent1 2 2 3 2 3" xfId="15684"/>
    <cellStyle name="40% - Accent1 2 2 3 2 3 2" xfId="15685"/>
    <cellStyle name="40% - Accent1 2 2 3 2 3 2 2" xfId="15686"/>
    <cellStyle name="40% - Accent1 2 2 3 2 3 2 2 2" xfId="15687"/>
    <cellStyle name="40% - Accent1 2 2 3 2 3 2 2 2 2" xfId="15688"/>
    <cellStyle name="40% - Accent1 2 2 3 2 3 2 2 3" xfId="15689"/>
    <cellStyle name="40% - Accent1 2 2 3 2 3 2 3" xfId="15690"/>
    <cellStyle name="40% - Accent1 2 2 3 2 3 2 3 2" xfId="15691"/>
    <cellStyle name="40% - Accent1 2 2 3 2 3 2 4" xfId="15692"/>
    <cellStyle name="40% - Accent1 2 2 3 2 3 3" xfId="15693"/>
    <cellStyle name="40% - Accent1 2 2 3 2 3 3 2" xfId="15694"/>
    <cellStyle name="40% - Accent1 2 2 3 2 3 3 2 2" xfId="15695"/>
    <cellStyle name="40% - Accent1 2 2 3 2 3 3 3" xfId="15696"/>
    <cellStyle name="40% - Accent1 2 2 3 2 3 4" xfId="15697"/>
    <cellStyle name="40% - Accent1 2 2 3 2 3 4 2" xfId="15698"/>
    <cellStyle name="40% - Accent1 2 2 3 2 3 5" xfId="15699"/>
    <cellStyle name="40% - Accent1 2 2 3 2 3 5 2" xfId="15700"/>
    <cellStyle name="40% - Accent1 2 2 3 2 3 6" xfId="15701"/>
    <cellStyle name="40% - Accent1 2 2 3 2 4" xfId="15702"/>
    <cellStyle name="40% - Accent1 2 2 3 2 4 2" xfId="15703"/>
    <cellStyle name="40% - Accent1 2 2 3 2 4 2 2" xfId="15704"/>
    <cellStyle name="40% - Accent1 2 2 3 2 4 2 2 2" xfId="15705"/>
    <cellStyle name="40% - Accent1 2 2 3 2 4 2 3" xfId="15706"/>
    <cellStyle name="40% - Accent1 2 2 3 2 4 3" xfId="15707"/>
    <cellStyle name="40% - Accent1 2 2 3 2 4 3 2" xfId="15708"/>
    <cellStyle name="40% - Accent1 2 2 3 2 4 4" xfId="15709"/>
    <cellStyle name="40% - Accent1 2 2 3 2 5" xfId="15710"/>
    <cellStyle name="40% - Accent1 2 2 3 2 5 2" xfId="15711"/>
    <cellStyle name="40% - Accent1 2 2 3 2 5 2 2" xfId="15712"/>
    <cellStyle name="40% - Accent1 2 2 3 2 5 3" xfId="15713"/>
    <cellStyle name="40% - Accent1 2 2 3 2 6" xfId="15714"/>
    <cellStyle name="40% - Accent1 2 2 3 2 6 2" xfId="15715"/>
    <cellStyle name="40% - Accent1 2 2 3 2 7" xfId="15716"/>
    <cellStyle name="40% - Accent1 2 2 3 2 7 2" xfId="15717"/>
    <cellStyle name="40% - Accent1 2 2 3 2 8" xfId="15718"/>
    <cellStyle name="40% - Accent1 2 2 3 3" xfId="15719"/>
    <cellStyle name="40% - Accent1 2 2 3 3 2" xfId="15720"/>
    <cellStyle name="40% - Accent1 2 2 3 3 2 2" xfId="15721"/>
    <cellStyle name="40% - Accent1 2 2 3 3 2 2 2" xfId="15722"/>
    <cellStyle name="40% - Accent1 2 2 3 3 2 2 2 2" xfId="15723"/>
    <cellStyle name="40% - Accent1 2 2 3 3 2 2 2 2 2" xfId="15724"/>
    <cellStyle name="40% - Accent1 2 2 3 3 2 2 2 3" xfId="15725"/>
    <cellStyle name="40% - Accent1 2 2 3 3 2 2 3" xfId="15726"/>
    <cellStyle name="40% - Accent1 2 2 3 3 2 2 3 2" xfId="15727"/>
    <cellStyle name="40% - Accent1 2 2 3 3 2 2 4" xfId="15728"/>
    <cellStyle name="40% - Accent1 2 2 3 3 2 3" xfId="15729"/>
    <cellStyle name="40% - Accent1 2 2 3 3 2 3 2" xfId="15730"/>
    <cellStyle name="40% - Accent1 2 2 3 3 2 3 2 2" xfId="15731"/>
    <cellStyle name="40% - Accent1 2 2 3 3 2 3 3" xfId="15732"/>
    <cellStyle name="40% - Accent1 2 2 3 3 2 4" xfId="15733"/>
    <cellStyle name="40% - Accent1 2 2 3 3 2 4 2" xfId="15734"/>
    <cellStyle name="40% - Accent1 2 2 3 3 2 5" xfId="15735"/>
    <cellStyle name="40% - Accent1 2 2 3 3 2 5 2" xfId="15736"/>
    <cellStyle name="40% - Accent1 2 2 3 3 2 6" xfId="15737"/>
    <cellStyle name="40% - Accent1 2 2 3 3 3" xfId="15738"/>
    <cellStyle name="40% - Accent1 2 2 3 3 3 2" xfId="15739"/>
    <cellStyle name="40% - Accent1 2 2 3 3 3 2 2" xfId="15740"/>
    <cellStyle name="40% - Accent1 2 2 3 3 3 2 2 2" xfId="15741"/>
    <cellStyle name="40% - Accent1 2 2 3 3 3 2 2 2 2" xfId="15742"/>
    <cellStyle name="40% - Accent1 2 2 3 3 3 2 2 3" xfId="15743"/>
    <cellStyle name="40% - Accent1 2 2 3 3 3 2 3" xfId="15744"/>
    <cellStyle name="40% - Accent1 2 2 3 3 3 2 3 2" xfId="15745"/>
    <cellStyle name="40% - Accent1 2 2 3 3 3 2 4" xfId="15746"/>
    <cellStyle name="40% - Accent1 2 2 3 3 3 3" xfId="15747"/>
    <cellStyle name="40% - Accent1 2 2 3 3 3 3 2" xfId="15748"/>
    <cellStyle name="40% - Accent1 2 2 3 3 3 3 2 2" xfId="15749"/>
    <cellStyle name="40% - Accent1 2 2 3 3 3 3 3" xfId="15750"/>
    <cellStyle name="40% - Accent1 2 2 3 3 3 4" xfId="15751"/>
    <cellStyle name="40% - Accent1 2 2 3 3 3 4 2" xfId="15752"/>
    <cellStyle name="40% - Accent1 2 2 3 3 3 5" xfId="15753"/>
    <cellStyle name="40% - Accent1 2 2 3 3 3 5 2" xfId="15754"/>
    <cellStyle name="40% - Accent1 2 2 3 3 3 6" xfId="15755"/>
    <cellStyle name="40% - Accent1 2 2 3 3 4" xfId="15756"/>
    <cellStyle name="40% - Accent1 2 2 3 3 4 2" xfId="15757"/>
    <cellStyle name="40% - Accent1 2 2 3 3 4 2 2" xfId="15758"/>
    <cellStyle name="40% - Accent1 2 2 3 3 4 2 2 2" xfId="15759"/>
    <cellStyle name="40% - Accent1 2 2 3 3 4 2 3" xfId="15760"/>
    <cellStyle name="40% - Accent1 2 2 3 3 4 3" xfId="15761"/>
    <cellStyle name="40% - Accent1 2 2 3 3 4 3 2" xfId="15762"/>
    <cellStyle name="40% - Accent1 2 2 3 3 4 4" xfId="15763"/>
    <cellStyle name="40% - Accent1 2 2 3 3 5" xfId="15764"/>
    <cellStyle name="40% - Accent1 2 2 3 3 5 2" xfId="15765"/>
    <cellStyle name="40% - Accent1 2 2 3 3 5 2 2" xfId="15766"/>
    <cellStyle name="40% - Accent1 2 2 3 3 5 3" xfId="15767"/>
    <cellStyle name="40% - Accent1 2 2 3 3 6" xfId="15768"/>
    <cellStyle name="40% - Accent1 2 2 3 3 6 2" xfId="15769"/>
    <cellStyle name="40% - Accent1 2 2 3 3 7" xfId="15770"/>
    <cellStyle name="40% - Accent1 2 2 3 3 7 2" xfId="15771"/>
    <cellStyle name="40% - Accent1 2 2 3 3 8" xfId="15772"/>
    <cellStyle name="40% - Accent1 2 2 3 4" xfId="15773"/>
    <cellStyle name="40% - Accent1 2 2 3 4 2" xfId="15774"/>
    <cellStyle name="40% - Accent1 2 2 3 4 2 2" xfId="15775"/>
    <cellStyle name="40% - Accent1 2 2 3 4 2 2 2" xfId="15776"/>
    <cellStyle name="40% - Accent1 2 2 3 4 2 2 2 2" xfId="15777"/>
    <cellStyle name="40% - Accent1 2 2 3 4 2 2 3" xfId="15778"/>
    <cellStyle name="40% - Accent1 2 2 3 4 2 3" xfId="15779"/>
    <cellStyle name="40% - Accent1 2 2 3 4 2 3 2" xfId="15780"/>
    <cellStyle name="40% - Accent1 2 2 3 4 2 4" xfId="15781"/>
    <cellStyle name="40% - Accent1 2 2 3 4 3" xfId="15782"/>
    <cellStyle name="40% - Accent1 2 2 3 4 3 2" xfId="15783"/>
    <cellStyle name="40% - Accent1 2 2 3 4 3 2 2" xfId="15784"/>
    <cellStyle name="40% - Accent1 2 2 3 4 3 3" xfId="15785"/>
    <cellStyle name="40% - Accent1 2 2 3 4 4" xfId="15786"/>
    <cellStyle name="40% - Accent1 2 2 3 4 4 2" xfId="15787"/>
    <cellStyle name="40% - Accent1 2 2 3 4 5" xfId="15788"/>
    <cellStyle name="40% - Accent1 2 2 3 4 5 2" xfId="15789"/>
    <cellStyle name="40% - Accent1 2 2 3 4 6" xfId="15790"/>
    <cellStyle name="40% - Accent1 2 2 3 5" xfId="15791"/>
    <cellStyle name="40% - Accent1 2 2 3 5 2" xfId="15792"/>
    <cellStyle name="40% - Accent1 2 2 3 5 2 2" xfId="15793"/>
    <cellStyle name="40% - Accent1 2 2 3 5 2 2 2" xfId="15794"/>
    <cellStyle name="40% - Accent1 2 2 3 5 2 2 2 2" xfId="15795"/>
    <cellStyle name="40% - Accent1 2 2 3 5 2 2 3" xfId="15796"/>
    <cellStyle name="40% - Accent1 2 2 3 5 2 3" xfId="15797"/>
    <cellStyle name="40% - Accent1 2 2 3 5 2 3 2" xfId="15798"/>
    <cellStyle name="40% - Accent1 2 2 3 5 2 4" xfId="15799"/>
    <cellStyle name="40% - Accent1 2 2 3 5 3" xfId="15800"/>
    <cellStyle name="40% - Accent1 2 2 3 5 3 2" xfId="15801"/>
    <cellStyle name="40% - Accent1 2 2 3 5 3 2 2" xfId="15802"/>
    <cellStyle name="40% - Accent1 2 2 3 5 3 3" xfId="15803"/>
    <cellStyle name="40% - Accent1 2 2 3 5 4" xfId="15804"/>
    <cellStyle name="40% - Accent1 2 2 3 5 4 2" xfId="15805"/>
    <cellStyle name="40% - Accent1 2 2 3 5 5" xfId="15806"/>
    <cellStyle name="40% - Accent1 2 2 3 5 5 2" xfId="15807"/>
    <cellStyle name="40% - Accent1 2 2 3 5 6" xfId="15808"/>
    <cellStyle name="40% - Accent1 2 2 3 6" xfId="15809"/>
    <cellStyle name="40% - Accent1 2 2 3 6 2" xfId="15810"/>
    <cellStyle name="40% - Accent1 2 2 3 6 2 2" xfId="15811"/>
    <cellStyle name="40% - Accent1 2 2 3 6 2 2 2" xfId="15812"/>
    <cellStyle name="40% - Accent1 2 2 3 6 2 2 2 2" xfId="15813"/>
    <cellStyle name="40% - Accent1 2 2 3 6 2 2 3" xfId="15814"/>
    <cellStyle name="40% - Accent1 2 2 3 6 2 3" xfId="15815"/>
    <cellStyle name="40% - Accent1 2 2 3 6 2 3 2" xfId="15816"/>
    <cellStyle name="40% - Accent1 2 2 3 6 2 4" xfId="15817"/>
    <cellStyle name="40% - Accent1 2 2 3 6 3" xfId="15818"/>
    <cellStyle name="40% - Accent1 2 2 3 6 3 2" xfId="15819"/>
    <cellStyle name="40% - Accent1 2 2 3 6 3 2 2" xfId="15820"/>
    <cellStyle name="40% - Accent1 2 2 3 6 3 3" xfId="15821"/>
    <cellStyle name="40% - Accent1 2 2 3 6 4" xfId="15822"/>
    <cellStyle name="40% - Accent1 2 2 3 6 4 2" xfId="15823"/>
    <cellStyle name="40% - Accent1 2 2 3 6 5" xfId="15824"/>
    <cellStyle name="40% - Accent1 2 2 3 6 5 2" xfId="15825"/>
    <cellStyle name="40% - Accent1 2 2 3 6 6" xfId="15826"/>
    <cellStyle name="40% - Accent1 2 2 3 7" xfId="15827"/>
    <cellStyle name="40% - Accent1 2 2 3 7 2" xfId="15828"/>
    <cellStyle name="40% - Accent1 2 2 3 7 2 2" xfId="15829"/>
    <cellStyle name="40% - Accent1 2 2 3 7 2 2 2" xfId="15830"/>
    <cellStyle name="40% - Accent1 2 2 3 7 2 3" xfId="15831"/>
    <cellStyle name="40% - Accent1 2 2 3 7 3" xfId="15832"/>
    <cellStyle name="40% - Accent1 2 2 3 7 3 2" xfId="15833"/>
    <cellStyle name="40% - Accent1 2 2 3 7 4" xfId="15834"/>
    <cellStyle name="40% - Accent1 2 2 3 8" xfId="15835"/>
    <cellStyle name="40% - Accent1 2 2 3 8 2" xfId="15836"/>
    <cellStyle name="40% - Accent1 2 2 3 8 2 2" xfId="15837"/>
    <cellStyle name="40% - Accent1 2 2 3 8 3" xfId="15838"/>
    <cellStyle name="40% - Accent1 2 2 3 9" xfId="15839"/>
    <cellStyle name="40% - Accent1 2 2 3 9 2" xfId="15840"/>
    <cellStyle name="40% - Accent1 2 2 4" xfId="15841"/>
    <cellStyle name="40% - Accent1 2 2 4 10" xfId="15842"/>
    <cellStyle name="40% - Accent1 2 2 4 10 2" xfId="15843"/>
    <cellStyle name="40% - Accent1 2 2 4 11" xfId="15844"/>
    <cellStyle name="40% - Accent1 2 2 4 2" xfId="15845"/>
    <cellStyle name="40% - Accent1 2 2 4 2 2" xfId="15846"/>
    <cellStyle name="40% - Accent1 2 2 4 2 2 2" xfId="15847"/>
    <cellStyle name="40% - Accent1 2 2 4 2 2 2 2" xfId="15848"/>
    <cellStyle name="40% - Accent1 2 2 4 2 2 2 2 2" xfId="15849"/>
    <cellStyle name="40% - Accent1 2 2 4 2 2 2 2 2 2" xfId="15850"/>
    <cellStyle name="40% - Accent1 2 2 4 2 2 2 2 3" xfId="15851"/>
    <cellStyle name="40% - Accent1 2 2 4 2 2 2 3" xfId="15852"/>
    <cellStyle name="40% - Accent1 2 2 4 2 2 2 3 2" xfId="15853"/>
    <cellStyle name="40% - Accent1 2 2 4 2 2 2 4" xfId="15854"/>
    <cellStyle name="40% - Accent1 2 2 4 2 2 3" xfId="15855"/>
    <cellStyle name="40% - Accent1 2 2 4 2 2 3 2" xfId="15856"/>
    <cellStyle name="40% - Accent1 2 2 4 2 2 3 2 2" xfId="15857"/>
    <cellStyle name="40% - Accent1 2 2 4 2 2 3 3" xfId="15858"/>
    <cellStyle name="40% - Accent1 2 2 4 2 2 4" xfId="15859"/>
    <cellStyle name="40% - Accent1 2 2 4 2 2 4 2" xfId="15860"/>
    <cellStyle name="40% - Accent1 2 2 4 2 2 5" xfId="15861"/>
    <cellStyle name="40% - Accent1 2 2 4 2 2 5 2" xfId="15862"/>
    <cellStyle name="40% - Accent1 2 2 4 2 2 6" xfId="15863"/>
    <cellStyle name="40% - Accent1 2 2 4 2 3" xfId="15864"/>
    <cellStyle name="40% - Accent1 2 2 4 2 3 2" xfId="15865"/>
    <cellStyle name="40% - Accent1 2 2 4 2 3 2 2" xfId="15866"/>
    <cellStyle name="40% - Accent1 2 2 4 2 3 2 2 2" xfId="15867"/>
    <cellStyle name="40% - Accent1 2 2 4 2 3 2 2 2 2" xfId="15868"/>
    <cellStyle name="40% - Accent1 2 2 4 2 3 2 2 3" xfId="15869"/>
    <cellStyle name="40% - Accent1 2 2 4 2 3 2 3" xfId="15870"/>
    <cellStyle name="40% - Accent1 2 2 4 2 3 2 3 2" xfId="15871"/>
    <cellStyle name="40% - Accent1 2 2 4 2 3 2 4" xfId="15872"/>
    <cellStyle name="40% - Accent1 2 2 4 2 3 3" xfId="15873"/>
    <cellStyle name="40% - Accent1 2 2 4 2 3 3 2" xfId="15874"/>
    <cellStyle name="40% - Accent1 2 2 4 2 3 3 2 2" xfId="15875"/>
    <cellStyle name="40% - Accent1 2 2 4 2 3 3 3" xfId="15876"/>
    <cellStyle name="40% - Accent1 2 2 4 2 3 4" xfId="15877"/>
    <cellStyle name="40% - Accent1 2 2 4 2 3 4 2" xfId="15878"/>
    <cellStyle name="40% - Accent1 2 2 4 2 3 5" xfId="15879"/>
    <cellStyle name="40% - Accent1 2 2 4 2 3 5 2" xfId="15880"/>
    <cellStyle name="40% - Accent1 2 2 4 2 3 6" xfId="15881"/>
    <cellStyle name="40% - Accent1 2 2 4 2 4" xfId="15882"/>
    <cellStyle name="40% - Accent1 2 2 4 2 4 2" xfId="15883"/>
    <cellStyle name="40% - Accent1 2 2 4 2 4 2 2" xfId="15884"/>
    <cellStyle name="40% - Accent1 2 2 4 2 4 2 2 2" xfId="15885"/>
    <cellStyle name="40% - Accent1 2 2 4 2 4 2 3" xfId="15886"/>
    <cellStyle name="40% - Accent1 2 2 4 2 4 3" xfId="15887"/>
    <cellStyle name="40% - Accent1 2 2 4 2 4 3 2" xfId="15888"/>
    <cellStyle name="40% - Accent1 2 2 4 2 4 4" xfId="15889"/>
    <cellStyle name="40% - Accent1 2 2 4 2 5" xfId="15890"/>
    <cellStyle name="40% - Accent1 2 2 4 2 5 2" xfId="15891"/>
    <cellStyle name="40% - Accent1 2 2 4 2 5 2 2" xfId="15892"/>
    <cellStyle name="40% - Accent1 2 2 4 2 5 3" xfId="15893"/>
    <cellStyle name="40% - Accent1 2 2 4 2 6" xfId="15894"/>
    <cellStyle name="40% - Accent1 2 2 4 2 6 2" xfId="15895"/>
    <cellStyle name="40% - Accent1 2 2 4 2 7" xfId="15896"/>
    <cellStyle name="40% - Accent1 2 2 4 2 7 2" xfId="15897"/>
    <cellStyle name="40% - Accent1 2 2 4 2 8" xfId="15898"/>
    <cellStyle name="40% - Accent1 2 2 4 3" xfId="15899"/>
    <cellStyle name="40% - Accent1 2 2 4 3 2" xfId="15900"/>
    <cellStyle name="40% - Accent1 2 2 4 3 2 2" xfId="15901"/>
    <cellStyle name="40% - Accent1 2 2 4 3 2 2 2" xfId="15902"/>
    <cellStyle name="40% - Accent1 2 2 4 3 2 2 2 2" xfId="15903"/>
    <cellStyle name="40% - Accent1 2 2 4 3 2 2 2 2 2" xfId="15904"/>
    <cellStyle name="40% - Accent1 2 2 4 3 2 2 2 3" xfId="15905"/>
    <cellStyle name="40% - Accent1 2 2 4 3 2 2 3" xfId="15906"/>
    <cellStyle name="40% - Accent1 2 2 4 3 2 2 3 2" xfId="15907"/>
    <cellStyle name="40% - Accent1 2 2 4 3 2 2 4" xfId="15908"/>
    <cellStyle name="40% - Accent1 2 2 4 3 2 3" xfId="15909"/>
    <cellStyle name="40% - Accent1 2 2 4 3 2 3 2" xfId="15910"/>
    <cellStyle name="40% - Accent1 2 2 4 3 2 3 2 2" xfId="15911"/>
    <cellStyle name="40% - Accent1 2 2 4 3 2 3 3" xfId="15912"/>
    <cellStyle name="40% - Accent1 2 2 4 3 2 4" xfId="15913"/>
    <cellStyle name="40% - Accent1 2 2 4 3 2 4 2" xfId="15914"/>
    <cellStyle name="40% - Accent1 2 2 4 3 2 5" xfId="15915"/>
    <cellStyle name="40% - Accent1 2 2 4 3 2 5 2" xfId="15916"/>
    <cellStyle name="40% - Accent1 2 2 4 3 2 6" xfId="15917"/>
    <cellStyle name="40% - Accent1 2 2 4 3 3" xfId="15918"/>
    <cellStyle name="40% - Accent1 2 2 4 3 3 2" xfId="15919"/>
    <cellStyle name="40% - Accent1 2 2 4 3 3 2 2" xfId="15920"/>
    <cellStyle name="40% - Accent1 2 2 4 3 3 2 2 2" xfId="15921"/>
    <cellStyle name="40% - Accent1 2 2 4 3 3 2 2 2 2" xfId="15922"/>
    <cellStyle name="40% - Accent1 2 2 4 3 3 2 2 3" xfId="15923"/>
    <cellStyle name="40% - Accent1 2 2 4 3 3 2 3" xfId="15924"/>
    <cellStyle name="40% - Accent1 2 2 4 3 3 2 3 2" xfId="15925"/>
    <cellStyle name="40% - Accent1 2 2 4 3 3 2 4" xfId="15926"/>
    <cellStyle name="40% - Accent1 2 2 4 3 3 3" xfId="15927"/>
    <cellStyle name="40% - Accent1 2 2 4 3 3 3 2" xfId="15928"/>
    <cellStyle name="40% - Accent1 2 2 4 3 3 3 2 2" xfId="15929"/>
    <cellStyle name="40% - Accent1 2 2 4 3 3 3 3" xfId="15930"/>
    <cellStyle name="40% - Accent1 2 2 4 3 3 4" xfId="15931"/>
    <cellStyle name="40% - Accent1 2 2 4 3 3 4 2" xfId="15932"/>
    <cellStyle name="40% - Accent1 2 2 4 3 3 5" xfId="15933"/>
    <cellStyle name="40% - Accent1 2 2 4 3 3 5 2" xfId="15934"/>
    <cellStyle name="40% - Accent1 2 2 4 3 3 6" xfId="15935"/>
    <cellStyle name="40% - Accent1 2 2 4 3 4" xfId="15936"/>
    <cellStyle name="40% - Accent1 2 2 4 3 4 2" xfId="15937"/>
    <cellStyle name="40% - Accent1 2 2 4 3 4 2 2" xfId="15938"/>
    <cellStyle name="40% - Accent1 2 2 4 3 4 2 2 2" xfId="15939"/>
    <cellStyle name="40% - Accent1 2 2 4 3 4 2 3" xfId="15940"/>
    <cellStyle name="40% - Accent1 2 2 4 3 4 3" xfId="15941"/>
    <cellStyle name="40% - Accent1 2 2 4 3 4 3 2" xfId="15942"/>
    <cellStyle name="40% - Accent1 2 2 4 3 4 4" xfId="15943"/>
    <cellStyle name="40% - Accent1 2 2 4 3 5" xfId="15944"/>
    <cellStyle name="40% - Accent1 2 2 4 3 5 2" xfId="15945"/>
    <cellStyle name="40% - Accent1 2 2 4 3 5 2 2" xfId="15946"/>
    <cellStyle name="40% - Accent1 2 2 4 3 5 3" xfId="15947"/>
    <cellStyle name="40% - Accent1 2 2 4 3 6" xfId="15948"/>
    <cellStyle name="40% - Accent1 2 2 4 3 6 2" xfId="15949"/>
    <cellStyle name="40% - Accent1 2 2 4 3 7" xfId="15950"/>
    <cellStyle name="40% - Accent1 2 2 4 3 7 2" xfId="15951"/>
    <cellStyle name="40% - Accent1 2 2 4 3 8" xfId="15952"/>
    <cellStyle name="40% - Accent1 2 2 4 4" xfId="15953"/>
    <cellStyle name="40% - Accent1 2 2 4 4 2" xfId="15954"/>
    <cellStyle name="40% - Accent1 2 2 4 4 2 2" xfId="15955"/>
    <cellStyle name="40% - Accent1 2 2 4 4 2 2 2" xfId="15956"/>
    <cellStyle name="40% - Accent1 2 2 4 4 2 2 2 2" xfId="15957"/>
    <cellStyle name="40% - Accent1 2 2 4 4 2 2 3" xfId="15958"/>
    <cellStyle name="40% - Accent1 2 2 4 4 2 3" xfId="15959"/>
    <cellStyle name="40% - Accent1 2 2 4 4 2 3 2" xfId="15960"/>
    <cellStyle name="40% - Accent1 2 2 4 4 2 4" xfId="15961"/>
    <cellStyle name="40% - Accent1 2 2 4 4 3" xfId="15962"/>
    <cellStyle name="40% - Accent1 2 2 4 4 3 2" xfId="15963"/>
    <cellStyle name="40% - Accent1 2 2 4 4 3 2 2" xfId="15964"/>
    <cellStyle name="40% - Accent1 2 2 4 4 3 3" xfId="15965"/>
    <cellStyle name="40% - Accent1 2 2 4 4 4" xfId="15966"/>
    <cellStyle name="40% - Accent1 2 2 4 4 4 2" xfId="15967"/>
    <cellStyle name="40% - Accent1 2 2 4 4 5" xfId="15968"/>
    <cellStyle name="40% - Accent1 2 2 4 4 5 2" xfId="15969"/>
    <cellStyle name="40% - Accent1 2 2 4 4 6" xfId="15970"/>
    <cellStyle name="40% - Accent1 2 2 4 5" xfId="15971"/>
    <cellStyle name="40% - Accent1 2 2 4 5 2" xfId="15972"/>
    <cellStyle name="40% - Accent1 2 2 4 5 2 2" xfId="15973"/>
    <cellStyle name="40% - Accent1 2 2 4 5 2 2 2" xfId="15974"/>
    <cellStyle name="40% - Accent1 2 2 4 5 2 2 2 2" xfId="15975"/>
    <cellStyle name="40% - Accent1 2 2 4 5 2 2 3" xfId="15976"/>
    <cellStyle name="40% - Accent1 2 2 4 5 2 3" xfId="15977"/>
    <cellStyle name="40% - Accent1 2 2 4 5 2 3 2" xfId="15978"/>
    <cellStyle name="40% - Accent1 2 2 4 5 2 4" xfId="15979"/>
    <cellStyle name="40% - Accent1 2 2 4 5 3" xfId="15980"/>
    <cellStyle name="40% - Accent1 2 2 4 5 3 2" xfId="15981"/>
    <cellStyle name="40% - Accent1 2 2 4 5 3 2 2" xfId="15982"/>
    <cellStyle name="40% - Accent1 2 2 4 5 3 3" xfId="15983"/>
    <cellStyle name="40% - Accent1 2 2 4 5 4" xfId="15984"/>
    <cellStyle name="40% - Accent1 2 2 4 5 4 2" xfId="15985"/>
    <cellStyle name="40% - Accent1 2 2 4 5 5" xfId="15986"/>
    <cellStyle name="40% - Accent1 2 2 4 5 5 2" xfId="15987"/>
    <cellStyle name="40% - Accent1 2 2 4 5 6" xfId="15988"/>
    <cellStyle name="40% - Accent1 2 2 4 6" xfId="15989"/>
    <cellStyle name="40% - Accent1 2 2 4 6 2" xfId="15990"/>
    <cellStyle name="40% - Accent1 2 2 4 6 2 2" xfId="15991"/>
    <cellStyle name="40% - Accent1 2 2 4 6 2 2 2" xfId="15992"/>
    <cellStyle name="40% - Accent1 2 2 4 6 2 2 2 2" xfId="15993"/>
    <cellStyle name="40% - Accent1 2 2 4 6 2 2 3" xfId="15994"/>
    <cellStyle name="40% - Accent1 2 2 4 6 2 3" xfId="15995"/>
    <cellStyle name="40% - Accent1 2 2 4 6 2 3 2" xfId="15996"/>
    <cellStyle name="40% - Accent1 2 2 4 6 2 4" xfId="15997"/>
    <cellStyle name="40% - Accent1 2 2 4 6 3" xfId="15998"/>
    <cellStyle name="40% - Accent1 2 2 4 6 3 2" xfId="15999"/>
    <cellStyle name="40% - Accent1 2 2 4 6 3 2 2" xfId="16000"/>
    <cellStyle name="40% - Accent1 2 2 4 6 3 3" xfId="16001"/>
    <cellStyle name="40% - Accent1 2 2 4 6 4" xfId="16002"/>
    <cellStyle name="40% - Accent1 2 2 4 6 4 2" xfId="16003"/>
    <cellStyle name="40% - Accent1 2 2 4 6 5" xfId="16004"/>
    <cellStyle name="40% - Accent1 2 2 4 6 5 2" xfId="16005"/>
    <cellStyle name="40% - Accent1 2 2 4 6 6" xfId="16006"/>
    <cellStyle name="40% - Accent1 2 2 4 7" xfId="16007"/>
    <cellStyle name="40% - Accent1 2 2 4 7 2" xfId="16008"/>
    <cellStyle name="40% - Accent1 2 2 4 7 2 2" xfId="16009"/>
    <cellStyle name="40% - Accent1 2 2 4 7 2 2 2" xfId="16010"/>
    <cellStyle name="40% - Accent1 2 2 4 7 2 3" xfId="16011"/>
    <cellStyle name="40% - Accent1 2 2 4 7 3" xfId="16012"/>
    <cellStyle name="40% - Accent1 2 2 4 7 3 2" xfId="16013"/>
    <cellStyle name="40% - Accent1 2 2 4 7 4" xfId="16014"/>
    <cellStyle name="40% - Accent1 2 2 4 8" xfId="16015"/>
    <cellStyle name="40% - Accent1 2 2 4 8 2" xfId="16016"/>
    <cellStyle name="40% - Accent1 2 2 4 8 2 2" xfId="16017"/>
    <cellStyle name="40% - Accent1 2 2 4 8 3" xfId="16018"/>
    <cellStyle name="40% - Accent1 2 2 4 9" xfId="16019"/>
    <cellStyle name="40% - Accent1 2 2 4 9 2" xfId="16020"/>
    <cellStyle name="40% - Accent1 2 2 5" xfId="16021"/>
    <cellStyle name="40% - Accent1 2 2 5 10" xfId="16022"/>
    <cellStyle name="40% - Accent1 2 2 5 10 2" xfId="16023"/>
    <cellStyle name="40% - Accent1 2 2 5 11" xfId="16024"/>
    <cellStyle name="40% - Accent1 2 2 5 2" xfId="16025"/>
    <cellStyle name="40% - Accent1 2 2 5 2 2" xfId="16026"/>
    <cellStyle name="40% - Accent1 2 2 5 2 2 2" xfId="16027"/>
    <cellStyle name="40% - Accent1 2 2 5 2 2 2 2" xfId="16028"/>
    <cellStyle name="40% - Accent1 2 2 5 2 2 2 2 2" xfId="16029"/>
    <cellStyle name="40% - Accent1 2 2 5 2 2 2 2 2 2" xfId="16030"/>
    <cellStyle name="40% - Accent1 2 2 5 2 2 2 2 3" xfId="16031"/>
    <cellStyle name="40% - Accent1 2 2 5 2 2 2 3" xfId="16032"/>
    <cellStyle name="40% - Accent1 2 2 5 2 2 2 3 2" xfId="16033"/>
    <cellStyle name="40% - Accent1 2 2 5 2 2 2 4" xfId="16034"/>
    <cellStyle name="40% - Accent1 2 2 5 2 2 3" xfId="16035"/>
    <cellStyle name="40% - Accent1 2 2 5 2 2 3 2" xfId="16036"/>
    <cellStyle name="40% - Accent1 2 2 5 2 2 3 2 2" xfId="16037"/>
    <cellStyle name="40% - Accent1 2 2 5 2 2 3 3" xfId="16038"/>
    <cellStyle name="40% - Accent1 2 2 5 2 2 4" xfId="16039"/>
    <cellStyle name="40% - Accent1 2 2 5 2 2 4 2" xfId="16040"/>
    <cellStyle name="40% - Accent1 2 2 5 2 2 5" xfId="16041"/>
    <cellStyle name="40% - Accent1 2 2 5 2 2 5 2" xfId="16042"/>
    <cellStyle name="40% - Accent1 2 2 5 2 2 6" xfId="16043"/>
    <cellStyle name="40% - Accent1 2 2 5 2 3" xfId="16044"/>
    <cellStyle name="40% - Accent1 2 2 5 2 3 2" xfId="16045"/>
    <cellStyle name="40% - Accent1 2 2 5 2 3 2 2" xfId="16046"/>
    <cellStyle name="40% - Accent1 2 2 5 2 3 2 2 2" xfId="16047"/>
    <cellStyle name="40% - Accent1 2 2 5 2 3 2 2 2 2" xfId="16048"/>
    <cellStyle name="40% - Accent1 2 2 5 2 3 2 2 3" xfId="16049"/>
    <cellStyle name="40% - Accent1 2 2 5 2 3 2 3" xfId="16050"/>
    <cellStyle name="40% - Accent1 2 2 5 2 3 2 3 2" xfId="16051"/>
    <cellStyle name="40% - Accent1 2 2 5 2 3 2 4" xfId="16052"/>
    <cellStyle name="40% - Accent1 2 2 5 2 3 3" xfId="16053"/>
    <cellStyle name="40% - Accent1 2 2 5 2 3 3 2" xfId="16054"/>
    <cellStyle name="40% - Accent1 2 2 5 2 3 3 2 2" xfId="16055"/>
    <cellStyle name="40% - Accent1 2 2 5 2 3 3 3" xfId="16056"/>
    <cellStyle name="40% - Accent1 2 2 5 2 3 4" xfId="16057"/>
    <cellStyle name="40% - Accent1 2 2 5 2 3 4 2" xfId="16058"/>
    <cellStyle name="40% - Accent1 2 2 5 2 3 5" xfId="16059"/>
    <cellStyle name="40% - Accent1 2 2 5 2 3 5 2" xfId="16060"/>
    <cellStyle name="40% - Accent1 2 2 5 2 3 6" xfId="16061"/>
    <cellStyle name="40% - Accent1 2 2 5 2 4" xfId="16062"/>
    <cellStyle name="40% - Accent1 2 2 5 2 4 2" xfId="16063"/>
    <cellStyle name="40% - Accent1 2 2 5 2 4 2 2" xfId="16064"/>
    <cellStyle name="40% - Accent1 2 2 5 2 4 2 2 2" xfId="16065"/>
    <cellStyle name="40% - Accent1 2 2 5 2 4 2 3" xfId="16066"/>
    <cellStyle name="40% - Accent1 2 2 5 2 4 3" xfId="16067"/>
    <cellStyle name="40% - Accent1 2 2 5 2 4 3 2" xfId="16068"/>
    <cellStyle name="40% - Accent1 2 2 5 2 4 4" xfId="16069"/>
    <cellStyle name="40% - Accent1 2 2 5 2 5" xfId="16070"/>
    <cellStyle name="40% - Accent1 2 2 5 2 5 2" xfId="16071"/>
    <cellStyle name="40% - Accent1 2 2 5 2 5 2 2" xfId="16072"/>
    <cellStyle name="40% - Accent1 2 2 5 2 5 3" xfId="16073"/>
    <cellStyle name="40% - Accent1 2 2 5 2 6" xfId="16074"/>
    <cellStyle name="40% - Accent1 2 2 5 2 6 2" xfId="16075"/>
    <cellStyle name="40% - Accent1 2 2 5 2 7" xfId="16076"/>
    <cellStyle name="40% - Accent1 2 2 5 2 7 2" xfId="16077"/>
    <cellStyle name="40% - Accent1 2 2 5 2 8" xfId="16078"/>
    <cellStyle name="40% - Accent1 2 2 5 3" xfId="16079"/>
    <cellStyle name="40% - Accent1 2 2 5 3 2" xfId="16080"/>
    <cellStyle name="40% - Accent1 2 2 5 3 2 2" xfId="16081"/>
    <cellStyle name="40% - Accent1 2 2 5 3 2 2 2" xfId="16082"/>
    <cellStyle name="40% - Accent1 2 2 5 3 2 2 2 2" xfId="16083"/>
    <cellStyle name="40% - Accent1 2 2 5 3 2 2 2 2 2" xfId="16084"/>
    <cellStyle name="40% - Accent1 2 2 5 3 2 2 2 3" xfId="16085"/>
    <cellStyle name="40% - Accent1 2 2 5 3 2 2 3" xfId="16086"/>
    <cellStyle name="40% - Accent1 2 2 5 3 2 2 3 2" xfId="16087"/>
    <cellStyle name="40% - Accent1 2 2 5 3 2 2 4" xfId="16088"/>
    <cellStyle name="40% - Accent1 2 2 5 3 2 3" xfId="16089"/>
    <cellStyle name="40% - Accent1 2 2 5 3 2 3 2" xfId="16090"/>
    <cellStyle name="40% - Accent1 2 2 5 3 2 3 2 2" xfId="16091"/>
    <cellStyle name="40% - Accent1 2 2 5 3 2 3 3" xfId="16092"/>
    <cellStyle name="40% - Accent1 2 2 5 3 2 4" xfId="16093"/>
    <cellStyle name="40% - Accent1 2 2 5 3 2 4 2" xfId="16094"/>
    <cellStyle name="40% - Accent1 2 2 5 3 2 5" xfId="16095"/>
    <cellStyle name="40% - Accent1 2 2 5 3 2 5 2" xfId="16096"/>
    <cellStyle name="40% - Accent1 2 2 5 3 2 6" xfId="16097"/>
    <cellStyle name="40% - Accent1 2 2 5 3 3" xfId="16098"/>
    <cellStyle name="40% - Accent1 2 2 5 3 3 2" xfId="16099"/>
    <cellStyle name="40% - Accent1 2 2 5 3 3 2 2" xfId="16100"/>
    <cellStyle name="40% - Accent1 2 2 5 3 3 2 2 2" xfId="16101"/>
    <cellStyle name="40% - Accent1 2 2 5 3 3 2 2 2 2" xfId="16102"/>
    <cellStyle name="40% - Accent1 2 2 5 3 3 2 2 3" xfId="16103"/>
    <cellStyle name="40% - Accent1 2 2 5 3 3 2 3" xfId="16104"/>
    <cellStyle name="40% - Accent1 2 2 5 3 3 2 3 2" xfId="16105"/>
    <cellStyle name="40% - Accent1 2 2 5 3 3 2 4" xfId="16106"/>
    <cellStyle name="40% - Accent1 2 2 5 3 3 3" xfId="16107"/>
    <cellStyle name="40% - Accent1 2 2 5 3 3 3 2" xfId="16108"/>
    <cellStyle name="40% - Accent1 2 2 5 3 3 3 2 2" xfId="16109"/>
    <cellStyle name="40% - Accent1 2 2 5 3 3 3 3" xfId="16110"/>
    <cellStyle name="40% - Accent1 2 2 5 3 3 4" xfId="16111"/>
    <cellStyle name="40% - Accent1 2 2 5 3 3 4 2" xfId="16112"/>
    <cellStyle name="40% - Accent1 2 2 5 3 3 5" xfId="16113"/>
    <cellStyle name="40% - Accent1 2 2 5 3 3 5 2" xfId="16114"/>
    <cellStyle name="40% - Accent1 2 2 5 3 3 6" xfId="16115"/>
    <cellStyle name="40% - Accent1 2 2 5 3 4" xfId="16116"/>
    <cellStyle name="40% - Accent1 2 2 5 3 4 2" xfId="16117"/>
    <cellStyle name="40% - Accent1 2 2 5 3 4 2 2" xfId="16118"/>
    <cellStyle name="40% - Accent1 2 2 5 3 4 2 2 2" xfId="16119"/>
    <cellStyle name="40% - Accent1 2 2 5 3 4 2 3" xfId="16120"/>
    <cellStyle name="40% - Accent1 2 2 5 3 4 3" xfId="16121"/>
    <cellStyle name="40% - Accent1 2 2 5 3 4 3 2" xfId="16122"/>
    <cellStyle name="40% - Accent1 2 2 5 3 4 4" xfId="16123"/>
    <cellStyle name="40% - Accent1 2 2 5 3 5" xfId="16124"/>
    <cellStyle name="40% - Accent1 2 2 5 3 5 2" xfId="16125"/>
    <cellStyle name="40% - Accent1 2 2 5 3 5 2 2" xfId="16126"/>
    <cellStyle name="40% - Accent1 2 2 5 3 5 3" xfId="16127"/>
    <cellStyle name="40% - Accent1 2 2 5 3 6" xfId="16128"/>
    <cellStyle name="40% - Accent1 2 2 5 3 6 2" xfId="16129"/>
    <cellStyle name="40% - Accent1 2 2 5 3 7" xfId="16130"/>
    <cellStyle name="40% - Accent1 2 2 5 3 7 2" xfId="16131"/>
    <cellStyle name="40% - Accent1 2 2 5 3 8" xfId="16132"/>
    <cellStyle name="40% - Accent1 2 2 5 4" xfId="16133"/>
    <cellStyle name="40% - Accent1 2 2 5 4 2" xfId="16134"/>
    <cellStyle name="40% - Accent1 2 2 5 4 2 2" xfId="16135"/>
    <cellStyle name="40% - Accent1 2 2 5 4 2 2 2" xfId="16136"/>
    <cellStyle name="40% - Accent1 2 2 5 4 2 2 2 2" xfId="16137"/>
    <cellStyle name="40% - Accent1 2 2 5 4 2 2 3" xfId="16138"/>
    <cellStyle name="40% - Accent1 2 2 5 4 2 3" xfId="16139"/>
    <cellStyle name="40% - Accent1 2 2 5 4 2 3 2" xfId="16140"/>
    <cellStyle name="40% - Accent1 2 2 5 4 2 4" xfId="16141"/>
    <cellStyle name="40% - Accent1 2 2 5 4 3" xfId="16142"/>
    <cellStyle name="40% - Accent1 2 2 5 4 3 2" xfId="16143"/>
    <cellStyle name="40% - Accent1 2 2 5 4 3 2 2" xfId="16144"/>
    <cellStyle name="40% - Accent1 2 2 5 4 3 3" xfId="16145"/>
    <cellStyle name="40% - Accent1 2 2 5 4 4" xfId="16146"/>
    <cellStyle name="40% - Accent1 2 2 5 4 4 2" xfId="16147"/>
    <cellStyle name="40% - Accent1 2 2 5 4 5" xfId="16148"/>
    <cellStyle name="40% - Accent1 2 2 5 4 5 2" xfId="16149"/>
    <cellStyle name="40% - Accent1 2 2 5 4 6" xfId="16150"/>
    <cellStyle name="40% - Accent1 2 2 5 5" xfId="16151"/>
    <cellStyle name="40% - Accent1 2 2 5 5 2" xfId="16152"/>
    <cellStyle name="40% - Accent1 2 2 5 5 2 2" xfId="16153"/>
    <cellStyle name="40% - Accent1 2 2 5 5 2 2 2" xfId="16154"/>
    <cellStyle name="40% - Accent1 2 2 5 5 2 2 2 2" xfId="16155"/>
    <cellStyle name="40% - Accent1 2 2 5 5 2 2 3" xfId="16156"/>
    <cellStyle name="40% - Accent1 2 2 5 5 2 3" xfId="16157"/>
    <cellStyle name="40% - Accent1 2 2 5 5 2 3 2" xfId="16158"/>
    <cellStyle name="40% - Accent1 2 2 5 5 2 4" xfId="16159"/>
    <cellStyle name="40% - Accent1 2 2 5 5 3" xfId="16160"/>
    <cellStyle name="40% - Accent1 2 2 5 5 3 2" xfId="16161"/>
    <cellStyle name="40% - Accent1 2 2 5 5 3 2 2" xfId="16162"/>
    <cellStyle name="40% - Accent1 2 2 5 5 3 3" xfId="16163"/>
    <cellStyle name="40% - Accent1 2 2 5 5 4" xfId="16164"/>
    <cellStyle name="40% - Accent1 2 2 5 5 4 2" xfId="16165"/>
    <cellStyle name="40% - Accent1 2 2 5 5 5" xfId="16166"/>
    <cellStyle name="40% - Accent1 2 2 5 5 5 2" xfId="16167"/>
    <cellStyle name="40% - Accent1 2 2 5 5 6" xfId="16168"/>
    <cellStyle name="40% - Accent1 2 2 5 6" xfId="16169"/>
    <cellStyle name="40% - Accent1 2 2 5 6 2" xfId="16170"/>
    <cellStyle name="40% - Accent1 2 2 5 6 2 2" xfId="16171"/>
    <cellStyle name="40% - Accent1 2 2 5 6 2 2 2" xfId="16172"/>
    <cellStyle name="40% - Accent1 2 2 5 6 2 2 2 2" xfId="16173"/>
    <cellStyle name="40% - Accent1 2 2 5 6 2 2 3" xfId="16174"/>
    <cellStyle name="40% - Accent1 2 2 5 6 2 3" xfId="16175"/>
    <cellStyle name="40% - Accent1 2 2 5 6 2 3 2" xfId="16176"/>
    <cellStyle name="40% - Accent1 2 2 5 6 2 4" xfId="16177"/>
    <cellStyle name="40% - Accent1 2 2 5 6 3" xfId="16178"/>
    <cellStyle name="40% - Accent1 2 2 5 6 3 2" xfId="16179"/>
    <cellStyle name="40% - Accent1 2 2 5 6 3 2 2" xfId="16180"/>
    <cellStyle name="40% - Accent1 2 2 5 6 3 3" xfId="16181"/>
    <cellStyle name="40% - Accent1 2 2 5 6 4" xfId="16182"/>
    <cellStyle name="40% - Accent1 2 2 5 6 4 2" xfId="16183"/>
    <cellStyle name="40% - Accent1 2 2 5 6 5" xfId="16184"/>
    <cellStyle name="40% - Accent1 2 2 5 6 5 2" xfId="16185"/>
    <cellStyle name="40% - Accent1 2 2 5 6 6" xfId="16186"/>
    <cellStyle name="40% - Accent1 2 2 5 7" xfId="16187"/>
    <cellStyle name="40% - Accent1 2 2 5 7 2" xfId="16188"/>
    <cellStyle name="40% - Accent1 2 2 5 7 2 2" xfId="16189"/>
    <cellStyle name="40% - Accent1 2 2 5 7 2 2 2" xfId="16190"/>
    <cellStyle name="40% - Accent1 2 2 5 7 2 3" xfId="16191"/>
    <cellStyle name="40% - Accent1 2 2 5 7 3" xfId="16192"/>
    <cellStyle name="40% - Accent1 2 2 5 7 3 2" xfId="16193"/>
    <cellStyle name="40% - Accent1 2 2 5 7 4" xfId="16194"/>
    <cellStyle name="40% - Accent1 2 2 5 8" xfId="16195"/>
    <cellStyle name="40% - Accent1 2 2 5 8 2" xfId="16196"/>
    <cellStyle name="40% - Accent1 2 2 5 8 2 2" xfId="16197"/>
    <cellStyle name="40% - Accent1 2 2 5 8 3" xfId="16198"/>
    <cellStyle name="40% - Accent1 2 2 5 9" xfId="16199"/>
    <cellStyle name="40% - Accent1 2 2 5 9 2" xfId="16200"/>
    <cellStyle name="40% - Accent1 2 2 6" xfId="16201"/>
    <cellStyle name="40% - Accent1 2 2 6 2" xfId="16202"/>
    <cellStyle name="40% - Accent1 2 2 6 2 2" xfId="16203"/>
    <cellStyle name="40% - Accent1 2 2 6 2 2 2" xfId="16204"/>
    <cellStyle name="40% - Accent1 2 2 6 2 2 2 2" xfId="16205"/>
    <cellStyle name="40% - Accent1 2 2 6 2 2 2 2 2" xfId="16206"/>
    <cellStyle name="40% - Accent1 2 2 6 2 2 2 3" xfId="16207"/>
    <cellStyle name="40% - Accent1 2 2 6 2 2 3" xfId="16208"/>
    <cellStyle name="40% - Accent1 2 2 6 2 2 3 2" xfId="16209"/>
    <cellStyle name="40% - Accent1 2 2 6 2 2 4" xfId="16210"/>
    <cellStyle name="40% - Accent1 2 2 6 2 3" xfId="16211"/>
    <cellStyle name="40% - Accent1 2 2 6 2 3 2" xfId="16212"/>
    <cellStyle name="40% - Accent1 2 2 6 2 3 2 2" xfId="16213"/>
    <cellStyle name="40% - Accent1 2 2 6 2 3 3" xfId="16214"/>
    <cellStyle name="40% - Accent1 2 2 6 2 4" xfId="16215"/>
    <cellStyle name="40% - Accent1 2 2 6 2 4 2" xfId="16216"/>
    <cellStyle name="40% - Accent1 2 2 6 2 5" xfId="16217"/>
    <cellStyle name="40% - Accent1 2 2 6 2 5 2" xfId="16218"/>
    <cellStyle name="40% - Accent1 2 2 6 2 6" xfId="16219"/>
    <cellStyle name="40% - Accent1 2 2 6 3" xfId="16220"/>
    <cellStyle name="40% - Accent1 2 2 6 3 2" xfId="16221"/>
    <cellStyle name="40% - Accent1 2 2 6 3 2 2" xfId="16222"/>
    <cellStyle name="40% - Accent1 2 2 6 3 2 2 2" xfId="16223"/>
    <cellStyle name="40% - Accent1 2 2 6 3 2 2 2 2" xfId="16224"/>
    <cellStyle name="40% - Accent1 2 2 6 3 2 2 3" xfId="16225"/>
    <cellStyle name="40% - Accent1 2 2 6 3 2 3" xfId="16226"/>
    <cellStyle name="40% - Accent1 2 2 6 3 2 3 2" xfId="16227"/>
    <cellStyle name="40% - Accent1 2 2 6 3 2 4" xfId="16228"/>
    <cellStyle name="40% - Accent1 2 2 6 3 3" xfId="16229"/>
    <cellStyle name="40% - Accent1 2 2 6 3 3 2" xfId="16230"/>
    <cellStyle name="40% - Accent1 2 2 6 3 3 2 2" xfId="16231"/>
    <cellStyle name="40% - Accent1 2 2 6 3 3 3" xfId="16232"/>
    <cellStyle name="40% - Accent1 2 2 6 3 4" xfId="16233"/>
    <cellStyle name="40% - Accent1 2 2 6 3 4 2" xfId="16234"/>
    <cellStyle name="40% - Accent1 2 2 6 3 5" xfId="16235"/>
    <cellStyle name="40% - Accent1 2 2 6 3 5 2" xfId="16236"/>
    <cellStyle name="40% - Accent1 2 2 6 3 6" xfId="16237"/>
    <cellStyle name="40% - Accent1 2 2 6 4" xfId="16238"/>
    <cellStyle name="40% - Accent1 2 2 6 4 2" xfId="16239"/>
    <cellStyle name="40% - Accent1 2 2 6 4 2 2" xfId="16240"/>
    <cellStyle name="40% - Accent1 2 2 6 4 2 2 2" xfId="16241"/>
    <cellStyle name="40% - Accent1 2 2 6 4 2 3" xfId="16242"/>
    <cellStyle name="40% - Accent1 2 2 6 4 3" xfId="16243"/>
    <cellStyle name="40% - Accent1 2 2 6 4 3 2" xfId="16244"/>
    <cellStyle name="40% - Accent1 2 2 6 4 4" xfId="16245"/>
    <cellStyle name="40% - Accent1 2 2 6 5" xfId="16246"/>
    <cellStyle name="40% - Accent1 2 2 6 5 2" xfId="16247"/>
    <cellStyle name="40% - Accent1 2 2 6 5 2 2" xfId="16248"/>
    <cellStyle name="40% - Accent1 2 2 6 5 3" xfId="16249"/>
    <cellStyle name="40% - Accent1 2 2 6 6" xfId="16250"/>
    <cellStyle name="40% - Accent1 2 2 6 6 2" xfId="16251"/>
    <cellStyle name="40% - Accent1 2 2 6 7" xfId="16252"/>
    <cellStyle name="40% - Accent1 2 2 6 7 2" xfId="16253"/>
    <cellStyle name="40% - Accent1 2 2 6 8" xfId="16254"/>
    <cellStyle name="40% - Accent1 2 2 7" xfId="16255"/>
    <cellStyle name="40% - Accent1 2 2 7 2" xfId="16256"/>
    <cellStyle name="40% - Accent1 2 2 7 2 2" xfId="16257"/>
    <cellStyle name="40% - Accent1 2 2 7 2 2 2" xfId="16258"/>
    <cellStyle name="40% - Accent1 2 2 7 2 2 2 2" xfId="16259"/>
    <cellStyle name="40% - Accent1 2 2 7 2 2 2 2 2" xfId="16260"/>
    <cellStyle name="40% - Accent1 2 2 7 2 2 2 3" xfId="16261"/>
    <cellStyle name="40% - Accent1 2 2 7 2 2 3" xfId="16262"/>
    <cellStyle name="40% - Accent1 2 2 7 2 2 3 2" xfId="16263"/>
    <cellStyle name="40% - Accent1 2 2 7 2 2 4" xfId="16264"/>
    <cellStyle name="40% - Accent1 2 2 7 2 3" xfId="16265"/>
    <cellStyle name="40% - Accent1 2 2 7 2 3 2" xfId="16266"/>
    <cellStyle name="40% - Accent1 2 2 7 2 3 2 2" xfId="16267"/>
    <cellStyle name="40% - Accent1 2 2 7 2 3 3" xfId="16268"/>
    <cellStyle name="40% - Accent1 2 2 7 2 4" xfId="16269"/>
    <cellStyle name="40% - Accent1 2 2 7 2 4 2" xfId="16270"/>
    <cellStyle name="40% - Accent1 2 2 7 2 5" xfId="16271"/>
    <cellStyle name="40% - Accent1 2 2 7 2 5 2" xfId="16272"/>
    <cellStyle name="40% - Accent1 2 2 7 2 6" xfId="16273"/>
    <cellStyle name="40% - Accent1 2 2 7 3" xfId="16274"/>
    <cellStyle name="40% - Accent1 2 2 7 3 2" xfId="16275"/>
    <cellStyle name="40% - Accent1 2 2 7 3 2 2" xfId="16276"/>
    <cellStyle name="40% - Accent1 2 2 7 3 2 2 2" xfId="16277"/>
    <cellStyle name="40% - Accent1 2 2 7 3 2 2 2 2" xfId="16278"/>
    <cellStyle name="40% - Accent1 2 2 7 3 2 2 3" xfId="16279"/>
    <cellStyle name="40% - Accent1 2 2 7 3 2 3" xfId="16280"/>
    <cellStyle name="40% - Accent1 2 2 7 3 2 3 2" xfId="16281"/>
    <cellStyle name="40% - Accent1 2 2 7 3 2 4" xfId="16282"/>
    <cellStyle name="40% - Accent1 2 2 7 3 3" xfId="16283"/>
    <cellStyle name="40% - Accent1 2 2 7 3 3 2" xfId="16284"/>
    <cellStyle name="40% - Accent1 2 2 7 3 3 2 2" xfId="16285"/>
    <cellStyle name="40% - Accent1 2 2 7 3 3 3" xfId="16286"/>
    <cellStyle name="40% - Accent1 2 2 7 3 4" xfId="16287"/>
    <cellStyle name="40% - Accent1 2 2 7 3 4 2" xfId="16288"/>
    <cellStyle name="40% - Accent1 2 2 7 3 5" xfId="16289"/>
    <cellStyle name="40% - Accent1 2 2 7 3 5 2" xfId="16290"/>
    <cellStyle name="40% - Accent1 2 2 7 3 6" xfId="16291"/>
    <cellStyle name="40% - Accent1 2 2 7 4" xfId="16292"/>
    <cellStyle name="40% - Accent1 2 2 7 4 2" xfId="16293"/>
    <cellStyle name="40% - Accent1 2 2 7 4 2 2" xfId="16294"/>
    <cellStyle name="40% - Accent1 2 2 7 4 2 2 2" xfId="16295"/>
    <cellStyle name="40% - Accent1 2 2 7 4 2 3" xfId="16296"/>
    <cellStyle name="40% - Accent1 2 2 7 4 3" xfId="16297"/>
    <cellStyle name="40% - Accent1 2 2 7 4 3 2" xfId="16298"/>
    <cellStyle name="40% - Accent1 2 2 7 4 4" xfId="16299"/>
    <cellStyle name="40% - Accent1 2 2 7 5" xfId="16300"/>
    <cellStyle name="40% - Accent1 2 2 7 5 2" xfId="16301"/>
    <cellStyle name="40% - Accent1 2 2 7 5 2 2" xfId="16302"/>
    <cellStyle name="40% - Accent1 2 2 7 5 3" xfId="16303"/>
    <cellStyle name="40% - Accent1 2 2 7 6" xfId="16304"/>
    <cellStyle name="40% - Accent1 2 2 7 6 2" xfId="16305"/>
    <cellStyle name="40% - Accent1 2 2 7 7" xfId="16306"/>
    <cellStyle name="40% - Accent1 2 2 7 7 2" xfId="16307"/>
    <cellStyle name="40% - Accent1 2 2 7 8" xfId="16308"/>
    <cellStyle name="40% - Accent1 2 2 8" xfId="16309"/>
    <cellStyle name="40% - Accent1 2 2 8 2" xfId="16310"/>
    <cellStyle name="40% - Accent1 2 2 8 2 2" xfId="16311"/>
    <cellStyle name="40% - Accent1 2 2 8 2 2 2" xfId="16312"/>
    <cellStyle name="40% - Accent1 2 2 8 2 2 2 2" xfId="16313"/>
    <cellStyle name="40% - Accent1 2 2 8 2 2 3" xfId="16314"/>
    <cellStyle name="40% - Accent1 2 2 8 2 3" xfId="16315"/>
    <cellStyle name="40% - Accent1 2 2 8 2 3 2" xfId="16316"/>
    <cellStyle name="40% - Accent1 2 2 8 2 4" xfId="16317"/>
    <cellStyle name="40% - Accent1 2 2 8 3" xfId="16318"/>
    <cellStyle name="40% - Accent1 2 2 8 3 2" xfId="16319"/>
    <cellStyle name="40% - Accent1 2 2 8 3 2 2" xfId="16320"/>
    <cellStyle name="40% - Accent1 2 2 8 3 3" xfId="16321"/>
    <cellStyle name="40% - Accent1 2 2 8 4" xfId="16322"/>
    <cellStyle name="40% - Accent1 2 2 8 4 2" xfId="16323"/>
    <cellStyle name="40% - Accent1 2 2 8 5" xfId="16324"/>
    <cellStyle name="40% - Accent1 2 2 8 5 2" xfId="16325"/>
    <cellStyle name="40% - Accent1 2 2 8 6" xfId="16326"/>
    <cellStyle name="40% - Accent1 2 2 9" xfId="16327"/>
    <cellStyle name="40% - Accent1 2 2 9 2" xfId="16328"/>
    <cellStyle name="40% - Accent1 2 2 9 2 2" xfId="16329"/>
    <cellStyle name="40% - Accent1 2 2 9 2 2 2" xfId="16330"/>
    <cellStyle name="40% - Accent1 2 2 9 2 2 2 2" xfId="16331"/>
    <cellStyle name="40% - Accent1 2 2 9 2 2 3" xfId="16332"/>
    <cellStyle name="40% - Accent1 2 2 9 2 3" xfId="16333"/>
    <cellStyle name="40% - Accent1 2 2 9 2 3 2" xfId="16334"/>
    <cellStyle name="40% - Accent1 2 2 9 2 4" xfId="16335"/>
    <cellStyle name="40% - Accent1 2 2 9 3" xfId="16336"/>
    <cellStyle name="40% - Accent1 2 2 9 3 2" xfId="16337"/>
    <cellStyle name="40% - Accent1 2 2 9 3 2 2" xfId="16338"/>
    <cellStyle name="40% - Accent1 2 2 9 3 3" xfId="16339"/>
    <cellStyle name="40% - Accent1 2 2 9 4" xfId="16340"/>
    <cellStyle name="40% - Accent1 2 2 9 4 2" xfId="16341"/>
    <cellStyle name="40% - Accent1 2 2 9 5" xfId="16342"/>
    <cellStyle name="40% - Accent1 2 2 9 5 2" xfId="16343"/>
    <cellStyle name="40% - Accent1 2 2 9 6" xfId="16344"/>
    <cellStyle name="40% - Accent1 2 3" xfId="16345"/>
    <cellStyle name="40% - Accent1 3" xfId="16346"/>
    <cellStyle name="40% - Accent1 3 2" xfId="16347"/>
    <cellStyle name="40% - Accent1 3 3" xfId="16348"/>
    <cellStyle name="40% - Accent1 3 3 10" xfId="16349"/>
    <cellStyle name="40% - Accent1 3 3 10 2" xfId="16350"/>
    <cellStyle name="40% - Accent1 3 3 10 2 2" xfId="16351"/>
    <cellStyle name="40% - Accent1 3 3 10 2 2 2" xfId="16352"/>
    <cellStyle name="40% - Accent1 3 3 10 2 3" xfId="16353"/>
    <cellStyle name="40% - Accent1 3 3 10 3" xfId="16354"/>
    <cellStyle name="40% - Accent1 3 3 10 3 2" xfId="16355"/>
    <cellStyle name="40% - Accent1 3 3 10 4" xfId="16356"/>
    <cellStyle name="40% - Accent1 3 3 11" xfId="16357"/>
    <cellStyle name="40% - Accent1 3 3 11 2" xfId="16358"/>
    <cellStyle name="40% - Accent1 3 3 11 2 2" xfId="16359"/>
    <cellStyle name="40% - Accent1 3 3 11 3" xfId="16360"/>
    <cellStyle name="40% - Accent1 3 3 12" xfId="16361"/>
    <cellStyle name="40% - Accent1 3 3 12 2" xfId="16362"/>
    <cellStyle name="40% - Accent1 3 3 13" xfId="16363"/>
    <cellStyle name="40% - Accent1 3 3 13 2" xfId="16364"/>
    <cellStyle name="40% - Accent1 3 3 14" xfId="16365"/>
    <cellStyle name="40% - Accent1 3 3 2" xfId="16366"/>
    <cellStyle name="40% - Accent1 3 3 2 10" xfId="16367"/>
    <cellStyle name="40% - Accent1 3 3 2 10 2" xfId="16368"/>
    <cellStyle name="40% - Accent1 3 3 2 11" xfId="16369"/>
    <cellStyle name="40% - Accent1 3 3 2 2" xfId="16370"/>
    <cellStyle name="40% - Accent1 3 3 2 2 2" xfId="16371"/>
    <cellStyle name="40% - Accent1 3 3 2 2 2 2" xfId="16372"/>
    <cellStyle name="40% - Accent1 3 3 2 2 2 2 2" xfId="16373"/>
    <cellStyle name="40% - Accent1 3 3 2 2 2 2 2 2" xfId="16374"/>
    <cellStyle name="40% - Accent1 3 3 2 2 2 2 2 2 2" xfId="16375"/>
    <cellStyle name="40% - Accent1 3 3 2 2 2 2 2 3" xfId="16376"/>
    <cellStyle name="40% - Accent1 3 3 2 2 2 2 3" xfId="16377"/>
    <cellStyle name="40% - Accent1 3 3 2 2 2 2 3 2" xfId="16378"/>
    <cellStyle name="40% - Accent1 3 3 2 2 2 2 4" xfId="16379"/>
    <cellStyle name="40% - Accent1 3 3 2 2 2 3" xfId="16380"/>
    <cellStyle name="40% - Accent1 3 3 2 2 2 3 2" xfId="16381"/>
    <cellStyle name="40% - Accent1 3 3 2 2 2 3 2 2" xfId="16382"/>
    <cellStyle name="40% - Accent1 3 3 2 2 2 3 3" xfId="16383"/>
    <cellStyle name="40% - Accent1 3 3 2 2 2 4" xfId="16384"/>
    <cellStyle name="40% - Accent1 3 3 2 2 2 4 2" xfId="16385"/>
    <cellStyle name="40% - Accent1 3 3 2 2 2 5" xfId="16386"/>
    <cellStyle name="40% - Accent1 3 3 2 2 2 5 2" xfId="16387"/>
    <cellStyle name="40% - Accent1 3 3 2 2 2 6" xfId="16388"/>
    <cellStyle name="40% - Accent1 3 3 2 2 3" xfId="16389"/>
    <cellStyle name="40% - Accent1 3 3 2 2 3 2" xfId="16390"/>
    <cellStyle name="40% - Accent1 3 3 2 2 3 2 2" xfId="16391"/>
    <cellStyle name="40% - Accent1 3 3 2 2 3 2 2 2" xfId="16392"/>
    <cellStyle name="40% - Accent1 3 3 2 2 3 2 2 2 2" xfId="16393"/>
    <cellStyle name="40% - Accent1 3 3 2 2 3 2 2 3" xfId="16394"/>
    <cellStyle name="40% - Accent1 3 3 2 2 3 2 3" xfId="16395"/>
    <cellStyle name="40% - Accent1 3 3 2 2 3 2 3 2" xfId="16396"/>
    <cellStyle name="40% - Accent1 3 3 2 2 3 2 4" xfId="16397"/>
    <cellStyle name="40% - Accent1 3 3 2 2 3 3" xfId="16398"/>
    <cellStyle name="40% - Accent1 3 3 2 2 3 3 2" xfId="16399"/>
    <cellStyle name="40% - Accent1 3 3 2 2 3 3 2 2" xfId="16400"/>
    <cellStyle name="40% - Accent1 3 3 2 2 3 3 3" xfId="16401"/>
    <cellStyle name="40% - Accent1 3 3 2 2 3 4" xfId="16402"/>
    <cellStyle name="40% - Accent1 3 3 2 2 3 4 2" xfId="16403"/>
    <cellStyle name="40% - Accent1 3 3 2 2 3 5" xfId="16404"/>
    <cellStyle name="40% - Accent1 3 3 2 2 3 5 2" xfId="16405"/>
    <cellStyle name="40% - Accent1 3 3 2 2 3 6" xfId="16406"/>
    <cellStyle name="40% - Accent1 3 3 2 2 4" xfId="16407"/>
    <cellStyle name="40% - Accent1 3 3 2 2 4 2" xfId="16408"/>
    <cellStyle name="40% - Accent1 3 3 2 2 4 2 2" xfId="16409"/>
    <cellStyle name="40% - Accent1 3 3 2 2 4 2 2 2" xfId="16410"/>
    <cellStyle name="40% - Accent1 3 3 2 2 4 2 3" xfId="16411"/>
    <cellStyle name="40% - Accent1 3 3 2 2 4 3" xfId="16412"/>
    <cellStyle name="40% - Accent1 3 3 2 2 4 3 2" xfId="16413"/>
    <cellStyle name="40% - Accent1 3 3 2 2 4 4" xfId="16414"/>
    <cellStyle name="40% - Accent1 3 3 2 2 5" xfId="16415"/>
    <cellStyle name="40% - Accent1 3 3 2 2 5 2" xfId="16416"/>
    <cellStyle name="40% - Accent1 3 3 2 2 5 2 2" xfId="16417"/>
    <cellStyle name="40% - Accent1 3 3 2 2 5 3" xfId="16418"/>
    <cellStyle name="40% - Accent1 3 3 2 2 6" xfId="16419"/>
    <cellStyle name="40% - Accent1 3 3 2 2 6 2" xfId="16420"/>
    <cellStyle name="40% - Accent1 3 3 2 2 7" xfId="16421"/>
    <cellStyle name="40% - Accent1 3 3 2 2 7 2" xfId="16422"/>
    <cellStyle name="40% - Accent1 3 3 2 2 8" xfId="16423"/>
    <cellStyle name="40% - Accent1 3 3 2 3" xfId="16424"/>
    <cellStyle name="40% - Accent1 3 3 2 3 2" xfId="16425"/>
    <cellStyle name="40% - Accent1 3 3 2 3 2 2" xfId="16426"/>
    <cellStyle name="40% - Accent1 3 3 2 3 2 2 2" xfId="16427"/>
    <cellStyle name="40% - Accent1 3 3 2 3 2 2 2 2" xfId="16428"/>
    <cellStyle name="40% - Accent1 3 3 2 3 2 2 2 2 2" xfId="16429"/>
    <cellStyle name="40% - Accent1 3 3 2 3 2 2 2 3" xfId="16430"/>
    <cellStyle name="40% - Accent1 3 3 2 3 2 2 3" xfId="16431"/>
    <cellStyle name="40% - Accent1 3 3 2 3 2 2 3 2" xfId="16432"/>
    <cellStyle name="40% - Accent1 3 3 2 3 2 2 4" xfId="16433"/>
    <cellStyle name="40% - Accent1 3 3 2 3 2 3" xfId="16434"/>
    <cellStyle name="40% - Accent1 3 3 2 3 2 3 2" xfId="16435"/>
    <cellStyle name="40% - Accent1 3 3 2 3 2 3 2 2" xfId="16436"/>
    <cellStyle name="40% - Accent1 3 3 2 3 2 3 3" xfId="16437"/>
    <cellStyle name="40% - Accent1 3 3 2 3 2 4" xfId="16438"/>
    <cellStyle name="40% - Accent1 3 3 2 3 2 4 2" xfId="16439"/>
    <cellStyle name="40% - Accent1 3 3 2 3 2 5" xfId="16440"/>
    <cellStyle name="40% - Accent1 3 3 2 3 2 5 2" xfId="16441"/>
    <cellStyle name="40% - Accent1 3 3 2 3 2 6" xfId="16442"/>
    <cellStyle name="40% - Accent1 3 3 2 3 3" xfId="16443"/>
    <cellStyle name="40% - Accent1 3 3 2 3 3 2" xfId="16444"/>
    <cellStyle name="40% - Accent1 3 3 2 3 3 2 2" xfId="16445"/>
    <cellStyle name="40% - Accent1 3 3 2 3 3 2 2 2" xfId="16446"/>
    <cellStyle name="40% - Accent1 3 3 2 3 3 2 2 2 2" xfId="16447"/>
    <cellStyle name="40% - Accent1 3 3 2 3 3 2 2 3" xfId="16448"/>
    <cellStyle name="40% - Accent1 3 3 2 3 3 2 3" xfId="16449"/>
    <cellStyle name="40% - Accent1 3 3 2 3 3 2 3 2" xfId="16450"/>
    <cellStyle name="40% - Accent1 3 3 2 3 3 2 4" xfId="16451"/>
    <cellStyle name="40% - Accent1 3 3 2 3 3 3" xfId="16452"/>
    <cellStyle name="40% - Accent1 3 3 2 3 3 3 2" xfId="16453"/>
    <cellStyle name="40% - Accent1 3 3 2 3 3 3 2 2" xfId="16454"/>
    <cellStyle name="40% - Accent1 3 3 2 3 3 3 3" xfId="16455"/>
    <cellStyle name="40% - Accent1 3 3 2 3 3 4" xfId="16456"/>
    <cellStyle name="40% - Accent1 3 3 2 3 3 4 2" xfId="16457"/>
    <cellStyle name="40% - Accent1 3 3 2 3 3 5" xfId="16458"/>
    <cellStyle name="40% - Accent1 3 3 2 3 3 5 2" xfId="16459"/>
    <cellStyle name="40% - Accent1 3 3 2 3 3 6" xfId="16460"/>
    <cellStyle name="40% - Accent1 3 3 2 3 4" xfId="16461"/>
    <cellStyle name="40% - Accent1 3 3 2 3 4 2" xfId="16462"/>
    <cellStyle name="40% - Accent1 3 3 2 3 4 2 2" xfId="16463"/>
    <cellStyle name="40% - Accent1 3 3 2 3 4 2 2 2" xfId="16464"/>
    <cellStyle name="40% - Accent1 3 3 2 3 4 2 3" xfId="16465"/>
    <cellStyle name="40% - Accent1 3 3 2 3 4 3" xfId="16466"/>
    <cellStyle name="40% - Accent1 3 3 2 3 4 3 2" xfId="16467"/>
    <cellStyle name="40% - Accent1 3 3 2 3 4 4" xfId="16468"/>
    <cellStyle name="40% - Accent1 3 3 2 3 5" xfId="16469"/>
    <cellStyle name="40% - Accent1 3 3 2 3 5 2" xfId="16470"/>
    <cellStyle name="40% - Accent1 3 3 2 3 5 2 2" xfId="16471"/>
    <cellStyle name="40% - Accent1 3 3 2 3 5 3" xfId="16472"/>
    <cellStyle name="40% - Accent1 3 3 2 3 6" xfId="16473"/>
    <cellStyle name="40% - Accent1 3 3 2 3 6 2" xfId="16474"/>
    <cellStyle name="40% - Accent1 3 3 2 3 7" xfId="16475"/>
    <cellStyle name="40% - Accent1 3 3 2 3 7 2" xfId="16476"/>
    <cellStyle name="40% - Accent1 3 3 2 3 8" xfId="16477"/>
    <cellStyle name="40% - Accent1 3 3 2 4" xfId="16478"/>
    <cellStyle name="40% - Accent1 3 3 2 4 2" xfId="16479"/>
    <cellStyle name="40% - Accent1 3 3 2 4 2 2" xfId="16480"/>
    <cellStyle name="40% - Accent1 3 3 2 4 2 2 2" xfId="16481"/>
    <cellStyle name="40% - Accent1 3 3 2 4 2 2 2 2" xfId="16482"/>
    <cellStyle name="40% - Accent1 3 3 2 4 2 2 3" xfId="16483"/>
    <cellStyle name="40% - Accent1 3 3 2 4 2 3" xfId="16484"/>
    <cellStyle name="40% - Accent1 3 3 2 4 2 3 2" xfId="16485"/>
    <cellStyle name="40% - Accent1 3 3 2 4 2 4" xfId="16486"/>
    <cellStyle name="40% - Accent1 3 3 2 4 3" xfId="16487"/>
    <cellStyle name="40% - Accent1 3 3 2 4 3 2" xfId="16488"/>
    <cellStyle name="40% - Accent1 3 3 2 4 3 2 2" xfId="16489"/>
    <cellStyle name="40% - Accent1 3 3 2 4 3 3" xfId="16490"/>
    <cellStyle name="40% - Accent1 3 3 2 4 4" xfId="16491"/>
    <cellStyle name="40% - Accent1 3 3 2 4 4 2" xfId="16492"/>
    <cellStyle name="40% - Accent1 3 3 2 4 5" xfId="16493"/>
    <cellStyle name="40% - Accent1 3 3 2 4 5 2" xfId="16494"/>
    <cellStyle name="40% - Accent1 3 3 2 4 6" xfId="16495"/>
    <cellStyle name="40% - Accent1 3 3 2 5" xfId="16496"/>
    <cellStyle name="40% - Accent1 3 3 2 5 2" xfId="16497"/>
    <cellStyle name="40% - Accent1 3 3 2 5 2 2" xfId="16498"/>
    <cellStyle name="40% - Accent1 3 3 2 5 2 2 2" xfId="16499"/>
    <cellStyle name="40% - Accent1 3 3 2 5 2 2 2 2" xfId="16500"/>
    <cellStyle name="40% - Accent1 3 3 2 5 2 2 3" xfId="16501"/>
    <cellStyle name="40% - Accent1 3 3 2 5 2 3" xfId="16502"/>
    <cellStyle name="40% - Accent1 3 3 2 5 2 3 2" xfId="16503"/>
    <cellStyle name="40% - Accent1 3 3 2 5 2 4" xfId="16504"/>
    <cellStyle name="40% - Accent1 3 3 2 5 3" xfId="16505"/>
    <cellStyle name="40% - Accent1 3 3 2 5 3 2" xfId="16506"/>
    <cellStyle name="40% - Accent1 3 3 2 5 3 2 2" xfId="16507"/>
    <cellStyle name="40% - Accent1 3 3 2 5 3 3" xfId="16508"/>
    <cellStyle name="40% - Accent1 3 3 2 5 4" xfId="16509"/>
    <cellStyle name="40% - Accent1 3 3 2 5 4 2" xfId="16510"/>
    <cellStyle name="40% - Accent1 3 3 2 5 5" xfId="16511"/>
    <cellStyle name="40% - Accent1 3 3 2 5 5 2" xfId="16512"/>
    <cellStyle name="40% - Accent1 3 3 2 5 6" xfId="16513"/>
    <cellStyle name="40% - Accent1 3 3 2 6" xfId="16514"/>
    <cellStyle name="40% - Accent1 3 3 2 6 2" xfId="16515"/>
    <cellStyle name="40% - Accent1 3 3 2 6 2 2" xfId="16516"/>
    <cellStyle name="40% - Accent1 3 3 2 6 2 2 2" xfId="16517"/>
    <cellStyle name="40% - Accent1 3 3 2 6 2 2 2 2" xfId="16518"/>
    <cellStyle name="40% - Accent1 3 3 2 6 2 2 3" xfId="16519"/>
    <cellStyle name="40% - Accent1 3 3 2 6 2 3" xfId="16520"/>
    <cellStyle name="40% - Accent1 3 3 2 6 2 3 2" xfId="16521"/>
    <cellStyle name="40% - Accent1 3 3 2 6 2 4" xfId="16522"/>
    <cellStyle name="40% - Accent1 3 3 2 6 3" xfId="16523"/>
    <cellStyle name="40% - Accent1 3 3 2 6 3 2" xfId="16524"/>
    <cellStyle name="40% - Accent1 3 3 2 6 3 2 2" xfId="16525"/>
    <cellStyle name="40% - Accent1 3 3 2 6 3 3" xfId="16526"/>
    <cellStyle name="40% - Accent1 3 3 2 6 4" xfId="16527"/>
    <cellStyle name="40% - Accent1 3 3 2 6 4 2" xfId="16528"/>
    <cellStyle name="40% - Accent1 3 3 2 6 5" xfId="16529"/>
    <cellStyle name="40% - Accent1 3 3 2 6 5 2" xfId="16530"/>
    <cellStyle name="40% - Accent1 3 3 2 6 6" xfId="16531"/>
    <cellStyle name="40% - Accent1 3 3 2 7" xfId="16532"/>
    <cellStyle name="40% - Accent1 3 3 2 7 2" xfId="16533"/>
    <cellStyle name="40% - Accent1 3 3 2 7 2 2" xfId="16534"/>
    <cellStyle name="40% - Accent1 3 3 2 7 2 2 2" xfId="16535"/>
    <cellStyle name="40% - Accent1 3 3 2 7 2 3" xfId="16536"/>
    <cellStyle name="40% - Accent1 3 3 2 7 3" xfId="16537"/>
    <cellStyle name="40% - Accent1 3 3 2 7 3 2" xfId="16538"/>
    <cellStyle name="40% - Accent1 3 3 2 7 4" xfId="16539"/>
    <cellStyle name="40% - Accent1 3 3 2 8" xfId="16540"/>
    <cellStyle name="40% - Accent1 3 3 2 8 2" xfId="16541"/>
    <cellStyle name="40% - Accent1 3 3 2 8 2 2" xfId="16542"/>
    <cellStyle name="40% - Accent1 3 3 2 8 3" xfId="16543"/>
    <cellStyle name="40% - Accent1 3 3 2 9" xfId="16544"/>
    <cellStyle name="40% - Accent1 3 3 2 9 2" xfId="16545"/>
    <cellStyle name="40% - Accent1 3 3 3" xfId="16546"/>
    <cellStyle name="40% - Accent1 3 3 3 10" xfId="16547"/>
    <cellStyle name="40% - Accent1 3 3 3 10 2" xfId="16548"/>
    <cellStyle name="40% - Accent1 3 3 3 11" xfId="16549"/>
    <cellStyle name="40% - Accent1 3 3 3 2" xfId="16550"/>
    <cellStyle name="40% - Accent1 3 3 3 2 2" xfId="16551"/>
    <cellStyle name="40% - Accent1 3 3 3 2 2 2" xfId="16552"/>
    <cellStyle name="40% - Accent1 3 3 3 2 2 2 2" xfId="16553"/>
    <cellStyle name="40% - Accent1 3 3 3 2 2 2 2 2" xfId="16554"/>
    <cellStyle name="40% - Accent1 3 3 3 2 2 2 2 2 2" xfId="16555"/>
    <cellStyle name="40% - Accent1 3 3 3 2 2 2 2 3" xfId="16556"/>
    <cellStyle name="40% - Accent1 3 3 3 2 2 2 3" xfId="16557"/>
    <cellStyle name="40% - Accent1 3 3 3 2 2 2 3 2" xfId="16558"/>
    <cellStyle name="40% - Accent1 3 3 3 2 2 2 4" xfId="16559"/>
    <cellStyle name="40% - Accent1 3 3 3 2 2 3" xfId="16560"/>
    <cellStyle name="40% - Accent1 3 3 3 2 2 3 2" xfId="16561"/>
    <cellStyle name="40% - Accent1 3 3 3 2 2 3 2 2" xfId="16562"/>
    <cellStyle name="40% - Accent1 3 3 3 2 2 3 3" xfId="16563"/>
    <cellStyle name="40% - Accent1 3 3 3 2 2 4" xfId="16564"/>
    <cellStyle name="40% - Accent1 3 3 3 2 2 4 2" xfId="16565"/>
    <cellStyle name="40% - Accent1 3 3 3 2 2 5" xfId="16566"/>
    <cellStyle name="40% - Accent1 3 3 3 2 2 5 2" xfId="16567"/>
    <cellStyle name="40% - Accent1 3 3 3 2 2 6" xfId="16568"/>
    <cellStyle name="40% - Accent1 3 3 3 2 3" xfId="16569"/>
    <cellStyle name="40% - Accent1 3 3 3 2 3 2" xfId="16570"/>
    <cellStyle name="40% - Accent1 3 3 3 2 3 2 2" xfId="16571"/>
    <cellStyle name="40% - Accent1 3 3 3 2 3 2 2 2" xfId="16572"/>
    <cellStyle name="40% - Accent1 3 3 3 2 3 2 2 2 2" xfId="16573"/>
    <cellStyle name="40% - Accent1 3 3 3 2 3 2 2 3" xfId="16574"/>
    <cellStyle name="40% - Accent1 3 3 3 2 3 2 3" xfId="16575"/>
    <cellStyle name="40% - Accent1 3 3 3 2 3 2 3 2" xfId="16576"/>
    <cellStyle name="40% - Accent1 3 3 3 2 3 2 4" xfId="16577"/>
    <cellStyle name="40% - Accent1 3 3 3 2 3 3" xfId="16578"/>
    <cellStyle name="40% - Accent1 3 3 3 2 3 3 2" xfId="16579"/>
    <cellStyle name="40% - Accent1 3 3 3 2 3 3 2 2" xfId="16580"/>
    <cellStyle name="40% - Accent1 3 3 3 2 3 3 3" xfId="16581"/>
    <cellStyle name="40% - Accent1 3 3 3 2 3 4" xfId="16582"/>
    <cellStyle name="40% - Accent1 3 3 3 2 3 4 2" xfId="16583"/>
    <cellStyle name="40% - Accent1 3 3 3 2 3 5" xfId="16584"/>
    <cellStyle name="40% - Accent1 3 3 3 2 3 5 2" xfId="16585"/>
    <cellStyle name="40% - Accent1 3 3 3 2 3 6" xfId="16586"/>
    <cellStyle name="40% - Accent1 3 3 3 2 4" xfId="16587"/>
    <cellStyle name="40% - Accent1 3 3 3 2 4 2" xfId="16588"/>
    <cellStyle name="40% - Accent1 3 3 3 2 4 2 2" xfId="16589"/>
    <cellStyle name="40% - Accent1 3 3 3 2 4 2 2 2" xfId="16590"/>
    <cellStyle name="40% - Accent1 3 3 3 2 4 2 3" xfId="16591"/>
    <cellStyle name="40% - Accent1 3 3 3 2 4 3" xfId="16592"/>
    <cellStyle name="40% - Accent1 3 3 3 2 4 3 2" xfId="16593"/>
    <cellStyle name="40% - Accent1 3 3 3 2 4 4" xfId="16594"/>
    <cellStyle name="40% - Accent1 3 3 3 2 5" xfId="16595"/>
    <cellStyle name="40% - Accent1 3 3 3 2 5 2" xfId="16596"/>
    <cellStyle name="40% - Accent1 3 3 3 2 5 2 2" xfId="16597"/>
    <cellStyle name="40% - Accent1 3 3 3 2 5 3" xfId="16598"/>
    <cellStyle name="40% - Accent1 3 3 3 2 6" xfId="16599"/>
    <cellStyle name="40% - Accent1 3 3 3 2 6 2" xfId="16600"/>
    <cellStyle name="40% - Accent1 3 3 3 2 7" xfId="16601"/>
    <cellStyle name="40% - Accent1 3 3 3 2 7 2" xfId="16602"/>
    <cellStyle name="40% - Accent1 3 3 3 2 8" xfId="16603"/>
    <cellStyle name="40% - Accent1 3 3 3 3" xfId="16604"/>
    <cellStyle name="40% - Accent1 3 3 3 3 2" xfId="16605"/>
    <cellStyle name="40% - Accent1 3 3 3 3 2 2" xfId="16606"/>
    <cellStyle name="40% - Accent1 3 3 3 3 2 2 2" xfId="16607"/>
    <cellStyle name="40% - Accent1 3 3 3 3 2 2 2 2" xfId="16608"/>
    <cellStyle name="40% - Accent1 3 3 3 3 2 2 2 2 2" xfId="16609"/>
    <cellStyle name="40% - Accent1 3 3 3 3 2 2 2 3" xfId="16610"/>
    <cellStyle name="40% - Accent1 3 3 3 3 2 2 3" xfId="16611"/>
    <cellStyle name="40% - Accent1 3 3 3 3 2 2 3 2" xfId="16612"/>
    <cellStyle name="40% - Accent1 3 3 3 3 2 2 4" xfId="16613"/>
    <cellStyle name="40% - Accent1 3 3 3 3 2 3" xfId="16614"/>
    <cellStyle name="40% - Accent1 3 3 3 3 2 3 2" xfId="16615"/>
    <cellStyle name="40% - Accent1 3 3 3 3 2 3 2 2" xfId="16616"/>
    <cellStyle name="40% - Accent1 3 3 3 3 2 3 3" xfId="16617"/>
    <cellStyle name="40% - Accent1 3 3 3 3 2 4" xfId="16618"/>
    <cellStyle name="40% - Accent1 3 3 3 3 2 4 2" xfId="16619"/>
    <cellStyle name="40% - Accent1 3 3 3 3 2 5" xfId="16620"/>
    <cellStyle name="40% - Accent1 3 3 3 3 2 5 2" xfId="16621"/>
    <cellStyle name="40% - Accent1 3 3 3 3 2 6" xfId="16622"/>
    <cellStyle name="40% - Accent1 3 3 3 3 3" xfId="16623"/>
    <cellStyle name="40% - Accent1 3 3 3 3 3 2" xfId="16624"/>
    <cellStyle name="40% - Accent1 3 3 3 3 3 2 2" xfId="16625"/>
    <cellStyle name="40% - Accent1 3 3 3 3 3 2 2 2" xfId="16626"/>
    <cellStyle name="40% - Accent1 3 3 3 3 3 2 2 2 2" xfId="16627"/>
    <cellStyle name="40% - Accent1 3 3 3 3 3 2 2 3" xfId="16628"/>
    <cellStyle name="40% - Accent1 3 3 3 3 3 2 3" xfId="16629"/>
    <cellStyle name="40% - Accent1 3 3 3 3 3 2 3 2" xfId="16630"/>
    <cellStyle name="40% - Accent1 3 3 3 3 3 2 4" xfId="16631"/>
    <cellStyle name="40% - Accent1 3 3 3 3 3 3" xfId="16632"/>
    <cellStyle name="40% - Accent1 3 3 3 3 3 3 2" xfId="16633"/>
    <cellStyle name="40% - Accent1 3 3 3 3 3 3 2 2" xfId="16634"/>
    <cellStyle name="40% - Accent1 3 3 3 3 3 3 3" xfId="16635"/>
    <cellStyle name="40% - Accent1 3 3 3 3 3 4" xfId="16636"/>
    <cellStyle name="40% - Accent1 3 3 3 3 3 4 2" xfId="16637"/>
    <cellStyle name="40% - Accent1 3 3 3 3 3 5" xfId="16638"/>
    <cellStyle name="40% - Accent1 3 3 3 3 3 5 2" xfId="16639"/>
    <cellStyle name="40% - Accent1 3 3 3 3 3 6" xfId="16640"/>
    <cellStyle name="40% - Accent1 3 3 3 3 4" xfId="16641"/>
    <cellStyle name="40% - Accent1 3 3 3 3 4 2" xfId="16642"/>
    <cellStyle name="40% - Accent1 3 3 3 3 4 2 2" xfId="16643"/>
    <cellStyle name="40% - Accent1 3 3 3 3 4 2 2 2" xfId="16644"/>
    <cellStyle name="40% - Accent1 3 3 3 3 4 2 3" xfId="16645"/>
    <cellStyle name="40% - Accent1 3 3 3 3 4 3" xfId="16646"/>
    <cellStyle name="40% - Accent1 3 3 3 3 4 3 2" xfId="16647"/>
    <cellStyle name="40% - Accent1 3 3 3 3 4 4" xfId="16648"/>
    <cellStyle name="40% - Accent1 3 3 3 3 5" xfId="16649"/>
    <cellStyle name="40% - Accent1 3 3 3 3 5 2" xfId="16650"/>
    <cellStyle name="40% - Accent1 3 3 3 3 5 2 2" xfId="16651"/>
    <cellStyle name="40% - Accent1 3 3 3 3 5 3" xfId="16652"/>
    <cellStyle name="40% - Accent1 3 3 3 3 6" xfId="16653"/>
    <cellStyle name="40% - Accent1 3 3 3 3 6 2" xfId="16654"/>
    <cellStyle name="40% - Accent1 3 3 3 3 7" xfId="16655"/>
    <cellStyle name="40% - Accent1 3 3 3 3 7 2" xfId="16656"/>
    <cellStyle name="40% - Accent1 3 3 3 3 8" xfId="16657"/>
    <cellStyle name="40% - Accent1 3 3 3 4" xfId="16658"/>
    <cellStyle name="40% - Accent1 3 3 3 4 2" xfId="16659"/>
    <cellStyle name="40% - Accent1 3 3 3 4 2 2" xfId="16660"/>
    <cellStyle name="40% - Accent1 3 3 3 4 2 2 2" xfId="16661"/>
    <cellStyle name="40% - Accent1 3 3 3 4 2 2 2 2" xfId="16662"/>
    <cellStyle name="40% - Accent1 3 3 3 4 2 2 3" xfId="16663"/>
    <cellStyle name="40% - Accent1 3 3 3 4 2 3" xfId="16664"/>
    <cellStyle name="40% - Accent1 3 3 3 4 2 3 2" xfId="16665"/>
    <cellStyle name="40% - Accent1 3 3 3 4 2 4" xfId="16666"/>
    <cellStyle name="40% - Accent1 3 3 3 4 3" xfId="16667"/>
    <cellStyle name="40% - Accent1 3 3 3 4 3 2" xfId="16668"/>
    <cellStyle name="40% - Accent1 3 3 3 4 3 2 2" xfId="16669"/>
    <cellStyle name="40% - Accent1 3 3 3 4 3 3" xfId="16670"/>
    <cellStyle name="40% - Accent1 3 3 3 4 4" xfId="16671"/>
    <cellStyle name="40% - Accent1 3 3 3 4 4 2" xfId="16672"/>
    <cellStyle name="40% - Accent1 3 3 3 4 5" xfId="16673"/>
    <cellStyle name="40% - Accent1 3 3 3 4 5 2" xfId="16674"/>
    <cellStyle name="40% - Accent1 3 3 3 4 6" xfId="16675"/>
    <cellStyle name="40% - Accent1 3 3 3 5" xfId="16676"/>
    <cellStyle name="40% - Accent1 3 3 3 5 2" xfId="16677"/>
    <cellStyle name="40% - Accent1 3 3 3 5 2 2" xfId="16678"/>
    <cellStyle name="40% - Accent1 3 3 3 5 2 2 2" xfId="16679"/>
    <cellStyle name="40% - Accent1 3 3 3 5 2 2 2 2" xfId="16680"/>
    <cellStyle name="40% - Accent1 3 3 3 5 2 2 3" xfId="16681"/>
    <cellStyle name="40% - Accent1 3 3 3 5 2 3" xfId="16682"/>
    <cellStyle name="40% - Accent1 3 3 3 5 2 3 2" xfId="16683"/>
    <cellStyle name="40% - Accent1 3 3 3 5 2 4" xfId="16684"/>
    <cellStyle name="40% - Accent1 3 3 3 5 3" xfId="16685"/>
    <cellStyle name="40% - Accent1 3 3 3 5 3 2" xfId="16686"/>
    <cellStyle name="40% - Accent1 3 3 3 5 3 2 2" xfId="16687"/>
    <cellStyle name="40% - Accent1 3 3 3 5 3 3" xfId="16688"/>
    <cellStyle name="40% - Accent1 3 3 3 5 4" xfId="16689"/>
    <cellStyle name="40% - Accent1 3 3 3 5 4 2" xfId="16690"/>
    <cellStyle name="40% - Accent1 3 3 3 5 5" xfId="16691"/>
    <cellStyle name="40% - Accent1 3 3 3 5 5 2" xfId="16692"/>
    <cellStyle name="40% - Accent1 3 3 3 5 6" xfId="16693"/>
    <cellStyle name="40% - Accent1 3 3 3 6" xfId="16694"/>
    <cellStyle name="40% - Accent1 3 3 3 6 2" xfId="16695"/>
    <cellStyle name="40% - Accent1 3 3 3 6 2 2" xfId="16696"/>
    <cellStyle name="40% - Accent1 3 3 3 6 2 2 2" xfId="16697"/>
    <cellStyle name="40% - Accent1 3 3 3 6 2 2 2 2" xfId="16698"/>
    <cellStyle name="40% - Accent1 3 3 3 6 2 2 3" xfId="16699"/>
    <cellStyle name="40% - Accent1 3 3 3 6 2 3" xfId="16700"/>
    <cellStyle name="40% - Accent1 3 3 3 6 2 3 2" xfId="16701"/>
    <cellStyle name="40% - Accent1 3 3 3 6 2 4" xfId="16702"/>
    <cellStyle name="40% - Accent1 3 3 3 6 3" xfId="16703"/>
    <cellStyle name="40% - Accent1 3 3 3 6 3 2" xfId="16704"/>
    <cellStyle name="40% - Accent1 3 3 3 6 3 2 2" xfId="16705"/>
    <cellStyle name="40% - Accent1 3 3 3 6 3 3" xfId="16706"/>
    <cellStyle name="40% - Accent1 3 3 3 6 4" xfId="16707"/>
    <cellStyle name="40% - Accent1 3 3 3 6 4 2" xfId="16708"/>
    <cellStyle name="40% - Accent1 3 3 3 6 5" xfId="16709"/>
    <cellStyle name="40% - Accent1 3 3 3 6 5 2" xfId="16710"/>
    <cellStyle name="40% - Accent1 3 3 3 6 6" xfId="16711"/>
    <cellStyle name="40% - Accent1 3 3 3 7" xfId="16712"/>
    <cellStyle name="40% - Accent1 3 3 3 7 2" xfId="16713"/>
    <cellStyle name="40% - Accent1 3 3 3 7 2 2" xfId="16714"/>
    <cellStyle name="40% - Accent1 3 3 3 7 2 2 2" xfId="16715"/>
    <cellStyle name="40% - Accent1 3 3 3 7 2 3" xfId="16716"/>
    <cellStyle name="40% - Accent1 3 3 3 7 3" xfId="16717"/>
    <cellStyle name="40% - Accent1 3 3 3 7 3 2" xfId="16718"/>
    <cellStyle name="40% - Accent1 3 3 3 7 4" xfId="16719"/>
    <cellStyle name="40% - Accent1 3 3 3 8" xfId="16720"/>
    <cellStyle name="40% - Accent1 3 3 3 8 2" xfId="16721"/>
    <cellStyle name="40% - Accent1 3 3 3 8 2 2" xfId="16722"/>
    <cellStyle name="40% - Accent1 3 3 3 8 3" xfId="16723"/>
    <cellStyle name="40% - Accent1 3 3 3 9" xfId="16724"/>
    <cellStyle name="40% - Accent1 3 3 3 9 2" xfId="16725"/>
    <cellStyle name="40% - Accent1 3 3 4" xfId="16726"/>
    <cellStyle name="40% - Accent1 3 3 4 2" xfId="16727"/>
    <cellStyle name="40% - Accent1 3 3 4 2 2" xfId="16728"/>
    <cellStyle name="40% - Accent1 3 3 4 2 2 2" xfId="16729"/>
    <cellStyle name="40% - Accent1 3 3 4 2 2 2 2" xfId="16730"/>
    <cellStyle name="40% - Accent1 3 3 4 2 2 2 2 2" xfId="16731"/>
    <cellStyle name="40% - Accent1 3 3 4 2 2 2 3" xfId="16732"/>
    <cellStyle name="40% - Accent1 3 3 4 2 2 3" xfId="16733"/>
    <cellStyle name="40% - Accent1 3 3 4 2 2 3 2" xfId="16734"/>
    <cellStyle name="40% - Accent1 3 3 4 2 2 4" xfId="16735"/>
    <cellStyle name="40% - Accent1 3 3 4 2 3" xfId="16736"/>
    <cellStyle name="40% - Accent1 3 3 4 2 3 2" xfId="16737"/>
    <cellStyle name="40% - Accent1 3 3 4 2 3 2 2" xfId="16738"/>
    <cellStyle name="40% - Accent1 3 3 4 2 3 3" xfId="16739"/>
    <cellStyle name="40% - Accent1 3 3 4 2 4" xfId="16740"/>
    <cellStyle name="40% - Accent1 3 3 4 2 4 2" xfId="16741"/>
    <cellStyle name="40% - Accent1 3 3 4 2 5" xfId="16742"/>
    <cellStyle name="40% - Accent1 3 3 4 2 5 2" xfId="16743"/>
    <cellStyle name="40% - Accent1 3 3 4 2 6" xfId="16744"/>
    <cellStyle name="40% - Accent1 3 3 4 3" xfId="16745"/>
    <cellStyle name="40% - Accent1 3 3 4 3 2" xfId="16746"/>
    <cellStyle name="40% - Accent1 3 3 4 3 2 2" xfId="16747"/>
    <cellStyle name="40% - Accent1 3 3 4 3 2 2 2" xfId="16748"/>
    <cellStyle name="40% - Accent1 3 3 4 3 2 2 2 2" xfId="16749"/>
    <cellStyle name="40% - Accent1 3 3 4 3 2 2 3" xfId="16750"/>
    <cellStyle name="40% - Accent1 3 3 4 3 2 3" xfId="16751"/>
    <cellStyle name="40% - Accent1 3 3 4 3 2 3 2" xfId="16752"/>
    <cellStyle name="40% - Accent1 3 3 4 3 2 4" xfId="16753"/>
    <cellStyle name="40% - Accent1 3 3 4 3 3" xfId="16754"/>
    <cellStyle name="40% - Accent1 3 3 4 3 3 2" xfId="16755"/>
    <cellStyle name="40% - Accent1 3 3 4 3 3 2 2" xfId="16756"/>
    <cellStyle name="40% - Accent1 3 3 4 3 3 3" xfId="16757"/>
    <cellStyle name="40% - Accent1 3 3 4 3 4" xfId="16758"/>
    <cellStyle name="40% - Accent1 3 3 4 3 4 2" xfId="16759"/>
    <cellStyle name="40% - Accent1 3 3 4 3 5" xfId="16760"/>
    <cellStyle name="40% - Accent1 3 3 4 3 5 2" xfId="16761"/>
    <cellStyle name="40% - Accent1 3 3 4 3 6" xfId="16762"/>
    <cellStyle name="40% - Accent1 3 3 4 4" xfId="16763"/>
    <cellStyle name="40% - Accent1 3 3 4 4 2" xfId="16764"/>
    <cellStyle name="40% - Accent1 3 3 4 4 2 2" xfId="16765"/>
    <cellStyle name="40% - Accent1 3 3 4 4 2 2 2" xfId="16766"/>
    <cellStyle name="40% - Accent1 3 3 4 4 2 3" xfId="16767"/>
    <cellStyle name="40% - Accent1 3 3 4 4 3" xfId="16768"/>
    <cellStyle name="40% - Accent1 3 3 4 4 3 2" xfId="16769"/>
    <cellStyle name="40% - Accent1 3 3 4 4 4" xfId="16770"/>
    <cellStyle name="40% - Accent1 3 3 4 5" xfId="16771"/>
    <cellStyle name="40% - Accent1 3 3 4 5 2" xfId="16772"/>
    <cellStyle name="40% - Accent1 3 3 4 5 2 2" xfId="16773"/>
    <cellStyle name="40% - Accent1 3 3 4 5 3" xfId="16774"/>
    <cellStyle name="40% - Accent1 3 3 4 6" xfId="16775"/>
    <cellStyle name="40% - Accent1 3 3 4 6 2" xfId="16776"/>
    <cellStyle name="40% - Accent1 3 3 4 7" xfId="16777"/>
    <cellStyle name="40% - Accent1 3 3 4 7 2" xfId="16778"/>
    <cellStyle name="40% - Accent1 3 3 4 8" xfId="16779"/>
    <cellStyle name="40% - Accent1 3 3 5" xfId="16780"/>
    <cellStyle name="40% - Accent1 3 3 5 2" xfId="16781"/>
    <cellStyle name="40% - Accent1 3 3 5 2 2" xfId="16782"/>
    <cellStyle name="40% - Accent1 3 3 5 2 2 2" xfId="16783"/>
    <cellStyle name="40% - Accent1 3 3 5 2 2 2 2" xfId="16784"/>
    <cellStyle name="40% - Accent1 3 3 5 2 2 2 2 2" xfId="16785"/>
    <cellStyle name="40% - Accent1 3 3 5 2 2 2 3" xfId="16786"/>
    <cellStyle name="40% - Accent1 3 3 5 2 2 3" xfId="16787"/>
    <cellStyle name="40% - Accent1 3 3 5 2 2 3 2" xfId="16788"/>
    <cellStyle name="40% - Accent1 3 3 5 2 2 4" xfId="16789"/>
    <cellStyle name="40% - Accent1 3 3 5 2 3" xfId="16790"/>
    <cellStyle name="40% - Accent1 3 3 5 2 3 2" xfId="16791"/>
    <cellStyle name="40% - Accent1 3 3 5 2 3 2 2" xfId="16792"/>
    <cellStyle name="40% - Accent1 3 3 5 2 3 3" xfId="16793"/>
    <cellStyle name="40% - Accent1 3 3 5 2 4" xfId="16794"/>
    <cellStyle name="40% - Accent1 3 3 5 2 4 2" xfId="16795"/>
    <cellStyle name="40% - Accent1 3 3 5 2 5" xfId="16796"/>
    <cellStyle name="40% - Accent1 3 3 5 2 5 2" xfId="16797"/>
    <cellStyle name="40% - Accent1 3 3 5 2 6" xfId="16798"/>
    <cellStyle name="40% - Accent1 3 3 5 3" xfId="16799"/>
    <cellStyle name="40% - Accent1 3 3 5 3 2" xfId="16800"/>
    <cellStyle name="40% - Accent1 3 3 5 3 2 2" xfId="16801"/>
    <cellStyle name="40% - Accent1 3 3 5 3 2 2 2" xfId="16802"/>
    <cellStyle name="40% - Accent1 3 3 5 3 2 2 2 2" xfId="16803"/>
    <cellStyle name="40% - Accent1 3 3 5 3 2 2 3" xfId="16804"/>
    <cellStyle name="40% - Accent1 3 3 5 3 2 3" xfId="16805"/>
    <cellStyle name="40% - Accent1 3 3 5 3 2 3 2" xfId="16806"/>
    <cellStyle name="40% - Accent1 3 3 5 3 2 4" xfId="16807"/>
    <cellStyle name="40% - Accent1 3 3 5 3 3" xfId="16808"/>
    <cellStyle name="40% - Accent1 3 3 5 3 3 2" xfId="16809"/>
    <cellStyle name="40% - Accent1 3 3 5 3 3 2 2" xfId="16810"/>
    <cellStyle name="40% - Accent1 3 3 5 3 3 3" xfId="16811"/>
    <cellStyle name="40% - Accent1 3 3 5 3 4" xfId="16812"/>
    <cellStyle name="40% - Accent1 3 3 5 3 4 2" xfId="16813"/>
    <cellStyle name="40% - Accent1 3 3 5 3 5" xfId="16814"/>
    <cellStyle name="40% - Accent1 3 3 5 3 5 2" xfId="16815"/>
    <cellStyle name="40% - Accent1 3 3 5 3 6" xfId="16816"/>
    <cellStyle name="40% - Accent1 3 3 5 4" xfId="16817"/>
    <cellStyle name="40% - Accent1 3 3 5 4 2" xfId="16818"/>
    <cellStyle name="40% - Accent1 3 3 5 4 2 2" xfId="16819"/>
    <cellStyle name="40% - Accent1 3 3 5 4 2 2 2" xfId="16820"/>
    <cellStyle name="40% - Accent1 3 3 5 4 2 3" xfId="16821"/>
    <cellStyle name="40% - Accent1 3 3 5 4 3" xfId="16822"/>
    <cellStyle name="40% - Accent1 3 3 5 4 3 2" xfId="16823"/>
    <cellStyle name="40% - Accent1 3 3 5 4 4" xfId="16824"/>
    <cellStyle name="40% - Accent1 3 3 5 5" xfId="16825"/>
    <cellStyle name="40% - Accent1 3 3 5 5 2" xfId="16826"/>
    <cellStyle name="40% - Accent1 3 3 5 5 2 2" xfId="16827"/>
    <cellStyle name="40% - Accent1 3 3 5 5 3" xfId="16828"/>
    <cellStyle name="40% - Accent1 3 3 5 6" xfId="16829"/>
    <cellStyle name="40% - Accent1 3 3 5 6 2" xfId="16830"/>
    <cellStyle name="40% - Accent1 3 3 5 7" xfId="16831"/>
    <cellStyle name="40% - Accent1 3 3 5 7 2" xfId="16832"/>
    <cellStyle name="40% - Accent1 3 3 5 8" xfId="16833"/>
    <cellStyle name="40% - Accent1 3 3 6" xfId="16834"/>
    <cellStyle name="40% - Accent1 3 3 6 2" xfId="16835"/>
    <cellStyle name="40% - Accent1 3 3 6 2 2" xfId="16836"/>
    <cellStyle name="40% - Accent1 3 3 6 2 2 2" xfId="16837"/>
    <cellStyle name="40% - Accent1 3 3 6 2 2 2 2" xfId="16838"/>
    <cellStyle name="40% - Accent1 3 3 6 2 2 3" xfId="16839"/>
    <cellStyle name="40% - Accent1 3 3 6 2 3" xfId="16840"/>
    <cellStyle name="40% - Accent1 3 3 6 2 3 2" xfId="16841"/>
    <cellStyle name="40% - Accent1 3 3 6 2 4" xfId="16842"/>
    <cellStyle name="40% - Accent1 3 3 6 3" xfId="16843"/>
    <cellStyle name="40% - Accent1 3 3 6 3 2" xfId="16844"/>
    <cellStyle name="40% - Accent1 3 3 6 3 2 2" xfId="16845"/>
    <cellStyle name="40% - Accent1 3 3 6 3 3" xfId="16846"/>
    <cellStyle name="40% - Accent1 3 3 6 4" xfId="16847"/>
    <cellStyle name="40% - Accent1 3 3 6 4 2" xfId="16848"/>
    <cellStyle name="40% - Accent1 3 3 6 5" xfId="16849"/>
    <cellStyle name="40% - Accent1 3 3 6 5 2" xfId="16850"/>
    <cellStyle name="40% - Accent1 3 3 6 6" xfId="16851"/>
    <cellStyle name="40% - Accent1 3 3 7" xfId="16852"/>
    <cellStyle name="40% - Accent1 3 3 7 2" xfId="16853"/>
    <cellStyle name="40% - Accent1 3 3 7 2 2" xfId="16854"/>
    <cellStyle name="40% - Accent1 3 3 7 2 2 2" xfId="16855"/>
    <cellStyle name="40% - Accent1 3 3 7 2 2 2 2" xfId="16856"/>
    <cellStyle name="40% - Accent1 3 3 7 2 2 3" xfId="16857"/>
    <cellStyle name="40% - Accent1 3 3 7 2 3" xfId="16858"/>
    <cellStyle name="40% - Accent1 3 3 7 2 3 2" xfId="16859"/>
    <cellStyle name="40% - Accent1 3 3 7 2 4" xfId="16860"/>
    <cellStyle name="40% - Accent1 3 3 7 3" xfId="16861"/>
    <cellStyle name="40% - Accent1 3 3 7 3 2" xfId="16862"/>
    <cellStyle name="40% - Accent1 3 3 7 3 2 2" xfId="16863"/>
    <cellStyle name="40% - Accent1 3 3 7 3 3" xfId="16864"/>
    <cellStyle name="40% - Accent1 3 3 7 4" xfId="16865"/>
    <cellStyle name="40% - Accent1 3 3 7 4 2" xfId="16866"/>
    <cellStyle name="40% - Accent1 3 3 7 5" xfId="16867"/>
    <cellStyle name="40% - Accent1 3 3 7 5 2" xfId="16868"/>
    <cellStyle name="40% - Accent1 3 3 7 6" xfId="16869"/>
    <cellStyle name="40% - Accent1 3 3 8" xfId="16870"/>
    <cellStyle name="40% - Accent1 3 3 8 2" xfId="16871"/>
    <cellStyle name="40% - Accent1 3 3 8 2 2" xfId="16872"/>
    <cellStyle name="40% - Accent1 3 3 8 2 2 2" xfId="16873"/>
    <cellStyle name="40% - Accent1 3 3 8 2 2 2 2" xfId="16874"/>
    <cellStyle name="40% - Accent1 3 3 8 2 2 3" xfId="16875"/>
    <cellStyle name="40% - Accent1 3 3 8 2 3" xfId="16876"/>
    <cellStyle name="40% - Accent1 3 3 8 2 3 2" xfId="16877"/>
    <cellStyle name="40% - Accent1 3 3 8 2 4" xfId="16878"/>
    <cellStyle name="40% - Accent1 3 3 8 3" xfId="16879"/>
    <cellStyle name="40% - Accent1 3 3 8 3 2" xfId="16880"/>
    <cellStyle name="40% - Accent1 3 3 8 3 2 2" xfId="16881"/>
    <cellStyle name="40% - Accent1 3 3 8 3 3" xfId="16882"/>
    <cellStyle name="40% - Accent1 3 3 8 4" xfId="16883"/>
    <cellStyle name="40% - Accent1 3 3 8 4 2" xfId="16884"/>
    <cellStyle name="40% - Accent1 3 3 8 5" xfId="16885"/>
    <cellStyle name="40% - Accent1 3 3 8 5 2" xfId="16886"/>
    <cellStyle name="40% - Accent1 3 3 8 6" xfId="16887"/>
    <cellStyle name="40% - Accent1 3 3 9" xfId="16888"/>
    <cellStyle name="40% - Accent1 3 3 9 2" xfId="16889"/>
    <cellStyle name="40% - Accent1 3 3 9 2 2" xfId="16890"/>
    <cellStyle name="40% - Accent1 3 3 9 2 2 2" xfId="16891"/>
    <cellStyle name="40% - Accent1 3 3 9 2 2 2 2" xfId="16892"/>
    <cellStyle name="40% - Accent1 3 3 9 2 2 3" xfId="16893"/>
    <cellStyle name="40% - Accent1 3 3 9 2 3" xfId="16894"/>
    <cellStyle name="40% - Accent1 3 3 9 2 3 2" xfId="16895"/>
    <cellStyle name="40% - Accent1 3 3 9 2 4" xfId="16896"/>
    <cellStyle name="40% - Accent1 3 3 9 3" xfId="16897"/>
    <cellStyle name="40% - Accent1 3 3 9 3 2" xfId="16898"/>
    <cellStyle name="40% - Accent1 3 3 9 3 2 2" xfId="16899"/>
    <cellStyle name="40% - Accent1 3 3 9 3 3" xfId="16900"/>
    <cellStyle name="40% - Accent1 3 3 9 4" xfId="16901"/>
    <cellStyle name="40% - Accent1 3 3 9 4 2" xfId="16902"/>
    <cellStyle name="40% - Accent1 3 3 9 5" xfId="16903"/>
    <cellStyle name="40% - Accent1 3 3 9 5 2" xfId="16904"/>
    <cellStyle name="40% - Accent1 3 3 9 6" xfId="16905"/>
    <cellStyle name="40% - Accent1 3 4" xfId="16906"/>
    <cellStyle name="40% - Accent1 3 4 10" xfId="16907"/>
    <cellStyle name="40% - Accent1 3 4 10 2" xfId="16908"/>
    <cellStyle name="40% - Accent1 3 4 11" xfId="16909"/>
    <cellStyle name="40% - Accent1 3 4 2" xfId="16910"/>
    <cellStyle name="40% - Accent1 3 4 2 2" xfId="16911"/>
    <cellStyle name="40% - Accent1 3 4 2 2 2" xfId="16912"/>
    <cellStyle name="40% - Accent1 3 4 2 2 2 2" xfId="16913"/>
    <cellStyle name="40% - Accent1 3 4 2 2 2 2 2" xfId="16914"/>
    <cellStyle name="40% - Accent1 3 4 2 2 2 2 2 2" xfId="16915"/>
    <cellStyle name="40% - Accent1 3 4 2 2 2 2 3" xfId="16916"/>
    <cellStyle name="40% - Accent1 3 4 2 2 2 3" xfId="16917"/>
    <cellStyle name="40% - Accent1 3 4 2 2 2 3 2" xfId="16918"/>
    <cellStyle name="40% - Accent1 3 4 2 2 2 4" xfId="16919"/>
    <cellStyle name="40% - Accent1 3 4 2 2 3" xfId="16920"/>
    <cellStyle name="40% - Accent1 3 4 2 2 3 2" xfId="16921"/>
    <cellStyle name="40% - Accent1 3 4 2 2 3 2 2" xfId="16922"/>
    <cellStyle name="40% - Accent1 3 4 2 2 3 3" xfId="16923"/>
    <cellStyle name="40% - Accent1 3 4 2 2 4" xfId="16924"/>
    <cellStyle name="40% - Accent1 3 4 2 2 4 2" xfId="16925"/>
    <cellStyle name="40% - Accent1 3 4 2 2 5" xfId="16926"/>
    <cellStyle name="40% - Accent1 3 4 2 2 5 2" xfId="16927"/>
    <cellStyle name="40% - Accent1 3 4 2 2 6" xfId="16928"/>
    <cellStyle name="40% - Accent1 3 4 2 3" xfId="16929"/>
    <cellStyle name="40% - Accent1 3 4 2 3 2" xfId="16930"/>
    <cellStyle name="40% - Accent1 3 4 2 3 2 2" xfId="16931"/>
    <cellStyle name="40% - Accent1 3 4 2 3 2 2 2" xfId="16932"/>
    <cellStyle name="40% - Accent1 3 4 2 3 2 2 2 2" xfId="16933"/>
    <cellStyle name="40% - Accent1 3 4 2 3 2 2 3" xfId="16934"/>
    <cellStyle name="40% - Accent1 3 4 2 3 2 3" xfId="16935"/>
    <cellStyle name="40% - Accent1 3 4 2 3 2 3 2" xfId="16936"/>
    <cellStyle name="40% - Accent1 3 4 2 3 2 4" xfId="16937"/>
    <cellStyle name="40% - Accent1 3 4 2 3 3" xfId="16938"/>
    <cellStyle name="40% - Accent1 3 4 2 3 3 2" xfId="16939"/>
    <cellStyle name="40% - Accent1 3 4 2 3 3 2 2" xfId="16940"/>
    <cellStyle name="40% - Accent1 3 4 2 3 3 3" xfId="16941"/>
    <cellStyle name="40% - Accent1 3 4 2 3 4" xfId="16942"/>
    <cellStyle name="40% - Accent1 3 4 2 3 4 2" xfId="16943"/>
    <cellStyle name="40% - Accent1 3 4 2 3 5" xfId="16944"/>
    <cellStyle name="40% - Accent1 3 4 2 3 5 2" xfId="16945"/>
    <cellStyle name="40% - Accent1 3 4 2 3 6" xfId="16946"/>
    <cellStyle name="40% - Accent1 3 4 2 4" xfId="16947"/>
    <cellStyle name="40% - Accent1 3 4 2 4 2" xfId="16948"/>
    <cellStyle name="40% - Accent1 3 4 2 4 2 2" xfId="16949"/>
    <cellStyle name="40% - Accent1 3 4 2 4 2 2 2" xfId="16950"/>
    <cellStyle name="40% - Accent1 3 4 2 4 2 3" xfId="16951"/>
    <cellStyle name="40% - Accent1 3 4 2 4 3" xfId="16952"/>
    <cellStyle name="40% - Accent1 3 4 2 4 3 2" xfId="16953"/>
    <cellStyle name="40% - Accent1 3 4 2 4 4" xfId="16954"/>
    <cellStyle name="40% - Accent1 3 4 2 5" xfId="16955"/>
    <cellStyle name="40% - Accent1 3 4 2 5 2" xfId="16956"/>
    <cellStyle name="40% - Accent1 3 4 2 5 2 2" xfId="16957"/>
    <cellStyle name="40% - Accent1 3 4 2 5 3" xfId="16958"/>
    <cellStyle name="40% - Accent1 3 4 2 6" xfId="16959"/>
    <cellStyle name="40% - Accent1 3 4 2 6 2" xfId="16960"/>
    <cellStyle name="40% - Accent1 3 4 2 7" xfId="16961"/>
    <cellStyle name="40% - Accent1 3 4 2 7 2" xfId="16962"/>
    <cellStyle name="40% - Accent1 3 4 2 8" xfId="16963"/>
    <cellStyle name="40% - Accent1 3 4 3" xfId="16964"/>
    <cellStyle name="40% - Accent1 3 4 3 2" xfId="16965"/>
    <cellStyle name="40% - Accent1 3 4 3 2 2" xfId="16966"/>
    <cellStyle name="40% - Accent1 3 4 3 2 2 2" xfId="16967"/>
    <cellStyle name="40% - Accent1 3 4 3 2 2 2 2" xfId="16968"/>
    <cellStyle name="40% - Accent1 3 4 3 2 2 2 2 2" xfId="16969"/>
    <cellStyle name="40% - Accent1 3 4 3 2 2 2 3" xfId="16970"/>
    <cellStyle name="40% - Accent1 3 4 3 2 2 3" xfId="16971"/>
    <cellStyle name="40% - Accent1 3 4 3 2 2 3 2" xfId="16972"/>
    <cellStyle name="40% - Accent1 3 4 3 2 2 4" xfId="16973"/>
    <cellStyle name="40% - Accent1 3 4 3 2 3" xfId="16974"/>
    <cellStyle name="40% - Accent1 3 4 3 2 3 2" xfId="16975"/>
    <cellStyle name="40% - Accent1 3 4 3 2 3 2 2" xfId="16976"/>
    <cellStyle name="40% - Accent1 3 4 3 2 3 3" xfId="16977"/>
    <cellStyle name="40% - Accent1 3 4 3 2 4" xfId="16978"/>
    <cellStyle name="40% - Accent1 3 4 3 2 4 2" xfId="16979"/>
    <cellStyle name="40% - Accent1 3 4 3 2 5" xfId="16980"/>
    <cellStyle name="40% - Accent1 3 4 3 2 5 2" xfId="16981"/>
    <cellStyle name="40% - Accent1 3 4 3 2 6" xfId="16982"/>
    <cellStyle name="40% - Accent1 3 4 3 3" xfId="16983"/>
    <cellStyle name="40% - Accent1 3 4 3 3 2" xfId="16984"/>
    <cellStyle name="40% - Accent1 3 4 3 3 2 2" xfId="16985"/>
    <cellStyle name="40% - Accent1 3 4 3 3 2 2 2" xfId="16986"/>
    <cellStyle name="40% - Accent1 3 4 3 3 2 2 2 2" xfId="16987"/>
    <cellStyle name="40% - Accent1 3 4 3 3 2 2 3" xfId="16988"/>
    <cellStyle name="40% - Accent1 3 4 3 3 2 3" xfId="16989"/>
    <cellStyle name="40% - Accent1 3 4 3 3 2 3 2" xfId="16990"/>
    <cellStyle name="40% - Accent1 3 4 3 3 2 4" xfId="16991"/>
    <cellStyle name="40% - Accent1 3 4 3 3 3" xfId="16992"/>
    <cellStyle name="40% - Accent1 3 4 3 3 3 2" xfId="16993"/>
    <cellStyle name="40% - Accent1 3 4 3 3 3 2 2" xfId="16994"/>
    <cellStyle name="40% - Accent1 3 4 3 3 3 3" xfId="16995"/>
    <cellStyle name="40% - Accent1 3 4 3 3 4" xfId="16996"/>
    <cellStyle name="40% - Accent1 3 4 3 3 4 2" xfId="16997"/>
    <cellStyle name="40% - Accent1 3 4 3 3 5" xfId="16998"/>
    <cellStyle name="40% - Accent1 3 4 3 3 5 2" xfId="16999"/>
    <cellStyle name="40% - Accent1 3 4 3 3 6" xfId="17000"/>
    <cellStyle name="40% - Accent1 3 4 3 4" xfId="17001"/>
    <cellStyle name="40% - Accent1 3 4 3 4 2" xfId="17002"/>
    <cellStyle name="40% - Accent1 3 4 3 4 2 2" xfId="17003"/>
    <cellStyle name="40% - Accent1 3 4 3 4 2 2 2" xfId="17004"/>
    <cellStyle name="40% - Accent1 3 4 3 4 2 3" xfId="17005"/>
    <cellStyle name="40% - Accent1 3 4 3 4 3" xfId="17006"/>
    <cellStyle name="40% - Accent1 3 4 3 4 3 2" xfId="17007"/>
    <cellStyle name="40% - Accent1 3 4 3 4 4" xfId="17008"/>
    <cellStyle name="40% - Accent1 3 4 3 5" xfId="17009"/>
    <cellStyle name="40% - Accent1 3 4 3 5 2" xfId="17010"/>
    <cellStyle name="40% - Accent1 3 4 3 5 2 2" xfId="17011"/>
    <cellStyle name="40% - Accent1 3 4 3 5 3" xfId="17012"/>
    <cellStyle name="40% - Accent1 3 4 3 6" xfId="17013"/>
    <cellStyle name="40% - Accent1 3 4 3 6 2" xfId="17014"/>
    <cellStyle name="40% - Accent1 3 4 3 7" xfId="17015"/>
    <cellStyle name="40% - Accent1 3 4 3 7 2" xfId="17016"/>
    <cellStyle name="40% - Accent1 3 4 3 8" xfId="17017"/>
    <cellStyle name="40% - Accent1 3 4 4" xfId="17018"/>
    <cellStyle name="40% - Accent1 3 4 4 2" xfId="17019"/>
    <cellStyle name="40% - Accent1 3 4 4 2 2" xfId="17020"/>
    <cellStyle name="40% - Accent1 3 4 4 2 2 2" xfId="17021"/>
    <cellStyle name="40% - Accent1 3 4 4 2 2 2 2" xfId="17022"/>
    <cellStyle name="40% - Accent1 3 4 4 2 2 3" xfId="17023"/>
    <cellStyle name="40% - Accent1 3 4 4 2 3" xfId="17024"/>
    <cellStyle name="40% - Accent1 3 4 4 2 3 2" xfId="17025"/>
    <cellStyle name="40% - Accent1 3 4 4 2 4" xfId="17026"/>
    <cellStyle name="40% - Accent1 3 4 4 3" xfId="17027"/>
    <cellStyle name="40% - Accent1 3 4 4 3 2" xfId="17028"/>
    <cellStyle name="40% - Accent1 3 4 4 3 2 2" xfId="17029"/>
    <cellStyle name="40% - Accent1 3 4 4 3 3" xfId="17030"/>
    <cellStyle name="40% - Accent1 3 4 4 4" xfId="17031"/>
    <cellStyle name="40% - Accent1 3 4 4 4 2" xfId="17032"/>
    <cellStyle name="40% - Accent1 3 4 4 5" xfId="17033"/>
    <cellStyle name="40% - Accent1 3 4 4 5 2" xfId="17034"/>
    <cellStyle name="40% - Accent1 3 4 4 6" xfId="17035"/>
    <cellStyle name="40% - Accent1 3 4 5" xfId="17036"/>
    <cellStyle name="40% - Accent1 3 4 5 2" xfId="17037"/>
    <cellStyle name="40% - Accent1 3 4 5 2 2" xfId="17038"/>
    <cellStyle name="40% - Accent1 3 4 5 2 2 2" xfId="17039"/>
    <cellStyle name="40% - Accent1 3 4 5 2 2 2 2" xfId="17040"/>
    <cellStyle name="40% - Accent1 3 4 5 2 2 3" xfId="17041"/>
    <cellStyle name="40% - Accent1 3 4 5 2 3" xfId="17042"/>
    <cellStyle name="40% - Accent1 3 4 5 2 3 2" xfId="17043"/>
    <cellStyle name="40% - Accent1 3 4 5 2 4" xfId="17044"/>
    <cellStyle name="40% - Accent1 3 4 5 3" xfId="17045"/>
    <cellStyle name="40% - Accent1 3 4 5 3 2" xfId="17046"/>
    <cellStyle name="40% - Accent1 3 4 5 3 2 2" xfId="17047"/>
    <cellStyle name="40% - Accent1 3 4 5 3 3" xfId="17048"/>
    <cellStyle name="40% - Accent1 3 4 5 4" xfId="17049"/>
    <cellStyle name="40% - Accent1 3 4 5 4 2" xfId="17050"/>
    <cellStyle name="40% - Accent1 3 4 5 5" xfId="17051"/>
    <cellStyle name="40% - Accent1 3 4 5 5 2" xfId="17052"/>
    <cellStyle name="40% - Accent1 3 4 5 6" xfId="17053"/>
    <cellStyle name="40% - Accent1 3 4 6" xfId="17054"/>
    <cellStyle name="40% - Accent1 3 4 6 2" xfId="17055"/>
    <cellStyle name="40% - Accent1 3 4 6 2 2" xfId="17056"/>
    <cellStyle name="40% - Accent1 3 4 6 2 2 2" xfId="17057"/>
    <cellStyle name="40% - Accent1 3 4 6 2 2 2 2" xfId="17058"/>
    <cellStyle name="40% - Accent1 3 4 6 2 2 3" xfId="17059"/>
    <cellStyle name="40% - Accent1 3 4 6 2 3" xfId="17060"/>
    <cellStyle name="40% - Accent1 3 4 6 2 3 2" xfId="17061"/>
    <cellStyle name="40% - Accent1 3 4 6 2 4" xfId="17062"/>
    <cellStyle name="40% - Accent1 3 4 6 3" xfId="17063"/>
    <cellStyle name="40% - Accent1 3 4 6 3 2" xfId="17064"/>
    <cellStyle name="40% - Accent1 3 4 6 3 2 2" xfId="17065"/>
    <cellStyle name="40% - Accent1 3 4 6 3 3" xfId="17066"/>
    <cellStyle name="40% - Accent1 3 4 6 4" xfId="17067"/>
    <cellStyle name="40% - Accent1 3 4 6 4 2" xfId="17068"/>
    <cellStyle name="40% - Accent1 3 4 6 5" xfId="17069"/>
    <cellStyle name="40% - Accent1 3 4 6 5 2" xfId="17070"/>
    <cellStyle name="40% - Accent1 3 4 6 6" xfId="17071"/>
    <cellStyle name="40% - Accent1 3 4 7" xfId="17072"/>
    <cellStyle name="40% - Accent1 3 4 7 2" xfId="17073"/>
    <cellStyle name="40% - Accent1 3 4 7 2 2" xfId="17074"/>
    <cellStyle name="40% - Accent1 3 4 7 2 2 2" xfId="17075"/>
    <cellStyle name="40% - Accent1 3 4 7 2 3" xfId="17076"/>
    <cellStyle name="40% - Accent1 3 4 7 3" xfId="17077"/>
    <cellStyle name="40% - Accent1 3 4 7 3 2" xfId="17078"/>
    <cellStyle name="40% - Accent1 3 4 7 4" xfId="17079"/>
    <cellStyle name="40% - Accent1 3 4 8" xfId="17080"/>
    <cellStyle name="40% - Accent1 3 4 8 2" xfId="17081"/>
    <cellStyle name="40% - Accent1 3 4 8 2 2" xfId="17082"/>
    <cellStyle name="40% - Accent1 3 4 8 3" xfId="17083"/>
    <cellStyle name="40% - Accent1 3 4 9" xfId="17084"/>
    <cellStyle name="40% - Accent1 3 4 9 2" xfId="17085"/>
    <cellStyle name="40% - Accent1 3 5" xfId="17086"/>
    <cellStyle name="40% - Accent1 3 5 2" xfId="17087"/>
    <cellStyle name="40% - Accent1 3 5 2 2" xfId="17088"/>
    <cellStyle name="40% - Accent1 3 5 2 2 2" xfId="17089"/>
    <cellStyle name="40% - Accent1 3 5 2 2 2 2" xfId="17090"/>
    <cellStyle name="40% - Accent1 3 5 2 2 2 2 2" xfId="17091"/>
    <cellStyle name="40% - Accent1 3 5 2 2 2 3" xfId="17092"/>
    <cellStyle name="40% - Accent1 3 5 2 2 3" xfId="17093"/>
    <cellStyle name="40% - Accent1 3 5 2 2 3 2" xfId="17094"/>
    <cellStyle name="40% - Accent1 3 5 2 2 4" xfId="17095"/>
    <cellStyle name="40% - Accent1 3 5 2 3" xfId="17096"/>
    <cellStyle name="40% - Accent1 3 5 2 3 2" xfId="17097"/>
    <cellStyle name="40% - Accent1 3 5 2 3 2 2" xfId="17098"/>
    <cellStyle name="40% - Accent1 3 5 2 3 3" xfId="17099"/>
    <cellStyle name="40% - Accent1 3 5 2 4" xfId="17100"/>
    <cellStyle name="40% - Accent1 3 5 2 4 2" xfId="17101"/>
    <cellStyle name="40% - Accent1 3 5 2 5" xfId="17102"/>
    <cellStyle name="40% - Accent1 3 5 2 5 2" xfId="17103"/>
    <cellStyle name="40% - Accent1 3 5 2 6" xfId="17104"/>
    <cellStyle name="40% - Accent1 3 5 3" xfId="17105"/>
    <cellStyle name="40% - Accent1 3 5 3 2" xfId="17106"/>
    <cellStyle name="40% - Accent1 3 5 3 2 2" xfId="17107"/>
    <cellStyle name="40% - Accent1 3 5 3 2 2 2" xfId="17108"/>
    <cellStyle name="40% - Accent1 3 5 3 2 2 2 2" xfId="17109"/>
    <cellStyle name="40% - Accent1 3 5 3 2 2 3" xfId="17110"/>
    <cellStyle name="40% - Accent1 3 5 3 2 3" xfId="17111"/>
    <cellStyle name="40% - Accent1 3 5 3 2 3 2" xfId="17112"/>
    <cellStyle name="40% - Accent1 3 5 3 2 4" xfId="17113"/>
    <cellStyle name="40% - Accent1 3 5 3 3" xfId="17114"/>
    <cellStyle name="40% - Accent1 3 5 3 3 2" xfId="17115"/>
    <cellStyle name="40% - Accent1 3 5 3 3 2 2" xfId="17116"/>
    <cellStyle name="40% - Accent1 3 5 3 3 3" xfId="17117"/>
    <cellStyle name="40% - Accent1 3 5 3 4" xfId="17118"/>
    <cellStyle name="40% - Accent1 3 5 3 4 2" xfId="17119"/>
    <cellStyle name="40% - Accent1 3 5 3 5" xfId="17120"/>
    <cellStyle name="40% - Accent1 3 5 3 5 2" xfId="17121"/>
    <cellStyle name="40% - Accent1 3 5 3 6" xfId="17122"/>
    <cellStyle name="40% - Accent1 3 5 4" xfId="17123"/>
    <cellStyle name="40% - Accent1 3 5 4 2" xfId="17124"/>
    <cellStyle name="40% - Accent1 3 5 4 2 2" xfId="17125"/>
    <cellStyle name="40% - Accent1 3 5 4 2 2 2" xfId="17126"/>
    <cellStyle name="40% - Accent1 3 5 4 2 3" xfId="17127"/>
    <cellStyle name="40% - Accent1 3 5 4 3" xfId="17128"/>
    <cellStyle name="40% - Accent1 3 5 4 3 2" xfId="17129"/>
    <cellStyle name="40% - Accent1 3 5 4 4" xfId="17130"/>
    <cellStyle name="40% - Accent1 3 5 5" xfId="17131"/>
    <cellStyle name="40% - Accent1 3 5 5 2" xfId="17132"/>
    <cellStyle name="40% - Accent1 3 5 5 2 2" xfId="17133"/>
    <cellStyle name="40% - Accent1 3 5 5 3" xfId="17134"/>
    <cellStyle name="40% - Accent1 3 5 6" xfId="17135"/>
    <cellStyle name="40% - Accent1 3 5 6 2" xfId="17136"/>
    <cellStyle name="40% - Accent1 3 5 7" xfId="17137"/>
    <cellStyle name="40% - Accent1 3 5 7 2" xfId="17138"/>
    <cellStyle name="40% - Accent1 3 5 8" xfId="17139"/>
    <cellStyle name="40% - Accent1 3 6" xfId="17140"/>
    <cellStyle name="40% - Accent1 3 6 2" xfId="17141"/>
    <cellStyle name="40% - Accent1 3 6 2 2" xfId="17142"/>
    <cellStyle name="40% - Accent1 3 6 2 2 2" xfId="17143"/>
    <cellStyle name="40% - Accent1 3 6 2 2 2 2" xfId="17144"/>
    <cellStyle name="40% - Accent1 3 6 2 2 2 2 2" xfId="17145"/>
    <cellStyle name="40% - Accent1 3 6 2 2 2 3" xfId="17146"/>
    <cellStyle name="40% - Accent1 3 6 2 2 3" xfId="17147"/>
    <cellStyle name="40% - Accent1 3 6 2 2 3 2" xfId="17148"/>
    <cellStyle name="40% - Accent1 3 6 2 2 4" xfId="17149"/>
    <cellStyle name="40% - Accent1 3 6 2 3" xfId="17150"/>
    <cellStyle name="40% - Accent1 3 6 2 3 2" xfId="17151"/>
    <cellStyle name="40% - Accent1 3 6 2 3 2 2" xfId="17152"/>
    <cellStyle name="40% - Accent1 3 6 2 3 3" xfId="17153"/>
    <cellStyle name="40% - Accent1 3 6 2 4" xfId="17154"/>
    <cellStyle name="40% - Accent1 3 6 2 4 2" xfId="17155"/>
    <cellStyle name="40% - Accent1 3 6 2 5" xfId="17156"/>
    <cellStyle name="40% - Accent1 3 6 2 5 2" xfId="17157"/>
    <cellStyle name="40% - Accent1 3 6 2 6" xfId="17158"/>
    <cellStyle name="40% - Accent1 3 6 3" xfId="17159"/>
    <cellStyle name="40% - Accent1 3 6 3 2" xfId="17160"/>
    <cellStyle name="40% - Accent1 3 6 3 2 2" xfId="17161"/>
    <cellStyle name="40% - Accent1 3 6 3 2 2 2" xfId="17162"/>
    <cellStyle name="40% - Accent1 3 6 3 2 2 2 2" xfId="17163"/>
    <cellStyle name="40% - Accent1 3 6 3 2 2 3" xfId="17164"/>
    <cellStyle name="40% - Accent1 3 6 3 2 3" xfId="17165"/>
    <cellStyle name="40% - Accent1 3 6 3 2 3 2" xfId="17166"/>
    <cellStyle name="40% - Accent1 3 6 3 2 4" xfId="17167"/>
    <cellStyle name="40% - Accent1 3 6 3 3" xfId="17168"/>
    <cellStyle name="40% - Accent1 3 6 3 3 2" xfId="17169"/>
    <cellStyle name="40% - Accent1 3 6 3 3 2 2" xfId="17170"/>
    <cellStyle name="40% - Accent1 3 6 3 3 3" xfId="17171"/>
    <cellStyle name="40% - Accent1 3 6 3 4" xfId="17172"/>
    <cellStyle name="40% - Accent1 3 6 3 4 2" xfId="17173"/>
    <cellStyle name="40% - Accent1 3 6 3 5" xfId="17174"/>
    <cellStyle name="40% - Accent1 3 6 3 5 2" xfId="17175"/>
    <cellStyle name="40% - Accent1 3 6 3 6" xfId="17176"/>
    <cellStyle name="40% - Accent1 3 6 4" xfId="17177"/>
    <cellStyle name="40% - Accent1 3 6 4 2" xfId="17178"/>
    <cellStyle name="40% - Accent1 3 6 4 2 2" xfId="17179"/>
    <cellStyle name="40% - Accent1 3 6 4 2 2 2" xfId="17180"/>
    <cellStyle name="40% - Accent1 3 6 4 2 3" xfId="17181"/>
    <cellStyle name="40% - Accent1 3 6 4 3" xfId="17182"/>
    <cellStyle name="40% - Accent1 3 6 4 3 2" xfId="17183"/>
    <cellStyle name="40% - Accent1 3 6 4 4" xfId="17184"/>
    <cellStyle name="40% - Accent1 3 6 5" xfId="17185"/>
    <cellStyle name="40% - Accent1 3 6 5 2" xfId="17186"/>
    <cellStyle name="40% - Accent1 3 6 5 2 2" xfId="17187"/>
    <cellStyle name="40% - Accent1 3 6 5 3" xfId="17188"/>
    <cellStyle name="40% - Accent1 3 6 6" xfId="17189"/>
    <cellStyle name="40% - Accent1 3 6 6 2" xfId="17190"/>
    <cellStyle name="40% - Accent1 3 6 7" xfId="17191"/>
    <cellStyle name="40% - Accent1 3 6 7 2" xfId="17192"/>
    <cellStyle name="40% - Accent1 3 6 8" xfId="17193"/>
    <cellStyle name="40% - Accent1 3 7" xfId="17194"/>
    <cellStyle name="40% - Accent1 3 7 2" xfId="17195"/>
    <cellStyle name="40% - Accent1 3 7 2 2" xfId="17196"/>
    <cellStyle name="40% - Accent1 3 7 2 2 2" xfId="17197"/>
    <cellStyle name="40% - Accent1 3 7 2 2 2 2" xfId="17198"/>
    <cellStyle name="40% - Accent1 3 7 2 2 3" xfId="17199"/>
    <cellStyle name="40% - Accent1 3 7 2 3" xfId="17200"/>
    <cellStyle name="40% - Accent1 3 7 2 3 2" xfId="17201"/>
    <cellStyle name="40% - Accent1 3 7 2 4" xfId="17202"/>
    <cellStyle name="40% - Accent1 3 7 3" xfId="17203"/>
    <cellStyle name="40% - Accent1 3 7 3 2" xfId="17204"/>
    <cellStyle name="40% - Accent1 3 7 3 2 2" xfId="17205"/>
    <cellStyle name="40% - Accent1 3 7 3 3" xfId="17206"/>
    <cellStyle name="40% - Accent1 3 7 4" xfId="17207"/>
    <cellStyle name="40% - Accent1 3 7 4 2" xfId="17208"/>
    <cellStyle name="40% - Accent1 3 7 5" xfId="17209"/>
    <cellStyle name="40% - Accent1 3 7 5 2" xfId="17210"/>
    <cellStyle name="40% - Accent1 3 7 6" xfId="17211"/>
    <cellStyle name="40% - Accent1 4" xfId="17212"/>
    <cellStyle name="40% - Accent1 4 10" xfId="17213"/>
    <cellStyle name="40% - Accent1 4 10 2" xfId="17214"/>
    <cellStyle name="40% - Accent1 4 11" xfId="17215"/>
    <cellStyle name="40% - Accent1 4 2" xfId="17216"/>
    <cellStyle name="40% - Accent1 4 2 2" xfId="17217"/>
    <cellStyle name="40% - Accent1 4 2 2 2" xfId="17218"/>
    <cellStyle name="40% - Accent1 4 2 2 2 2" xfId="17219"/>
    <cellStyle name="40% - Accent1 4 2 2 2 2 2" xfId="17220"/>
    <cellStyle name="40% - Accent1 4 2 2 2 2 2 2" xfId="17221"/>
    <cellStyle name="40% - Accent1 4 2 2 2 2 3" xfId="17222"/>
    <cellStyle name="40% - Accent1 4 2 2 2 3" xfId="17223"/>
    <cellStyle name="40% - Accent1 4 2 2 2 3 2" xfId="17224"/>
    <cellStyle name="40% - Accent1 4 2 2 2 4" xfId="17225"/>
    <cellStyle name="40% - Accent1 4 2 2 3" xfId="17226"/>
    <cellStyle name="40% - Accent1 4 2 2 3 2" xfId="17227"/>
    <cellStyle name="40% - Accent1 4 2 2 3 2 2" xfId="17228"/>
    <cellStyle name="40% - Accent1 4 2 2 3 3" xfId="17229"/>
    <cellStyle name="40% - Accent1 4 2 2 4" xfId="17230"/>
    <cellStyle name="40% - Accent1 4 2 2 4 2" xfId="17231"/>
    <cellStyle name="40% - Accent1 4 2 2 5" xfId="17232"/>
    <cellStyle name="40% - Accent1 4 2 2 5 2" xfId="17233"/>
    <cellStyle name="40% - Accent1 4 2 2 6" xfId="17234"/>
    <cellStyle name="40% - Accent1 4 2 3" xfId="17235"/>
    <cellStyle name="40% - Accent1 4 2 3 2" xfId="17236"/>
    <cellStyle name="40% - Accent1 4 2 3 2 2" xfId="17237"/>
    <cellStyle name="40% - Accent1 4 2 3 2 2 2" xfId="17238"/>
    <cellStyle name="40% - Accent1 4 2 3 2 2 2 2" xfId="17239"/>
    <cellStyle name="40% - Accent1 4 2 3 2 2 3" xfId="17240"/>
    <cellStyle name="40% - Accent1 4 2 3 2 3" xfId="17241"/>
    <cellStyle name="40% - Accent1 4 2 3 2 3 2" xfId="17242"/>
    <cellStyle name="40% - Accent1 4 2 3 2 4" xfId="17243"/>
    <cellStyle name="40% - Accent1 4 2 3 3" xfId="17244"/>
    <cellStyle name="40% - Accent1 4 2 3 3 2" xfId="17245"/>
    <cellStyle name="40% - Accent1 4 2 3 3 2 2" xfId="17246"/>
    <cellStyle name="40% - Accent1 4 2 3 3 3" xfId="17247"/>
    <cellStyle name="40% - Accent1 4 2 3 4" xfId="17248"/>
    <cellStyle name="40% - Accent1 4 2 3 4 2" xfId="17249"/>
    <cellStyle name="40% - Accent1 4 2 3 5" xfId="17250"/>
    <cellStyle name="40% - Accent1 4 2 3 5 2" xfId="17251"/>
    <cellStyle name="40% - Accent1 4 2 3 6" xfId="17252"/>
    <cellStyle name="40% - Accent1 4 2 4" xfId="17253"/>
    <cellStyle name="40% - Accent1 4 2 4 2" xfId="17254"/>
    <cellStyle name="40% - Accent1 4 2 4 2 2" xfId="17255"/>
    <cellStyle name="40% - Accent1 4 2 4 2 2 2" xfId="17256"/>
    <cellStyle name="40% - Accent1 4 2 4 2 3" xfId="17257"/>
    <cellStyle name="40% - Accent1 4 2 4 3" xfId="17258"/>
    <cellStyle name="40% - Accent1 4 2 4 3 2" xfId="17259"/>
    <cellStyle name="40% - Accent1 4 2 4 4" xfId="17260"/>
    <cellStyle name="40% - Accent1 4 2 5" xfId="17261"/>
    <cellStyle name="40% - Accent1 4 2 5 2" xfId="17262"/>
    <cellStyle name="40% - Accent1 4 2 5 2 2" xfId="17263"/>
    <cellStyle name="40% - Accent1 4 2 5 3" xfId="17264"/>
    <cellStyle name="40% - Accent1 4 2 6" xfId="17265"/>
    <cellStyle name="40% - Accent1 4 2 6 2" xfId="17266"/>
    <cellStyle name="40% - Accent1 4 2 7" xfId="17267"/>
    <cellStyle name="40% - Accent1 4 2 7 2" xfId="17268"/>
    <cellStyle name="40% - Accent1 4 2 8" xfId="17269"/>
    <cellStyle name="40% - Accent1 4 3" xfId="17270"/>
    <cellStyle name="40% - Accent1 4 3 2" xfId="17271"/>
    <cellStyle name="40% - Accent1 4 3 2 2" xfId="17272"/>
    <cellStyle name="40% - Accent1 4 3 2 2 2" xfId="17273"/>
    <cellStyle name="40% - Accent1 4 3 2 2 2 2" xfId="17274"/>
    <cellStyle name="40% - Accent1 4 3 2 2 2 2 2" xfId="17275"/>
    <cellStyle name="40% - Accent1 4 3 2 2 2 3" xfId="17276"/>
    <cellStyle name="40% - Accent1 4 3 2 2 3" xfId="17277"/>
    <cellStyle name="40% - Accent1 4 3 2 2 3 2" xfId="17278"/>
    <cellStyle name="40% - Accent1 4 3 2 2 4" xfId="17279"/>
    <cellStyle name="40% - Accent1 4 3 2 3" xfId="17280"/>
    <cellStyle name="40% - Accent1 4 3 2 3 2" xfId="17281"/>
    <cellStyle name="40% - Accent1 4 3 2 3 2 2" xfId="17282"/>
    <cellStyle name="40% - Accent1 4 3 2 3 3" xfId="17283"/>
    <cellStyle name="40% - Accent1 4 3 2 4" xfId="17284"/>
    <cellStyle name="40% - Accent1 4 3 2 4 2" xfId="17285"/>
    <cellStyle name="40% - Accent1 4 3 2 5" xfId="17286"/>
    <cellStyle name="40% - Accent1 4 3 2 5 2" xfId="17287"/>
    <cellStyle name="40% - Accent1 4 3 2 6" xfId="17288"/>
    <cellStyle name="40% - Accent1 4 3 3" xfId="17289"/>
    <cellStyle name="40% - Accent1 4 3 3 2" xfId="17290"/>
    <cellStyle name="40% - Accent1 4 3 3 2 2" xfId="17291"/>
    <cellStyle name="40% - Accent1 4 3 3 2 2 2" xfId="17292"/>
    <cellStyle name="40% - Accent1 4 3 3 2 2 2 2" xfId="17293"/>
    <cellStyle name="40% - Accent1 4 3 3 2 2 3" xfId="17294"/>
    <cellStyle name="40% - Accent1 4 3 3 2 3" xfId="17295"/>
    <cellStyle name="40% - Accent1 4 3 3 2 3 2" xfId="17296"/>
    <cellStyle name="40% - Accent1 4 3 3 2 4" xfId="17297"/>
    <cellStyle name="40% - Accent1 4 3 3 3" xfId="17298"/>
    <cellStyle name="40% - Accent1 4 3 3 3 2" xfId="17299"/>
    <cellStyle name="40% - Accent1 4 3 3 3 2 2" xfId="17300"/>
    <cellStyle name="40% - Accent1 4 3 3 3 3" xfId="17301"/>
    <cellStyle name="40% - Accent1 4 3 3 4" xfId="17302"/>
    <cellStyle name="40% - Accent1 4 3 3 4 2" xfId="17303"/>
    <cellStyle name="40% - Accent1 4 3 3 5" xfId="17304"/>
    <cellStyle name="40% - Accent1 4 3 3 5 2" xfId="17305"/>
    <cellStyle name="40% - Accent1 4 3 3 6" xfId="17306"/>
    <cellStyle name="40% - Accent1 4 3 4" xfId="17307"/>
    <cellStyle name="40% - Accent1 4 3 4 2" xfId="17308"/>
    <cellStyle name="40% - Accent1 4 3 4 2 2" xfId="17309"/>
    <cellStyle name="40% - Accent1 4 3 4 2 2 2" xfId="17310"/>
    <cellStyle name="40% - Accent1 4 3 4 2 3" xfId="17311"/>
    <cellStyle name="40% - Accent1 4 3 4 3" xfId="17312"/>
    <cellStyle name="40% - Accent1 4 3 4 3 2" xfId="17313"/>
    <cellStyle name="40% - Accent1 4 3 4 4" xfId="17314"/>
    <cellStyle name="40% - Accent1 4 3 5" xfId="17315"/>
    <cellStyle name="40% - Accent1 4 3 5 2" xfId="17316"/>
    <cellStyle name="40% - Accent1 4 3 5 2 2" xfId="17317"/>
    <cellStyle name="40% - Accent1 4 3 5 3" xfId="17318"/>
    <cellStyle name="40% - Accent1 4 3 6" xfId="17319"/>
    <cellStyle name="40% - Accent1 4 3 6 2" xfId="17320"/>
    <cellStyle name="40% - Accent1 4 3 7" xfId="17321"/>
    <cellStyle name="40% - Accent1 4 3 7 2" xfId="17322"/>
    <cellStyle name="40% - Accent1 4 3 8" xfId="17323"/>
    <cellStyle name="40% - Accent1 4 4" xfId="17324"/>
    <cellStyle name="40% - Accent1 4 4 2" xfId="17325"/>
    <cellStyle name="40% - Accent1 4 4 2 2" xfId="17326"/>
    <cellStyle name="40% - Accent1 4 4 2 2 2" xfId="17327"/>
    <cellStyle name="40% - Accent1 4 4 2 2 2 2" xfId="17328"/>
    <cellStyle name="40% - Accent1 4 4 2 2 3" xfId="17329"/>
    <cellStyle name="40% - Accent1 4 4 2 3" xfId="17330"/>
    <cellStyle name="40% - Accent1 4 4 2 3 2" xfId="17331"/>
    <cellStyle name="40% - Accent1 4 4 2 4" xfId="17332"/>
    <cellStyle name="40% - Accent1 4 4 3" xfId="17333"/>
    <cellStyle name="40% - Accent1 4 4 3 2" xfId="17334"/>
    <cellStyle name="40% - Accent1 4 4 3 2 2" xfId="17335"/>
    <cellStyle name="40% - Accent1 4 4 3 3" xfId="17336"/>
    <cellStyle name="40% - Accent1 4 4 4" xfId="17337"/>
    <cellStyle name="40% - Accent1 4 4 4 2" xfId="17338"/>
    <cellStyle name="40% - Accent1 4 4 5" xfId="17339"/>
    <cellStyle name="40% - Accent1 4 4 5 2" xfId="17340"/>
    <cellStyle name="40% - Accent1 4 4 6" xfId="17341"/>
    <cellStyle name="40% - Accent1 4 5" xfId="17342"/>
    <cellStyle name="40% - Accent1 4 5 2" xfId="17343"/>
    <cellStyle name="40% - Accent1 4 5 2 2" xfId="17344"/>
    <cellStyle name="40% - Accent1 4 5 2 2 2" xfId="17345"/>
    <cellStyle name="40% - Accent1 4 5 2 2 2 2" xfId="17346"/>
    <cellStyle name="40% - Accent1 4 5 2 2 3" xfId="17347"/>
    <cellStyle name="40% - Accent1 4 5 2 3" xfId="17348"/>
    <cellStyle name="40% - Accent1 4 5 2 3 2" xfId="17349"/>
    <cellStyle name="40% - Accent1 4 5 2 4" xfId="17350"/>
    <cellStyle name="40% - Accent1 4 5 3" xfId="17351"/>
    <cellStyle name="40% - Accent1 4 5 3 2" xfId="17352"/>
    <cellStyle name="40% - Accent1 4 5 3 2 2" xfId="17353"/>
    <cellStyle name="40% - Accent1 4 5 3 3" xfId="17354"/>
    <cellStyle name="40% - Accent1 4 5 4" xfId="17355"/>
    <cellStyle name="40% - Accent1 4 5 4 2" xfId="17356"/>
    <cellStyle name="40% - Accent1 4 5 5" xfId="17357"/>
    <cellStyle name="40% - Accent1 4 5 5 2" xfId="17358"/>
    <cellStyle name="40% - Accent1 4 5 6" xfId="17359"/>
    <cellStyle name="40% - Accent1 4 6" xfId="17360"/>
    <cellStyle name="40% - Accent1 4 6 2" xfId="17361"/>
    <cellStyle name="40% - Accent1 4 6 2 2" xfId="17362"/>
    <cellStyle name="40% - Accent1 4 6 2 2 2" xfId="17363"/>
    <cellStyle name="40% - Accent1 4 6 2 2 2 2" xfId="17364"/>
    <cellStyle name="40% - Accent1 4 6 2 2 3" xfId="17365"/>
    <cellStyle name="40% - Accent1 4 6 2 3" xfId="17366"/>
    <cellStyle name="40% - Accent1 4 6 2 3 2" xfId="17367"/>
    <cellStyle name="40% - Accent1 4 6 2 4" xfId="17368"/>
    <cellStyle name="40% - Accent1 4 6 3" xfId="17369"/>
    <cellStyle name="40% - Accent1 4 6 3 2" xfId="17370"/>
    <cellStyle name="40% - Accent1 4 6 3 2 2" xfId="17371"/>
    <cellStyle name="40% - Accent1 4 6 3 3" xfId="17372"/>
    <cellStyle name="40% - Accent1 4 6 4" xfId="17373"/>
    <cellStyle name="40% - Accent1 4 6 4 2" xfId="17374"/>
    <cellStyle name="40% - Accent1 4 6 5" xfId="17375"/>
    <cellStyle name="40% - Accent1 4 6 5 2" xfId="17376"/>
    <cellStyle name="40% - Accent1 4 6 6" xfId="17377"/>
    <cellStyle name="40% - Accent1 4 7" xfId="17378"/>
    <cellStyle name="40% - Accent1 4 7 2" xfId="17379"/>
    <cellStyle name="40% - Accent1 4 7 2 2" xfId="17380"/>
    <cellStyle name="40% - Accent1 4 7 2 2 2" xfId="17381"/>
    <cellStyle name="40% - Accent1 4 7 2 3" xfId="17382"/>
    <cellStyle name="40% - Accent1 4 7 3" xfId="17383"/>
    <cellStyle name="40% - Accent1 4 7 3 2" xfId="17384"/>
    <cellStyle name="40% - Accent1 4 7 4" xfId="17385"/>
    <cellStyle name="40% - Accent1 4 8" xfId="17386"/>
    <cellStyle name="40% - Accent1 4 8 2" xfId="17387"/>
    <cellStyle name="40% - Accent1 4 8 2 2" xfId="17388"/>
    <cellStyle name="40% - Accent1 4 8 3" xfId="17389"/>
    <cellStyle name="40% - Accent1 4 9" xfId="17390"/>
    <cellStyle name="40% - Accent1 4 9 2" xfId="17391"/>
    <cellStyle name="40% - Accent1 5" xfId="17392"/>
    <cellStyle name="40% - Accent1 5 10" xfId="17393"/>
    <cellStyle name="40% - Accent1 5 10 2" xfId="17394"/>
    <cellStyle name="40% - Accent1 5 11" xfId="17395"/>
    <cellStyle name="40% - Accent1 5 2" xfId="17396"/>
    <cellStyle name="40% - Accent1 5 2 2" xfId="17397"/>
    <cellStyle name="40% - Accent1 5 2 2 2" xfId="17398"/>
    <cellStyle name="40% - Accent1 5 2 2 2 2" xfId="17399"/>
    <cellStyle name="40% - Accent1 5 2 2 2 2 2" xfId="17400"/>
    <cellStyle name="40% - Accent1 5 2 2 2 2 2 2" xfId="17401"/>
    <cellStyle name="40% - Accent1 5 2 2 2 2 3" xfId="17402"/>
    <cellStyle name="40% - Accent1 5 2 2 2 3" xfId="17403"/>
    <cellStyle name="40% - Accent1 5 2 2 2 3 2" xfId="17404"/>
    <cellStyle name="40% - Accent1 5 2 2 2 4" xfId="17405"/>
    <cellStyle name="40% - Accent1 5 2 2 3" xfId="17406"/>
    <cellStyle name="40% - Accent1 5 2 2 3 2" xfId="17407"/>
    <cellStyle name="40% - Accent1 5 2 2 3 2 2" xfId="17408"/>
    <cellStyle name="40% - Accent1 5 2 2 3 3" xfId="17409"/>
    <cellStyle name="40% - Accent1 5 2 2 4" xfId="17410"/>
    <cellStyle name="40% - Accent1 5 2 2 4 2" xfId="17411"/>
    <cellStyle name="40% - Accent1 5 2 2 5" xfId="17412"/>
    <cellStyle name="40% - Accent1 5 2 2 5 2" xfId="17413"/>
    <cellStyle name="40% - Accent1 5 2 2 6" xfId="17414"/>
    <cellStyle name="40% - Accent1 5 2 3" xfId="17415"/>
    <cellStyle name="40% - Accent1 5 2 3 2" xfId="17416"/>
    <cellStyle name="40% - Accent1 5 2 3 2 2" xfId="17417"/>
    <cellStyle name="40% - Accent1 5 2 3 2 2 2" xfId="17418"/>
    <cellStyle name="40% - Accent1 5 2 3 2 2 2 2" xfId="17419"/>
    <cellStyle name="40% - Accent1 5 2 3 2 2 3" xfId="17420"/>
    <cellStyle name="40% - Accent1 5 2 3 2 3" xfId="17421"/>
    <cellStyle name="40% - Accent1 5 2 3 2 3 2" xfId="17422"/>
    <cellStyle name="40% - Accent1 5 2 3 2 4" xfId="17423"/>
    <cellStyle name="40% - Accent1 5 2 3 3" xfId="17424"/>
    <cellStyle name="40% - Accent1 5 2 3 3 2" xfId="17425"/>
    <cellStyle name="40% - Accent1 5 2 3 3 2 2" xfId="17426"/>
    <cellStyle name="40% - Accent1 5 2 3 3 3" xfId="17427"/>
    <cellStyle name="40% - Accent1 5 2 3 4" xfId="17428"/>
    <cellStyle name="40% - Accent1 5 2 3 4 2" xfId="17429"/>
    <cellStyle name="40% - Accent1 5 2 3 5" xfId="17430"/>
    <cellStyle name="40% - Accent1 5 2 3 5 2" xfId="17431"/>
    <cellStyle name="40% - Accent1 5 2 3 6" xfId="17432"/>
    <cellStyle name="40% - Accent1 5 2 4" xfId="17433"/>
    <cellStyle name="40% - Accent1 5 2 4 2" xfId="17434"/>
    <cellStyle name="40% - Accent1 5 2 4 2 2" xfId="17435"/>
    <cellStyle name="40% - Accent1 5 2 4 2 2 2" xfId="17436"/>
    <cellStyle name="40% - Accent1 5 2 4 2 3" xfId="17437"/>
    <cellStyle name="40% - Accent1 5 2 4 3" xfId="17438"/>
    <cellStyle name="40% - Accent1 5 2 4 3 2" xfId="17439"/>
    <cellStyle name="40% - Accent1 5 2 4 4" xfId="17440"/>
    <cellStyle name="40% - Accent1 5 2 5" xfId="17441"/>
    <cellStyle name="40% - Accent1 5 2 5 2" xfId="17442"/>
    <cellStyle name="40% - Accent1 5 2 5 2 2" xfId="17443"/>
    <cellStyle name="40% - Accent1 5 2 5 3" xfId="17444"/>
    <cellStyle name="40% - Accent1 5 2 6" xfId="17445"/>
    <cellStyle name="40% - Accent1 5 2 6 2" xfId="17446"/>
    <cellStyle name="40% - Accent1 5 2 7" xfId="17447"/>
    <cellStyle name="40% - Accent1 5 2 7 2" xfId="17448"/>
    <cellStyle name="40% - Accent1 5 2 8" xfId="17449"/>
    <cellStyle name="40% - Accent1 5 3" xfId="17450"/>
    <cellStyle name="40% - Accent1 5 3 2" xfId="17451"/>
    <cellStyle name="40% - Accent1 5 3 2 2" xfId="17452"/>
    <cellStyle name="40% - Accent1 5 3 2 2 2" xfId="17453"/>
    <cellStyle name="40% - Accent1 5 3 2 2 2 2" xfId="17454"/>
    <cellStyle name="40% - Accent1 5 3 2 2 2 2 2" xfId="17455"/>
    <cellStyle name="40% - Accent1 5 3 2 2 2 3" xfId="17456"/>
    <cellStyle name="40% - Accent1 5 3 2 2 3" xfId="17457"/>
    <cellStyle name="40% - Accent1 5 3 2 2 3 2" xfId="17458"/>
    <cellStyle name="40% - Accent1 5 3 2 2 4" xfId="17459"/>
    <cellStyle name="40% - Accent1 5 3 2 3" xfId="17460"/>
    <cellStyle name="40% - Accent1 5 3 2 3 2" xfId="17461"/>
    <cellStyle name="40% - Accent1 5 3 2 3 2 2" xfId="17462"/>
    <cellStyle name="40% - Accent1 5 3 2 3 3" xfId="17463"/>
    <cellStyle name="40% - Accent1 5 3 2 4" xfId="17464"/>
    <cellStyle name="40% - Accent1 5 3 2 4 2" xfId="17465"/>
    <cellStyle name="40% - Accent1 5 3 2 5" xfId="17466"/>
    <cellStyle name="40% - Accent1 5 3 2 5 2" xfId="17467"/>
    <cellStyle name="40% - Accent1 5 3 2 6" xfId="17468"/>
    <cellStyle name="40% - Accent1 5 3 3" xfId="17469"/>
    <cellStyle name="40% - Accent1 5 3 3 2" xfId="17470"/>
    <cellStyle name="40% - Accent1 5 3 3 2 2" xfId="17471"/>
    <cellStyle name="40% - Accent1 5 3 3 2 2 2" xfId="17472"/>
    <cellStyle name="40% - Accent1 5 3 3 2 2 2 2" xfId="17473"/>
    <cellStyle name="40% - Accent1 5 3 3 2 2 3" xfId="17474"/>
    <cellStyle name="40% - Accent1 5 3 3 2 3" xfId="17475"/>
    <cellStyle name="40% - Accent1 5 3 3 2 3 2" xfId="17476"/>
    <cellStyle name="40% - Accent1 5 3 3 2 4" xfId="17477"/>
    <cellStyle name="40% - Accent1 5 3 3 3" xfId="17478"/>
    <cellStyle name="40% - Accent1 5 3 3 3 2" xfId="17479"/>
    <cellStyle name="40% - Accent1 5 3 3 3 2 2" xfId="17480"/>
    <cellStyle name="40% - Accent1 5 3 3 3 3" xfId="17481"/>
    <cellStyle name="40% - Accent1 5 3 3 4" xfId="17482"/>
    <cellStyle name="40% - Accent1 5 3 3 4 2" xfId="17483"/>
    <cellStyle name="40% - Accent1 5 3 3 5" xfId="17484"/>
    <cellStyle name="40% - Accent1 5 3 3 5 2" xfId="17485"/>
    <cellStyle name="40% - Accent1 5 3 3 6" xfId="17486"/>
    <cellStyle name="40% - Accent1 5 3 4" xfId="17487"/>
    <cellStyle name="40% - Accent1 5 3 4 2" xfId="17488"/>
    <cellStyle name="40% - Accent1 5 3 4 2 2" xfId="17489"/>
    <cellStyle name="40% - Accent1 5 3 4 2 2 2" xfId="17490"/>
    <cellStyle name="40% - Accent1 5 3 4 2 3" xfId="17491"/>
    <cellStyle name="40% - Accent1 5 3 4 3" xfId="17492"/>
    <cellStyle name="40% - Accent1 5 3 4 3 2" xfId="17493"/>
    <cellStyle name="40% - Accent1 5 3 4 4" xfId="17494"/>
    <cellStyle name="40% - Accent1 5 3 5" xfId="17495"/>
    <cellStyle name="40% - Accent1 5 3 5 2" xfId="17496"/>
    <cellStyle name="40% - Accent1 5 3 5 2 2" xfId="17497"/>
    <cellStyle name="40% - Accent1 5 3 5 3" xfId="17498"/>
    <cellStyle name="40% - Accent1 5 3 6" xfId="17499"/>
    <cellStyle name="40% - Accent1 5 3 6 2" xfId="17500"/>
    <cellStyle name="40% - Accent1 5 3 7" xfId="17501"/>
    <cellStyle name="40% - Accent1 5 3 7 2" xfId="17502"/>
    <cellStyle name="40% - Accent1 5 3 8" xfId="17503"/>
    <cellStyle name="40% - Accent1 5 4" xfId="17504"/>
    <cellStyle name="40% - Accent1 5 4 2" xfId="17505"/>
    <cellStyle name="40% - Accent1 5 4 2 2" xfId="17506"/>
    <cellStyle name="40% - Accent1 5 4 2 2 2" xfId="17507"/>
    <cellStyle name="40% - Accent1 5 4 2 2 2 2" xfId="17508"/>
    <cellStyle name="40% - Accent1 5 4 2 2 3" xfId="17509"/>
    <cellStyle name="40% - Accent1 5 4 2 3" xfId="17510"/>
    <cellStyle name="40% - Accent1 5 4 2 3 2" xfId="17511"/>
    <cellStyle name="40% - Accent1 5 4 2 4" xfId="17512"/>
    <cellStyle name="40% - Accent1 5 4 3" xfId="17513"/>
    <cellStyle name="40% - Accent1 5 4 3 2" xfId="17514"/>
    <cellStyle name="40% - Accent1 5 4 3 2 2" xfId="17515"/>
    <cellStyle name="40% - Accent1 5 4 3 3" xfId="17516"/>
    <cellStyle name="40% - Accent1 5 4 4" xfId="17517"/>
    <cellStyle name="40% - Accent1 5 4 4 2" xfId="17518"/>
    <cellStyle name="40% - Accent1 5 4 5" xfId="17519"/>
    <cellStyle name="40% - Accent1 5 4 5 2" xfId="17520"/>
    <cellStyle name="40% - Accent1 5 4 6" xfId="17521"/>
    <cellStyle name="40% - Accent1 5 5" xfId="17522"/>
    <cellStyle name="40% - Accent1 5 5 2" xfId="17523"/>
    <cellStyle name="40% - Accent1 5 5 2 2" xfId="17524"/>
    <cellStyle name="40% - Accent1 5 5 2 2 2" xfId="17525"/>
    <cellStyle name="40% - Accent1 5 5 2 2 2 2" xfId="17526"/>
    <cellStyle name="40% - Accent1 5 5 2 2 3" xfId="17527"/>
    <cellStyle name="40% - Accent1 5 5 2 3" xfId="17528"/>
    <cellStyle name="40% - Accent1 5 5 2 3 2" xfId="17529"/>
    <cellStyle name="40% - Accent1 5 5 2 4" xfId="17530"/>
    <cellStyle name="40% - Accent1 5 5 3" xfId="17531"/>
    <cellStyle name="40% - Accent1 5 5 3 2" xfId="17532"/>
    <cellStyle name="40% - Accent1 5 5 3 2 2" xfId="17533"/>
    <cellStyle name="40% - Accent1 5 5 3 3" xfId="17534"/>
    <cellStyle name="40% - Accent1 5 5 4" xfId="17535"/>
    <cellStyle name="40% - Accent1 5 5 4 2" xfId="17536"/>
    <cellStyle name="40% - Accent1 5 5 5" xfId="17537"/>
    <cellStyle name="40% - Accent1 5 5 5 2" xfId="17538"/>
    <cellStyle name="40% - Accent1 5 5 6" xfId="17539"/>
    <cellStyle name="40% - Accent1 5 6" xfId="17540"/>
    <cellStyle name="40% - Accent1 5 6 2" xfId="17541"/>
    <cellStyle name="40% - Accent1 5 6 2 2" xfId="17542"/>
    <cellStyle name="40% - Accent1 5 6 2 2 2" xfId="17543"/>
    <cellStyle name="40% - Accent1 5 6 2 2 2 2" xfId="17544"/>
    <cellStyle name="40% - Accent1 5 6 2 2 3" xfId="17545"/>
    <cellStyle name="40% - Accent1 5 6 2 3" xfId="17546"/>
    <cellStyle name="40% - Accent1 5 6 2 3 2" xfId="17547"/>
    <cellStyle name="40% - Accent1 5 6 2 4" xfId="17548"/>
    <cellStyle name="40% - Accent1 5 6 3" xfId="17549"/>
    <cellStyle name="40% - Accent1 5 6 3 2" xfId="17550"/>
    <cellStyle name="40% - Accent1 5 6 3 2 2" xfId="17551"/>
    <cellStyle name="40% - Accent1 5 6 3 3" xfId="17552"/>
    <cellStyle name="40% - Accent1 5 6 4" xfId="17553"/>
    <cellStyle name="40% - Accent1 5 6 4 2" xfId="17554"/>
    <cellStyle name="40% - Accent1 5 6 5" xfId="17555"/>
    <cellStyle name="40% - Accent1 5 6 5 2" xfId="17556"/>
    <cellStyle name="40% - Accent1 5 6 6" xfId="17557"/>
    <cellStyle name="40% - Accent1 5 7" xfId="17558"/>
    <cellStyle name="40% - Accent1 5 7 2" xfId="17559"/>
    <cellStyle name="40% - Accent1 5 7 2 2" xfId="17560"/>
    <cellStyle name="40% - Accent1 5 7 2 2 2" xfId="17561"/>
    <cellStyle name="40% - Accent1 5 7 2 3" xfId="17562"/>
    <cellStyle name="40% - Accent1 5 7 3" xfId="17563"/>
    <cellStyle name="40% - Accent1 5 7 3 2" xfId="17564"/>
    <cellStyle name="40% - Accent1 5 7 4" xfId="17565"/>
    <cellStyle name="40% - Accent1 5 8" xfId="17566"/>
    <cellStyle name="40% - Accent1 5 8 2" xfId="17567"/>
    <cellStyle name="40% - Accent1 5 8 2 2" xfId="17568"/>
    <cellStyle name="40% - Accent1 5 8 3" xfId="17569"/>
    <cellStyle name="40% - Accent1 5 9" xfId="17570"/>
    <cellStyle name="40% - Accent1 5 9 2" xfId="17571"/>
    <cellStyle name="40% - Accent1 6" xfId="17572"/>
    <cellStyle name="40% - Accent1 6 10" xfId="17573"/>
    <cellStyle name="40% - Accent1 6 10 2" xfId="17574"/>
    <cellStyle name="40% - Accent1 6 11" xfId="17575"/>
    <cellStyle name="40% - Accent1 6 2" xfId="17576"/>
    <cellStyle name="40% - Accent1 6 2 2" xfId="17577"/>
    <cellStyle name="40% - Accent1 6 2 2 2" xfId="17578"/>
    <cellStyle name="40% - Accent1 6 2 2 2 2" xfId="17579"/>
    <cellStyle name="40% - Accent1 6 2 2 2 2 2" xfId="17580"/>
    <cellStyle name="40% - Accent1 6 2 2 2 2 2 2" xfId="17581"/>
    <cellStyle name="40% - Accent1 6 2 2 2 2 3" xfId="17582"/>
    <cellStyle name="40% - Accent1 6 2 2 2 3" xfId="17583"/>
    <cellStyle name="40% - Accent1 6 2 2 2 3 2" xfId="17584"/>
    <cellStyle name="40% - Accent1 6 2 2 2 4" xfId="17585"/>
    <cellStyle name="40% - Accent1 6 2 2 3" xfId="17586"/>
    <cellStyle name="40% - Accent1 6 2 2 3 2" xfId="17587"/>
    <cellStyle name="40% - Accent1 6 2 2 3 2 2" xfId="17588"/>
    <cellStyle name="40% - Accent1 6 2 2 3 3" xfId="17589"/>
    <cellStyle name="40% - Accent1 6 2 2 4" xfId="17590"/>
    <cellStyle name="40% - Accent1 6 2 2 4 2" xfId="17591"/>
    <cellStyle name="40% - Accent1 6 2 2 5" xfId="17592"/>
    <cellStyle name="40% - Accent1 6 2 2 5 2" xfId="17593"/>
    <cellStyle name="40% - Accent1 6 2 2 6" xfId="17594"/>
    <cellStyle name="40% - Accent1 6 2 3" xfId="17595"/>
    <cellStyle name="40% - Accent1 6 2 3 2" xfId="17596"/>
    <cellStyle name="40% - Accent1 6 2 3 2 2" xfId="17597"/>
    <cellStyle name="40% - Accent1 6 2 3 2 2 2" xfId="17598"/>
    <cellStyle name="40% - Accent1 6 2 3 2 2 2 2" xfId="17599"/>
    <cellStyle name="40% - Accent1 6 2 3 2 2 3" xfId="17600"/>
    <cellStyle name="40% - Accent1 6 2 3 2 3" xfId="17601"/>
    <cellStyle name="40% - Accent1 6 2 3 2 3 2" xfId="17602"/>
    <cellStyle name="40% - Accent1 6 2 3 2 4" xfId="17603"/>
    <cellStyle name="40% - Accent1 6 2 3 3" xfId="17604"/>
    <cellStyle name="40% - Accent1 6 2 3 3 2" xfId="17605"/>
    <cellStyle name="40% - Accent1 6 2 3 3 2 2" xfId="17606"/>
    <cellStyle name="40% - Accent1 6 2 3 3 3" xfId="17607"/>
    <cellStyle name="40% - Accent1 6 2 3 4" xfId="17608"/>
    <cellStyle name="40% - Accent1 6 2 3 4 2" xfId="17609"/>
    <cellStyle name="40% - Accent1 6 2 3 5" xfId="17610"/>
    <cellStyle name="40% - Accent1 6 2 3 5 2" xfId="17611"/>
    <cellStyle name="40% - Accent1 6 2 3 6" xfId="17612"/>
    <cellStyle name="40% - Accent1 6 2 4" xfId="17613"/>
    <cellStyle name="40% - Accent1 6 2 4 2" xfId="17614"/>
    <cellStyle name="40% - Accent1 6 2 4 2 2" xfId="17615"/>
    <cellStyle name="40% - Accent1 6 2 4 2 2 2" xfId="17616"/>
    <cellStyle name="40% - Accent1 6 2 4 2 3" xfId="17617"/>
    <cellStyle name="40% - Accent1 6 2 4 3" xfId="17618"/>
    <cellStyle name="40% - Accent1 6 2 4 3 2" xfId="17619"/>
    <cellStyle name="40% - Accent1 6 2 4 4" xfId="17620"/>
    <cellStyle name="40% - Accent1 6 2 5" xfId="17621"/>
    <cellStyle name="40% - Accent1 6 2 5 2" xfId="17622"/>
    <cellStyle name="40% - Accent1 6 2 5 2 2" xfId="17623"/>
    <cellStyle name="40% - Accent1 6 2 5 3" xfId="17624"/>
    <cellStyle name="40% - Accent1 6 2 6" xfId="17625"/>
    <cellStyle name="40% - Accent1 6 2 6 2" xfId="17626"/>
    <cellStyle name="40% - Accent1 6 2 7" xfId="17627"/>
    <cellStyle name="40% - Accent1 6 2 7 2" xfId="17628"/>
    <cellStyle name="40% - Accent1 6 2 8" xfId="17629"/>
    <cellStyle name="40% - Accent1 6 3" xfId="17630"/>
    <cellStyle name="40% - Accent1 6 3 2" xfId="17631"/>
    <cellStyle name="40% - Accent1 6 3 2 2" xfId="17632"/>
    <cellStyle name="40% - Accent1 6 3 2 2 2" xfId="17633"/>
    <cellStyle name="40% - Accent1 6 3 2 2 2 2" xfId="17634"/>
    <cellStyle name="40% - Accent1 6 3 2 2 2 2 2" xfId="17635"/>
    <cellStyle name="40% - Accent1 6 3 2 2 2 3" xfId="17636"/>
    <cellStyle name="40% - Accent1 6 3 2 2 3" xfId="17637"/>
    <cellStyle name="40% - Accent1 6 3 2 2 3 2" xfId="17638"/>
    <cellStyle name="40% - Accent1 6 3 2 2 4" xfId="17639"/>
    <cellStyle name="40% - Accent1 6 3 2 3" xfId="17640"/>
    <cellStyle name="40% - Accent1 6 3 2 3 2" xfId="17641"/>
    <cellStyle name="40% - Accent1 6 3 2 3 2 2" xfId="17642"/>
    <cellStyle name="40% - Accent1 6 3 2 3 3" xfId="17643"/>
    <cellStyle name="40% - Accent1 6 3 2 4" xfId="17644"/>
    <cellStyle name="40% - Accent1 6 3 2 4 2" xfId="17645"/>
    <cellStyle name="40% - Accent1 6 3 2 5" xfId="17646"/>
    <cellStyle name="40% - Accent1 6 3 2 5 2" xfId="17647"/>
    <cellStyle name="40% - Accent1 6 3 2 6" xfId="17648"/>
    <cellStyle name="40% - Accent1 6 3 3" xfId="17649"/>
    <cellStyle name="40% - Accent1 6 3 3 2" xfId="17650"/>
    <cellStyle name="40% - Accent1 6 3 3 2 2" xfId="17651"/>
    <cellStyle name="40% - Accent1 6 3 3 2 2 2" xfId="17652"/>
    <cellStyle name="40% - Accent1 6 3 3 2 2 2 2" xfId="17653"/>
    <cellStyle name="40% - Accent1 6 3 3 2 2 3" xfId="17654"/>
    <cellStyle name="40% - Accent1 6 3 3 2 3" xfId="17655"/>
    <cellStyle name="40% - Accent1 6 3 3 2 3 2" xfId="17656"/>
    <cellStyle name="40% - Accent1 6 3 3 2 4" xfId="17657"/>
    <cellStyle name="40% - Accent1 6 3 3 3" xfId="17658"/>
    <cellStyle name="40% - Accent1 6 3 3 3 2" xfId="17659"/>
    <cellStyle name="40% - Accent1 6 3 3 3 2 2" xfId="17660"/>
    <cellStyle name="40% - Accent1 6 3 3 3 3" xfId="17661"/>
    <cellStyle name="40% - Accent1 6 3 3 4" xfId="17662"/>
    <cellStyle name="40% - Accent1 6 3 3 4 2" xfId="17663"/>
    <cellStyle name="40% - Accent1 6 3 3 5" xfId="17664"/>
    <cellStyle name="40% - Accent1 6 3 3 5 2" xfId="17665"/>
    <cellStyle name="40% - Accent1 6 3 3 6" xfId="17666"/>
    <cellStyle name="40% - Accent1 6 3 4" xfId="17667"/>
    <cellStyle name="40% - Accent1 6 3 4 2" xfId="17668"/>
    <cellStyle name="40% - Accent1 6 3 4 2 2" xfId="17669"/>
    <cellStyle name="40% - Accent1 6 3 4 2 2 2" xfId="17670"/>
    <cellStyle name="40% - Accent1 6 3 4 2 3" xfId="17671"/>
    <cellStyle name="40% - Accent1 6 3 4 3" xfId="17672"/>
    <cellStyle name="40% - Accent1 6 3 4 3 2" xfId="17673"/>
    <cellStyle name="40% - Accent1 6 3 4 4" xfId="17674"/>
    <cellStyle name="40% - Accent1 6 3 5" xfId="17675"/>
    <cellStyle name="40% - Accent1 6 3 5 2" xfId="17676"/>
    <cellStyle name="40% - Accent1 6 3 5 2 2" xfId="17677"/>
    <cellStyle name="40% - Accent1 6 3 5 3" xfId="17678"/>
    <cellStyle name="40% - Accent1 6 3 6" xfId="17679"/>
    <cellStyle name="40% - Accent1 6 3 6 2" xfId="17680"/>
    <cellStyle name="40% - Accent1 6 3 7" xfId="17681"/>
    <cellStyle name="40% - Accent1 6 3 7 2" xfId="17682"/>
    <cellStyle name="40% - Accent1 6 3 8" xfId="17683"/>
    <cellStyle name="40% - Accent1 6 4" xfId="17684"/>
    <cellStyle name="40% - Accent1 6 4 2" xfId="17685"/>
    <cellStyle name="40% - Accent1 6 4 2 2" xfId="17686"/>
    <cellStyle name="40% - Accent1 6 4 2 2 2" xfId="17687"/>
    <cellStyle name="40% - Accent1 6 4 2 2 2 2" xfId="17688"/>
    <cellStyle name="40% - Accent1 6 4 2 2 3" xfId="17689"/>
    <cellStyle name="40% - Accent1 6 4 2 3" xfId="17690"/>
    <cellStyle name="40% - Accent1 6 4 2 3 2" xfId="17691"/>
    <cellStyle name="40% - Accent1 6 4 2 4" xfId="17692"/>
    <cellStyle name="40% - Accent1 6 4 3" xfId="17693"/>
    <cellStyle name="40% - Accent1 6 4 3 2" xfId="17694"/>
    <cellStyle name="40% - Accent1 6 4 3 2 2" xfId="17695"/>
    <cellStyle name="40% - Accent1 6 4 3 3" xfId="17696"/>
    <cellStyle name="40% - Accent1 6 4 4" xfId="17697"/>
    <cellStyle name="40% - Accent1 6 4 4 2" xfId="17698"/>
    <cellStyle name="40% - Accent1 6 4 5" xfId="17699"/>
    <cellStyle name="40% - Accent1 6 4 5 2" xfId="17700"/>
    <cellStyle name="40% - Accent1 6 4 6" xfId="17701"/>
    <cellStyle name="40% - Accent1 6 5" xfId="17702"/>
    <cellStyle name="40% - Accent1 6 5 2" xfId="17703"/>
    <cellStyle name="40% - Accent1 6 5 2 2" xfId="17704"/>
    <cellStyle name="40% - Accent1 6 5 2 2 2" xfId="17705"/>
    <cellStyle name="40% - Accent1 6 5 2 2 2 2" xfId="17706"/>
    <cellStyle name="40% - Accent1 6 5 2 2 3" xfId="17707"/>
    <cellStyle name="40% - Accent1 6 5 2 3" xfId="17708"/>
    <cellStyle name="40% - Accent1 6 5 2 3 2" xfId="17709"/>
    <cellStyle name="40% - Accent1 6 5 2 4" xfId="17710"/>
    <cellStyle name="40% - Accent1 6 5 3" xfId="17711"/>
    <cellStyle name="40% - Accent1 6 5 3 2" xfId="17712"/>
    <cellStyle name="40% - Accent1 6 5 3 2 2" xfId="17713"/>
    <cellStyle name="40% - Accent1 6 5 3 3" xfId="17714"/>
    <cellStyle name="40% - Accent1 6 5 4" xfId="17715"/>
    <cellStyle name="40% - Accent1 6 5 4 2" xfId="17716"/>
    <cellStyle name="40% - Accent1 6 5 5" xfId="17717"/>
    <cellStyle name="40% - Accent1 6 5 5 2" xfId="17718"/>
    <cellStyle name="40% - Accent1 6 5 6" xfId="17719"/>
    <cellStyle name="40% - Accent1 6 6" xfId="17720"/>
    <cellStyle name="40% - Accent1 6 6 2" xfId="17721"/>
    <cellStyle name="40% - Accent1 6 6 2 2" xfId="17722"/>
    <cellStyle name="40% - Accent1 6 6 2 2 2" xfId="17723"/>
    <cellStyle name="40% - Accent1 6 6 2 2 2 2" xfId="17724"/>
    <cellStyle name="40% - Accent1 6 6 2 2 3" xfId="17725"/>
    <cellStyle name="40% - Accent1 6 6 2 3" xfId="17726"/>
    <cellStyle name="40% - Accent1 6 6 2 3 2" xfId="17727"/>
    <cellStyle name="40% - Accent1 6 6 2 4" xfId="17728"/>
    <cellStyle name="40% - Accent1 6 6 3" xfId="17729"/>
    <cellStyle name="40% - Accent1 6 6 3 2" xfId="17730"/>
    <cellStyle name="40% - Accent1 6 6 3 2 2" xfId="17731"/>
    <cellStyle name="40% - Accent1 6 6 3 3" xfId="17732"/>
    <cellStyle name="40% - Accent1 6 6 4" xfId="17733"/>
    <cellStyle name="40% - Accent1 6 6 4 2" xfId="17734"/>
    <cellStyle name="40% - Accent1 6 6 5" xfId="17735"/>
    <cellStyle name="40% - Accent1 6 6 5 2" xfId="17736"/>
    <cellStyle name="40% - Accent1 6 6 6" xfId="17737"/>
    <cellStyle name="40% - Accent1 6 7" xfId="17738"/>
    <cellStyle name="40% - Accent1 6 7 2" xfId="17739"/>
    <cellStyle name="40% - Accent1 6 7 2 2" xfId="17740"/>
    <cellStyle name="40% - Accent1 6 7 2 2 2" xfId="17741"/>
    <cellStyle name="40% - Accent1 6 7 2 3" xfId="17742"/>
    <cellStyle name="40% - Accent1 6 7 3" xfId="17743"/>
    <cellStyle name="40% - Accent1 6 7 3 2" xfId="17744"/>
    <cellStyle name="40% - Accent1 6 7 4" xfId="17745"/>
    <cellStyle name="40% - Accent1 6 8" xfId="17746"/>
    <cellStyle name="40% - Accent1 6 8 2" xfId="17747"/>
    <cellStyle name="40% - Accent1 6 8 2 2" xfId="17748"/>
    <cellStyle name="40% - Accent1 6 8 3" xfId="17749"/>
    <cellStyle name="40% - Accent1 6 9" xfId="17750"/>
    <cellStyle name="40% - Accent1 6 9 2" xfId="17751"/>
    <cellStyle name="40% - Accent1 7" xfId="17752"/>
    <cellStyle name="40% - Accent1 7 2" xfId="17753"/>
    <cellStyle name="40% - Accent1 7 2 2" xfId="17754"/>
    <cellStyle name="40% - Accent1 7 2 2 2" xfId="17755"/>
    <cellStyle name="40% - Accent1 7 2 2 2 2" xfId="17756"/>
    <cellStyle name="40% - Accent1 7 2 2 2 2 2" xfId="17757"/>
    <cellStyle name="40% - Accent1 7 2 2 2 3" xfId="17758"/>
    <cellStyle name="40% - Accent1 7 2 2 3" xfId="17759"/>
    <cellStyle name="40% - Accent1 7 2 2 3 2" xfId="17760"/>
    <cellStyle name="40% - Accent1 7 2 2 4" xfId="17761"/>
    <cellStyle name="40% - Accent1 7 2 3" xfId="17762"/>
    <cellStyle name="40% - Accent1 7 2 3 2" xfId="17763"/>
    <cellStyle name="40% - Accent1 7 2 3 2 2" xfId="17764"/>
    <cellStyle name="40% - Accent1 7 2 3 3" xfId="17765"/>
    <cellStyle name="40% - Accent1 7 2 4" xfId="17766"/>
    <cellStyle name="40% - Accent1 7 2 4 2" xfId="17767"/>
    <cellStyle name="40% - Accent1 7 2 5" xfId="17768"/>
    <cellStyle name="40% - Accent1 7 2 5 2" xfId="17769"/>
    <cellStyle name="40% - Accent1 7 2 6" xfId="17770"/>
    <cellStyle name="40% - Accent1 7 3" xfId="17771"/>
    <cellStyle name="40% - Accent1 7 3 2" xfId="17772"/>
    <cellStyle name="40% - Accent1 7 3 2 2" xfId="17773"/>
    <cellStyle name="40% - Accent1 7 3 2 2 2" xfId="17774"/>
    <cellStyle name="40% - Accent1 7 3 2 2 2 2" xfId="17775"/>
    <cellStyle name="40% - Accent1 7 3 2 2 3" xfId="17776"/>
    <cellStyle name="40% - Accent1 7 3 2 3" xfId="17777"/>
    <cellStyle name="40% - Accent1 7 3 2 3 2" xfId="17778"/>
    <cellStyle name="40% - Accent1 7 3 2 4" xfId="17779"/>
    <cellStyle name="40% - Accent1 7 3 3" xfId="17780"/>
    <cellStyle name="40% - Accent1 7 3 3 2" xfId="17781"/>
    <cellStyle name="40% - Accent1 7 3 3 2 2" xfId="17782"/>
    <cellStyle name="40% - Accent1 7 3 3 3" xfId="17783"/>
    <cellStyle name="40% - Accent1 7 3 4" xfId="17784"/>
    <cellStyle name="40% - Accent1 7 3 4 2" xfId="17785"/>
    <cellStyle name="40% - Accent1 7 3 5" xfId="17786"/>
    <cellStyle name="40% - Accent1 7 3 5 2" xfId="17787"/>
    <cellStyle name="40% - Accent1 7 3 6" xfId="17788"/>
    <cellStyle name="40% - Accent1 7 4" xfId="17789"/>
    <cellStyle name="40% - Accent1 7 4 2" xfId="17790"/>
    <cellStyle name="40% - Accent1 7 4 2 2" xfId="17791"/>
    <cellStyle name="40% - Accent1 7 4 2 2 2" xfId="17792"/>
    <cellStyle name="40% - Accent1 7 4 2 3" xfId="17793"/>
    <cellStyle name="40% - Accent1 7 4 3" xfId="17794"/>
    <cellStyle name="40% - Accent1 7 4 3 2" xfId="17795"/>
    <cellStyle name="40% - Accent1 7 4 4" xfId="17796"/>
    <cellStyle name="40% - Accent1 7 5" xfId="17797"/>
    <cellStyle name="40% - Accent1 7 5 2" xfId="17798"/>
    <cellStyle name="40% - Accent1 7 5 2 2" xfId="17799"/>
    <cellStyle name="40% - Accent1 7 5 3" xfId="17800"/>
    <cellStyle name="40% - Accent1 7 6" xfId="17801"/>
    <cellStyle name="40% - Accent1 7 6 2" xfId="17802"/>
    <cellStyle name="40% - Accent1 7 7" xfId="17803"/>
    <cellStyle name="40% - Accent1 7 7 2" xfId="17804"/>
    <cellStyle name="40% - Accent1 7 8" xfId="17805"/>
    <cellStyle name="40% - Accent1 8" xfId="17806"/>
    <cellStyle name="40% - Accent1 8 2" xfId="17807"/>
    <cellStyle name="40% - Accent1 8 2 2" xfId="17808"/>
    <cellStyle name="40% - Accent1 8 2 2 2" xfId="17809"/>
    <cellStyle name="40% - Accent1 8 2 2 2 2" xfId="17810"/>
    <cellStyle name="40% - Accent1 8 2 2 2 2 2" xfId="17811"/>
    <cellStyle name="40% - Accent1 8 2 2 2 3" xfId="17812"/>
    <cellStyle name="40% - Accent1 8 2 2 3" xfId="17813"/>
    <cellStyle name="40% - Accent1 8 2 2 3 2" xfId="17814"/>
    <cellStyle name="40% - Accent1 8 2 2 4" xfId="17815"/>
    <cellStyle name="40% - Accent1 8 2 3" xfId="17816"/>
    <cellStyle name="40% - Accent1 8 2 3 2" xfId="17817"/>
    <cellStyle name="40% - Accent1 8 2 3 2 2" xfId="17818"/>
    <cellStyle name="40% - Accent1 8 2 3 3" xfId="17819"/>
    <cellStyle name="40% - Accent1 8 2 4" xfId="17820"/>
    <cellStyle name="40% - Accent1 8 2 4 2" xfId="17821"/>
    <cellStyle name="40% - Accent1 8 2 5" xfId="17822"/>
    <cellStyle name="40% - Accent1 8 2 5 2" xfId="17823"/>
    <cellStyle name="40% - Accent1 8 2 6" xfId="17824"/>
    <cellStyle name="40% - Accent1 8 3" xfId="17825"/>
    <cellStyle name="40% - Accent1 8 3 2" xfId="17826"/>
    <cellStyle name="40% - Accent1 8 3 2 2" xfId="17827"/>
    <cellStyle name="40% - Accent1 8 3 2 2 2" xfId="17828"/>
    <cellStyle name="40% - Accent1 8 3 2 2 2 2" xfId="17829"/>
    <cellStyle name="40% - Accent1 8 3 2 2 3" xfId="17830"/>
    <cellStyle name="40% - Accent1 8 3 2 3" xfId="17831"/>
    <cellStyle name="40% - Accent1 8 3 2 3 2" xfId="17832"/>
    <cellStyle name="40% - Accent1 8 3 2 4" xfId="17833"/>
    <cellStyle name="40% - Accent1 8 3 3" xfId="17834"/>
    <cellStyle name="40% - Accent1 8 3 3 2" xfId="17835"/>
    <cellStyle name="40% - Accent1 8 3 3 2 2" xfId="17836"/>
    <cellStyle name="40% - Accent1 8 3 3 3" xfId="17837"/>
    <cellStyle name="40% - Accent1 8 3 4" xfId="17838"/>
    <cellStyle name="40% - Accent1 8 3 4 2" xfId="17839"/>
    <cellStyle name="40% - Accent1 8 3 5" xfId="17840"/>
    <cellStyle name="40% - Accent1 8 3 5 2" xfId="17841"/>
    <cellStyle name="40% - Accent1 8 3 6" xfId="17842"/>
    <cellStyle name="40% - Accent1 8 4" xfId="17843"/>
    <cellStyle name="40% - Accent1 8 4 2" xfId="17844"/>
    <cellStyle name="40% - Accent1 8 4 2 2" xfId="17845"/>
    <cellStyle name="40% - Accent1 8 4 2 2 2" xfId="17846"/>
    <cellStyle name="40% - Accent1 8 4 2 3" xfId="17847"/>
    <cellStyle name="40% - Accent1 8 4 3" xfId="17848"/>
    <cellStyle name="40% - Accent1 8 4 3 2" xfId="17849"/>
    <cellStyle name="40% - Accent1 8 4 4" xfId="17850"/>
    <cellStyle name="40% - Accent1 8 5" xfId="17851"/>
    <cellStyle name="40% - Accent1 8 5 2" xfId="17852"/>
    <cellStyle name="40% - Accent1 8 5 2 2" xfId="17853"/>
    <cellStyle name="40% - Accent1 8 5 3" xfId="17854"/>
    <cellStyle name="40% - Accent1 8 6" xfId="17855"/>
    <cellStyle name="40% - Accent1 8 6 2" xfId="17856"/>
    <cellStyle name="40% - Accent1 8 7" xfId="17857"/>
    <cellStyle name="40% - Accent1 8 7 2" xfId="17858"/>
    <cellStyle name="40% - Accent1 8 8" xfId="17859"/>
    <cellStyle name="40% - Accent1 9" xfId="17860"/>
    <cellStyle name="40% - Accent1 9 2" xfId="17861"/>
    <cellStyle name="40% - Accent1 9 2 2" xfId="17862"/>
    <cellStyle name="40% - Accent1 9 2 2 2" xfId="17863"/>
    <cellStyle name="40% - Accent1 9 2 2 2 2" xfId="17864"/>
    <cellStyle name="40% - Accent1 9 2 2 3" xfId="17865"/>
    <cellStyle name="40% - Accent1 9 2 3" xfId="17866"/>
    <cellStyle name="40% - Accent1 9 2 3 2" xfId="17867"/>
    <cellStyle name="40% - Accent1 9 2 4" xfId="17868"/>
    <cellStyle name="40% - Accent1 9 3" xfId="17869"/>
    <cellStyle name="40% - Accent1 9 3 2" xfId="17870"/>
    <cellStyle name="40% - Accent1 9 3 2 2" xfId="17871"/>
    <cellStyle name="40% - Accent1 9 3 3" xfId="17872"/>
    <cellStyle name="40% - Accent1 9 4" xfId="17873"/>
    <cellStyle name="40% - Accent1 9 4 2" xfId="17874"/>
    <cellStyle name="40% - Accent1 9 5" xfId="17875"/>
    <cellStyle name="40% - Accent1 9 5 2" xfId="17876"/>
    <cellStyle name="40% - Accent1 9 6" xfId="17877"/>
    <cellStyle name="40% - Accent2 10" xfId="17878"/>
    <cellStyle name="40% - Accent2 10 2" xfId="17879"/>
    <cellStyle name="40% - Accent2 10 2 2" xfId="17880"/>
    <cellStyle name="40% - Accent2 10 2 2 2" xfId="17881"/>
    <cellStyle name="40% - Accent2 10 2 2 2 2" xfId="17882"/>
    <cellStyle name="40% - Accent2 10 2 2 3" xfId="17883"/>
    <cellStyle name="40% - Accent2 10 2 3" xfId="17884"/>
    <cellStyle name="40% - Accent2 10 2 3 2" xfId="17885"/>
    <cellStyle name="40% - Accent2 10 2 4" xfId="17886"/>
    <cellStyle name="40% - Accent2 10 3" xfId="17887"/>
    <cellStyle name="40% - Accent2 10 3 2" xfId="17888"/>
    <cellStyle name="40% - Accent2 10 3 2 2" xfId="17889"/>
    <cellStyle name="40% - Accent2 10 3 3" xfId="17890"/>
    <cellStyle name="40% - Accent2 10 4" xfId="17891"/>
    <cellStyle name="40% - Accent2 10 4 2" xfId="17892"/>
    <cellStyle name="40% - Accent2 10 5" xfId="17893"/>
    <cellStyle name="40% - Accent2 10 5 2" xfId="17894"/>
    <cellStyle name="40% - Accent2 10 6" xfId="17895"/>
    <cellStyle name="40% - Accent2 11" xfId="17896"/>
    <cellStyle name="40% - Accent2 11 2" xfId="17897"/>
    <cellStyle name="40% - Accent2 11 2 2" xfId="17898"/>
    <cellStyle name="40% - Accent2 11 2 2 2" xfId="17899"/>
    <cellStyle name="40% - Accent2 11 2 2 2 2" xfId="17900"/>
    <cellStyle name="40% - Accent2 11 2 2 3" xfId="17901"/>
    <cellStyle name="40% - Accent2 11 2 3" xfId="17902"/>
    <cellStyle name="40% - Accent2 11 2 3 2" xfId="17903"/>
    <cellStyle name="40% - Accent2 11 2 4" xfId="17904"/>
    <cellStyle name="40% - Accent2 11 3" xfId="17905"/>
    <cellStyle name="40% - Accent2 11 3 2" xfId="17906"/>
    <cellStyle name="40% - Accent2 11 3 2 2" xfId="17907"/>
    <cellStyle name="40% - Accent2 11 3 3" xfId="17908"/>
    <cellStyle name="40% - Accent2 11 4" xfId="17909"/>
    <cellStyle name="40% - Accent2 11 4 2" xfId="17910"/>
    <cellStyle name="40% - Accent2 11 5" xfId="17911"/>
    <cellStyle name="40% - Accent2 11 5 2" xfId="17912"/>
    <cellStyle name="40% - Accent2 11 6" xfId="17913"/>
    <cellStyle name="40% - Accent2 12" xfId="17914"/>
    <cellStyle name="40% - Accent2 12 2" xfId="17915"/>
    <cellStyle name="40% - Accent2 12 2 2" xfId="17916"/>
    <cellStyle name="40% - Accent2 12 2 2 2" xfId="17917"/>
    <cellStyle name="40% - Accent2 12 2 2 2 2" xfId="17918"/>
    <cellStyle name="40% - Accent2 12 2 2 3" xfId="17919"/>
    <cellStyle name="40% - Accent2 12 2 3" xfId="17920"/>
    <cellStyle name="40% - Accent2 12 2 3 2" xfId="17921"/>
    <cellStyle name="40% - Accent2 12 2 4" xfId="17922"/>
    <cellStyle name="40% - Accent2 12 3" xfId="17923"/>
    <cellStyle name="40% - Accent2 12 3 2" xfId="17924"/>
    <cellStyle name="40% - Accent2 12 3 2 2" xfId="17925"/>
    <cellStyle name="40% - Accent2 12 3 3" xfId="17926"/>
    <cellStyle name="40% - Accent2 12 4" xfId="17927"/>
    <cellStyle name="40% - Accent2 12 4 2" xfId="17928"/>
    <cellStyle name="40% - Accent2 12 5" xfId="17929"/>
    <cellStyle name="40% - Accent2 12 5 2" xfId="17930"/>
    <cellStyle name="40% - Accent2 12 6" xfId="17931"/>
    <cellStyle name="40% - Accent2 13" xfId="17932"/>
    <cellStyle name="40% - Accent2 13 2" xfId="17933"/>
    <cellStyle name="40% - Accent2 13 2 2" xfId="17934"/>
    <cellStyle name="40% - Accent2 13 2 2 2" xfId="17935"/>
    <cellStyle name="40% - Accent2 13 2 2 2 2" xfId="17936"/>
    <cellStyle name="40% - Accent2 13 2 2 3" xfId="17937"/>
    <cellStyle name="40% - Accent2 13 2 3" xfId="17938"/>
    <cellStyle name="40% - Accent2 13 2 3 2" xfId="17939"/>
    <cellStyle name="40% - Accent2 13 2 4" xfId="17940"/>
    <cellStyle name="40% - Accent2 13 3" xfId="17941"/>
    <cellStyle name="40% - Accent2 13 3 2" xfId="17942"/>
    <cellStyle name="40% - Accent2 13 3 2 2" xfId="17943"/>
    <cellStyle name="40% - Accent2 13 3 3" xfId="17944"/>
    <cellStyle name="40% - Accent2 13 4" xfId="17945"/>
    <cellStyle name="40% - Accent2 13 4 2" xfId="17946"/>
    <cellStyle name="40% - Accent2 13 5" xfId="17947"/>
    <cellStyle name="40% - Accent2 13 5 2" xfId="17948"/>
    <cellStyle name="40% - Accent2 13 6" xfId="17949"/>
    <cellStyle name="40% - Accent2 14" xfId="17950"/>
    <cellStyle name="40% - Accent2 14 2" xfId="17951"/>
    <cellStyle name="40% - Accent2 14 2 2" xfId="17952"/>
    <cellStyle name="40% - Accent2 14 2 2 2" xfId="17953"/>
    <cellStyle name="40% - Accent2 14 2 3" xfId="17954"/>
    <cellStyle name="40% - Accent2 14 3" xfId="17955"/>
    <cellStyle name="40% - Accent2 14 3 2" xfId="17956"/>
    <cellStyle name="40% - Accent2 14 4" xfId="17957"/>
    <cellStyle name="40% - Accent2 15" xfId="17958"/>
    <cellStyle name="40% - Accent2 15 2" xfId="17959"/>
    <cellStyle name="40% - Accent2 15 2 2" xfId="17960"/>
    <cellStyle name="40% - Accent2 15 3" xfId="17961"/>
    <cellStyle name="40% - Accent2 16" xfId="17962"/>
    <cellStyle name="40% - Accent2 16 2" xfId="17963"/>
    <cellStyle name="40% - Accent2 17" xfId="17964"/>
    <cellStyle name="40% - Accent2 17 2" xfId="17965"/>
    <cellStyle name="40% - Accent2 18" xfId="17966"/>
    <cellStyle name="40% - Accent2 2" xfId="17967"/>
    <cellStyle name="40% - Accent2 2 2" xfId="17968"/>
    <cellStyle name="40% - Accent2 3" xfId="17969"/>
    <cellStyle name="40% - Accent2 3 10" xfId="17970"/>
    <cellStyle name="40% - Accent2 3 10 2" xfId="17971"/>
    <cellStyle name="40% - Accent2 3 10 2 2" xfId="17972"/>
    <cellStyle name="40% - Accent2 3 10 2 2 2" xfId="17973"/>
    <cellStyle name="40% - Accent2 3 10 2 2 2 2" xfId="17974"/>
    <cellStyle name="40% - Accent2 3 10 2 2 3" xfId="17975"/>
    <cellStyle name="40% - Accent2 3 10 2 3" xfId="17976"/>
    <cellStyle name="40% - Accent2 3 10 2 3 2" xfId="17977"/>
    <cellStyle name="40% - Accent2 3 10 2 4" xfId="17978"/>
    <cellStyle name="40% - Accent2 3 10 3" xfId="17979"/>
    <cellStyle name="40% - Accent2 3 10 3 2" xfId="17980"/>
    <cellStyle name="40% - Accent2 3 10 3 2 2" xfId="17981"/>
    <cellStyle name="40% - Accent2 3 10 3 3" xfId="17982"/>
    <cellStyle name="40% - Accent2 3 10 4" xfId="17983"/>
    <cellStyle name="40% - Accent2 3 10 4 2" xfId="17984"/>
    <cellStyle name="40% - Accent2 3 10 5" xfId="17985"/>
    <cellStyle name="40% - Accent2 3 10 5 2" xfId="17986"/>
    <cellStyle name="40% - Accent2 3 10 6" xfId="17987"/>
    <cellStyle name="40% - Accent2 3 11" xfId="17988"/>
    <cellStyle name="40% - Accent2 3 11 2" xfId="17989"/>
    <cellStyle name="40% - Accent2 3 11 2 2" xfId="17990"/>
    <cellStyle name="40% - Accent2 3 11 2 2 2" xfId="17991"/>
    <cellStyle name="40% - Accent2 3 11 2 2 2 2" xfId="17992"/>
    <cellStyle name="40% - Accent2 3 11 2 2 3" xfId="17993"/>
    <cellStyle name="40% - Accent2 3 11 2 3" xfId="17994"/>
    <cellStyle name="40% - Accent2 3 11 2 3 2" xfId="17995"/>
    <cellStyle name="40% - Accent2 3 11 2 4" xfId="17996"/>
    <cellStyle name="40% - Accent2 3 11 3" xfId="17997"/>
    <cellStyle name="40% - Accent2 3 11 3 2" xfId="17998"/>
    <cellStyle name="40% - Accent2 3 11 3 2 2" xfId="17999"/>
    <cellStyle name="40% - Accent2 3 11 3 3" xfId="18000"/>
    <cellStyle name="40% - Accent2 3 11 4" xfId="18001"/>
    <cellStyle name="40% - Accent2 3 11 4 2" xfId="18002"/>
    <cellStyle name="40% - Accent2 3 11 5" xfId="18003"/>
    <cellStyle name="40% - Accent2 3 11 5 2" xfId="18004"/>
    <cellStyle name="40% - Accent2 3 11 6" xfId="18005"/>
    <cellStyle name="40% - Accent2 3 12" xfId="18006"/>
    <cellStyle name="40% - Accent2 3 12 2" xfId="18007"/>
    <cellStyle name="40% - Accent2 3 12 2 2" xfId="18008"/>
    <cellStyle name="40% - Accent2 3 12 2 2 2" xfId="18009"/>
    <cellStyle name="40% - Accent2 3 12 2 3" xfId="18010"/>
    <cellStyle name="40% - Accent2 3 12 3" xfId="18011"/>
    <cellStyle name="40% - Accent2 3 12 3 2" xfId="18012"/>
    <cellStyle name="40% - Accent2 3 12 4" xfId="18013"/>
    <cellStyle name="40% - Accent2 3 13" xfId="18014"/>
    <cellStyle name="40% - Accent2 3 13 2" xfId="18015"/>
    <cellStyle name="40% - Accent2 3 13 2 2" xfId="18016"/>
    <cellStyle name="40% - Accent2 3 13 3" xfId="18017"/>
    <cellStyle name="40% - Accent2 3 13 4" xfId="18018"/>
    <cellStyle name="40% - Accent2 3 14" xfId="18019"/>
    <cellStyle name="40% - Accent2 3 14 2" xfId="18020"/>
    <cellStyle name="40% - Accent2 3 15" xfId="18021"/>
    <cellStyle name="40% - Accent2 3 15 2" xfId="18022"/>
    <cellStyle name="40% - Accent2 3 16" xfId="18023"/>
    <cellStyle name="40% - Accent2 3 2" xfId="18024"/>
    <cellStyle name="40% - Accent2 3 2 10" xfId="18025"/>
    <cellStyle name="40% - Accent2 3 2 10 2" xfId="18026"/>
    <cellStyle name="40% - Accent2 3 2 10 2 2" xfId="18027"/>
    <cellStyle name="40% - Accent2 3 2 10 2 2 2" xfId="18028"/>
    <cellStyle name="40% - Accent2 3 2 10 2 2 2 2" xfId="18029"/>
    <cellStyle name="40% - Accent2 3 2 10 2 2 3" xfId="18030"/>
    <cellStyle name="40% - Accent2 3 2 10 2 3" xfId="18031"/>
    <cellStyle name="40% - Accent2 3 2 10 2 3 2" xfId="18032"/>
    <cellStyle name="40% - Accent2 3 2 10 2 4" xfId="18033"/>
    <cellStyle name="40% - Accent2 3 2 10 3" xfId="18034"/>
    <cellStyle name="40% - Accent2 3 2 10 3 2" xfId="18035"/>
    <cellStyle name="40% - Accent2 3 2 10 3 2 2" xfId="18036"/>
    <cellStyle name="40% - Accent2 3 2 10 3 3" xfId="18037"/>
    <cellStyle name="40% - Accent2 3 2 10 4" xfId="18038"/>
    <cellStyle name="40% - Accent2 3 2 10 4 2" xfId="18039"/>
    <cellStyle name="40% - Accent2 3 2 10 5" xfId="18040"/>
    <cellStyle name="40% - Accent2 3 2 10 5 2" xfId="18041"/>
    <cellStyle name="40% - Accent2 3 2 10 6" xfId="18042"/>
    <cellStyle name="40% - Accent2 3 2 11" xfId="18043"/>
    <cellStyle name="40% - Accent2 3 2 11 2" xfId="18044"/>
    <cellStyle name="40% - Accent2 3 2 11 2 2" xfId="18045"/>
    <cellStyle name="40% - Accent2 3 2 11 2 2 2" xfId="18046"/>
    <cellStyle name="40% - Accent2 3 2 11 2 3" xfId="18047"/>
    <cellStyle name="40% - Accent2 3 2 11 3" xfId="18048"/>
    <cellStyle name="40% - Accent2 3 2 11 3 2" xfId="18049"/>
    <cellStyle name="40% - Accent2 3 2 11 4" xfId="18050"/>
    <cellStyle name="40% - Accent2 3 2 12" xfId="18051"/>
    <cellStyle name="40% - Accent2 3 2 12 2" xfId="18052"/>
    <cellStyle name="40% - Accent2 3 2 12 2 2" xfId="18053"/>
    <cellStyle name="40% - Accent2 3 2 12 3" xfId="18054"/>
    <cellStyle name="40% - Accent2 3 2 13" xfId="18055"/>
    <cellStyle name="40% - Accent2 3 2 13 2" xfId="18056"/>
    <cellStyle name="40% - Accent2 3 2 14" xfId="18057"/>
    <cellStyle name="40% - Accent2 3 2 14 2" xfId="18058"/>
    <cellStyle name="40% - Accent2 3 2 15" xfId="18059"/>
    <cellStyle name="40% - Accent2 3 2 2" xfId="18060"/>
    <cellStyle name="40% - Accent2 3 2 2 10" xfId="18061"/>
    <cellStyle name="40% - Accent2 3 2 2 10 2" xfId="18062"/>
    <cellStyle name="40% - Accent2 3 2 2 11" xfId="18063"/>
    <cellStyle name="40% - Accent2 3 2 2 2" xfId="18064"/>
    <cellStyle name="40% - Accent2 3 2 2 2 2" xfId="18065"/>
    <cellStyle name="40% - Accent2 3 2 2 2 2 2" xfId="18066"/>
    <cellStyle name="40% - Accent2 3 2 2 2 2 2 2" xfId="18067"/>
    <cellStyle name="40% - Accent2 3 2 2 2 2 2 2 2" xfId="18068"/>
    <cellStyle name="40% - Accent2 3 2 2 2 2 2 2 2 2" xfId="18069"/>
    <cellStyle name="40% - Accent2 3 2 2 2 2 2 2 3" xfId="18070"/>
    <cellStyle name="40% - Accent2 3 2 2 2 2 2 3" xfId="18071"/>
    <cellStyle name="40% - Accent2 3 2 2 2 2 2 3 2" xfId="18072"/>
    <cellStyle name="40% - Accent2 3 2 2 2 2 2 4" xfId="18073"/>
    <cellStyle name="40% - Accent2 3 2 2 2 2 3" xfId="18074"/>
    <cellStyle name="40% - Accent2 3 2 2 2 2 3 2" xfId="18075"/>
    <cellStyle name="40% - Accent2 3 2 2 2 2 3 2 2" xfId="18076"/>
    <cellStyle name="40% - Accent2 3 2 2 2 2 3 3" xfId="18077"/>
    <cellStyle name="40% - Accent2 3 2 2 2 2 4" xfId="18078"/>
    <cellStyle name="40% - Accent2 3 2 2 2 2 4 2" xfId="18079"/>
    <cellStyle name="40% - Accent2 3 2 2 2 2 5" xfId="18080"/>
    <cellStyle name="40% - Accent2 3 2 2 2 2 5 2" xfId="18081"/>
    <cellStyle name="40% - Accent2 3 2 2 2 2 6" xfId="18082"/>
    <cellStyle name="40% - Accent2 3 2 2 2 3" xfId="18083"/>
    <cellStyle name="40% - Accent2 3 2 2 2 3 2" xfId="18084"/>
    <cellStyle name="40% - Accent2 3 2 2 2 3 2 2" xfId="18085"/>
    <cellStyle name="40% - Accent2 3 2 2 2 3 2 2 2" xfId="18086"/>
    <cellStyle name="40% - Accent2 3 2 2 2 3 2 2 2 2" xfId="18087"/>
    <cellStyle name="40% - Accent2 3 2 2 2 3 2 2 3" xfId="18088"/>
    <cellStyle name="40% - Accent2 3 2 2 2 3 2 3" xfId="18089"/>
    <cellStyle name="40% - Accent2 3 2 2 2 3 2 3 2" xfId="18090"/>
    <cellStyle name="40% - Accent2 3 2 2 2 3 2 4" xfId="18091"/>
    <cellStyle name="40% - Accent2 3 2 2 2 3 3" xfId="18092"/>
    <cellStyle name="40% - Accent2 3 2 2 2 3 3 2" xfId="18093"/>
    <cellStyle name="40% - Accent2 3 2 2 2 3 3 2 2" xfId="18094"/>
    <cellStyle name="40% - Accent2 3 2 2 2 3 3 3" xfId="18095"/>
    <cellStyle name="40% - Accent2 3 2 2 2 3 4" xfId="18096"/>
    <cellStyle name="40% - Accent2 3 2 2 2 3 4 2" xfId="18097"/>
    <cellStyle name="40% - Accent2 3 2 2 2 3 5" xfId="18098"/>
    <cellStyle name="40% - Accent2 3 2 2 2 3 5 2" xfId="18099"/>
    <cellStyle name="40% - Accent2 3 2 2 2 3 6" xfId="18100"/>
    <cellStyle name="40% - Accent2 3 2 2 2 4" xfId="18101"/>
    <cellStyle name="40% - Accent2 3 2 2 2 4 2" xfId="18102"/>
    <cellStyle name="40% - Accent2 3 2 2 2 4 2 2" xfId="18103"/>
    <cellStyle name="40% - Accent2 3 2 2 2 4 2 2 2" xfId="18104"/>
    <cellStyle name="40% - Accent2 3 2 2 2 4 2 3" xfId="18105"/>
    <cellStyle name="40% - Accent2 3 2 2 2 4 3" xfId="18106"/>
    <cellStyle name="40% - Accent2 3 2 2 2 4 3 2" xfId="18107"/>
    <cellStyle name="40% - Accent2 3 2 2 2 4 4" xfId="18108"/>
    <cellStyle name="40% - Accent2 3 2 2 2 5" xfId="18109"/>
    <cellStyle name="40% - Accent2 3 2 2 2 5 2" xfId="18110"/>
    <cellStyle name="40% - Accent2 3 2 2 2 5 2 2" xfId="18111"/>
    <cellStyle name="40% - Accent2 3 2 2 2 5 3" xfId="18112"/>
    <cellStyle name="40% - Accent2 3 2 2 2 6" xfId="18113"/>
    <cellStyle name="40% - Accent2 3 2 2 2 6 2" xfId="18114"/>
    <cellStyle name="40% - Accent2 3 2 2 2 7" xfId="18115"/>
    <cellStyle name="40% - Accent2 3 2 2 2 7 2" xfId="18116"/>
    <cellStyle name="40% - Accent2 3 2 2 2 8" xfId="18117"/>
    <cellStyle name="40% - Accent2 3 2 2 3" xfId="18118"/>
    <cellStyle name="40% - Accent2 3 2 2 3 2" xfId="18119"/>
    <cellStyle name="40% - Accent2 3 2 2 3 2 2" xfId="18120"/>
    <cellStyle name="40% - Accent2 3 2 2 3 2 2 2" xfId="18121"/>
    <cellStyle name="40% - Accent2 3 2 2 3 2 2 2 2" xfId="18122"/>
    <cellStyle name="40% - Accent2 3 2 2 3 2 2 2 2 2" xfId="18123"/>
    <cellStyle name="40% - Accent2 3 2 2 3 2 2 2 3" xfId="18124"/>
    <cellStyle name="40% - Accent2 3 2 2 3 2 2 3" xfId="18125"/>
    <cellStyle name="40% - Accent2 3 2 2 3 2 2 3 2" xfId="18126"/>
    <cellStyle name="40% - Accent2 3 2 2 3 2 2 4" xfId="18127"/>
    <cellStyle name="40% - Accent2 3 2 2 3 2 3" xfId="18128"/>
    <cellStyle name="40% - Accent2 3 2 2 3 2 3 2" xfId="18129"/>
    <cellStyle name="40% - Accent2 3 2 2 3 2 3 2 2" xfId="18130"/>
    <cellStyle name="40% - Accent2 3 2 2 3 2 3 3" xfId="18131"/>
    <cellStyle name="40% - Accent2 3 2 2 3 2 4" xfId="18132"/>
    <cellStyle name="40% - Accent2 3 2 2 3 2 4 2" xfId="18133"/>
    <cellStyle name="40% - Accent2 3 2 2 3 2 5" xfId="18134"/>
    <cellStyle name="40% - Accent2 3 2 2 3 2 5 2" xfId="18135"/>
    <cellStyle name="40% - Accent2 3 2 2 3 2 6" xfId="18136"/>
    <cellStyle name="40% - Accent2 3 2 2 3 3" xfId="18137"/>
    <cellStyle name="40% - Accent2 3 2 2 3 3 2" xfId="18138"/>
    <cellStyle name="40% - Accent2 3 2 2 3 3 2 2" xfId="18139"/>
    <cellStyle name="40% - Accent2 3 2 2 3 3 2 2 2" xfId="18140"/>
    <cellStyle name="40% - Accent2 3 2 2 3 3 2 2 2 2" xfId="18141"/>
    <cellStyle name="40% - Accent2 3 2 2 3 3 2 2 3" xfId="18142"/>
    <cellStyle name="40% - Accent2 3 2 2 3 3 2 3" xfId="18143"/>
    <cellStyle name="40% - Accent2 3 2 2 3 3 2 3 2" xfId="18144"/>
    <cellStyle name="40% - Accent2 3 2 2 3 3 2 4" xfId="18145"/>
    <cellStyle name="40% - Accent2 3 2 2 3 3 3" xfId="18146"/>
    <cellStyle name="40% - Accent2 3 2 2 3 3 3 2" xfId="18147"/>
    <cellStyle name="40% - Accent2 3 2 2 3 3 3 2 2" xfId="18148"/>
    <cellStyle name="40% - Accent2 3 2 2 3 3 3 3" xfId="18149"/>
    <cellStyle name="40% - Accent2 3 2 2 3 3 4" xfId="18150"/>
    <cellStyle name="40% - Accent2 3 2 2 3 3 4 2" xfId="18151"/>
    <cellStyle name="40% - Accent2 3 2 2 3 3 5" xfId="18152"/>
    <cellStyle name="40% - Accent2 3 2 2 3 3 5 2" xfId="18153"/>
    <cellStyle name="40% - Accent2 3 2 2 3 3 6" xfId="18154"/>
    <cellStyle name="40% - Accent2 3 2 2 3 4" xfId="18155"/>
    <cellStyle name="40% - Accent2 3 2 2 3 4 2" xfId="18156"/>
    <cellStyle name="40% - Accent2 3 2 2 3 4 2 2" xfId="18157"/>
    <cellStyle name="40% - Accent2 3 2 2 3 4 2 2 2" xfId="18158"/>
    <cellStyle name="40% - Accent2 3 2 2 3 4 2 3" xfId="18159"/>
    <cellStyle name="40% - Accent2 3 2 2 3 4 3" xfId="18160"/>
    <cellStyle name="40% - Accent2 3 2 2 3 4 3 2" xfId="18161"/>
    <cellStyle name="40% - Accent2 3 2 2 3 4 4" xfId="18162"/>
    <cellStyle name="40% - Accent2 3 2 2 3 5" xfId="18163"/>
    <cellStyle name="40% - Accent2 3 2 2 3 5 2" xfId="18164"/>
    <cellStyle name="40% - Accent2 3 2 2 3 5 2 2" xfId="18165"/>
    <cellStyle name="40% - Accent2 3 2 2 3 5 3" xfId="18166"/>
    <cellStyle name="40% - Accent2 3 2 2 3 6" xfId="18167"/>
    <cellStyle name="40% - Accent2 3 2 2 3 6 2" xfId="18168"/>
    <cellStyle name="40% - Accent2 3 2 2 3 7" xfId="18169"/>
    <cellStyle name="40% - Accent2 3 2 2 3 7 2" xfId="18170"/>
    <cellStyle name="40% - Accent2 3 2 2 3 8" xfId="18171"/>
    <cellStyle name="40% - Accent2 3 2 2 4" xfId="18172"/>
    <cellStyle name="40% - Accent2 3 2 2 4 2" xfId="18173"/>
    <cellStyle name="40% - Accent2 3 2 2 4 2 2" xfId="18174"/>
    <cellStyle name="40% - Accent2 3 2 2 4 2 2 2" xfId="18175"/>
    <cellStyle name="40% - Accent2 3 2 2 4 2 2 2 2" xfId="18176"/>
    <cellStyle name="40% - Accent2 3 2 2 4 2 2 3" xfId="18177"/>
    <cellStyle name="40% - Accent2 3 2 2 4 2 3" xfId="18178"/>
    <cellStyle name="40% - Accent2 3 2 2 4 2 3 2" xfId="18179"/>
    <cellStyle name="40% - Accent2 3 2 2 4 2 4" xfId="18180"/>
    <cellStyle name="40% - Accent2 3 2 2 4 3" xfId="18181"/>
    <cellStyle name="40% - Accent2 3 2 2 4 3 2" xfId="18182"/>
    <cellStyle name="40% - Accent2 3 2 2 4 3 2 2" xfId="18183"/>
    <cellStyle name="40% - Accent2 3 2 2 4 3 3" xfId="18184"/>
    <cellStyle name="40% - Accent2 3 2 2 4 4" xfId="18185"/>
    <cellStyle name="40% - Accent2 3 2 2 4 4 2" xfId="18186"/>
    <cellStyle name="40% - Accent2 3 2 2 4 5" xfId="18187"/>
    <cellStyle name="40% - Accent2 3 2 2 4 5 2" xfId="18188"/>
    <cellStyle name="40% - Accent2 3 2 2 4 6" xfId="18189"/>
    <cellStyle name="40% - Accent2 3 2 2 5" xfId="18190"/>
    <cellStyle name="40% - Accent2 3 2 2 5 2" xfId="18191"/>
    <cellStyle name="40% - Accent2 3 2 2 5 2 2" xfId="18192"/>
    <cellStyle name="40% - Accent2 3 2 2 5 2 2 2" xfId="18193"/>
    <cellStyle name="40% - Accent2 3 2 2 5 2 2 2 2" xfId="18194"/>
    <cellStyle name="40% - Accent2 3 2 2 5 2 2 3" xfId="18195"/>
    <cellStyle name="40% - Accent2 3 2 2 5 2 3" xfId="18196"/>
    <cellStyle name="40% - Accent2 3 2 2 5 2 3 2" xfId="18197"/>
    <cellStyle name="40% - Accent2 3 2 2 5 2 4" xfId="18198"/>
    <cellStyle name="40% - Accent2 3 2 2 5 3" xfId="18199"/>
    <cellStyle name="40% - Accent2 3 2 2 5 3 2" xfId="18200"/>
    <cellStyle name="40% - Accent2 3 2 2 5 3 2 2" xfId="18201"/>
    <cellStyle name="40% - Accent2 3 2 2 5 3 3" xfId="18202"/>
    <cellStyle name="40% - Accent2 3 2 2 5 4" xfId="18203"/>
    <cellStyle name="40% - Accent2 3 2 2 5 4 2" xfId="18204"/>
    <cellStyle name="40% - Accent2 3 2 2 5 5" xfId="18205"/>
    <cellStyle name="40% - Accent2 3 2 2 5 5 2" xfId="18206"/>
    <cellStyle name="40% - Accent2 3 2 2 5 6" xfId="18207"/>
    <cellStyle name="40% - Accent2 3 2 2 6" xfId="18208"/>
    <cellStyle name="40% - Accent2 3 2 2 6 2" xfId="18209"/>
    <cellStyle name="40% - Accent2 3 2 2 6 2 2" xfId="18210"/>
    <cellStyle name="40% - Accent2 3 2 2 6 2 2 2" xfId="18211"/>
    <cellStyle name="40% - Accent2 3 2 2 6 2 2 2 2" xfId="18212"/>
    <cellStyle name="40% - Accent2 3 2 2 6 2 2 3" xfId="18213"/>
    <cellStyle name="40% - Accent2 3 2 2 6 2 3" xfId="18214"/>
    <cellStyle name="40% - Accent2 3 2 2 6 2 3 2" xfId="18215"/>
    <cellStyle name="40% - Accent2 3 2 2 6 2 4" xfId="18216"/>
    <cellStyle name="40% - Accent2 3 2 2 6 3" xfId="18217"/>
    <cellStyle name="40% - Accent2 3 2 2 6 3 2" xfId="18218"/>
    <cellStyle name="40% - Accent2 3 2 2 6 3 2 2" xfId="18219"/>
    <cellStyle name="40% - Accent2 3 2 2 6 3 3" xfId="18220"/>
    <cellStyle name="40% - Accent2 3 2 2 6 4" xfId="18221"/>
    <cellStyle name="40% - Accent2 3 2 2 6 4 2" xfId="18222"/>
    <cellStyle name="40% - Accent2 3 2 2 6 5" xfId="18223"/>
    <cellStyle name="40% - Accent2 3 2 2 6 5 2" xfId="18224"/>
    <cellStyle name="40% - Accent2 3 2 2 6 6" xfId="18225"/>
    <cellStyle name="40% - Accent2 3 2 2 7" xfId="18226"/>
    <cellStyle name="40% - Accent2 3 2 2 7 2" xfId="18227"/>
    <cellStyle name="40% - Accent2 3 2 2 7 2 2" xfId="18228"/>
    <cellStyle name="40% - Accent2 3 2 2 7 2 2 2" xfId="18229"/>
    <cellStyle name="40% - Accent2 3 2 2 7 2 3" xfId="18230"/>
    <cellStyle name="40% - Accent2 3 2 2 7 3" xfId="18231"/>
    <cellStyle name="40% - Accent2 3 2 2 7 3 2" xfId="18232"/>
    <cellStyle name="40% - Accent2 3 2 2 7 4" xfId="18233"/>
    <cellStyle name="40% - Accent2 3 2 2 8" xfId="18234"/>
    <cellStyle name="40% - Accent2 3 2 2 8 2" xfId="18235"/>
    <cellStyle name="40% - Accent2 3 2 2 8 2 2" xfId="18236"/>
    <cellStyle name="40% - Accent2 3 2 2 8 3" xfId="18237"/>
    <cellStyle name="40% - Accent2 3 2 2 9" xfId="18238"/>
    <cellStyle name="40% - Accent2 3 2 2 9 2" xfId="18239"/>
    <cellStyle name="40% - Accent2 3 2 3" xfId="18240"/>
    <cellStyle name="40% - Accent2 3 2 3 10" xfId="18241"/>
    <cellStyle name="40% - Accent2 3 2 3 10 2" xfId="18242"/>
    <cellStyle name="40% - Accent2 3 2 3 11" xfId="18243"/>
    <cellStyle name="40% - Accent2 3 2 3 2" xfId="18244"/>
    <cellStyle name="40% - Accent2 3 2 3 2 2" xfId="18245"/>
    <cellStyle name="40% - Accent2 3 2 3 2 2 2" xfId="18246"/>
    <cellStyle name="40% - Accent2 3 2 3 2 2 2 2" xfId="18247"/>
    <cellStyle name="40% - Accent2 3 2 3 2 2 2 2 2" xfId="18248"/>
    <cellStyle name="40% - Accent2 3 2 3 2 2 2 2 2 2" xfId="18249"/>
    <cellStyle name="40% - Accent2 3 2 3 2 2 2 2 3" xfId="18250"/>
    <cellStyle name="40% - Accent2 3 2 3 2 2 2 3" xfId="18251"/>
    <cellStyle name="40% - Accent2 3 2 3 2 2 2 3 2" xfId="18252"/>
    <cellStyle name="40% - Accent2 3 2 3 2 2 2 4" xfId="18253"/>
    <cellStyle name="40% - Accent2 3 2 3 2 2 3" xfId="18254"/>
    <cellStyle name="40% - Accent2 3 2 3 2 2 3 2" xfId="18255"/>
    <cellStyle name="40% - Accent2 3 2 3 2 2 3 2 2" xfId="18256"/>
    <cellStyle name="40% - Accent2 3 2 3 2 2 3 3" xfId="18257"/>
    <cellStyle name="40% - Accent2 3 2 3 2 2 4" xfId="18258"/>
    <cellStyle name="40% - Accent2 3 2 3 2 2 4 2" xfId="18259"/>
    <cellStyle name="40% - Accent2 3 2 3 2 2 5" xfId="18260"/>
    <cellStyle name="40% - Accent2 3 2 3 2 2 5 2" xfId="18261"/>
    <cellStyle name="40% - Accent2 3 2 3 2 2 6" xfId="18262"/>
    <cellStyle name="40% - Accent2 3 2 3 2 3" xfId="18263"/>
    <cellStyle name="40% - Accent2 3 2 3 2 3 2" xfId="18264"/>
    <cellStyle name="40% - Accent2 3 2 3 2 3 2 2" xfId="18265"/>
    <cellStyle name="40% - Accent2 3 2 3 2 3 2 2 2" xfId="18266"/>
    <cellStyle name="40% - Accent2 3 2 3 2 3 2 2 2 2" xfId="18267"/>
    <cellStyle name="40% - Accent2 3 2 3 2 3 2 2 3" xfId="18268"/>
    <cellStyle name="40% - Accent2 3 2 3 2 3 2 3" xfId="18269"/>
    <cellStyle name="40% - Accent2 3 2 3 2 3 2 3 2" xfId="18270"/>
    <cellStyle name="40% - Accent2 3 2 3 2 3 2 4" xfId="18271"/>
    <cellStyle name="40% - Accent2 3 2 3 2 3 3" xfId="18272"/>
    <cellStyle name="40% - Accent2 3 2 3 2 3 3 2" xfId="18273"/>
    <cellStyle name="40% - Accent2 3 2 3 2 3 3 2 2" xfId="18274"/>
    <cellStyle name="40% - Accent2 3 2 3 2 3 3 3" xfId="18275"/>
    <cellStyle name="40% - Accent2 3 2 3 2 3 4" xfId="18276"/>
    <cellStyle name="40% - Accent2 3 2 3 2 3 4 2" xfId="18277"/>
    <cellStyle name="40% - Accent2 3 2 3 2 3 5" xfId="18278"/>
    <cellStyle name="40% - Accent2 3 2 3 2 3 5 2" xfId="18279"/>
    <cellStyle name="40% - Accent2 3 2 3 2 3 6" xfId="18280"/>
    <cellStyle name="40% - Accent2 3 2 3 2 4" xfId="18281"/>
    <cellStyle name="40% - Accent2 3 2 3 2 4 2" xfId="18282"/>
    <cellStyle name="40% - Accent2 3 2 3 2 4 2 2" xfId="18283"/>
    <cellStyle name="40% - Accent2 3 2 3 2 4 2 2 2" xfId="18284"/>
    <cellStyle name="40% - Accent2 3 2 3 2 4 2 3" xfId="18285"/>
    <cellStyle name="40% - Accent2 3 2 3 2 4 3" xfId="18286"/>
    <cellStyle name="40% - Accent2 3 2 3 2 4 3 2" xfId="18287"/>
    <cellStyle name="40% - Accent2 3 2 3 2 4 4" xfId="18288"/>
    <cellStyle name="40% - Accent2 3 2 3 2 5" xfId="18289"/>
    <cellStyle name="40% - Accent2 3 2 3 2 5 2" xfId="18290"/>
    <cellStyle name="40% - Accent2 3 2 3 2 5 2 2" xfId="18291"/>
    <cellStyle name="40% - Accent2 3 2 3 2 5 3" xfId="18292"/>
    <cellStyle name="40% - Accent2 3 2 3 2 6" xfId="18293"/>
    <cellStyle name="40% - Accent2 3 2 3 2 6 2" xfId="18294"/>
    <cellStyle name="40% - Accent2 3 2 3 2 7" xfId="18295"/>
    <cellStyle name="40% - Accent2 3 2 3 2 7 2" xfId="18296"/>
    <cellStyle name="40% - Accent2 3 2 3 2 8" xfId="18297"/>
    <cellStyle name="40% - Accent2 3 2 3 3" xfId="18298"/>
    <cellStyle name="40% - Accent2 3 2 3 3 2" xfId="18299"/>
    <cellStyle name="40% - Accent2 3 2 3 3 2 2" xfId="18300"/>
    <cellStyle name="40% - Accent2 3 2 3 3 2 2 2" xfId="18301"/>
    <cellStyle name="40% - Accent2 3 2 3 3 2 2 2 2" xfId="18302"/>
    <cellStyle name="40% - Accent2 3 2 3 3 2 2 2 2 2" xfId="18303"/>
    <cellStyle name="40% - Accent2 3 2 3 3 2 2 2 3" xfId="18304"/>
    <cellStyle name="40% - Accent2 3 2 3 3 2 2 3" xfId="18305"/>
    <cellStyle name="40% - Accent2 3 2 3 3 2 2 3 2" xfId="18306"/>
    <cellStyle name="40% - Accent2 3 2 3 3 2 2 4" xfId="18307"/>
    <cellStyle name="40% - Accent2 3 2 3 3 2 3" xfId="18308"/>
    <cellStyle name="40% - Accent2 3 2 3 3 2 3 2" xfId="18309"/>
    <cellStyle name="40% - Accent2 3 2 3 3 2 3 2 2" xfId="18310"/>
    <cellStyle name="40% - Accent2 3 2 3 3 2 3 3" xfId="18311"/>
    <cellStyle name="40% - Accent2 3 2 3 3 2 4" xfId="18312"/>
    <cellStyle name="40% - Accent2 3 2 3 3 2 4 2" xfId="18313"/>
    <cellStyle name="40% - Accent2 3 2 3 3 2 5" xfId="18314"/>
    <cellStyle name="40% - Accent2 3 2 3 3 2 5 2" xfId="18315"/>
    <cellStyle name="40% - Accent2 3 2 3 3 2 6" xfId="18316"/>
    <cellStyle name="40% - Accent2 3 2 3 3 3" xfId="18317"/>
    <cellStyle name="40% - Accent2 3 2 3 3 3 2" xfId="18318"/>
    <cellStyle name="40% - Accent2 3 2 3 3 3 2 2" xfId="18319"/>
    <cellStyle name="40% - Accent2 3 2 3 3 3 2 2 2" xfId="18320"/>
    <cellStyle name="40% - Accent2 3 2 3 3 3 2 2 2 2" xfId="18321"/>
    <cellStyle name="40% - Accent2 3 2 3 3 3 2 2 3" xfId="18322"/>
    <cellStyle name="40% - Accent2 3 2 3 3 3 2 3" xfId="18323"/>
    <cellStyle name="40% - Accent2 3 2 3 3 3 2 3 2" xfId="18324"/>
    <cellStyle name="40% - Accent2 3 2 3 3 3 2 4" xfId="18325"/>
    <cellStyle name="40% - Accent2 3 2 3 3 3 3" xfId="18326"/>
    <cellStyle name="40% - Accent2 3 2 3 3 3 3 2" xfId="18327"/>
    <cellStyle name="40% - Accent2 3 2 3 3 3 3 2 2" xfId="18328"/>
    <cellStyle name="40% - Accent2 3 2 3 3 3 3 3" xfId="18329"/>
    <cellStyle name="40% - Accent2 3 2 3 3 3 4" xfId="18330"/>
    <cellStyle name="40% - Accent2 3 2 3 3 3 4 2" xfId="18331"/>
    <cellStyle name="40% - Accent2 3 2 3 3 3 5" xfId="18332"/>
    <cellStyle name="40% - Accent2 3 2 3 3 3 5 2" xfId="18333"/>
    <cellStyle name="40% - Accent2 3 2 3 3 3 6" xfId="18334"/>
    <cellStyle name="40% - Accent2 3 2 3 3 4" xfId="18335"/>
    <cellStyle name="40% - Accent2 3 2 3 3 4 2" xfId="18336"/>
    <cellStyle name="40% - Accent2 3 2 3 3 4 2 2" xfId="18337"/>
    <cellStyle name="40% - Accent2 3 2 3 3 4 2 2 2" xfId="18338"/>
    <cellStyle name="40% - Accent2 3 2 3 3 4 2 3" xfId="18339"/>
    <cellStyle name="40% - Accent2 3 2 3 3 4 3" xfId="18340"/>
    <cellStyle name="40% - Accent2 3 2 3 3 4 3 2" xfId="18341"/>
    <cellStyle name="40% - Accent2 3 2 3 3 4 4" xfId="18342"/>
    <cellStyle name="40% - Accent2 3 2 3 3 5" xfId="18343"/>
    <cellStyle name="40% - Accent2 3 2 3 3 5 2" xfId="18344"/>
    <cellStyle name="40% - Accent2 3 2 3 3 5 2 2" xfId="18345"/>
    <cellStyle name="40% - Accent2 3 2 3 3 5 3" xfId="18346"/>
    <cellStyle name="40% - Accent2 3 2 3 3 6" xfId="18347"/>
    <cellStyle name="40% - Accent2 3 2 3 3 6 2" xfId="18348"/>
    <cellStyle name="40% - Accent2 3 2 3 3 7" xfId="18349"/>
    <cellStyle name="40% - Accent2 3 2 3 3 7 2" xfId="18350"/>
    <cellStyle name="40% - Accent2 3 2 3 3 8" xfId="18351"/>
    <cellStyle name="40% - Accent2 3 2 3 4" xfId="18352"/>
    <cellStyle name="40% - Accent2 3 2 3 4 2" xfId="18353"/>
    <cellStyle name="40% - Accent2 3 2 3 4 2 2" xfId="18354"/>
    <cellStyle name="40% - Accent2 3 2 3 4 2 2 2" xfId="18355"/>
    <cellStyle name="40% - Accent2 3 2 3 4 2 2 2 2" xfId="18356"/>
    <cellStyle name="40% - Accent2 3 2 3 4 2 2 3" xfId="18357"/>
    <cellStyle name="40% - Accent2 3 2 3 4 2 3" xfId="18358"/>
    <cellStyle name="40% - Accent2 3 2 3 4 2 3 2" xfId="18359"/>
    <cellStyle name="40% - Accent2 3 2 3 4 2 4" xfId="18360"/>
    <cellStyle name="40% - Accent2 3 2 3 4 3" xfId="18361"/>
    <cellStyle name="40% - Accent2 3 2 3 4 3 2" xfId="18362"/>
    <cellStyle name="40% - Accent2 3 2 3 4 3 2 2" xfId="18363"/>
    <cellStyle name="40% - Accent2 3 2 3 4 3 3" xfId="18364"/>
    <cellStyle name="40% - Accent2 3 2 3 4 4" xfId="18365"/>
    <cellStyle name="40% - Accent2 3 2 3 4 4 2" xfId="18366"/>
    <cellStyle name="40% - Accent2 3 2 3 4 5" xfId="18367"/>
    <cellStyle name="40% - Accent2 3 2 3 4 5 2" xfId="18368"/>
    <cellStyle name="40% - Accent2 3 2 3 4 6" xfId="18369"/>
    <cellStyle name="40% - Accent2 3 2 3 5" xfId="18370"/>
    <cellStyle name="40% - Accent2 3 2 3 5 2" xfId="18371"/>
    <cellStyle name="40% - Accent2 3 2 3 5 2 2" xfId="18372"/>
    <cellStyle name="40% - Accent2 3 2 3 5 2 2 2" xfId="18373"/>
    <cellStyle name="40% - Accent2 3 2 3 5 2 2 2 2" xfId="18374"/>
    <cellStyle name="40% - Accent2 3 2 3 5 2 2 3" xfId="18375"/>
    <cellStyle name="40% - Accent2 3 2 3 5 2 3" xfId="18376"/>
    <cellStyle name="40% - Accent2 3 2 3 5 2 3 2" xfId="18377"/>
    <cellStyle name="40% - Accent2 3 2 3 5 2 4" xfId="18378"/>
    <cellStyle name="40% - Accent2 3 2 3 5 3" xfId="18379"/>
    <cellStyle name="40% - Accent2 3 2 3 5 3 2" xfId="18380"/>
    <cellStyle name="40% - Accent2 3 2 3 5 3 2 2" xfId="18381"/>
    <cellStyle name="40% - Accent2 3 2 3 5 3 3" xfId="18382"/>
    <cellStyle name="40% - Accent2 3 2 3 5 4" xfId="18383"/>
    <cellStyle name="40% - Accent2 3 2 3 5 4 2" xfId="18384"/>
    <cellStyle name="40% - Accent2 3 2 3 5 5" xfId="18385"/>
    <cellStyle name="40% - Accent2 3 2 3 5 5 2" xfId="18386"/>
    <cellStyle name="40% - Accent2 3 2 3 5 6" xfId="18387"/>
    <cellStyle name="40% - Accent2 3 2 3 6" xfId="18388"/>
    <cellStyle name="40% - Accent2 3 2 3 6 2" xfId="18389"/>
    <cellStyle name="40% - Accent2 3 2 3 6 2 2" xfId="18390"/>
    <cellStyle name="40% - Accent2 3 2 3 6 2 2 2" xfId="18391"/>
    <cellStyle name="40% - Accent2 3 2 3 6 2 2 2 2" xfId="18392"/>
    <cellStyle name="40% - Accent2 3 2 3 6 2 2 3" xfId="18393"/>
    <cellStyle name="40% - Accent2 3 2 3 6 2 3" xfId="18394"/>
    <cellStyle name="40% - Accent2 3 2 3 6 2 3 2" xfId="18395"/>
    <cellStyle name="40% - Accent2 3 2 3 6 2 4" xfId="18396"/>
    <cellStyle name="40% - Accent2 3 2 3 6 3" xfId="18397"/>
    <cellStyle name="40% - Accent2 3 2 3 6 3 2" xfId="18398"/>
    <cellStyle name="40% - Accent2 3 2 3 6 3 2 2" xfId="18399"/>
    <cellStyle name="40% - Accent2 3 2 3 6 3 3" xfId="18400"/>
    <cellStyle name="40% - Accent2 3 2 3 6 4" xfId="18401"/>
    <cellStyle name="40% - Accent2 3 2 3 6 4 2" xfId="18402"/>
    <cellStyle name="40% - Accent2 3 2 3 6 5" xfId="18403"/>
    <cellStyle name="40% - Accent2 3 2 3 6 5 2" xfId="18404"/>
    <cellStyle name="40% - Accent2 3 2 3 6 6" xfId="18405"/>
    <cellStyle name="40% - Accent2 3 2 3 7" xfId="18406"/>
    <cellStyle name="40% - Accent2 3 2 3 7 2" xfId="18407"/>
    <cellStyle name="40% - Accent2 3 2 3 7 2 2" xfId="18408"/>
    <cellStyle name="40% - Accent2 3 2 3 7 2 2 2" xfId="18409"/>
    <cellStyle name="40% - Accent2 3 2 3 7 2 3" xfId="18410"/>
    <cellStyle name="40% - Accent2 3 2 3 7 3" xfId="18411"/>
    <cellStyle name="40% - Accent2 3 2 3 7 3 2" xfId="18412"/>
    <cellStyle name="40% - Accent2 3 2 3 7 4" xfId="18413"/>
    <cellStyle name="40% - Accent2 3 2 3 8" xfId="18414"/>
    <cellStyle name="40% - Accent2 3 2 3 8 2" xfId="18415"/>
    <cellStyle name="40% - Accent2 3 2 3 8 2 2" xfId="18416"/>
    <cellStyle name="40% - Accent2 3 2 3 8 3" xfId="18417"/>
    <cellStyle name="40% - Accent2 3 2 3 9" xfId="18418"/>
    <cellStyle name="40% - Accent2 3 2 3 9 2" xfId="18419"/>
    <cellStyle name="40% - Accent2 3 2 4" xfId="18420"/>
    <cellStyle name="40% - Accent2 3 2 4 10" xfId="18421"/>
    <cellStyle name="40% - Accent2 3 2 4 10 2" xfId="18422"/>
    <cellStyle name="40% - Accent2 3 2 4 11" xfId="18423"/>
    <cellStyle name="40% - Accent2 3 2 4 2" xfId="18424"/>
    <cellStyle name="40% - Accent2 3 2 4 2 2" xfId="18425"/>
    <cellStyle name="40% - Accent2 3 2 4 2 2 2" xfId="18426"/>
    <cellStyle name="40% - Accent2 3 2 4 2 2 2 2" xfId="18427"/>
    <cellStyle name="40% - Accent2 3 2 4 2 2 2 2 2" xfId="18428"/>
    <cellStyle name="40% - Accent2 3 2 4 2 2 2 2 2 2" xfId="18429"/>
    <cellStyle name="40% - Accent2 3 2 4 2 2 2 2 3" xfId="18430"/>
    <cellStyle name="40% - Accent2 3 2 4 2 2 2 3" xfId="18431"/>
    <cellStyle name="40% - Accent2 3 2 4 2 2 2 3 2" xfId="18432"/>
    <cellStyle name="40% - Accent2 3 2 4 2 2 2 4" xfId="18433"/>
    <cellStyle name="40% - Accent2 3 2 4 2 2 3" xfId="18434"/>
    <cellStyle name="40% - Accent2 3 2 4 2 2 3 2" xfId="18435"/>
    <cellStyle name="40% - Accent2 3 2 4 2 2 3 2 2" xfId="18436"/>
    <cellStyle name="40% - Accent2 3 2 4 2 2 3 3" xfId="18437"/>
    <cellStyle name="40% - Accent2 3 2 4 2 2 4" xfId="18438"/>
    <cellStyle name="40% - Accent2 3 2 4 2 2 4 2" xfId="18439"/>
    <cellStyle name="40% - Accent2 3 2 4 2 2 5" xfId="18440"/>
    <cellStyle name="40% - Accent2 3 2 4 2 2 5 2" xfId="18441"/>
    <cellStyle name="40% - Accent2 3 2 4 2 2 6" xfId="18442"/>
    <cellStyle name="40% - Accent2 3 2 4 2 3" xfId="18443"/>
    <cellStyle name="40% - Accent2 3 2 4 2 3 2" xfId="18444"/>
    <cellStyle name="40% - Accent2 3 2 4 2 3 2 2" xfId="18445"/>
    <cellStyle name="40% - Accent2 3 2 4 2 3 2 2 2" xfId="18446"/>
    <cellStyle name="40% - Accent2 3 2 4 2 3 2 2 2 2" xfId="18447"/>
    <cellStyle name="40% - Accent2 3 2 4 2 3 2 2 3" xfId="18448"/>
    <cellStyle name="40% - Accent2 3 2 4 2 3 2 3" xfId="18449"/>
    <cellStyle name="40% - Accent2 3 2 4 2 3 2 3 2" xfId="18450"/>
    <cellStyle name="40% - Accent2 3 2 4 2 3 2 4" xfId="18451"/>
    <cellStyle name="40% - Accent2 3 2 4 2 3 3" xfId="18452"/>
    <cellStyle name="40% - Accent2 3 2 4 2 3 3 2" xfId="18453"/>
    <cellStyle name="40% - Accent2 3 2 4 2 3 3 2 2" xfId="18454"/>
    <cellStyle name="40% - Accent2 3 2 4 2 3 3 3" xfId="18455"/>
    <cellStyle name="40% - Accent2 3 2 4 2 3 4" xfId="18456"/>
    <cellStyle name="40% - Accent2 3 2 4 2 3 4 2" xfId="18457"/>
    <cellStyle name="40% - Accent2 3 2 4 2 3 5" xfId="18458"/>
    <cellStyle name="40% - Accent2 3 2 4 2 3 5 2" xfId="18459"/>
    <cellStyle name="40% - Accent2 3 2 4 2 3 6" xfId="18460"/>
    <cellStyle name="40% - Accent2 3 2 4 2 4" xfId="18461"/>
    <cellStyle name="40% - Accent2 3 2 4 2 4 2" xfId="18462"/>
    <cellStyle name="40% - Accent2 3 2 4 2 4 2 2" xfId="18463"/>
    <cellStyle name="40% - Accent2 3 2 4 2 4 2 2 2" xfId="18464"/>
    <cellStyle name="40% - Accent2 3 2 4 2 4 2 3" xfId="18465"/>
    <cellStyle name="40% - Accent2 3 2 4 2 4 3" xfId="18466"/>
    <cellStyle name="40% - Accent2 3 2 4 2 4 3 2" xfId="18467"/>
    <cellStyle name="40% - Accent2 3 2 4 2 4 4" xfId="18468"/>
    <cellStyle name="40% - Accent2 3 2 4 2 5" xfId="18469"/>
    <cellStyle name="40% - Accent2 3 2 4 2 5 2" xfId="18470"/>
    <cellStyle name="40% - Accent2 3 2 4 2 5 2 2" xfId="18471"/>
    <cellStyle name="40% - Accent2 3 2 4 2 5 3" xfId="18472"/>
    <cellStyle name="40% - Accent2 3 2 4 2 6" xfId="18473"/>
    <cellStyle name="40% - Accent2 3 2 4 2 6 2" xfId="18474"/>
    <cellStyle name="40% - Accent2 3 2 4 2 7" xfId="18475"/>
    <cellStyle name="40% - Accent2 3 2 4 2 7 2" xfId="18476"/>
    <cellStyle name="40% - Accent2 3 2 4 2 8" xfId="18477"/>
    <cellStyle name="40% - Accent2 3 2 4 3" xfId="18478"/>
    <cellStyle name="40% - Accent2 3 2 4 3 2" xfId="18479"/>
    <cellStyle name="40% - Accent2 3 2 4 3 2 2" xfId="18480"/>
    <cellStyle name="40% - Accent2 3 2 4 3 2 2 2" xfId="18481"/>
    <cellStyle name="40% - Accent2 3 2 4 3 2 2 2 2" xfId="18482"/>
    <cellStyle name="40% - Accent2 3 2 4 3 2 2 2 2 2" xfId="18483"/>
    <cellStyle name="40% - Accent2 3 2 4 3 2 2 2 3" xfId="18484"/>
    <cellStyle name="40% - Accent2 3 2 4 3 2 2 3" xfId="18485"/>
    <cellStyle name="40% - Accent2 3 2 4 3 2 2 3 2" xfId="18486"/>
    <cellStyle name="40% - Accent2 3 2 4 3 2 2 4" xfId="18487"/>
    <cellStyle name="40% - Accent2 3 2 4 3 2 3" xfId="18488"/>
    <cellStyle name="40% - Accent2 3 2 4 3 2 3 2" xfId="18489"/>
    <cellStyle name="40% - Accent2 3 2 4 3 2 3 2 2" xfId="18490"/>
    <cellStyle name="40% - Accent2 3 2 4 3 2 3 3" xfId="18491"/>
    <cellStyle name="40% - Accent2 3 2 4 3 2 4" xfId="18492"/>
    <cellStyle name="40% - Accent2 3 2 4 3 2 4 2" xfId="18493"/>
    <cellStyle name="40% - Accent2 3 2 4 3 2 5" xfId="18494"/>
    <cellStyle name="40% - Accent2 3 2 4 3 2 5 2" xfId="18495"/>
    <cellStyle name="40% - Accent2 3 2 4 3 2 6" xfId="18496"/>
    <cellStyle name="40% - Accent2 3 2 4 3 3" xfId="18497"/>
    <cellStyle name="40% - Accent2 3 2 4 3 3 2" xfId="18498"/>
    <cellStyle name="40% - Accent2 3 2 4 3 3 2 2" xfId="18499"/>
    <cellStyle name="40% - Accent2 3 2 4 3 3 2 2 2" xfId="18500"/>
    <cellStyle name="40% - Accent2 3 2 4 3 3 2 2 2 2" xfId="18501"/>
    <cellStyle name="40% - Accent2 3 2 4 3 3 2 2 3" xfId="18502"/>
    <cellStyle name="40% - Accent2 3 2 4 3 3 2 3" xfId="18503"/>
    <cellStyle name="40% - Accent2 3 2 4 3 3 2 3 2" xfId="18504"/>
    <cellStyle name="40% - Accent2 3 2 4 3 3 2 4" xfId="18505"/>
    <cellStyle name="40% - Accent2 3 2 4 3 3 3" xfId="18506"/>
    <cellStyle name="40% - Accent2 3 2 4 3 3 3 2" xfId="18507"/>
    <cellStyle name="40% - Accent2 3 2 4 3 3 3 2 2" xfId="18508"/>
    <cellStyle name="40% - Accent2 3 2 4 3 3 3 3" xfId="18509"/>
    <cellStyle name="40% - Accent2 3 2 4 3 3 4" xfId="18510"/>
    <cellStyle name="40% - Accent2 3 2 4 3 3 4 2" xfId="18511"/>
    <cellStyle name="40% - Accent2 3 2 4 3 3 5" xfId="18512"/>
    <cellStyle name="40% - Accent2 3 2 4 3 3 5 2" xfId="18513"/>
    <cellStyle name="40% - Accent2 3 2 4 3 3 6" xfId="18514"/>
    <cellStyle name="40% - Accent2 3 2 4 3 4" xfId="18515"/>
    <cellStyle name="40% - Accent2 3 2 4 3 4 2" xfId="18516"/>
    <cellStyle name="40% - Accent2 3 2 4 3 4 2 2" xfId="18517"/>
    <cellStyle name="40% - Accent2 3 2 4 3 4 2 2 2" xfId="18518"/>
    <cellStyle name="40% - Accent2 3 2 4 3 4 2 3" xfId="18519"/>
    <cellStyle name="40% - Accent2 3 2 4 3 4 3" xfId="18520"/>
    <cellStyle name="40% - Accent2 3 2 4 3 4 3 2" xfId="18521"/>
    <cellStyle name="40% - Accent2 3 2 4 3 4 4" xfId="18522"/>
    <cellStyle name="40% - Accent2 3 2 4 3 5" xfId="18523"/>
    <cellStyle name="40% - Accent2 3 2 4 3 5 2" xfId="18524"/>
    <cellStyle name="40% - Accent2 3 2 4 3 5 2 2" xfId="18525"/>
    <cellStyle name="40% - Accent2 3 2 4 3 5 3" xfId="18526"/>
    <cellStyle name="40% - Accent2 3 2 4 3 6" xfId="18527"/>
    <cellStyle name="40% - Accent2 3 2 4 3 6 2" xfId="18528"/>
    <cellStyle name="40% - Accent2 3 2 4 3 7" xfId="18529"/>
    <cellStyle name="40% - Accent2 3 2 4 3 7 2" xfId="18530"/>
    <cellStyle name="40% - Accent2 3 2 4 3 8" xfId="18531"/>
    <cellStyle name="40% - Accent2 3 2 4 4" xfId="18532"/>
    <cellStyle name="40% - Accent2 3 2 4 4 2" xfId="18533"/>
    <cellStyle name="40% - Accent2 3 2 4 4 2 2" xfId="18534"/>
    <cellStyle name="40% - Accent2 3 2 4 4 2 2 2" xfId="18535"/>
    <cellStyle name="40% - Accent2 3 2 4 4 2 2 2 2" xfId="18536"/>
    <cellStyle name="40% - Accent2 3 2 4 4 2 2 3" xfId="18537"/>
    <cellStyle name="40% - Accent2 3 2 4 4 2 3" xfId="18538"/>
    <cellStyle name="40% - Accent2 3 2 4 4 2 3 2" xfId="18539"/>
    <cellStyle name="40% - Accent2 3 2 4 4 2 4" xfId="18540"/>
    <cellStyle name="40% - Accent2 3 2 4 4 3" xfId="18541"/>
    <cellStyle name="40% - Accent2 3 2 4 4 3 2" xfId="18542"/>
    <cellStyle name="40% - Accent2 3 2 4 4 3 2 2" xfId="18543"/>
    <cellStyle name="40% - Accent2 3 2 4 4 3 3" xfId="18544"/>
    <cellStyle name="40% - Accent2 3 2 4 4 4" xfId="18545"/>
    <cellStyle name="40% - Accent2 3 2 4 4 4 2" xfId="18546"/>
    <cellStyle name="40% - Accent2 3 2 4 4 5" xfId="18547"/>
    <cellStyle name="40% - Accent2 3 2 4 4 5 2" xfId="18548"/>
    <cellStyle name="40% - Accent2 3 2 4 4 6" xfId="18549"/>
    <cellStyle name="40% - Accent2 3 2 4 5" xfId="18550"/>
    <cellStyle name="40% - Accent2 3 2 4 5 2" xfId="18551"/>
    <cellStyle name="40% - Accent2 3 2 4 5 2 2" xfId="18552"/>
    <cellStyle name="40% - Accent2 3 2 4 5 2 2 2" xfId="18553"/>
    <cellStyle name="40% - Accent2 3 2 4 5 2 2 2 2" xfId="18554"/>
    <cellStyle name="40% - Accent2 3 2 4 5 2 2 3" xfId="18555"/>
    <cellStyle name="40% - Accent2 3 2 4 5 2 3" xfId="18556"/>
    <cellStyle name="40% - Accent2 3 2 4 5 2 3 2" xfId="18557"/>
    <cellStyle name="40% - Accent2 3 2 4 5 2 4" xfId="18558"/>
    <cellStyle name="40% - Accent2 3 2 4 5 3" xfId="18559"/>
    <cellStyle name="40% - Accent2 3 2 4 5 3 2" xfId="18560"/>
    <cellStyle name="40% - Accent2 3 2 4 5 3 2 2" xfId="18561"/>
    <cellStyle name="40% - Accent2 3 2 4 5 3 3" xfId="18562"/>
    <cellStyle name="40% - Accent2 3 2 4 5 4" xfId="18563"/>
    <cellStyle name="40% - Accent2 3 2 4 5 4 2" xfId="18564"/>
    <cellStyle name="40% - Accent2 3 2 4 5 5" xfId="18565"/>
    <cellStyle name="40% - Accent2 3 2 4 5 5 2" xfId="18566"/>
    <cellStyle name="40% - Accent2 3 2 4 5 6" xfId="18567"/>
    <cellStyle name="40% - Accent2 3 2 4 6" xfId="18568"/>
    <cellStyle name="40% - Accent2 3 2 4 6 2" xfId="18569"/>
    <cellStyle name="40% - Accent2 3 2 4 6 2 2" xfId="18570"/>
    <cellStyle name="40% - Accent2 3 2 4 6 2 2 2" xfId="18571"/>
    <cellStyle name="40% - Accent2 3 2 4 6 2 2 2 2" xfId="18572"/>
    <cellStyle name="40% - Accent2 3 2 4 6 2 2 3" xfId="18573"/>
    <cellStyle name="40% - Accent2 3 2 4 6 2 3" xfId="18574"/>
    <cellStyle name="40% - Accent2 3 2 4 6 2 3 2" xfId="18575"/>
    <cellStyle name="40% - Accent2 3 2 4 6 2 4" xfId="18576"/>
    <cellStyle name="40% - Accent2 3 2 4 6 3" xfId="18577"/>
    <cellStyle name="40% - Accent2 3 2 4 6 3 2" xfId="18578"/>
    <cellStyle name="40% - Accent2 3 2 4 6 3 2 2" xfId="18579"/>
    <cellStyle name="40% - Accent2 3 2 4 6 3 3" xfId="18580"/>
    <cellStyle name="40% - Accent2 3 2 4 6 4" xfId="18581"/>
    <cellStyle name="40% - Accent2 3 2 4 6 4 2" xfId="18582"/>
    <cellStyle name="40% - Accent2 3 2 4 6 5" xfId="18583"/>
    <cellStyle name="40% - Accent2 3 2 4 6 5 2" xfId="18584"/>
    <cellStyle name="40% - Accent2 3 2 4 6 6" xfId="18585"/>
    <cellStyle name="40% - Accent2 3 2 4 7" xfId="18586"/>
    <cellStyle name="40% - Accent2 3 2 4 7 2" xfId="18587"/>
    <cellStyle name="40% - Accent2 3 2 4 7 2 2" xfId="18588"/>
    <cellStyle name="40% - Accent2 3 2 4 7 2 2 2" xfId="18589"/>
    <cellStyle name="40% - Accent2 3 2 4 7 2 3" xfId="18590"/>
    <cellStyle name="40% - Accent2 3 2 4 7 3" xfId="18591"/>
    <cellStyle name="40% - Accent2 3 2 4 7 3 2" xfId="18592"/>
    <cellStyle name="40% - Accent2 3 2 4 7 4" xfId="18593"/>
    <cellStyle name="40% - Accent2 3 2 4 8" xfId="18594"/>
    <cellStyle name="40% - Accent2 3 2 4 8 2" xfId="18595"/>
    <cellStyle name="40% - Accent2 3 2 4 8 2 2" xfId="18596"/>
    <cellStyle name="40% - Accent2 3 2 4 8 3" xfId="18597"/>
    <cellStyle name="40% - Accent2 3 2 4 9" xfId="18598"/>
    <cellStyle name="40% - Accent2 3 2 4 9 2" xfId="18599"/>
    <cellStyle name="40% - Accent2 3 2 5" xfId="18600"/>
    <cellStyle name="40% - Accent2 3 2 5 2" xfId="18601"/>
    <cellStyle name="40% - Accent2 3 2 5 2 2" xfId="18602"/>
    <cellStyle name="40% - Accent2 3 2 5 2 2 2" xfId="18603"/>
    <cellStyle name="40% - Accent2 3 2 5 2 2 2 2" xfId="18604"/>
    <cellStyle name="40% - Accent2 3 2 5 2 2 2 2 2" xfId="18605"/>
    <cellStyle name="40% - Accent2 3 2 5 2 2 2 3" xfId="18606"/>
    <cellStyle name="40% - Accent2 3 2 5 2 2 3" xfId="18607"/>
    <cellStyle name="40% - Accent2 3 2 5 2 2 3 2" xfId="18608"/>
    <cellStyle name="40% - Accent2 3 2 5 2 2 4" xfId="18609"/>
    <cellStyle name="40% - Accent2 3 2 5 2 3" xfId="18610"/>
    <cellStyle name="40% - Accent2 3 2 5 2 3 2" xfId="18611"/>
    <cellStyle name="40% - Accent2 3 2 5 2 3 2 2" xfId="18612"/>
    <cellStyle name="40% - Accent2 3 2 5 2 3 3" xfId="18613"/>
    <cellStyle name="40% - Accent2 3 2 5 2 4" xfId="18614"/>
    <cellStyle name="40% - Accent2 3 2 5 2 4 2" xfId="18615"/>
    <cellStyle name="40% - Accent2 3 2 5 2 5" xfId="18616"/>
    <cellStyle name="40% - Accent2 3 2 5 2 5 2" xfId="18617"/>
    <cellStyle name="40% - Accent2 3 2 5 2 6" xfId="18618"/>
    <cellStyle name="40% - Accent2 3 2 5 3" xfId="18619"/>
    <cellStyle name="40% - Accent2 3 2 5 3 2" xfId="18620"/>
    <cellStyle name="40% - Accent2 3 2 5 3 2 2" xfId="18621"/>
    <cellStyle name="40% - Accent2 3 2 5 3 2 2 2" xfId="18622"/>
    <cellStyle name="40% - Accent2 3 2 5 3 2 2 2 2" xfId="18623"/>
    <cellStyle name="40% - Accent2 3 2 5 3 2 2 3" xfId="18624"/>
    <cellStyle name="40% - Accent2 3 2 5 3 2 3" xfId="18625"/>
    <cellStyle name="40% - Accent2 3 2 5 3 2 3 2" xfId="18626"/>
    <cellStyle name="40% - Accent2 3 2 5 3 2 4" xfId="18627"/>
    <cellStyle name="40% - Accent2 3 2 5 3 3" xfId="18628"/>
    <cellStyle name="40% - Accent2 3 2 5 3 3 2" xfId="18629"/>
    <cellStyle name="40% - Accent2 3 2 5 3 3 2 2" xfId="18630"/>
    <cellStyle name="40% - Accent2 3 2 5 3 3 3" xfId="18631"/>
    <cellStyle name="40% - Accent2 3 2 5 3 4" xfId="18632"/>
    <cellStyle name="40% - Accent2 3 2 5 3 4 2" xfId="18633"/>
    <cellStyle name="40% - Accent2 3 2 5 3 5" xfId="18634"/>
    <cellStyle name="40% - Accent2 3 2 5 3 5 2" xfId="18635"/>
    <cellStyle name="40% - Accent2 3 2 5 3 6" xfId="18636"/>
    <cellStyle name="40% - Accent2 3 2 5 4" xfId="18637"/>
    <cellStyle name="40% - Accent2 3 2 5 4 2" xfId="18638"/>
    <cellStyle name="40% - Accent2 3 2 5 4 2 2" xfId="18639"/>
    <cellStyle name="40% - Accent2 3 2 5 4 2 2 2" xfId="18640"/>
    <cellStyle name="40% - Accent2 3 2 5 4 2 3" xfId="18641"/>
    <cellStyle name="40% - Accent2 3 2 5 4 3" xfId="18642"/>
    <cellStyle name="40% - Accent2 3 2 5 4 3 2" xfId="18643"/>
    <cellStyle name="40% - Accent2 3 2 5 4 4" xfId="18644"/>
    <cellStyle name="40% - Accent2 3 2 5 5" xfId="18645"/>
    <cellStyle name="40% - Accent2 3 2 5 5 2" xfId="18646"/>
    <cellStyle name="40% - Accent2 3 2 5 5 2 2" xfId="18647"/>
    <cellStyle name="40% - Accent2 3 2 5 5 3" xfId="18648"/>
    <cellStyle name="40% - Accent2 3 2 5 6" xfId="18649"/>
    <cellStyle name="40% - Accent2 3 2 5 6 2" xfId="18650"/>
    <cellStyle name="40% - Accent2 3 2 5 7" xfId="18651"/>
    <cellStyle name="40% - Accent2 3 2 5 7 2" xfId="18652"/>
    <cellStyle name="40% - Accent2 3 2 5 8" xfId="18653"/>
    <cellStyle name="40% - Accent2 3 2 6" xfId="18654"/>
    <cellStyle name="40% - Accent2 3 2 6 2" xfId="18655"/>
    <cellStyle name="40% - Accent2 3 2 6 2 2" xfId="18656"/>
    <cellStyle name="40% - Accent2 3 2 6 2 2 2" xfId="18657"/>
    <cellStyle name="40% - Accent2 3 2 6 2 2 2 2" xfId="18658"/>
    <cellStyle name="40% - Accent2 3 2 6 2 2 2 2 2" xfId="18659"/>
    <cellStyle name="40% - Accent2 3 2 6 2 2 2 3" xfId="18660"/>
    <cellStyle name="40% - Accent2 3 2 6 2 2 3" xfId="18661"/>
    <cellStyle name="40% - Accent2 3 2 6 2 2 3 2" xfId="18662"/>
    <cellStyle name="40% - Accent2 3 2 6 2 2 4" xfId="18663"/>
    <cellStyle name="40% - Accent2 3 2 6 2 3" xfId="18664"/>
    <cellStyle name="40% - Accent2 3 2 6 2 3 2" xfId="18665"/>
    <cellStyle name="40% - Accent2 3 2 6 2 3 2 2" xfId="18666"/>
    <cellStyle name="40% - Accent2 3 2 6 2 3 3" xfId="18667"/>
    <cellStyle name="40% - Accent2 3 2 6 2 4" xfId="18668"/>
    <cellStyle name="40% - Accent2 3 2 6 2 4 2" xfId="18669"/>
    <cellStyle name="40% - Accent2 3 2 6 2 5" xfId="18670"/>
    <cellStyle name="40% - Accent2 3 2 6 2 5 2" xfId="18671"/>
    <cellStyle name="40% - Accent2 3 2 6 2 6" xfId="18672"/>
    <cellStyle name="40% - Accent2 3 2 6 3" xfId="18673"/>
    <cellStyle name="40% - Accent2 3 2 6 3 2" xfId="18674"/>
    <cellStyle name="40% - Accent2 3 2 6 3 2 2" xfId="18675"/>
    <cellStyle name="40% - Accent2 3 2 6 3 2 2 2" xfId="18676"/>
    <cellStyle name="40% - Accent2 3 2 6 3 2 2 2 2" xfId="18677"/>
    <cellStyle name="40% - Accent2 3 2 6 3 2 2 3" xfId="18678"/>
    <cellStyle name="40% - Accent2 3 2 6 3 2 3" xfId="18679"/>
    <cellStyle name="40% - Accent2 3 2 6 3 2 3 2" xfId="18680"/>
    <cellStyle name="40% - Accent2 3 2 6 3 2 4" xfId="18681"/>
    <cellStyle name="40% - Accent2 3 2 6 3 3" xfId="18682"/>
    <cellStyle name="40% - Accent2 3 2 6 3 3 2" xfId="18683"/>
    <cellStyle name="40% - Accent2 3 2 6 3 3 2 2" xfId="18684"/>
    <cellStyle name="40% - Accent2 3 2 6 3 3 3" xfId="18685"/>
    <cellStyle name="40% - Accent2 3 2 6 3 4" xfId="18686"/>
    <cellStyle name="40% - Accent2 3 2 6 3 4 2" xfId="18687"/>
    <cellStyle name="40% - Accent2 3 2 6 3 5" xfId="18688"/>
    <cellStyle name="40% - Accent2 3 2 6 3 5 2" xfId="18689"/>
    <cellStyle name="40% - Accent2 3 2 6 3 6" xfId="18690"/>
    <cellStyle name="40% - Accent2 3 2 6 4" xfId="18691"/>
    <cellStyle name="40% - Accent2 3 2 6 4 2" xfId="18692"/>
    <cellStyle name="40% - Accent2 3 2 6 4 2 2" xfId="18693"/>
    <cellStyle name="40% - Accent2 3 2 6 4 2 2 2" xfId="18694"/>
    <cellStyle name="40% - Accent2 3 2 6 4 2 3" xfId="18695"/>
    <cellStyle name="40% - Accent2 3 2 6 4 3" xfId="18696"/>
    <cellStyle name="40% - Accent2 3 2 6 4 3 2" xfId="18697"/>
    <cellStyle name="40% - Accent2 3 2 6 4 4" xfId="18698"/>
    <cellStyle name="40% - Accent2 3 2 6 5" xfId="18699"/>
    <cellStyle name="40% - Accent2 3 2 6 5 2" xfId="18700"/>
    <cellStyle name="40% - Accent2 3 2 6 5 2 2" xfId="18701"/>
    <cellStyle name="40% - Accent2 3 2 6 5 3" xfId="18702"/>
    <cellStyle name="40% - Accent2 3 2 6 6" xfId="18703"/>
    <cellStyle name="40% - Accent2 3 2 6 6 2" xfId="18704"/>
    <cellStyle name="40% - Accent2 3 2 6 7" xfId="18705"/>
    <cellStyle name="40% - Accent2 3 2 6 7 2" xfId="18706"/>
    <cellStyle name="40% - Accent2 3 2 6 8" xfId="18707"/>
    <cellStyle name="40% - Accent2 3 2 7" xfId="18708"/>
    <cellStyle name="40% - Accent2 3 2 7 2" xfId="18709"/>
    <cellStyle name="40% - Accent2 3 2 7 2 2" xfId="18710"/>
    <cellStyle name="40% - Accent2 3 2 7 2 2 2" xfId="18711"/>
    <cellStyle name="40% - Accent2 3 2 7 2 2 2 2" xfId="18712"/>
    <cellStyle name="40% - Accent2 3 2 7 2 2 3" xfId="18713"/>
    <cellStyle name="40% - Accent2 3 2 7 2 3" xfId="18714"/>
    <cellStyle name="40% - Accent2 3 2 7 2 3 2" xfId="18715"/>
    <cellStyle name="40% - Accent2 3 2 7 2 4" xfId="18716"/>
    <cellStyle name="40% - Accent2 3 2 7 3" xfId="18717"/>
    <cellStyle name="40% - Accent2 3 2 7 3 2" xfId="18718"/>
    <cellStyle name="40% - Accent2 3 2 7 3 2 2" xfId="18719"/>
    <cellStyle name="40% - Accent2 3 2 7 3 3" xfId="18720"/>
    <cellStyle name="40% - Accent2 3 2 7 4" xfId="18721"/>
    <cellStyle name="40% - Accent2 3 2 7 4 2" xfId="18722"/>
    <cellStyle name="40% - Accent2 3 2 7 5" xfId="18723"/>
    <cellStyle name="40% - Accent2 3 2 7 5 2" xfId="18724"/>
    <cellStyle name="40% - Accent2 3 2 7 6" xfId="18725"/>
    <cellStyle name="40% - Accent2 3 2 8" xfId="18726"/>
    <cellStyle name="40% - Accent2 3 2 8 2" xfId="18727"/>
    <cellStyle name="40% - Accent2 3 2 8 2 2" xfId="18728"/>
    <cellStyle name="40% - Accent2 3 2 8 2 2 2" xfId="18729"/>
    <cellStyle name="40% - Accent2 3 2 8 2 2 2 2" xfId="18730"/>
    <cellStyle name="40% - Accent2 3 2 8 2 2 3" xfId="18731"/>
    <cellStyle name="40% - Accent2 3 2 8 2 3" xfId="18732"/>
    <cellStyle name="40% - Accent2 3 2 8 2 3 2" xfId="18733"/>
    <cellStyle name="40% - Accent2 3 2 8 2 4" xfId="18734"/>
    <cellStyle name="40% - Accent2 3 2 8 3" xfId="18735"/>
    <cellStyle name="40% - Accent2 3 2 8 3 2" xfId="18736"/>
    <cellStyle name="40% - Accent2 3 2 8 3 2 2" xfId="18737"/>
    <cellStyle name="40% - Accent2 3 2 8 3 3" xfId="18738"/>
    <cellStyle name="40% - Accent2 3 2 8 4" xfId="18739"/>
    <cellStyle name="40% - Accent2 3 2 8 4 2" xfId="18740"/>
    <cellStyle name="40% - Accent2 3 2 8 5" xfId="18741"/>
    <cellStyle name="40% - Accent2 3 2 8 5 2" xfId="18742"/>
    <cellStyle name="40% - Accent2 3 2 8 6" xfId="18743"/>
    <cellStyle name="40% - Accent2 3 2 9" xfId="18744"/>
    <cellStyle name="40% - Accent2 3 2 9 2" xfId="18745"/>
    <cellStyle name="40% - Accent2 3 2 9 2 2" xfId="18746"/>
    <cellStyle name="40% - Accent2 3 2 9 2 2 2" xfId="18747"/>
    <cellStyle name="40% - Accent2 3 2 9 2 2 2 2" xfId="18748"/>
    <cellStyle name="40% - Accent2 3 2 9 2 2 3" xfId="18749"/>
    <cellStyle name="40% - Accent2 3 2 9 2 3" xfId="18750"/>
    <cellStyle name="40% - Accent2 3 2 9 2 3 2" xfId="18751"/>
    <cellStyle name="40% - Accent2 3 2 9 2 4" xfId="18752"/>
    <cellStyle name="40% - Accent2 3 2 9 3" xfId="18753"/>
    <cellStyle name="40% - Accent2 3 2 9 3 2" xfId="18754"/>
    <cellStyle name="40% - Accent2 3 2 9 3 2 2" xfId="18755"/>
    <cellStyle name="40% - Accent2 3 2 9 3 3" xfId="18756"/>
    <cellStyle name="40% - Accent2 3 2 9 4" xfId="18757"/>
    <cellStyle name="40% - Accent2 3 2 9 4 2" xfId="18758"/>
    <cellStyle name="40% - Accent2 3 2 9 5" xfId="18759"/>
    <cellStyle name="40% - Accent2 3 2 9 5 2" xfId="18760"/>
    <cellStyle name="40% - Accent2 3 2 9 6" xfId="18761"/>
    <cellStyle name="40% - Accent2 3 3" xfId="18762"/>
    <cellStyle name="40% - Accent2 3 3 10" xfId="18763"/>
    <cellStyle name="40% - Accent2 3 3 10 2" xfId="18764"/>
    <cellStyle name="40% - Accent2 3 3 11" xfId="18765"/>
    <cellStyle name="40% - Accent2 3 3 2" xfId="18766"/>
    <cellStyle name="40% - Accent2 3 3 2 2" xfId="18767"/>
    <cellStyle name="40% - Accent2 3 3 2 2 2" xfId="18768"/>
    <cellStyle name="40% - Accent2 3 3 2 2 2 2" xfId="18769"/>
    <cellStyle name="40% - Accent2 3 3 2 2 2 2 2" xfId="18770"/>
    <cellStyle name="40% - Accent2 3 3 2 2 2 2 2 2" xfId="18771"/>
    <cellStyle name="40% - Accent2 3 3 2 2 2 2 3" xfId="18772"/>
    <cellStyle name="40% - Accent2 3 3 2 2 2 3" xfId="18773"/>
    <cellStyle name="40% - Accent2 3 3 2 2 2 3 2" xfId="18774"/>
    <cellStyle name="40% - Accent2 3 3 2 2 2 4" xfId="18775"/>
    <cellStyle name="40% - Accent2 3 3 2 2 3" xfId="18776"/>
    <cellStyle name="40% - Accent2 3 3 2 2 3 2" xfId="18777"/>
    <cellStyle name="40% - Accent2 3 3 2 2 3 2 2" xfId="18778"/>
    <cellStyle name="40% - Accent2 3 3 2 2 3 3" xfId="18779"/>
    <cellStyle name="40% - Accent2 3 3 2 2 4" xfId="18780"/>
    <cellStyle name="40% - Accent2 3 3 2 2 4 2" xfId="18781"/>
    <cellStyle name="40% - Accent2 3 3 2 2 5" xfId="18782"/>
    <cellStyle name="40% - Accent2 3 3 2 2 5 2" xfId="18783"/>
    <cellStyle name="40% - Accent2 3 3 2 2 6" xfId="18784"/>
    <cellStyle name="40% - Accent2 3 3 2 3" xfId="18785"/>
    <cellStyle name="40% - Accent2 3 3 2 3 2" xfId="18786"/>
    <cellStyle name="40% - Accent2 3 3 2 3 2 2" xfId="18787"/>
    <cellStyle name="40% - Accent2 3 3 2 3 2 2 2" xfId="18788"/>
    <cellStyle name="40% - Accent2 3 3 2 3 2 2 2 2" xfId="18789"/>
    <cellStyle name="40% - Accent2 3 3 2 3 2 2 3" xfId="18790"/>
    <cellStyle name="40% - Accent2 3 3 2 3 2 3" xfId="18791"/>
    <cellStyle name="40% - Accent2 3 3 2 3 2 3 2" xfId="18792"/>
    <cellStyle name="40% - Accent2 3 3 2 3 2 4" xfId="18793"/>
    <cellStyle name="40% - Accent2 3 3 2 3 3" xfId="18794"/>
    <cellStyle name="40% - Accent2 3 3 2 3 3 2" xfId="18795"/>
    <cellStyle name="40% - Accent2 3 3 2 3 3 2 2" xfId="18796"/>
    <cellStyle name="40% - Accent2 3 3 2 3 3 3" xfId="18797"/>
    <cellStyle name="40% - Accent2 3 3 2 3 4" xfId="18798"/>
    <cellStyle name="40% - Accent2 3 3 2 3 4 2" xfId="18799"/>
    <cellStyle name="40% - Accent2 3 3 2 3 5" xfId="18800"/>
    <cellStyle name="40% - Accent2 3 3 2 3 5 2" xfId="18801"/>
    <cellStyle name="40% - Accent2 3 3 2 3 6" xfId="18802"/>
    <cellStyle name="40% - Accent2 3 3 2 4" xfId="18803"/>
    <cellStyle name="40% - Accent2 3 3 2 4 2" xfId="18804"/>
    <cellStyle name="40% - Accent2 3 3 2 4 2 2" xfId="18805"/>
    <cellStyle name="40% - Accent2 3 3 2 4 2 2 2" xfId="18806"/>
    <cellStyle name="40% - Accent2 3 3 2 4 2 3" xfId="18807"/>
    <cellStyle name="40% - Accent2 3 3 2 4 3" xfId="18808"/>
    <cellStyle name="40% - Accent2 3 3 2 4 3 2" xfId="18809"/>
    <cellStyle name="40% - Accent2 3 3 2 4 4" xfId="18810"/>
    <cellStyle name="40% - Accent2 3 3 2 5" xfId="18811"/>
    <cellStyle name="40% - Accent2 3 3 2 5 2" xfId="18812"/>
    <cellStyle name="40% - Accent2 3 3 2 5 2 2" xfId="18813"/>
    <cellStyle name="40% - Accent2 3 3 2 5 3" xfId="18814"/>
    <cellStyle name="40% - Accent2 3 3 2 6" xfId="18815"/>
    <cellStyle name="40% - Accent2 3 3 2 6 2" xfId="18816"/>
    <cellStyle name="40% - Accent2 3 3 2 7" xfId="18817"/>
    <cellStyle name="40% - Accent2 3 3 2 7 2" xfId="18818"/>
    <cellStyle name="40% - Accent2 3 3 2 8" xfId="18819"/>
    <cellStyle name="40% - Accent2 3 3 3" xfId="18820"/>
    <cellStyle name="40% - Accent2 3 3 3 2" xfId="18821"/>
    <cellStyle name="40% - Accent2 3 3 3 2 2" xfId="18822"/>
    <cellStyle name="40% - Accent2 3 3 3 2 2 2" xfId="18823"/>
    <cellStyle name="40% - Accent2 3 3 3 2 2 2 2" xfId="18824"/>
    <cellStyle name="40% - Accent2 3 3 3 2 2 2 2 2" xfId="18825"/>
    <cellStyle name="40% - Accent2 3 3 3 2 2 2 3" xfId="18826"/>
    <cellStyle name="40% - Accent2 3 3 3 2 2 3" xfId="18827"/>
    <cellStyle name="40% - Accent2 3 3 3 2 2 3 2" xfId="18828"/>
    <cellStyle name="40% - Accent2 3 3 3 2 2 4" xfId="18829"/>
    <cellStyle name="40% - Accent2 3 3 3 2 3" xfId="18830"/>
    <cellStyle name="40% - Accent2 3 3 3 2 3 2" xfId="18831"/>
    <cellStyle name="40% - Accent2 3 3 3 2 3 2 2" xfId="18832"/>
    <cellStyle name="40% - Accent2 3 3 3 2 3 3" xfId="18833"/>
    <cellStyle name="40% - Accent2 3 3 3 2 4" xfId="18834"/>
    <cellStyle name="40% - Accent2 3 3 3 2 4 2" xfId="18835"/>
    <cellStyle name="40% - Accent2 3 3 3 2 5" xfId="18836"/>
    <cellStyle name="40% - Accent2 3 3 3 2 5 2" xfId="18837"/>
    <cellStyle name="40% - Accent2 3 3 3 2 6" xfId="18838"/>
    <cellStyle name="40% - Accent2 3 3 3 3" xfId="18839"/>
    <cellStyle name="40% - Accent2 3 3 3 3 2" xfId="18840"/>
    <cellStyle name="40% - Accent2 3 3 3 3 2 2" xfId="18841"/>
    <cellStyle name="40% - Accent2 3 3 3 3 2 2 2" xfId="18842"/>
    <cellStyle name="40% - Accent2 3 3 3 3 2 2 2 2" xfId="18843"/>
    <cellStyle name="40% - Accent2 3 3 3 3 2 2 3" xfId="18844"/>
    <cellStyle name="40% - Accent2 3 3 3 3 2 3" xfId="18845"/>
    <cellStyle name="40% - Accent2 3 3 3 3 2 3 2" xfId="18846"/>
    <cellStyle name="40% - Accent2 3 3 3 3 2 4" xfId="18847"/>
    <cellStyle name="40% - Accent2 3 3 3 3 3" xfId="18848"/>
    <cellStyle name="40% - Accent2 3 3 3 3 3 2" xfId="18849"/>
    <cellStyle name="40% - Accent2 3 3 3 3 3 2 2" xfId="18850"/>
    <cellStyle name="40% - Accent2 3 3 3 3 3 3" xfId="18851"/>
    <cellStyle name="40% - Accent2 3 3 3 3 4" xfId="18852"/>
    <cellStyle name="40% - Accent2 3 3 3 3 4 2" xfId="18853"/>
    <cellStyle name="40% - Accent2 3 3 3 3 5" xfId="18854"/>
    <cellStyle name="40% - Accent2 3 3 3 3 5 2" xfId="18855"/>
    <cellStyle name="40% - Accent2 3 3 3 3 6" xfId="18856"/>
    <cellStyle name="40% - Accent2 3 3 3 4" xfId="18857"/>
    <cellStyle name="40% - Accent2 3 3 3 4 2" xfId="18858"/>
    <cellStyle name="40% - Accent2 3 3 3 4 2 2" xfId="18859"/>
    <cellStyle name="40% - Accent2 3 3 3 4 2 2 2" xfId="18860"/>
    <cellStyle name="40% - Accent2 3 3 3 4 2 3" xfId="18861"/>
    <cellStyle name="40% - Accent2 3 3 3 4 3" xfId="18862"/>
    <cellStyle name="40% - Accent2 3 3 3 4 3 2" xfId="18863"/>
    <cellStyle name="40% - Accent2 3 3 3 4 4" xfId="18864"/>
    <cellStyle name="40% - Accent2 3 3 3 5" xfId="18865"/>
    <cellStyle name="40% - Accent2 3 3 3 5 2" xfId="18866"/>
    <cellStyle name="40% - Accent2 3 3 3 5 2 2" xfId="18867"/>
    <cellStyle name="40% - Accent2 3 3 3 5 3" xfId="18868"/>
    <cellStyle name="40% - Accent2 3 3 3 6" xfId="18869"/>
    <cellStyle name="40% - Accent2 3 3 3 6 2" xfId="18870"/>
    <cellStyle name="40% - Accent2 3 3 3 7" xfId="18871"/>
    <cellStyle name="40% - Accent2 3 3 3 7 2" xfId="18872"/>
    <cellStyle name="40% - Accent2 3 3 3 8" xfId="18873"/>
    <cellStyle name="40% - Accent2 3 3 4" xfId="18874"/>
    <cellStyle name="40% - Accent2 3 3 4 2" xfId="18875"/>
    <cellStyle name="40% - Accent2 3 3 4 2 2" xfId="18876"/>
    <cellStyle name="40% - Accent2 3 3 4 2 2 2" xfId="18877"/>
    <cellStyle name="40% - Accent2 3 3 4 2 2 2 2" xfId="18878"/>
    <cellStyle name="40% - Accent2 3 3 4 2 2 3" xfId="18879"/>
    <cellStyle name="40% - Accent2 3 3 4 2 3" xfId="18880"/>
    <cellStyle name="40% - Accent2 3 3 4 2 3 2" xfId="18881"/>
    <cellStyle name="40% - Accent2 3 3 4 2 4" xfId="18882"/>
    <cellStyle name="40% - Accent2 3 3 4 3" xfId="18883"/>
    <cellStyle name="40% - Accent2 3 3 4 3 2" xfId="18884"/>
    <cellStyle name="40% - Accent2 3 3 4 3 2 2" xfId="18885"/>
    <cellStyle name="40% - Accent2 3 3 4 3 3" xfId="18886"/>
    <cellStyle name="40% - Accent2 3 3 4 4" xfId="18887"/>
    <cellStyle name="40% - Accent2 3 3 4 4 2" xfId="18888"/>
    <cellStyle name="40% - Accent2 3 3 4 5" xfId="18889"/>
    <cellStyle name="40% - Accent2 3 3 4 5 2" xfId="18890"/>
    <cellStyle name="40% - Accent2 3 3 4 6" xfId="18891"/>
    <cellStyle name="40% - Accent2 3 3 5" xfId="18892"/>
    <cellStyle name="40% - Accent2 3 3 5 2" xfId="18893"/>
    <cellStyle name="40% - Accent2 3 3 5 2 2" xfId="18894"/>
    <cellStyle name="40% - Accent2 3 3 5 2 2 2" xfId="18895"/>
    <cellStyle name="40% - Accent2 3 3 5 2 2 2 2" xfId="18896"/>
    <cellStyle name="40% - Accent2 3 3 5 2 2 3" xfId="18897"/>
    <cellStyle name="40% - Accent2 3 3 5 2 3" xfId="18898"/>
    <cellStyle name="40% - Accent2 3 3 5 2 3 2" xfId="18899"/>
    <cellStyle name="40% - Accent2 3 3 5 2 4" xfId="18900"/>
    <cellStyle name="40% - Accent2 3 3 5 3" xfId="18901"/>
    <cellStyle name="40% - Accent2 3 3 5 3 2" xfId="18902"/>
    <cellStyle name="40% - Accent2 3 3 5 3 2 2" xfId="18903"/>
    <cellStyle name="40% - Accent2 3 3 5 3 3" xfId="18904"/>
    <cellStyle name="40% - Accent2 3 3 5 4" xfId="18905"/>
    <cellStyle name="40% - Accent2 3 3 5 4 2" xfId="18906"/>
    <cellStyle name="40% - Accent2 3 3 5 5" xfId="18907"/>
    <cellStyle name="40% - Accent2 3 3 5 5 2" xfId="18908"/>
    <cellStyle name="40% - Accent2 3 3 5 6" xfId="18909"/>
    <cellStyle name="40% - Accent2 3 3 6" xfId="18910"/>
    <cellStyle name="40% - Accent2 3 3 6 2" xfId="18911"/>
    <cellStyle name="40% - Accent2 3 3 6 2 2" xfId="18912"/>
    <cellStyle name="40% - Accent2 3 3 6 2 2 2" xfId="18913"/>
    <cellStyle name="40% - Accent2 3 3 6 2 2 2 2" xfId="18914"/>
    <cellStyle name="40% - Accent2 3 3 6 2 2 3" xfId="18915"/>
    <cellStyle name="40% - Accent2 3 3 6 2 3" xfId="18916"/>
    <cellStyle name="40% - Accent2 3 3 6 2 3 2" xfId="18917"/>
    <cellStyle name="40% - Accent2 3 3 6 2 4" xfId="18918"/>
    <cellStyle name="40% - Accent2 3 3 6 3" xfId="18919"/>
    <cellStyle name="40% - Accent2 3 3 6 3 2" xfId="18920"/>
    <cellStyle name="40% - Accent2 3 3 6 3 2 2" xfId="18921"/>
    <cellStyle name="40% - Accent2 3 3 6 3 3" xfId="18922"/>
    <cellStyle name="40% - Accent2 3 3 6 4" xfId="18923"/>
    <cellStyle name="40% - Accent2 3 3 6 4 2" xfId="18924"/>
    <cellStyle name="40% - Accent2 3 3 6 5" xfId="18925"/>
    <cellStyle name="40% - Accent2 3 3 6 5 2" xfId="18926"/>
    <cellStyle name="40% - Accent2 3 3 6 6" xfId="18927"/>
    <cellStyle name="40% - Accent2 3 3 7" xfId="18928"/>
    <cellStyle name="40% - Accent2 3 3 7 2" xfId="18929"/>
    <cellStyle name="40% - Accent2 3 3 7 2 2" xfId="18930"/>
    <cellStyle name="40% - Accent2 3 3 7 2 2 2" xfId="18931"/>
    <cellStyle name="40% - Accent2 3 3 7 2 3" xfId="18932"/>
    <cellStyle name="40% - Accent2 3 3 7 3" xfId="18933"/>
    <cellStyle name="40% - Accent2 3 3 7 3 2" xfId="18934"/>
    <cellStyle name="40% - Accent2 3 3 7 4" xfId="18935"/>
    <cellStyle name="40% - Accent2 3 3 8" xfId="18936"/>
    <cellStyle name="40% - Accent2 3 3 8 2" xfId="18937"/>
    <cellStyle name="40% - Accent2 3 3 8 2 2" xfId="18938"/>
    <cellStyle name="40% - Accent2 3 3 8 3" xfId="18939"/>
    <cellStyle name="40% - Accent2 3 3 9" xfId="18940"/>
    <cellStyle name="40% - Accent2 3 3 9 2" xfId="18941"/>
    <cellStyle name="40% - Accent2 3 4" xfId="18942"/>
    <cellStyle name="40% - Accent2 3 4 10" xfId="18943"/>
    <cellStyle name="40% - Accent2 3 4 10 2" xfId="18944"/>
    <cellStyle name="40% - Accent2 3 4 11" xfId="18945"/>
    <cellStyle name="40% - Accent2 3 4 2" xfId="18946"/>
    <cellStyle name="40% - Accent2 3 4 2 2" xfId="18947"/>
    <cellStyle name="40% - Accent2 3 4 2 2 2" xfId="18948"/>
    <cellStyle name="40% - Accent2 3 4 2 2 2 2" xfId="18949"/>
    <cellStyle name="40% - Accent2 3 4 2 2 2 2 2" xfId="18950"/>
    <cellStyle name="40% - Accent2 3 4 2 2 2 2 2 2" xfId="18951"/>
    <cellStyle name="40% - Accent2 3 4 2 2 2 2 3" xfId="18952"/>
    <cellStyle name="40% - Accent2 3 4 2 2 2 3" xfId="18953"/>
    <cellStyle name="40% - Accent2 3 4 2 2 2 3 2" xfId="18954"/>
    <cellStyle name="40% - Accent2 3 4 2 2 2 4" xfId="18955"/>
    <cellStyle name="40% - Accent2 3 4 2 2 3" xfId="18956"/>
    <cellStyle name="40% - Accent2 3 4 2 2 3 2" xfId="18957"/>
    <cellStyle name="40% - Accent2 3 4 2 2 3 2 2" xfId="18958"/>
    <cellStyle name="40% - Accent2 3 4 2 2 3 3" xfId="18959"/>
    <cellStyle name="40% - Accent2 3 4 2 2 4" xfId="18960"/>
    <cellStyle name="40% - Accent2 3 4 2 2 4 2" xfId="18961"/>
    <cellStyle name="40% - Accent2 3 4 2 2 5" xfId="18962"/>
    <cellStyle name="40% - Accent2 3 4 2 2 5 2" xfId="18963"/>
    <cellStyle name="40% - Accent2 3 4 2 2 6" xfId="18964"/>
    <cellStyle name="40% - Accent2 3 4 2 3" xfId="18965"/>
    <cellStyle name="40% - Accent2 3 4 2 3 2" xfId="18966"/>
    <cellStyle name="40% - Accent2 3 4 2 3 2 2" xfId="18967"/>
    <cellStyle name="40% - Accent2 3 4 2 3 2 2 2" xfId="18968"/>
    <cellStyle name="40% - Accent2 3 4 2 3 2 2 2 2" xfId="18969"/>
    <cellStyle name="40% - Accent2 3 4 2 3 2 2 3" xfId="18970"/>
    <cellStyle name="40% - Accent2 3 4 2 3 2 3" xfId="18971"/>
    <cellStyle name="40% - Accent2 3 4 2 3 2 3 2" xfId="18972"/>
    <cellStyle name="40% - Accent2 3 4 2 3 2 4" xfId="18973"/>
    <cellStyle name="40% - Accent2 3 4 2 3 3" xfId="18974"/>
    <cellStyle name="40% - Accent2 3 4 2 3 3 2" xfId="18975"/>
    <cellStyle name="40% - Accent2 3 4 2 3 3 2 2" xfId="18976"/>
    <cellStyle name="40% - Accent2 3 4 2 3 3 3" xfId="18977"/>
    <cellStyle name="40% - Accent2 3 4 2 3 4" xfId="18978"/>
    <cellStyle name="40% - Accent2 3 4 2 3 4 2" xfId="18979"/>
    <cellStyle name="40% - Accent2 3 4 2 3 5" xfId="18980"/>
    <cellStyle name="40% - Accent2 3 4 2 3 5 2" xfId="18981"/>
    <cellStyle name="40% - Accent2 3 4 2 3 6" xfId="18982"/>
    <cellStyle name="40% - Accent2 3 4 2 4" xfId="18983"/>
    <cellStyle name="40% - Accent2 3 4 2 4 2" xfId="18984"/>
    <cellStyle name="40% - Accent2 3 4 2 4 2 2" xfId="18985"/>
    <cellStyle name="40% - Accent2 3 4 2 4 2 2 2" xfId="18986"/>
    <cellStyle name="40% - Accent2 3 4 2 4 2 3" xfId="18987"/>
    <cellStyle name="40% - Accent2 3 4 2 4 3" xfId="18988"/>
    <cellStyle name="40% - Accent2 3 4 2 4 3 2" xfId="18989"/>
    <cellStyle name="40% - Accent2 3 4 2 4 4" xfId="18990"/>
    <cellStyle name="40% - Accent2 3 4 2 5" xfId="18991"/>
    <cellStyle name="40% - Accent2 3 4 2 5 2" xfId="18992"/>
    <cellStyle name="40% - Accent2 3 4 2 5 2 2" xfId="18993"/>
    <cellStyle name="40% - Accent2 3 4 2 5 3" xfId="18994"/>
    <cellStyle name="40% - Accent2 3 4 2 6" xfId="18995"/>
    <cellStyle name="40% - Accent2 3 4 2 6 2" xfId="18996"/>
    <cellStyle name="40% - Accent2 3 4 2 7" xfId="18997"/>
    <cellStyle name="40% - Accent2 3 4 2 7 2" xfId="18998"/>
    <cellStyle name="40% - Accent2 3 4 2 8" xfId="18999"/>
    <cellStyle name="40% - Accent2 3 4 3" xfId="19000"/>
    <cellStyle name="40% - Accent2 3 4 3 2" xfId="19001"/>
    <cellStyle name="40% - Accent2 3 4 3 2 2" xfId="19002"/>
    <cellStyle name="40% - Accent2 3 4 3 2 2 2" xfId="19003"/>
    <cellStyle name="40% - Accent2 3 4 3 2 2 2 2" xfId="19004"/>
    <cellStyle name="40% - Accent2 3 4 3 2 2 2 2 2" xfId="19005"/>
    <cellStyle name="40% - Accent2 3 4 3 2 2 2 3" xfId="19006"/>
    <cellStyle name="40% - Accent2 3 4 3 2 2 3" xfId="19007"/>
    <cellStyle name="40% - Accent2 3 4 3 2 2 3 2" xfId="19008"/>
    <cellStyle name="40% - Accent2 3 4 3 2 2 4" xfId="19009"/>
    <cellStyle name="40% - Accent2 3 4 3 2 3" xfId="19010"/>
    <cellStyle name="40% - Accent2 3 4 3 2 3 2" xfId="19011"/>
    <cellStyle name="40% - Accent2 3 4 3 2 3 2 2" xfId="19012"/>
    <cellStyle name="40% - Accent2 3 4 3 2 3 3" xfId="19013"/>
    <cellStyle name="40% - Accent2 3 4 3 2 4" xfId="19014"/>
    <cellStyle name="40% - Accent2 3 4 3 2 4 2" xfId="19015"/>
    <cellStyle name="40% - Accent2 3 4 3 2 5" xfId="19016"/>
    <cellStyle name="40% - Accent2 3 4 3 2 5 2" xfId="19017"/>
    <cellStyle name="40% - Accent2 3 4 3 2 6" xfId="19018"/>
    <cellStyle name="40% - Accent2 3 4 3 3" xfId="19019"/>
    <cellStyle name="40% - Accent2 3 4 3 3 2" xfId="19020"/>
    <cellStyle name="40% - Accent2 3 4 3 3 2 2" xfId="19021"/>
    <cellStyle name="40% - Accent2 3 4 3 3 2 2 2" xfId="19022"/>
    <cellStyle name="40% - Accent2 3 4 3 3 2 2 2 2" xfId="19023"/>
    <cellStyle name="40% - Accent2 3 4 3 3 2 2 3" xfId="19024"/>
    <cellStyle name="40% - Accent2 3 4 3 3 2 3" xfId="19025"/>
    <cellStyle name="40% - Accent2 3 4 3 3 2 3 2" xfId="19026"/>
    <cellStyle name="40% - Accent2 3 4 3 3 2 4" xfId="19027"/>
    <cellStyle name="40% - Accent2 3 4 3 3 3" xfId="19028"/>
    <cellStyle name="40% - Accent2 3 4 3 3 3 2" xfId="19029"/>
    <cellStyle name="40% - Accent2 3 4 3 3 3 2 2" xfId="19030"/>
    <cellStyle name="40% - Accent2 3 4 3 3 3 3" xfId="19031"/>
    <cellStyle name="40% - Accent2 3 4 3 3 4" xfId="19032"/>
    <cellStyle name="40% - Accent2 3 4 3 3 4 2" xfId="19033"/>
    <cellStyle name="40% - Accent2 3 4 3 3 5" xfId="19034"/>
    <cellStyle name="40% - Accent2 3 4 3 3 5 2" xfId="19035"/>
    <cellStyle name="40% - Accent2 3 4 3 3 6" xfId="19036"/>
    <cellStyle name="40% - Accent2 3 4 3 4" xfId="19037"/>
    <cellStyle name="40% - Accent2 3 4 3 4 2" xfId="19038"/>
    <cellStyle name="40% - Accent2 3 4 3 4 2 2" xfId="19039"/>
    <cellStyle name="40% - Accent2 3 4 3 4 2 2 2" xfId="19040"/>
    <cellStyle name="40% - Accent2 3 4 3 4 2 3" xfId="19041"/>
    <cellStyle name="40% - Accent2 3 4 3 4 3" xfId="19042"/>
    <cellStyle name="40% - Accent2 3 4 3 4 3 2" xfId="19043"/>
    <cellStyle name="40% - Accent2 3 4 3 4 4" xfId="19044"/>
    <cellStyle name="40% - Accent2 3 4 3 5" xfId="19045"/>
    <cellStyle name="40% - Accent2 3 4 3 5 2" xfId="19046"/>
    <cellStyle name="40% - Accent2 3 4 3 5 2 2" xfId="19047"/>
    <cellStyle name="40% - Accent2 3 4 3 5 3" xfId="19048"/>
    <cellStyle name="40% - Accent2 3 4 3 6" xfId="19049"/>
    <cellStyle name="40% - Accent2 3 4 3 6 2" xfId="19050"/>
    <cellStyle name="40% - Accent2 3 4 3 7" xfId="19051"/>
    <cellStyle name="40% - Accent2 3 4 3 7 2" xfId="19052"/>
    <cellStyle name="40% - Accent2 3 4 3 8" xfId="19053"/>
    <cellStyle name="40% - Accent2 3 4 4" xfId="19054"/>
    <cellStyle name="40% - Accent2 3 4 4 2" xfId="19055"/>
    <cellStyle name="40% - Accent2 3 4 4 2 2" xfId="19056"/>
    <cellStyle name="40% - Accent2 3 4 4 2 2 2" xfId="19057"/>
    <cellStyle name="40% - Accent2 3 4 4 2 2 2 2" xfId="19058"/>
    <cellStyle name="40% - Accent2 3 4 4 2 2 3" xfId="19059"/>
    <cellStyle name="40% - Accent2 3 4 4 2 3" xfId="19060"/>
    <cellStyle name="40% - Accent2 3 4 4 2 3 2" xfId="19061"/>
    <cellStyle name="40% - Accent2 3 4 4 2 4" xfId="19062"/>
    <cellStyle name="40% - Accent2 3 4 4 3" xfId="19063"/>
    <cellStyle name="40% - Accent2 3 4 4 3 2" xfId="19064"/>
    <cellStyle name="40% - Accent2 3 4 4 3 2 2" xfId="19065"/>
    <cellStyle name="40% - Accent2 3 4 4 3 3" xfId="19066"/>
    <cellStyle name="40% - Accent2 3 4 4 4" xfId="19067"/>
    <cellStyle name="40% - Accent2 3 4 4 4 2" xfId="19068"/>
    <cellStyle name="40% - Accent2 3 4 4 5" xfId="19069"/>
    <cellStyle name="40% - Accent2 3 4 4 5 2" xfId="19070"/>
    <cellStyle name="40% - Accent2 3 4 4 6" xfId="19071"/>
    <cellStyle name="40% - Accent2 3 4 5" xfId="19072"/>
    <cellStyle name="40% - Accent2 3 4 5 2" xfId="19073"/>
    <cellStyle name="40% - Accent2 3 4 5 2 2" xfId="19074"/>
    <cellStyle name="40% - Accent2 3 4 5 2 2 2" xfId="19075"/>
    <cellStyle name="40% - Accent2 3 4 5 2 2 2 2" xfId="19076"/>
    <cellStyle name="40% - Accent2 3 4 5 2 2 3" xfId="19077"/>
    <cellStyle name="40% - Accent2 3 4 5 2 3" xfId="19078"/>
    <cellStyle name="40% - Accent2 3 4 5 2 3 2" xfId="19079"/>
    <cellStyle name="40% - Accent2 3 4 5 2 4" xfId="19080"/>
    <cellStyle name="40% - Accent2 3 4 5 3" xfId="19081"/>
    <cellStyle name="40% - Accent2 3 4 5 3 2" xfId="19082"/>
    <cellStyle name="40% - Accent2 3 4 5 3 2 2" xfId="19083"/>
    <cellStyle name="40% - Accent2 3 4 5 3 3" xfId="19084"/>
    <cellStyle name="40% - Accent2 3 4 5 4" xfId="19085"/>
    <cellStyle name="40% - Accent2 3 4 5 4 2" xfId="19086"/>
    <cellStyle name="40% - Accent2 3 4 5 5" xfId="19087"/>
    <cellStyle name="40% - Accent2 3 4 5 5 2" xfId="19088"/>
    <cellStyle name="40% - Accent2 3 4 5 6" xfId="19089"/>
    <cellStyle name="40% - Accent2 3 4 6" xfId="19090"/>
    <cellStyle name="40% - Accent2 3 4 6 2" xfId="19091"/>
    <cellStyle name="40% - Accent2 3 4 6 2 2" xfId="19092"/>
    <cellStyle name="40% - Accent2 3 4 6 2 2 2" xfId="19093"/>
    <cellStyle name="40% - Accent2 3 4 6 2 2 2 2" xfId="19094"/>
    <cellStyle name="40% - Accent2 3 4 6 2 2 3" xfId="19095"/>
    <cellStyle name="40% - Accent2 3 4 6 2 3" xfId="19096"/>
    <cellStyle name="40% - Accent2 3 4 6 2 3 2" xfId="19097"/>
    <cellStyle name="40% - Accent2 3 4 6 2 4" xfId="19098"/>
    <cellStyle name="40% - Accent2 3 4 6 3" xfId="19099"/>
    <cellStyle name="40% - Accent2 3 4 6 3 2" xfId="19100"/>
    <cellStyle name="40% - Accent2 3 4 6 3 2 2" xfId="19101"/>
    <cellStyle name="40% - Accent2 3 4 6 3 3" xfId="19102"/>
    <cellStyle name="40% - Accent2 3 4 6 4" xfId="19103"/>
    <cellStyle name="40% - Accent2 3 4 6 4 2" xfId="19104"/>
    <cellStyle name="40% - Accent2 3 4 6 5" xfId="19105"/>
    <cellStyle name="40% - Accent2 3 4 6 5 2" xfId="19106"/>
    <cellStyle name="40% - Accent2 3 4 6 6" xfId="19107"/>
    <cellStyle name="40% - Accent2 3 4 7" xfId="19108"/>
    <cellStyle name="40% - Accent2 3 4 7 2" xfId="19109"/>
    <cellStyle name="40% - Accent2 3 4 7 2 2" xfId="19110"/>
    <cellStyle name="40% - Accent2 3 4 7 2 2 2" xfId="19111"/>
    <cellStyle name="40% - Accent2 3 4 7 2 3" xfId="19112"/>
    <cellStyle name="40% - Accent2 3 4 7 3" xfId="19113"/>
    <cellStyle name="40% - Accent2 3 4 7 3 2" xfId="19114"/>
    <cellStyle name="40% - Accent2 3 4 7 4" xfId="19115"/>
    <cellStyle name="40% - Accent2 3 4 8" xfId="19116"/>
    <cellStyle name="40% - Accent2 3 4 8 2" xfId="19117"/>
    <cellStyle name="40% - Accent2 3 4 8 2 2" xfId="19118"/>
    <cellStyle name="40% - Accent2 3 4 8 3" xfId="19119"/>
    <cellStyle name="40% - Accent2 3 4 9" xfId="19120"/>
    <cellStyle name="40% - Accent2 3 4 9 2" xfId="19121"/>
    <cellStyle name="40% - Accent2 3 5" xfId="19122"/>
    <cellStyle name="40% - Accent2 3 5 10" xfId="19123"/>
    <cellStyle name="40% - Accent2 3 5 10 2" xfId="19124"/>
    <cellStyle name="40% - Accent2 3 5 11" xfId="19125"/>
    <cellStyle name="40% - Accent2 3 5 2" xfId="19126"/>
    <cellStyle name="40% - Accent2 3 5 2 2" xfId="19127"/>
    <cellStyle name="40% - Accent2 3 5 2 2 2" xfId="19128"/>
    <cellStyle name="40% - Accent2 3 5 2 2 2 2" xfId="19129"/>
    <cellStyle name="40% - Accent2 3 5 2 2 2 2 2" xfId="19130"/>
    <cellStyle name="40% - Accent2 3 5 2 2 2 2 2 2" xfId="19131"/>
    <cellStyle name="40% - Accent2 3 5 2 2 2 2 3" xfId="19132"/>
    <cellStyle name="40% - Accent2 3 5 2 2 2 3" xfId="19133"/>
    <cellStyle name="40% - Accent2 3 5 2 2 2 3 2" xfId="19134"/>
    <cellStyle name="40% - Accent2 3 5 2 2 2 4" xfId="19135"/>
    <cellStyle name="40% - Accent2 3 5 2 2 3" xfId="19136"/>
    <cellStyle name="40% - Accent2 3 5 2 2 3 2" xfId="19137"/>
    <cellStyle name="40% - Accent2 3 5 2 2 3 2 2" xfId="19138"/>
    <cellStyle name="40% - Accent2 3 5 2 2 3 3" xfId="19139"/>
    <cellStyle name="40% - Accent2 3 5 2 2 4" xfId="19140"/>
    <cellStyle name="40% - Accent2 3 5 2 2 4 2" xfId="19141"/>
    <cellStyle name="40% - Accent2 3 5 2 2 5" xfId="19142"/>
    <cellStyle name="40% - Accent2 3 5 2 2 5 2" xfId="19143"/>
    <cellStyle name="40% - Accent2 3 5 2 2 6" xfId="19144"/>
    <cellStyle name="40% - Accent2 3 5 2 3" xfId="19145"/>
    <cellStyle name="40% - Accent2 3 5 2 3 2" xfId="19146"/>
    <cellStyle name="40% - Accent2 3 5 2 3 2 2" xfId="19147"/>
    <cellStyle name="40% - Accent2 3 5 2 3 2 2 2" xfId="19148"/>
    <cellStyle name="40% - Accent2 3 5 2 3 2 2 2 2" xfId="19149"/>
    <cellStyle name="40% - Accent2 3 5 2 3 2 2 3" xfId="19150"/>
    <cellStyle name="40% - Accent2 3 5 2 3 2 3" xfId="19151"/>
    <cellStyle name="40% - Accent2 3 5 2 3 2 3 2" xfId="19152"/>
    <cellStyle name="40% - Accent2 3 5 2 3 2 4" xfId="19153"/>
    <cellStyle name="40% - Accent2 3 5 2 3 3" xfId="19154"/>
    <cellStyle name="40% - Accent2 3 5 2 3 3 2" xfId="19155"/>
    <cellStyle name="40% - Accent2 3 5 2 3 3 2 2" xfId="19156"/>
    <cellStyle name="40% - Accent2 3 5 2 3 3 3" xfId="19157"/>
    <cellStyle name="40% - Accent2 3 5 2 3 4" xfId="19158"/>
    <cellStyle name="40% - Accent2 3 5 2 3 4 2" xfId="19159"/>
    <cellStyle name="40% - Accent2 3 5 2 3 5" xfId="19160"/>
    <cellStyle name="40% - Accent2 3 5 2 3 5 2" xfId="19161"/>
    <cellStyle name="40% - Accent2 3 5 2 3 6" xfId="19162"/>
    <cellStyle name="40% - Accent2 3 5 2 4" xfId="19163"/>
    <cellStyle name="40% - Accent2 3 5 2 4 2" xfId="19164"/>
    <cellStyle name="40% - Accent2 3 5 2 4 2 2" xfId="19165"/>
    <cellStyle name="40% - Accent2 3 5 2 4 2 2 2" xfId="19166"/>
    <cellStyle name="40% - Accent2 3 5 2 4 2 3" xfId="19167"/>
    <cellStyle name="40% - Accent2 3 5 2 4 3" xfId="19168"/>
    <cellStyle name="40% - Accent2 3 5 2 4 3 2" xfId="19169"/>
    <cellStyle name="40% - Accent2 3 5 2 4 4" xfId="19170"/>
    <cellStyle name="40% - Accent2 3 5 2 5" xfId="19171"/>
    <cellStyle name="40% - Accent2 3 5 2 5 2" xfId="19172"/>
    <cellStyle name="40% - Accent2 3 5 2 5 2 2" xfId="19173"/>
    <cellStyle name="40% - Accent2 3 5 2 5 3" xfId="19174"/>
    <cellStyle name="40% - Accent2 3 5 2 6" xfId="19175"/>
    <cellStyle name="40% - Accent2 3 5 2 6 2" xfId="19176"/>
    <cellStyle name="40% - Accent2 3 5 2 7" xfId="19177"/>
    <cellStyle name="40% - Accent2 3 5 2 7 2" xfId="19178"/>
    <cellStyle name="40% - Accent2 3 5 2 8" xfId="19179"/>
    <cellStyle name="40% - Accent2 3 5 3" xfId="19180"/>
    <cellStyle name="40% - Accent2 3 5 3 2" xfId="19181"/>
    <cellStyle name="40% - Accent2 3 5 3 2 2" xfId="19182"/>
    <cellStyle name="40% - Accent2 3 5 3 2 2 2" xfId="19183"/>
    <cellStyle name="40% - Accent2 3 5 3 2 2 2 2" xfId="19184"/>
    <cellStyle name="40% - Accent2 3 5 3 2 2 2 2 2" xfId="19185"/>
    <cellStyle name="40% - Accent2 3 5 3 2 2 2 3" xfId="19186"/>
    <cellStyle name="40% - Accent2 3 5 3 2 2 3" xfId="19187"/>
    <cellStyle name="40% - Accent2 3 5 3 2 2 3 2" xfId="19188"/>
    <cellStyle name="40% - Accent2 3 5 3 2 2 4" xfId="19189"/>
    <cellStyle name="40% - Accent2 3 5 3 2 3" xfId="19190"/>
    <cellStyle name="40% - Accent2 3 5 3 2 3 2" xfId="19191"/>
    <cellStyle name="40% - Accent2 3 5 3 2 3 2 2" xfId="19192"/>
    <cellStyle name="40% - Accent2 3 5 3 2 3 3" xfId="19193"/>
    <cellStyle name="40% - Accent2 3 5 3 2 4" xfId="19194"/>
    <cellStyle name="40% - Accent2 3 5 3 2 4 2" xfId="19195"/>
    <cellStyle name="40% - Accent2 3 5 3 2 5" xfId="19196"/>
    <cellStyle name="40% - Accent2 3 5 3 2 5 2" xfId="19197"/>
    <cellStyle name="40% - Accent2 3 5 3 2 6" xfId="19198"/>
    <cellStyle name="40% - Accent2 3 5 3 3" xfId="19199"/>
    <cellStyle name="40% - Accent2 3 5 3 3 2" xfId="19200"/>
    <cellStyle name="40% - Accent2 3 5 3 3 2 2" xfId="19201"/>
    <cellStyle name="40% - Accent2 3 5 3 3 2 2 2" xfId="19202"/>
    <cellStyle name="40% - Accent2 3 5 3 3 2 2 2 2" xfId="19203"/>
    <cellStyle name="40% - Accent2 3 5 3 3 2 2 3" xfId="19204"/>
    <cellStyle name="40% - Accent2 3 5 3 3 2 3" xfId="19205"/>
    <cellStyle name="40% - Accent2 3 5 3 3 2 3 2" xfId="19206"/>
    <cellStyle name="40% - Accent2 3 5 3 3 2 4" xfId="19207"/>
    <cellStyle name="40% - Accent2 3 5 3 3 3" xfId="19208"/>
    <cellStyle name="40% - Accent2 3 5 3 3 3 2" xfId="19209"/>
    <cellStyle name="40% - Accent2 3 5 3 3 3 2 2" xfId="19210"/>
    <cellStyle name="40% - Accent2 3 5 3 3 3 3" xfId="19211"/>
    <cellStyle name="40% - Accent2 3 5 3 3 4" xfId="19212"/>
    <cellStyle name="40% - Accent2 3 5 3 3 4 2" xfId="19213"/>
    <cellStyle name="40% - Accent2 3 5 3 3 5" xfId="19214"/>
    <cellStyle name="40% - Accent2 3 5 3 3 5 2" xfId="19215"/>
    <cellStyle name="40% - Accent2 3 5 3 3 6" xfId="19216"/>
    <cellStyle name="40% - Accent2 3 5 3 4" xfId="19217"/>
    <cellStyle name="40% - Accent2 3 5 3 4 2" xfId="19218"/>
    <cellStyle name="40% - Accent2 3 5 3 4 2 2" xfId="19219"/>
    <cellStyle name="40% - Accent2 3 5 3 4 2 2 2" xfId="19220"/>
    <cellStyle name="40% - Accent2 3 5 3 4 2 3" xfId="19221"/>
    <cellStyle name="40% - Accent2 3 5 3 4 3" xfId="19222"/>
    <cellStyle name="40% - Accent2 3 5 3 4 3 2" xfId="19223"/>
    <cellStyle name="40% - Accent2 3 5 3 4 4" xfId="19224"/>
    <cellStyle name="40% - Accent2 3 5 3 5" xfId="19225"/>
    <cellStyle name="40% - Accent2 3 5 3 5 2" xfId="19226"/>
    <cellStyle name="40% - Accent2 3 5 3 5 2 2" xfId="19227"/>
    <cellStyle name="40% - Accent2 3 5 3 5 3" xfId="19228"/>
    <cellStyle name="40% - Accent2 3 5 3 6" xfId="19229"/>
    <cellStyle name="40% - Accent2 3 5 3 6 2" xfId="19230"/>
    <cellStyle name="40% - Accent2 3 5 3 7" xfId="19231"/>
    <cellStyle name="40% - Accent2 3 5 3 7 2" xfId="19232"/>
    <cellStyle name="40% - Accent2 3 5 3 8" xfId="19233"/>
    <cellStyle name="40% - Accent2 3 5 4" xfId="19234"/>
    <cellStyle name="40% - Accent2 3 5 4 2" xfId="19235"/>
    <cellStyle name="40% - Accent2 3 5 4 2 2" xfId="19236"/>
    <cellStyle name="40% - Accent2 3 5 4 2 2 2" xfId="19237"/>
    <cellStyle name="40% - Accent2 3 5 4 2 2 2 2" xfId="19238"/>
    <cellStyle name="40% - Accent2 3 5 4 2 2 3" xfId="19239"/>
    <cellStyle name="40% - Accent2 3 5 4 2 3" xfId="19240"/>
    <cellStyle name="40% - Accent2 3 5 4 2 3 2" xfId="19241"/>
    <cellStyle name="40% - Accent2 3 5 4 2 4" xfId="19242"/>
    <cellStyle name="40% - Accent2 3 5 4 3" xfId="19243"/>
    <cellStyle name="40% - Accent2 3 5 4 3 2" xfId="19244"/>
    <cellStyle name="40% - Accent2 3 5 4 3 2 2" xfId="19245"/>
    <cellStyle name="40% - Accent2 3 5 4 3 3" xfId="19246"/>
    <cellStyle name="40% - Accent2 3 5 4 4" xfId="19247"/>
    <cellStyle name="40% - Accent2 3 5 4 4 2" xfId="19248"/>
    <cellStyle name="40% - Accent2 3 5 4 5" xfId="19249"/>
    <cellStyle name="40% - Accent2 3 5 4 5 2" xfId="19250"/>
    <cellStyle name="40% - Accent2 3 5 4 6" xfId="19251"/>
    <cellStyle name="40% - Accent2 3 5 5" xfId="19252"/>
    <cellStyle name="40% - Accent2 3 5 5 2" xfId="19253"/>
    <cellStyle name="40% - Accent2 3 5 5 2 2" xfId="19254"/>
    <cellStyle name="40% - Accent2 3 5 5 2 2 2" xfId="19255"/>
    <cellStyle name="40% - Accent2 3 5 5 2 2 2 2" xfId="19256"/>
    <cellStyle name="40% - Accent2 3 5 5 2 2 3" xfId="19257"/>
    <cellStyle name="40% - Accent2 3 5 5 2 3" xfId="19258"/>
    <cellStyle name="40% - Accent2 3 5 5 2 3 2" xfId="19259"/>
    <cellStyle name="40% - Accent2 3 5 5 2 4" xfId="19260"/>
    <cellStyle name="40% - Accent2 3 5 5 3" xfId="19261"/>
    <cellStyle name="40% - Accent2 3 5 5 3 2" xfId="19262"/>
    <cellStyle name="40% - Accent2 3 5 5 3 2 2" xfId="19263"/>
    <cellStyle name="40% - Accent2 3 5 5 3 3" xfId="19264"/>
    <cellStyle name="40% - Accent2 3 5 5 4" xfId="19265"/>
    <cellStyle name="40% - Accent2 3 5 5 4 2" xfId="19266"/>
    <cellStyle name="40% - Accent2 3 5 5 5" xfId="19267"/>
    <cellStyle name="40% - Accent2 3 5 5 5 2" xfId="19268"/>
    <cellStyle name="40% - Accent2 3 5 5 6" xfId="19269"/>
    <cellStyle name="40% - Accent2 3 5 6" xfId="19270"/>
    <cellStyle name="40% - Accent2 3 5 6 2" xfId="19271"/>
    <cellStyle name="40% - Accent2 3 5 6 2 2" xfId="19272"/>
    <cellStyle name="40% - Accent2 3 5 6 2 2 2" xfId="19273"/>
    <cellStyle name="40% - Accent2 3 5 6 2 2 2 2" xfId="19274"/>
    <cellStyle name="40% - Accent2 3 5 6 2 2 3" xfId="19275"/>
    <cellStyle name="40% - Accent2 3 5 6 2 3" xfId="19276"/>
    <cellStyle name="40% - Accent2 3 5 6 2 3 2" xfId="19277"/>
    <cellStyle name="40% - Accent2 3 5 6 2 4" xfId="19278"/>
    <cellStyle name="40% - Accent2 3 5 6 3" xfId="19279"/>
    <cellStyle name="40% - Accent2 3 5 6 3 2" xfId="19280"/>
    <cellStyle name="40% - Accent2 3 5 6 3 2 2" xfId="19281"/>
    <cellStyle name="40% - Accent2 3 5 6 3 3" xfId="19282"/>
    <cellStyle name="40% - Accent2 3 5 6 4" xfId="19283"/>
    <cellStyle name="40% - Accent2 3 5 6 4 2" xfId="19284"/>
    <cellStyle name="40% - Accent2 3 5 6 5" xfId="19285"/>
    <cellStyle name="40% - Accent2 3 5 6 5 2" xfId="19286"/>
    <cellStyle name="40% - Accent2 3 5 6 6" xfId="19287"/>
    <cellStyle name="40% - Accent2 3 5 7" xfId="19288"/>
    <cellStyle name="40% - Accent2 3 5 7 2" xfId="19289"/>
    <cellStyle name="40% - Accent2 3 5 7 2 2" xfId="19290"/>
    <cellStyle name="40% - Accent2 3 5 7 2 2 2" xfId="19291"/>
    <cellStyle name="40% - Accent2 3 5 7 2 3" xfId="19292"/>
    <cellStyle name="40% - Accent2 3 5 7 3" xfId="19293"/>
    <cellStyle name="40% - Accent2 3 5 7 3 2" xfId="19294"/>
    <cellStyle name="40% - Accent2 3 5 7 4" xfId="19295"/>
    <cellStyle name="40% - Accent2 3 5 8" xfId="19296"/>
    <cellStyle name="40% - Accent2 3 5 8 2" xfId="19297"/>
    <cellStyle name="40% - Accent2 3 5 8 2 2" xfId="19298"/>
    <cellStyle name="40% - Accent2 3 5 8 3" xfId="19299"/>
    <cellStyle name="40% - Accent2 3 5 9" xfId="19300"/>
    <cellStyle name="40% - Accent2 3 5 9 2" xfId="19301"/>
    <cellStyle name="40% - Accent2 3 6" xfId="19302"/>
    <cellStyle name="40% - Accent2 3 6 2" xfId="19303"/>
    <cellStyle name="40% - Accent2 3 6 2 2" xfId="19304"/>
    <cellStyle name="40% - Accent2 3 6 2 2 2" xfId="19305"/>
    <cellStyle name="40% - Accent2 3 6 2 2 2 2" xfId="19306"/>
    <cellStyle name="40% - Accent2 3 6 2 2 2 2 2" xfId="19307"/>
    <cellStyle name="40% - Accent2 3 6 2 2 2 3" xfId="19308"/>
    <cellStyle name="40% - Accent2 3 6 2 2 3" xfId="19309"/>
    <cellStyle name="40% - Accent2 3 6 2 2 3 2" xfId="19310"/>
    <cellStyle name="40% - Accent2 3 6 2 2 4" xfId="19311"/>
    <cellStyle name="40% - Accent2 3 6 2 3" xfId="19312"/>
    <cellStyle name="40% - Accent2 3 6 2 3 2" xfId="19313"/>
    <cellStyle name="40% - Accent2 3 6 2 3 2 2" xfId="19314"/>
    <cellStyle name="40% - Accent2 3 6 2 3 3" xfId="19315"/>
    <cellStyle name="40% - Accent2 3 6 2 4" xfId="19316"/>
    <cellStyle name="40% - Accent2 3 6 2 4 2" xfId="19317"/>
    <cellStyle name="40% - Accent2 3 6 2 5" xfId="19318"/>
    <cellStyle name="40% - Accent2 3 6 2 5 2" xfId="19319"/>
    <cellStyle name="40% - Accent2 3 6 2 6" xfId="19320"/>
    <cellStyle name="40% - Accent2 3 6 3" xfId="19321"/>
    <cellStyle name="40% - Accent2 3 6 3 2" xfId="19322"/>
    <cellStyle name="40% - Accent2 3 6 3 2 2" xfId="19323"/>
    <cellStyle name="40% - Accent2 3 6 3 2 2 2" xfId="19324"/>
    <cellStyle name="40% - Accent2 3 6 3 2 2 2 2" xfId="19325"/>
    <cellStyle name="40% - Accent2 3 6 3 2 2 3" xfId="19326"/>
    <cellStyle name="40% - Accent2 3 6 3 2 3" xfId="19327"/>
    <cellStyle name="40% - Accent2 3 6 3 2 3 2" xfId="19328"/>
    <cellStyle name="40% - Accent2 3 6 3 2 4" xfId="19329"/>
    <cellStyle name="40% - Accent2 3 6 3 3" xfId="19330"/>
    <cellStyle name="40% - Accent2 3 6 3 3 2" xfId="19331"/>
    <cellStyle name="40% - Accent2 3 6 3 3 2 2" xfId="19332"/>
    <cellStyle name="40% - Accent2 3 6 3 3 3" xfId="19333"/>
    <cellStyle name="40% - Accent2 3 6 3 4" xfId="19334"/>
    <cellStyle name="40% - Accent2 3 6 3 4 2" xfId="19335"/>
    <cellStyle name="40% - Accent2 3 6 3 5" xfId="19336"/>
    <cellStyle name="40% - Accent2 3 6 3 5 2" xfId="19337"/>
    <cellStyle name="40% - Accent2 3 6 3 6" xfId="19338"/>
    <cellStyle name="40% - Accent2 3 6 4" xfId="19339"/>
    <cellStyle name="40% - Accent2 3 6 4 2" xfId="19340"/>
    <cellStyle name="40% - Accent2 3 6 4 2 2" xfId="19341"/>
    <cellStyle name="40% - Accent2 3 6 4 2 2 2" xfId="19342"/>
    <cellStyle name="40% - Accent2 3 6 4 2 3" xfId="19343"/>
    <cellStyle name="40% - Accent2 3 6 4 3" xfId="19344"/>
    <cellStyle name="40% - Accent2 3 6 4 3 2" xfId="19345"/>
    <cellStyle name="40% - Accent2 3 6 4 4" xfId="19346"/>
    <cellStyle name="40% - Accent2 3 6 5" xfId="19347"/>
    <cellStyle name="40% - Accent2 3 6 5 2" xfId="19348"/>
    <cellStyle name="40% - Accent2 3 6 5 2 2" xfId="19349"/>
    <cellStyle name="40% - Accent2 3 6 5 3" xfId="19350"/>
    <cellStyle name="40% - Accent2 3 6 6" xfId="19351"/>
    <cellStyle name="40% - Accent2 3 6 6 2" xfId="19352"/>
    <cellStyle name="40% - Accent2 3 6 7" xfId="19353"/>
    <cellStyle name="40% - Accent2 3 6 7 2" xfId="19354"/>
    <cellStyle name="40% - Accent2 3 6 8" xfId="19355"/>
    <cellStyle name="40% - Accent2 3 7" xfId="19356"/>
    <cellStyle name="40% - Accent2 3 7 2" xfId="19357"/>
    <cellStyle name="40% - Accent2 3 7 2 2" xfId="19358"/>
    <cellStyle name="40% - Accent2 3 7 2 2 2" xfId="19359"/>
    <cellStyle name="40% - Accent2 3 7 2 2 2 2" xfId="19360"/>
    <cellStyle name="40% - Accent2 3 7 2 2 2 2 2" xfId="19361"/>
    <cellStyle name="40% - Accent2 3 7 2 2 2 3" xfId="19362"/>
    <cellStyle name="40% - Accent2 3 7 2 2 3" xfId="19363"/>
    <cellStyle name="40% - Accent2 3 7 2 2 3 2" xfId="19364"/>
    <cellStyle name="40% - Accent2 3 7 2 2 4" xfId="19365"/>
    <cellStyle name="40% - Accent2 3 7 2 3" xfId="19366"/>
    <cellStyle name="40% - Accent2 3 7 2 3 2" xfId="19367"/>
    <cellStyle name="40% - Accent2 3 7 2 3 2 2" xfId="19368"/>
    <cellStyle name="40% - Accent2 3 7 2 3 3" xfId="19369"/>
    <cellStyle name="40% - Accent2 3 7 2 4" xfId="19370"/>
    <cellStyle name="40% - Accent2 3 7 2 4 2" xfId="19371"/>
    <cellStyle name="40% - Accent2 3 7 2 5" xfId="19372"/>
    <cellStyle name="40% - Accent2 3 7 2 5 2" xfId="19373"/>
    <cellStyle name="40% - Accent2 3 7 2 6" xfId="19374"/>
    <cellStyle name="40% - Accent2 3 7 3" xfId="19375"/>
    <cellStyle name="40% - Accent2 3 7 3 2" xfId="19376"/>
    <cellStyle name="40% - Accent2 3 7 3 2 2" xfId="19377"/>
    <cellStyle name="40% - Accent2 3 7 3 2 2 2" xfId="19378"/>
    <cellStyle name="40% - Accent2 3 7 3 2 2 2 2" xfId="19379"/>
    <cellStyle name="40% - Accent2 3 7 3 2 2 3" xfId="19380"/>
    <cellStyle name="40% - Accent2 3 7 3 2 3" xfId="19381"/>
    <cellStyle name="40% - Accent2 3 7 3 2 3 2" xfId="19382"/>
    <cellStyle name="40% - Accent2 3 7 3 2 4" xfId="19383"/>
    <cellStyle name="40% - Accent2 3 7 3 3" xfId="19384"/>
    <cellStyle name="40% - Accent2 3 7 3 3 2" xfId="19385"/>
    <cellStyle name="40% - Accent2 3 7 3 3 2 2" xfId="19386"/>
    <cellStyle name="40% - Accent2 3 7 3 3 3" xfId="19387"/>
    <cellStyle name="40% - Accent2 3 7 3 4" xfId="19388"/>
    <cellStyle name="40% - Accent2 3 7 3 4 2" xfId="19389"/>
    <cellStyle name="40% - Accent2 3 7 3 5" xfId="19390"/>
    <cellStyle name="40% - Accent2 3 7 3 5 2" xfId="19391"/>
    <cellStyle name="40% - Accent2 3 7 3 6" xfId="19392"/>
    <cellStyle name="40% - Accent2 3 7 4" xfId="19393"/>
    <cellStyle name="40% - Accent2 3 7 4 2" xfId="19394"/>
    <cellStyle name="40% - Accent2 3 7 4 2 2" xfId="19395"/>
    <cellStyle name="40% - Accent2 3 7 4 2 2 2" xfId="19396"/>
    <cellStyle name="40% - Accent2 3 7 4 2 3" xfId="19397"/>
    <cellStyle name="40% - Accent2 3 7 4 3" xfId="19398"/>
    <cellStyle name="40% - Accent2 3 7 4 3 2" xfId="19399"/>
    <cellStyle name="40% - Accent2 3 7 4 4" xfId="19400"/>
    <cellStyle name="40% - Accent2 3 7 5" xfId="19401"/>
    <cellStyle name="40% - Accent2 3 7 5 2" xfId="19402"/>
    <cellStyle name="40% - Accent2 3 7 5 2 2" xfId="19403"/>
    <cellStyle name="40% - Accent2 3 7 5 3" xfId="19404"/>
    <cellStyle name="40% - Accent2 3 7 6" xfId="19405"/>
    <cellStyle name="40% - Accent2 3 7 6 2" xfId="19406"/>
    <cellStyle name="40% - Accent2 3 7 7" xfId="19407"/>
    <cellStyle name="40% - Accent2 3 7 7 2" xfId="19408"/>
    <cellStyle name="40% - Accent2 3 7 8" xfId="19409"/>
    <cellStyle name="40% - Accent2 3 8" xfId="19410"/>
    <cellStyle name="40% - Accent2 3 8 2" xfId="19411"/>
    <cellStyle name="40% - Accent2 3 8 2 2" xfId="19412"/>
    <cellStyle name="40% - Accent2 3 8 2 2 2" xfId="19413"/>
    <cellStyle name="40% - Accent2 3 8 2 2 2 2" xfId="19414"/>
    <cellStyle name="40% - Accent2 3 8 2 2 3" xfId="19415"/>
    <cellStyle name="40% - Accent2 3 8 2 3" xfId="19416"/>
    <cellStyle name="40% - Accent2 3 8 2 3 2" xfId="19417"/>
    <cellStyle name="40% - Accent2 3 8 2 4" xfId="19418"/>
    <cellStyle name="40% - Accent2 3 8 3" xfId="19419"/>
    <cellStyle name="40% - Accent2 3 8 3 2" xfId="19420"/>
    <cellStyle name="40% - Accent2 3 8 3 2 2" xfId="19421"/>
    <cellStyle name="40% - Accent2 3 8 3 3" xfId="19422"/>
    <cellStyle name="40% - Accent2 3 8 4" xfId="19423"/>
    <cellStyle name="40% - Accent2 3 8 4 2" xfId="19424"/>
    <cellStyle name="40% - Accent2 3 8 5" xfId="19425"/>
    <cellStyle name="40% - Accent2 3 8 5 2" xfId="19426"/>
    <cellStyle name="40% - Accent2 3 8 6" xfId="19427"/>
    <cellStyle name="40% - Accent2 3 9" xfId="19428"/>
    <cellStyle name="40% - Accent2 3 9 2" xfId="19429"/>
    <cellStyle name="40% - Accent2 3 9 2 2" xfId="19430"/>
    <cellStyle name="40% - Accent2 3 9 2 2 2" xfId="19431"/>
    <cellStyle name="40% - Accent2 3 9 2 2 2 2" xfId="19432"/>
    <cellStyle name="40% - Accent2 3 9 2 2 3" xfId="19433"/>
    <cellStyle name="40% - Accent2 3 9 2 3" xfId="19434"/>
    <cellStyle name="40% - Accent2 3 9 2 3 2" xfId="19435"/>
    <cellStyle name="40% - Accent2 3 9 2 4" xfId="19436"/>
    <cellStyle name="40% - Accent2 3 9 3" xfId="19437"/>
    <cellStyle name="40% - Accent2 3 9 3 2" xfId="19438"/>
    <cellStyle name="40% - Accent2 3 9 3 2 2" xfId="19439"/>
    <cellStyle name="40% - Accent2 3 9 3 3" xfId="19440"/>
    <cellStyle name="40% - Accent2 3 9 4" xfId="19441"/>
    <cellStyle name="40% - Accent2 3 9 4 2" xfId="19442"/>
    <cellStyle name="40% - Accent2 3 9 5" xfId="19443"/>
    <cellStyle name="40% - Accent2 3 9 5 2" xfId="19444"/>
    <cellStyle name="40% - Accent2 3 9 6" xfId="19445"/>
    <cellStyle name="40% - Accent2 4" xfId="19446"/>
    <cellStyle name="40% - Accent2 5" xfId="19447"/>
    <cellStyle name="40% - Accent2 5 10" xfId="19448"/>
    <cellStyle name="40% - Accent2 5 10 2" xfId="19449"/>
    <cellStyle name="40% - Accent2 5 11" xfId="19450"/>
    <cellStyle name="40% - Accent2 5 2" xfId="19451"/>
    <cellStyle name="40% - Accent2 5 2 2" xfId="19452"/>
    <cellStyle name="40% - Accent2 5 2 2 2" xfId="19453"/>
    <cellStyle name="40% - Accent2 5 2 2 2 2" xfId="19454"/>
    <cellStyle name="40% - Accent2 5 2 2 2 2 2" xfId="19455"/>
    <cellStyle name="40% - Accent2 5 2 2 2 2 2 2" xfId="19456"/>
    <cellStyle name="40% - Accent2 5 2 2 2 2 3" xfId="19457"/>
    <cellStyle name="40% - Accent2 5 2 2 2 3" xfId="19458"/>
    <cellStyle name="40% - Accent2 5 2 2 2 3 2" xfId="19459"/>
    <cellStyle name="40% - Accent2 5 2 2 2 4" xfId="19460"/>
    <cellStyle name="40% - Accent2 5 2 2 3" xfId="19461"/>
    <cellStyle name="40% - Accent2 5 2 2 3 2" xfId="19462"/>
    <cellStyle name="40% - Accent2 5 2 2 3 2 2" xfId="19463"/>
    <cellStyle name="40% - Accent2 5 2 2 3 3" xfId="19464"/>
    <cellStyle name="40% - Accent2 5 2 2 4" xfId="19465"/>
    <cellStyle name="40% - Accent2 5 2 2 4 2" xfId="19466"/>
    <cellStyle name="40% - Accent2 5 2 2 5" xfId="19467"/>
    <cellStyle name="40% - Accent2 5 2 2 5 2" xfId="19468"/>
    <cellStyle name="40% - Accent2 5 2 2 6" xfId="19469"/>
    <cellStyle name="40% - Accent2 5 2 3" xfId="19470"/>
    <cellStyle name="40% - Accent2 5 2 3 2" xfId="19471"/>
    <cellStyle name="40% - Accent2 5 2 3 2 2" xfId="19472"/>
    <cellStyle name="40% - Accent2 5 2 3 2 2 2" xfId="19473"/>
    <cellStyle name="40% - Accent2 5 2 3 2 2 2 2" xfId="19474"/>
    <cellStyle name="40% - Accent2 5 2 3 2 2 3" xfId="19475"/>
    <cellStyle name="40% - Accent2 5 2 3 2 3" xfId="19476"/>
    <cellStyle name="40% - Accent2 5 2 3 2 3 2" xfId="19477"/>
    <cellStyle name="40% - Accent2 5 2 3 2 4" xfId="19478"/>
    <cellStyle name="40% - Accent2 5 2 3 3" xfId="19479"/>
    <cellStyle name="40% - Accent2 5 2 3 3 2" xfId="19480"/>
    <cellStyle name="40% - Accent2 5 2 3 3 2 2" xfId="19481"/>
    <cellStyle name="40% - Accent2 5 2 3 3 3" xfId="19482"/>
    <cellStyle name="40% - Accent2 5 2 3 4" xfId="19483"/>
    <cellStyle name="40% - Accent2 5 2 3 4 2" xfId="19484"/>
    <cellStyle name="40% - Accent2 5 2 3 5" xfId="19485"/>
    <cellStyle name="40% - Accent2 5 2 3 5 2" xfId="19486"/>
    <cellStyle name="40% - Accent2 5 2 3 6" xfId="19487"/>
    <cellStyle name="40% - Accent2 5 2 4" xfId="19488"/>
    <cellStyle name="40% - Accent2 5 2 4 2" xfId="19489"/>
    <cellStyle name="40% - Accent2 5 2 4 2 2" xfId="19490"/>
    <cellStyle name="40% - Accent2 5 2 4 2 2 2" xfId="19491"/>
    <cellStyle name="40% - Accent2 5 2 4 2 3" xfId="19492"/>
    <cellStyle name="40% - Accent2 5 2 4 3" xfId="19493"/>
    <cellStyle name="40% - Accent2 5 2 4 3 2" xfId="19494"/>
    <cellStyle name="40% - Accent2 5 2 4 4" xfId="19495"/>
    <cellStyle name="40% - Accent2 5 2 5" xfId="19496"/>
    <cellStyle name="40% - Accent2 5 2 5 2" xfId="19497"/>
    <cellStyle name="40% - Accent2 5 2 5 2 2" xfId="19498"/>
    <cellStyle name="40% - Accent2 5 2 5 3" xfId="19499"/>
    <cellStyle name="40% - Accent2 5 2 6" xfId="19500"/>
    <cellStyle name="40% - Accent2 5 2 6 2" xfId="19501"/>
    <cellStyle name="40% - Accent2 5 2 7" xfId="19502"/>
    <cellStyle name="40% - Accent2 5 2 7 2" xfId="19503"/>
    <cellStyle name="40% - Accent2 5 2 8" xfId="19504"/>
    <cellStyle name="40% - Accent2 5 3" xfId="19505"/>
    <cellStyle name="40% - Accent2 5 3 2" xfId="19506"/>
    <cellStyle name="40% - Accent2 5 3 2 2" xfId="19507"/>
    <cellStyle name="40% - Accent2 5 3 2 2 2" xfId="19508"/>
    <cellStyle name="40% - Accent2 5 3 2 2 2 2" xfId="19509"/>
    <cellStyle name="40% - Accent2 5 3 2 2 2 2 2" xfId="19510"/>
    <cellStyle name="40% - Accent2 5 3 2 2 2 3" xfId="19511"/>
    <cellStyle name="40% - Accent2 5 3 2 2 3" xfId="19512"/>
    <cellStyle name="40% - Accent2 5 3 2 2 3 2" xfId="19513"/>
    <cellStyle name="40% - Accent2 5 3 2 2 4" xfId="19514"/>
    <cellStyle name="40% - Accent2 5 3 2 3" xfId="19515"/>
    <cellStyle name="40% - Accent2 5 3 2 3 2" xfId="19516"/>
    <cellStyle name="40% - Accent2 5 3 2 3 2 2" xfId="19517"/>
    <cellStyle name="40% - Accent2 5 3 2 3 3" xfId="19518"/>
    <cellStyle name="40% - Accent2 5 3 2 4" xfId="19519"/>
    <cellStyle name="40% - Accent2 5 3 2 4 2" xfId="19520"/>
    <cellStyle name="40% - Accent2 5 3 2 5" xfId="19521"/>
    <cellStyle name="40% - Accent2 5 3 2 5 2" xfId="19522"/>
    <cellStyle name="40% - Accent2 5 3 2 6" xfId="19523"/>
    <cellStyle name="40% - Accent2 5 3 3" xfId="19524"/>
    <cellStyle name="40% - Accent2 5 3 3 2" xfId="19525"/>
    <cellStyle name="40% - Accent2 5 3 3 2 2" xfId="19526"/>
    <cellStyle name="40% - Accent2 5 3 3 2 2 2" xfId="19527"/>
    <cellStyle name="40% - Accent2 5 3 3 2 2 2 2" xfId="19528"/>
    <cellStyle name="40% - Accent2 5 3 3 2 2 3" xfId="19529"/>
    <cellStyle name="40% - Accent2 5 3 3 2 3" xfId="19530"/>
    <cellStyle name="40% - Accent2 5 3 3 2 3 2" xfId="19531"/>
    <cellStyle name="40% - Accent2 5 3 3 2 4" xfId="19532"/>
    <cellStyle name="40% - Accent2 5 3 3 3" xfId="19533"/>
    <cellStyle name="40% - Accent2 5 3 3 3 2" xfId="19534"/>
    <cellStyle name="40% - Accent2 5 3 3 3 2 2" xfId="19535"/>
    <cellStyle name="40% - Accent2 5 3 3 3 3" xfId="19536"/>
    <cellStyle name="40% - Accent2 5 3 3 4" xfId="19537"/>
    <cellStyle name="40% - Accent2 5 3 3 4 2" xfId="19538"/>
    <cellStyle name="40% - Accent2 5 3 3 5" xfId="19539"/>
    <cellStyle name="40% - Accent2 5 3 3 5 2" xfId="19540"/>
    <cellStyle name="40% - Accent2 5 3 3 6" xfId="19541"/>
    <cellStyle name="40% - Accent2 5 3 4" xfId="19542"/>
    <cellStyle name="40% - Accent2 5 3 4 2" xfId="19543"/>
    <cellStyle name="40% - Accent2 5 3 4 2 2" xfId="19544"/>
    <cellStyle name="40% - Accent2 5 3 4 2 2 2" xfId="19545"/>
    <cellStyle name="40% - Accent2 5 3 4 2 3" xfId="19546"/>
    <cellStyle name="40% - Accent2 5 3 4 3" xfId="19547"/>
    <cellStyle name="40% - Accent2 5 3 4 3 2" xfId="19548"/>
    <cellStyle name="40% - Accent2 5 3 4 4" xfId="19549"/>
    <cellStyle name="40% - Accent2 5 3 5" xfId="19550"/>
    <cellStyle name="40% - Accent2 5 3 5 2" xfId="19551"/>
    <cellStyle name="40% - Accent2 5 3 5 2 2" xfId="19552"/>
    <cellStyle name="40% - Accent2 5 3 5 3" xfId="19553"/>
    <cellStyle name="40% - Accent2 5 3 6" xfId="19554"/>
    <cellStyle name="40% - Accent2 5 3 6 2" xfId="19555"/>
    <cellStyle name="40% - Accent2 5 3 7" xfId="19556"/>
    <cellStyle name="40% - Accent2 5 3 7 2" xfId="19557"/>
    <cellStyle name="40% - Accent2 5 3 8" xfId="19558"/>
    <cellStyle name="40% - Accent2 5 4" xfId="19559"/>
    <cellStyle name="40% - Accent2 5 4 2" xfId="19560"/>
    <cellStyle name="40% - Accent2 5 4 2 2" xfId="19561"/>
    <cellStyle name="40% - Accent2 5 4 2 2 2" xfId="19562"/>
    <cellStyle name="40% - Accent2 5 4 2 2 2 2" xfId="19563"/>
    <cellStyle name="40% - Accent2 5 4 2 2 3" xfId="19564"/>
    <cellStyle name="40% - Accent2 5 4 2 3" xfId="19565"/>
    <cellStyle name="40% - Accent2 5 4 2 3 2" xfId="19566"/>
    <cellStyle name="40% - Accent2 5 4 2 4" xfId="19567"/>
    <cellStyle name="40% - Accent2 5 4 3" xfId="19568"/>
    <cellStyle name="40% - Accent2 5 4 3 2" xfId="19569"/>
    <cellStyle name="40% - Accent2 5 4 3 2 2" xfId="19570"/>
    <cellStyle name="40% - Accent2 5 4 3 3" xfId="19571"/>
    <cellStyle name="40% - Accent2 5 4 4" xfId="19572"/>
    <cellStyle name="40% - Accent2 5 4 4 2" xfId="19573"/>
    <cellStyle name="40% - Accent2 5 4 5" xfId="19574"/>
    <cellStyle name="40% - Accent2 5 4 5 2" xfId="19575"/>
    <cellStyle name="40% - Accent2 5 4 6" xfId="19576"/>
    <cellStyle name="40% - Accent2 5 5" xfId="19577"/>
    <cellStyle name="40% - Accent2 5 5 2" xfId="19578"/>
    <cellStyle name="40% - Accent2 5 5 2 2" xfId="19579"/>
    <cellStyle name="40% - Accent2 5 5 2 2 2" xfId="19580"/>
    <cellStyle name="40% - Accent2 5 5 2 2 2 2" xfId="19581"/>
    <cellStyle name="40% - Accent2 5 5 2 2 3" xfId="19582"/>
    <cellStyle name="40% - Accent2 5 5 2 3" xfId="19583"/>
    <cellStyle name="40% - Accent2 5 5 2 3 2" xfId="19584"/>
    <cellStyle name="40% - Accent2 5 5 2 4" xfId="19585"/>
    <cellStyle name="40% - Accent2 5 5 3" xfId="19586"/>
    <cellStyle name="40% - Accent2 5 5 3 2" xfId="19587"/>
    <cellStyle name="40% - Accent2 5 5 3 2 2" xfId="19588"/>
    <cellStyle name="40% - Accent2 5 5 3 3" xfId="19589"/>
    <cellStyle name="40% - Accent2 5 5 4" xfId="19590"/>
    <cellStyle name="40% - Accent2 5 5 4 2" xfId="19591"/>
    <cellStyle name="40% - Accent2 5 5 5" xfId="19592"/>
    <cellStyle name="40% - Accent2 5 5 5 2" xfId="19593"/>
    <cellStyle name="40% - Accent2 5 5 6" xfId="19594"/>
    <cellStyle name="40% - Accent2 5 6" xfId="19595"/>
    <cellStyle name="40% - Accent2 5 6 2" xfId="19596"/>
    <cellStyle name="40% - Accent2 5 6 2 2" xfId="19597"/>
    <cellStyle name="40% - Accent2 5 6 2 2 2" xfId="19598"/>
    <cellStyle name="40% - Accent2 5 6 2 2 2 2" xfId="19599"/>
    <cellStyle name="40% - Accent2 5 6 2 2 3" xfId="19600"/>
    <cellStyle name="40% - Accent2 5 6 2 3" xfId="19601"/>
    <cellStyle name="40% - Accent2 5 6 2 3 2" xfId="19602"/>
    <cellStyle name="40% - Accent2 5 6 2 4" xfId="19603"/>
    <cellStyle name="40% - Accent2 5 6 3" xfId="19604"/>
    <cellStyle name="40% - Accent2 5 6 3 2" xfId="19605"/>
    <cellStyle name="40% - Accent2 5 6 3 2 2" xfId="19606"/>
    <cellStyle name="40% - Accent2 5 6 3 3" xfId="19607"/>
    <cellStyle name="40% - Accent2 5 6 4" xfId="19608"/>
    <cellStyle name="40% - Accent2 5 6 4 2" xfId="19609"/>
    <cellStyle name="40% - Accent2 5 6 5" xfId="19610"/>
    <cellStyle name="40% - Accent2 5 6 5 2" xfId="19611"/>
    <cellStyle name="40% - Accent2 5 6 6" xfId="19612"/>
    <cellStyle name="40% - Accent2 5 7" xfId="19613"/>
    <cellStyle name="40% - Accent2 5 7 2" xfId="19614"/>
    <cellStyle name="40% - Accent2 5 7 2 2" xfId="19615"/>
    <cellStyle name="40% - Accent2 5 7 2 2 2" xfId="19616"/>
    <cellStyle name="40% - Accent2 5 7 2 3" xfId="19617"/>
    <cellStyle name="40% - Accent2 5 7 3" xfId="19618"/>
    <cellStyle name="40% - Accent2 5 7 3 2" xfId="19619"/>
    <cellStyle name="40% - Accent2 5 7 4" xfId="19620"/>
    <cellStyle name="40% - Accent2 5 8" xfId="19621"/>
    <cellStyle name="40% - Accent2 5 8 2" xfId="19622"/>
    <cellStyle name="40% - Accent2 5 8 2 2" xfId="19623"/>
    <cellStyle name="40% - Accent2 5 8 3" xfId="19624"/>
    <cellStyle name="40% - Accent2 5 9" xfId="19625"/>
    <cellStyle name="40% - Accent2 5 9 2" xfId="19626"/>
    <cellStyle name="40% - Accent2 6" xfId="19627"/>
    <cellStyle name="40% - Accent2 6 10" xfId="19628"/>
    <cellStyle name="40% - Accent2 6 10 2" xfId="19629"/>
    <cellStyle name="40% - Accent2 6 11" xfId="19630"/>
    <cellStyle name="40% - Accent2 6 2" xfId="19631"/>
    <cellStyle name="40% - Accent2 6 2 2" xfId="19632"/>
    <cellStyle name="40% - Accent2 6 2 2 2" xfId="19633"/>
    <cellStyle name="40% - Accent2 6 2 2 2 2" xfId="19634"/>
    <cellStyle name="40% - Accent2 6 2 2 2 2 2" xfId="19635"/>
    <cellStyle name="40% - Accent2 6 2 2 2 2 2 2" xfId="19636"/>
    <cellStyle name="40% - Accent2 6 2 2 2 2 3" xfId="19637"/>
    <cellStyle name="40% - Accent2 6 2 2 2 3" xfId="19638"/>
    <cellStyle name="40% - Accent2 6 2 2 2 3 2" xfId="19639"/>
    <cellStyle name="40% - Accent2 6 2 2 2 4" xfId="19640"/>
    <cellStyle name="40% - Accent2 6 2 2 3" xfId="19641"/>
    <cellStyle name="40% - Accent2 6 2 2 3 2" xfId="19642"/>
    <cellStyle name="40% - Accent2 6 2 2 3 2 2" xfId="19643"/>
    <cellStyle name="40% - Accent2 6 2 2 3 3" xfId="19644"/>
    <cellStyle name="40% - Accent2 6 2 2 4" xfId="19645"/>
    <cellStyle name="40% - Accent2 6 2 2 4 2" xfId="19646"/>
    <cellStyle name="40% - Accent2 6 2 2 5" xfId="19647"/>
    <cellStyle name="40% - Accent2 6 2 2 5 2" xfId="19648"/>
    <cellStyle name="40% - Accent2 6 2 2 6" xfId="19649"/>
    <cellStyle name="40% - Accent2 6 2 3" xfId="19650"/>
    <cellStyle name="40% - Accent2 6 2 3 2" xfId="19651"/>
    <cellStyle name="40% - Accent2 6 2 3 2 2" xfId="19652"/>
    <cellStyle name="40% - Accent2 6 2 3 2 2 2" xfId="19653"/>
    <cellStyle name="40% - Accent2 6 2 3 2 2 2 2" xfId="19654"/>
    <cellStyle name="40% - Accent2 6 2 3 2 2 3" xfId="19655"/>
    <cellStyle name="40% - Accent2 6 2 3 2 3" xfId="19656"/>
    <cellStyle name="40% - Accent2 6 2 3 2 3 2" xfId="19657"/>
    <cellStyle name="40% - Accent2 6 2 3 2 4" xfId="19658"/>
    <cellStyle name="40% - Accent2 6 2 3 3" xfId="19659"/>
    <cellStyle name="40% - Accent2 6 2 3 3 2" xfId="19660"/>
    <cellStyle name="40% - Accent2 6 2 3 3 2 2" xfId="19661"/>
    <cellStyle name="40% - Accent2 6 2 3 3 3" xfId="19662"/>
    <cellStyle name="40% - Accent2 6 2 3 4" xfId="19663"/>
    <cellStyle name="40% - Accent2 6 2 3 4 2" xfId="19664"/>
    <cellStyle name="40% - Accent2 6 2 3 5" xfId="19665"/>
    <cellStyle name="40% - Accent2 6 2 3 5 2" xfId="19666"/>
    <cellStyle name="40% - Accent2 6 2 3 6" xfId="19667"/>
    <cellStyle name="40% - Accent2 6 2 4" xfId="19668"/>
    <cellStyle name="40% - Accent2 6 2 4 2" xfId="19669"/>
    <cellStyle name="40% - Accent2 6 2 4 2 2" xfId="19670"/>
    <cellStyle name="40% - Accent2 6 2 4 2 2 2" xfId="19671"/>
    <cellStyle name="40% - Accent2 6 2 4 2 3" xfId="19672"/>
    <cellStyle name="40% - Accent2 6 2 4 3" xfId="19673"/>
    <cellStyle name="40% - Accent2 6 2 4 3 2" xfId="19674"/>
    <cellStyle name="40% - Accent2 6 2 4 4" xfId="19675"/>
    <cellStyle name="40% - Accent2 6 2 5" xfId="19676"/>
    <cellStyle name="40% - Accent2 6 2 5 2" xfId="19677"/>
    <cellStyle name="40% - Accent2 6 2 5 2 2" xfId="19678"/>
    <cellStyle name="40% - Accent2 6 2 5 3" xfId="19679"/>
    <cellStyle name="40% - Accent2 6 2 6" xfId="19680"/>
    <cellStyle name="40% - Accent2 6 2 6 2" xfId="19681"/>
    <cellStyle name="40% - Accent2 6 2 7" xfId="19682"/>
    <cellStyle name="40% - Accent2 6 2 7 2" xfId="19683"/>
    <cellStyle name="40% - Accent2 6 2 8" xfId="19684"/>
    <cellStyle name="40% - Accent2 6 3" xfId="19685"/>
    <cellStyle name="40% - Accent2 6 3 2" xfId="19686"/>
    <cellStyle name="40% - Accent2 6 3 2 2" xfId="19687"/>
    <cellStyle name="40% - Accent2 6 3 2 2 2" xfId="19688"/>
    <cellStyle name="40% - Accent2 6 3 2 2 2 2" xfId="19689"/>
    <cellStyle name="40% - Accent2 6 3 2 2 2 2 2" xfId="19690"/>
    <cellStyle name="40% - Accent2 6 3 2 2 2 3" xfId="19691"/>
    <cellStyle name="40% - Accent2 6 3 2 2 3" xfId="19692"/>
    <cellStyle name="40% - Accent2 6 3 2 2 3 2" xfId="19693"/>
    <cellStyle name="40% - Accent2 6 3 2 2 4" xfId="19694"/>
    <cellStyle name="40% - Accent2 6 3 2 3" xfId="19695"/>
    <cellStyle name="40% - Accent2 6 3 2 3 2" xfId="19696"/>
    <cellStyle name="40% - Accent2 6 3 2 3 2 2" xfId="19697"/>
    <cellStyle name="40% - Accent2 6 3 2 3 3" xfId="19698"/>
    <cellStyle name="40% - Accent2 6 3 2 4" xfId="19699"/>
    <cellStyle name="40% - Accent2 6 3 2 4 2" xfId="19700"/>
    <cellStyle name="40% - Accent2 6 3 2 5" xfId="19701"/>
    <cellStyle name="40% - Accent2 6 3 2 5 2" xfId="19702"/>
    <cellStyle name="40% - Accent2 6 3 2 6" xfId="19703"/>
    <cellStyle name="40% - Accent2 6 3 3" xfId="19704"/>
    <cellStyle name="40% - Accent2 6 3 3 2" xfId="19705"/>
    <cellStyle name="40% - Accent2 6 3 3 2 2" xfId="19706"/>
    <cellStyle name="40% - Accent2 6 3 3 2 2 2" xfId="19707"/>
    <cellStyle name="40% - Accent2 6 3 3 2 2 2 2" xfId="19708"/>
    <cellStyle name="40% - Accent2 6 3 3 2 2 3" xfId="19709"/>
    <cellStyle name="40% - Accent2 6 3 3 2 3" xfId="19710"/>
    <cellStyle name="40% - Accent2 6 3 3 2 3 2" xfId="19711"/>
    <cellStyle name="40% - Accent2 6 3 3 2 4" xfId="19712"/>
    <cellStyle name="40% - Accent2 6 3 3 3" xfId="19713"/>
    <cellStyle name="40% - Accent2 6 3 3 3 2" xfId="19714"/>
    <cellStyle name="40% - Accent2 6 3 3 3 2 2" xfId="19715"/>
    <cellStyle name="40% - Accent2 6 3 3 3 3" xfId="19716"/>
    <cellStyle name="40% - Accent2 6 3 3 4" xfId="19717"/>
    <cellStyle name="40% - Accent2 6 3 3 4 2" xfId="19718"/>
    <cellStyle name="40% - Accent2 6 3 3 5" xfId="19719"/>
    <cellStyle name="40% - Accent2 6 3 3 5 2" xfId="19720"/>
    <cellStyle name="40% - Accent2 6 3 3 6" xfId="19721"/>
    <cellStyle name="40% - Accent2 6 3 4" xfId="19722"/>
    <cellStyle name="40% - Accent2 6 3 4 2" xfId="19723"/>
    <cellStyle name="40% - Accent2 6 3 4 2 2" xfId="19724"/>
    <cellStyle name="40% - Accent2 6 3 4 2 2 2" xfId="19725"/>
    <cellStyle name="40% - Accent2 6 3 4 2 3" xfId="19726"/>
    <cellStyle name="40% - Accent2 6 3 4 3" xfId="19727"/>
    <cellStyle name="40% - Accent2 6 3 4 3 2" xfId="19728"/>
    <cellStyle name="40% - Accent2 6 3 4 4" xfId="19729"/>
    <cellStyle name="40% - Accent2 6 3 5" xfId="19730"/>
    <cellStyle name="40% - Accent2 6 3 5 2" xfId="19731"/>
    <cellStyle name="40% - Accent2 6 3 5 2 2" xfId="19732"/>
    <cellStyle name="40% - Accent2 6 3 5 3" xfId="19733"/>
    <cellStyle name="40% - Accent2 6 3 6" xfId="19734"/>
    <cellStyle name="40% - Accent2 6 3 6 2" xfId="19735"/>
    <cellStyle name="40% - Accent2 6 3 7" xfId="19736"/>
    <cellStyle name="40% - Accent2 6 3 7 2" xfId="19737"/>
    <cellStyle name="40% - Accent2 6 3 8" xfId="19738"/>
    <cellStyle name="40% - Accent2 6 4" xfId="19739"/>
    <cellStyle name="40% - Accent2 6 4 2" xfId="19740"/>
    <cellStyle name="40% - Accent2 6 4 2 2" xfId="19741"/>
    <cellStyle name="40% - Accent2 6 4 2 2 2" xfId="19742"/>
    <cellStyle name="40% - Accent2 6 4 2 2 2 2" xfId="19743"/>
    <cellStyle name="40% - Accent2 6 4 2 2 3" xfId="19744"/>
    <cellStyle name="40% - Accent2 6 4 2 3" xfId="19745"/>
    <cellStyle name="40% - Accent2 6 4 2 3 2" xfId="19746"/>
    <cellStyle name="40% - Accent2 6 4 2 4" xfId="19747"/>
    <cellStyle name="40% - Accent2 6 4 3" xfId="19748"/>
    <cellStyle name="40% - Accent2 6 4 3 2" xfId="19749"/>
    <cellStyle name="40% - Accent2 6 4 3 2 2" xfId="19750"/>
    <cellStyle name="40% - Accent2 6 4 3 3" xfId="19751"/>
    <cellStyle name="40% - Accent2 6 4 4" xfId="19752"/>
    <cellStyle name="40% - Accent2 6 4 4 2" xfId="19753"/>
    <cellStyle name="40% - Accent2 6 4 5" xfId="19754"/>
    <cellStyle name="40% - Accent2 6 4 5 2" xfId="19755"/>
    <cellStyle name="40% - Accent2 6 4 6" xfId="19756"/>
    <cellStyle name="40% - Accent2 6 5" xfId="19757"/>
    <cellStyle name="40% - Accent2 6 5 2" xfId="19758"/>
    <cellStyle name="40% - Accent2 6 5 2 2" xfId="19759"/>
    <cellStyle name="40% - Accent2 6 5 2 2 2" xfId="19760"/>
    <cellStyle name="40% - Accent2 6 5 2 2 2 2" xfId="19761"/>
    <cellStyle name="40% - Accent2 6 5 2 2 3" xfId="19762"/>
    <cellStyle name="40% - Accent2 6 5 2 3" xfId="19763"/>
    <cellStyle name="40% - Accent2 6 5 2 3 2" xfId="19764"/>
    <cellStyle name="40% - Accent2 6 5 2 4" xfId="19765"/>
    <cellStyle name="40% - Accent2 6 5 3" xfId="19766"/>
    <cellStyle name="40% - Accent2 6 5 3 2" xfId="19767"/>
    <cellStyle name="40% - Accent2 6 5 3 2 2" xfId="19768"/>
    <cellStyle name="40% - Accent2 6 5 3 3" xfId="19769"/>
    <cellStyle name="40% - Accent2 6 5 4" xfId="19770"/>
    <cellStyle name="40% - Accent2 6 5 4 2" xfId="19771"/>
    <cellStyle name="40% - Accent2 6 5 5" xfId="19772"/>
    <cellStyle name="40% - Accent2 6 5 5 2" xfId="19773"/>
    <cellStyle name="40% - Accent2 6 5 6" xfId="19774"/>
    <cellStyle name="40% - Accent2 6 6" xfId="19775"/>
    <cellStyle name="40% - Accent2 6 6 2" xfId="19776"/>
    <cellStyle name="40% - Accent2 6 6 2 2" xfId="19777"/>
    <cellStyle name="40% - Accent2 6 6 2 2 2" xfId="19778"/>
    <cellStyle name="40% - Accent2 6 6 2 2 2 2" xfId="19779"/>
    <cellStyle name="40% - Accent2 6 6 2 2 3" xfId="19780"/>
    <cellStyle name="40% - Accent2 6 6 2 3" xfId="19781"/>
    <cellStyle name="40% - Accent2 6 6 2 3 2" xfId="19782"/>
    <cellStyle name="40% - Accent2 6 6 2 4" xfId="19783"/>
    <cellStyle name="40% - Accent2 6 6 3" xfId="19784"/>
    <cellStyle name="40% - Accent2 6 6 3 2" xfId="19785"/>
    <cellStyle name="40% - Accent2 6 6 3 2 2" xfId="19786"/>
    <cellStyle name="40% - Accent2 6 6 3 3" xfId="19787"/>
    <cellStyle name="40% - Accent2 6 6 4" xfId="19788"/>
    <cellStyle name="40% - Accent2 6 6 4 2" xfId="19789"/>
    <cellStyle name="40% - Accent2 6 6 5" xfId="19790"/>
    <cellStyle name="40% - Accent2 6 6 5 2" xfId="19791"/>
    <cellStyle name="40% - Accent2 6 6 6" xfId="19792"/>
    <cellStyle name="40% - Accent2 6 7" xfId="19793"/>
    <cellStyle name="40% - Accent2 6 7 2" xfId="19794"/>
    <cellStyle name="40% - Accent2 6 7 2 2" xfId="19795"/>
    <cellStyle name="40% - Accent2 6 7 2 2 2" xfId="19796"/>
    <cellStyle name="40% - Accent2 6 7 2 3" xfId="19797"/>
    <cellStyle name="40% - Accent2 6 7 3" xfId="19798"/>
    <cellStyle name="40% - Accent2 6 7 3 2" xfId="19799"/>
    <cellStyle name="40% - Accent2 6 7 4" xfId="19800"/>
    <cellStyle name="40% - Accent2 6 8" xfId="19801"/>
    <cellStyle name="40% - Accent2 6 8 2" xfId="19802"/>
    <cellStyle name="40% - Accent2 6 8 2 2" xfId="19803"/>
    <cellStyle name="40% - Accent2 6 8 3" xfId="19804"/>
    <cellStyle name="40% - Accent2 6 9" xfId="19805"/>
    <cellStyle name="40% - Accent2 6 9 2" xfId="19806"/>
    <cellStyle name="40% - Accent2 7" xfId="19807"/>
    <cellStyle name="40% - Accent2 7 10" xfId="19808"/>
    <cellStyle name="40% - Accent2 7 10 2" xfId="19809"/>
    <cellStyle name="40% - Accent2 7 11" xfId="19810"/>
    <cellStyle name="40% - Accent2 7 2" xfId="19811"/>
    <cellStyle name="40% - Accent2 7 2 2" xfId="19812"/>
    <cellStyle name="40% - Accent2 7 2 2 2" xfId="19813"/>
    <cellStyle name="40% - Accent2 7 2 2 2 2" xfId="19814"/>
    <cellStyle name="40% - Accent2 7 2 2 2 2 2" xfId="19815"/>
    <cellStyle name="40% - Accent2 7 2 2 2 2 2 2" xfId="19816"/>
    <cellStyle name="40% - Accent2 7 2 2 2 2 3" xfId="19817"/>
    <cellStyle name="40% - Accent2 7 2 2 2 3" xfId="19818"/>
    <cellStyle name="40% - Accent2 7 2 2 2 3 2" xfId="19819"/>
    <cellStyle name="40% - Accent2 7 2 2 2 4" xfId="19820"/>
    <cellStyle name="40% - Accent2 7 2 2 3" xfId="19821"/>
    <cellStyle name="40% - Accent2 7 2 2 3 2" xfId="19822"/>
    <cellStyle name="40% - Accent2 7 2 2 3 2 2" xfId="19823"/>
    <cellStyle name="40% - Accent2 7 2 2 3 3" xfId="19824"/>
    <cellStyle name="40% - Accent2 7 2 2 4" xfId="19825"/>
    <cellStyle name="40% - Accent2 7 2 2 4 2" xfId="19826"/>
    <cellStyle name="40% - Accent2 7 2 2 5" xfId="19827"/>
    <cellStyle name="40% - Accent2 7 2 2 5 2" xfId="19828"/>
    <cellStyle name="40% - Accent2 7 2 2 6" xfId="19829"/>
    <cellStyle name="40% - Accent2 7 2 3" xfId="19830"/>
    <cellStyle name="40% - Accent2 7 2 3 2" xfId="19831"/>
    <cellStyle name="40% - Accent2 7 2 3 2 2" xfId="19832"/>
    <cellStyle name="40% - Accent2 7 2 3 2 2 2" xfId="19833"/>
    <cellStyle name="40% - Accent2 7 2 3 2 2 2 2" xfId="19834"/>
    <cellStyle name="40% - Accent2 7 2 3 2 2 3" xfId="19835"/>
    <cellStyle name="40% - Accent2 7 2 3 2 3" xfId="19836"/>
    <cellStyle name="40% - Accent2 7 2 3 2 3 2" xfId="19837"/>
    <cellStyle name="40% - Accent2 7 2 3 2 4" xfId="19838"/>
    <cellStyle name="40% - Accent2 7 2 3 3" xfId="19839"/>
    <cellStyle name="40% - Accent2 7 2 3 3 2" xfId="19840"/>
    <cellStyle name="40% - Accent2 7 2 3 3 2 2" xfId="19841"/>
    <cellStyle name="40% - Accent2 7 2 3 3 3" xfId="19842"/>
    <cellStyle name="40% - Accent2 7 2 3 4" xfId="19843"/>
    <cellStyle name="40% - Accent2 7 2 3 4 2" xfId="19844"/>
    <cellStyle name="40% - Accent2 7 2 3 5" xfId="19845"/>
    <cellStyle name="40% - Accent2 7 2 3 5 2" xfId="19846"/>
    <cellStyle name="40% - Accent2 7 2 3 6" xfId="19847"/>
    <cellStyle name="40% - Accent2 7 2 4" xfId="19848"/>
    <cellStyle name="40% - Accent2 7 2 4 2" xfId="19849"/>
    <cellStyle name="40% - Accent2 7 2 4 2 2" xfId="19850"/>
    <cellStyle name="40% - Accent2 7 2 4 2 2 2" xfId="19851"/>
    <cellStyle name="40% - Accent2 7 2 4 2 3" xfId="19852"/>
    <cellStyle name="40% - Accent2 7 2 4 3" xfId="19853"/>
    <cellStyle name="40% - Accent2 7 2 4 3 2" xfId="19854"/>
    <cellStyle name="40% - Accent2 7 2 4 4" xfId="19855"/>
    <cellStyle name="40% - Accent2 7 2 5" xfId="19856"/>
    <cellStyle name="40% - Accent2 7 2 5 2" xfId="19857"/>
    <cellStyle name="40% - Accent2 7 2 5 2 2" xfId="19858"/>
    <cellStyle name="40% - Accent2 7 2 5 3" xfId="19859"/>
    <cellStyle name="40% - Accent2 7 2 6" xfId="19860"/>
    <cellStyle name="40% - Accent2 7 2 6 2" xfId="19861"/>
    <cellStyle name="40% - Accent2 7 2 7" xfId="19862"/>
    <cellStyle name="40% - Accent2 7 2 7 2" xfId="19863"/>
    <cellStyle name="40% - Accent2 7 2 8" xfId="19864"/>
    <cellStyle name="40% - Accent2 7 3" xfId="19865"/>
    <cellStyle name="40% - Accent2 7 3 2" xfId="19866"/>
    <cellStyle name="40% - Accent2 7 3 2 2" xfId="19867"/>
    <cellStyle name="40% - Accent2 7 3 2 2 2" xfId="19868"/>
    <cellStyle name="40% - Accent2 7 3 2 2 2 2" xfId="19869"/>
    <cellStyle name="40% - Accent2 7 3 2 2 2 2 2" xfId="19870"/>
    <cellStyle name="40% - Accent2 7 3 2 2 2 3" xfId="19871"/>
    <cellStyle name="40% - Accent2 7 3 2 2 3" xfId="19872"/>
    <cellStyle name="40% - Accent2 7 3 2 2 3 2" xfId="19873"/>
    <cellStyle name="40% - Accent2 7 3 2 2 4" xfId="19874"/>
    <cellStyle name="40% - Accent2 7 3 2 3" xfId="19875"/>
    <cellStyle name="40% - Accent2 7 3 2 3 2" xfId="19876"/>
    <cellStyle name="40% - Accent2 7 3 2 3 2 2" xfId="19877"/>
    <cellStyle name="40% - Accent2 7 3 2 3 3" xfId="19878"/>
    <cellStyle name="40% - Accent2 7 3 2 4" xfId="19879"/>
    <cellStyle name="40% - Accent2 7 3 2 4 2" xfId="19880"/>
    <cellStyle name="40% - Accent2 7 3 2 5" xfId="19881"/>
    <cellStyle name="40% - Accent2 7 3 2 5 2" xfId="19882"/>
    <cellStyle name="40% - Accent2 7 3 2 6" xfId="19883"/>
    <cellStyle name="40% - Accent2 7 3 3" xfId="19884"/>
    <cellStyle name="40% - Accent2 7 3 3 2" xfId="19885"/>
    <cellStyle name="40% - Accent2 7 3 3 2 2" xfId="19886"/>
    <cellStyle name="40% - Accent2 7 3 3 2 2 2" xfId="19887"/>
    <cellStyle name="40% - Accent2 7 3 3 2 2 2 2" xfId="19888"/>
    <cellStyle name="40% - Accent2 7 3 3 2 2 3" xfId="19889"/>
    <cellStyle name="40% - Accent2 7 3 3 2 3" xfId="19890"/>
    <cellStyle name="40% - Accent2 7 3 3 2 3 2" xfId="19891"/>
    <cellStyle name="40% - Accent2 7 3 3 2 4" xfId="19892"/>
    <cellStyle name="40% - Accent2 7 3 3 3" xfId="19893"/>
    <cellStyle name="40% - Accent2 7 3 3 3 2" xfId="19894"/>
    <cellStyle name="40% - Accent2 7 3 3 3 2 2" xfId="19895"/>
    <cellStyle name="40% - Accent2 7 3 3 3 3" xfId="19896"/>
    <cellStyle name="40% - Accent2 7 3 3 4" xfId="19897"/>
    <cellStyle name="40% - Accent2 7 3 3 4 2" xfId="19898"/>
    <cellStyle name="40% - Accent2 7 3 3 5" xfId="19899"/>
    <cellStyle name="40% - Accent2 7 3 3 5 2" xfId="19900"/>
    <cellStyle name="40% - Accent2 7 3 3 6" xfId="19901"/>
    <cellStyle name="40% - Accent2 7 3 4" xfId="19902"/>
    <cellStyle name="40% - Accent2 7 3 4 2" xfId="19903"/>
    <cellStyle name="40% - Accent2 7 3 4 2 2" xfId="19904"/>
    <cellStyle name="40% - Accent2 7 3 4 2 2 2" xfId="19905"/>
    <cellStyle name="40% - Accent2 7 3 4 2 3" xfId="19906"/>
    <cellStyle name="40% - Accent2 7 3 4 3" xfId="19907"/>
    <cellStyle name="40% - Accent2 7 3 4 3 2" xfId="19908"/>
    <cellStyle name="40% - Accent2 7 3 4 4" xfId="19909"/>
    <cellStyle name="40% - Accent2 7 3 5" xfId="19910"/>
    <cellStyle name="40% - Accent2 7 3 5 2" xfId="19911"/>
    <cellStyle name="40% - Accent2 7 3 5 2 2" xfId="19912"/>
    <cellStyle name="40% - Accent2 7 3 5 3" xfId="19913"/>
    <cellStyle name="40% - Accent2 7 3 6" xfId="19914"/>
    <cellStyle name="40% - Accent2 7 3 6 2" xfId="19915"/>
    <cellStyle name="40% - Accent2 7 3 7" xfId="19916"/>
    <cellStyle name="40% - Accent2 7 3 7 2" xfId="19917"/>
    <cellStyle name="40% - Accent2 7 3 8" xfId="19918"/>
    <cellStyle name="40% - Accent2 7 4" xfId="19919"/>
    <cellStyle name="40% - Accent2 7 4 2" xfId="19920"/>
    <cellStyle name="40% - Accent2 7 4 2 2" xfId="19921"/>
    <cellStyle name="40% - Accent2 7 4 2 2 2" xfId="19922"/>
    <cellStyle name="40% - Accent2 7 4 2 2 2 2" xfId="19923"/>
    <cellStyle name="40% - Accent2 7 4 2 2 3" xfId="19924"/>
    <cellStyle name="40% - Accent2 7 4 2 3" xfId="19925"/>
    <cellStyle name="40% - Accent2 7 4 2 3 2" xfId="19926"/>
    <cellStyle name="40% - Accent2 7 4 2 4" xfId="19927"/>
    <cellStyle name="40% - Accent2 7 4 3" xfId="19928"/>
    <cellStyle name="40% - Accent2 7 4 3 2" xfId="19929"/>
    <cellStyle name="40% - Accent2 7 4 3 2 2" xfId="19930"/>
    <cellStyle name="40% - Accent2 7 4 3 3" xfId="19931"/>
    <cellStyle name="40% - Accent2 7 4 4" xfId="19932"/>
    <cellStyle name="40% - Accent2 7 4 4 2" xfId="19933"/>
    <cellStyle name="40% - Accent2 7 4 5" xfId="19934"/>
    <cellStyle name="40% - Accent2 7 4 5 2" xfId="19935"/>
    <cellStyle name="40% - Accent2 7 4 6" xfId="19936"/>
    <cellStyle name="40% - Accent2 7 5" xfId="19937"/>
    <cellStyle name="40% - Accent2 7 5 2" xfId="19938"/>
    <cellStyle name="40% - Accent2 7 5 2 2" xfId="19939"/>
    <cellStyle name="40% - Accent2 7 5 2 2 2" xfId="19940"/>
    <cellStyle name="40% - Accent2 7 5 2 2 2 2" xfId="19941"/>
    <cellStyle name="40% - Accent2 7 5 2 2 3" xfId="19942"/>
    <cellStyle name="40% - Accent2 7 5 2 3" xfId="19943"/>
    <cellStyle name="40% - Accent2 7 5 2 3 2" xfId="19944"/>
    <cellStyle name="40% - Accent2 7 5 2 4" xfId="19945"/>
    <cellStyle name="40% - Accent2 7 5 3" xfId="19946"/>
    <cellStyle name="40% - Accent2 7 5 3 2" xfId="19947"/>
    <cellStyle name="40% - Accent2 7 5 3 2 2" xfId="19948"/>
    <cellStyle name="40% - Accent2 7 5 3 3" xfId="19949"/>
    <cellStyle name="40% - Accent2 7 5 4" xfId="19950"/>
    <cellStyle name="40% - Accent2 7 5 4 2" xfId="19951"/>
    <cellStyle name="40% - Accent2 7 5 5" xfId="19952"/>
    <cellStyle name="40% - Accent2 7 5 5 2" xfId="19953"/>
    <cellStyle name="40% - Accent2 7 5 6" xfId="19954"/>
    <cellStyle name="40% - Accent2 7 6" xfId="19955"/>
    <cellStyle name="40% - Accent2 7 6 2" xfId="19956"/>
    <cellStyle name="40% - Accent2 7 6 2 2" xfId="19957"/>
    <cellStyle name="40% - Accent2 7 6 2 2 2" xfId="19958"/>
    <cellStyle name="40% - Accent2 7 6 2 2 2 2" xfId="19959"/>
    <cellStyle name="40% - Accent2 7 6 2 2 3" xfId="19960"/>
    <cellStyle name="40% - Accent2 7 6 2 3" xfId="19961"/>
    <cellStyle name="40% - Accent2 7 6 2 3 2" xfId="19962"/>
    <cellStyle name="40% - Accent2 7 6 2 4" xfId="19963"/>
    <cellStyle name="40% - Accent2 7 6 3" xfId="19964"/>
    <cellStyle name="40% - Accent2 7 6 3 2" xfId="19965"/>
    <cellStyle name="40% - Accent2 7 6 3 2 2" xfId="19966"/>
    <cellStyle name="40% - Accent2 7 6 3 3" xfId="19967"/>
    <cellStyle name="40% - Accent2 7 6 4" xfId="19968"/>
    <cellStyle name="40% - Accent2 7 6 4 2" xfId="19969"/>
    <cellStyle name="40% - Accent2 7 6 5" xfId="19970"/>
    <cellStyle name="40% - Accent2 7 6 5 2" xfId="19971"/>
    <cellStyle name="40% - Accent2 7 6 6" xfId="19972"/>
    <cellStyle name="40% - Accent2 7 7" xfId="19973"/>
    <cellStyle name="40% - Accent2 7 7 2" xfId="19974"/>
    <cellStyle name="40% - Accent2 7 7 2 2" xfId="19975"/>
    <cellStyle name="40% - Accent2 7 7 2 2 2" xfId="19976"/>
    <cellStyle name="40% - Accent2 7 7 2 3" xfId="19977"/>
    <cellStyle name="40% - Accent2 7 7 3" xfId="19978"/>
    <cellStyle name="40% - Accent2 7 7 3 2" xfId="19979"/>
    <cellStyle name="40% - Accent2 7 7 4" xfId="19980"/>
    <cellStyle name="40% - Accent2 7 8" xfId="19981"/>
    <cellStyle name="40% - Accent2 7 8 2" xfId="19982"/>
    <cellStyle name="40% - Accent2 7 8 2 2" xfId="19983"/>
    <cellStyle name="40% - Accent2 7 8 3" xfId="19984"/>
    <cellStyle name="40% - Accent2 7 9" xfId="19985"/>
    <cellStyle name="40% - Accent2 7 9 2" xfId="19986"/>
    <cellStyle name="40% - Accent2 8" xfId="19987"/>
    <cellStyle name="40% - Accent2 8 2" xfId="19988"/>
    <cellStyle name="40% - Accent2 8 2 2" xfId="19989"/>
    <cellStyle name="40% - Accent2 8 2 2 2" xfId="19990"/>
    <cellStyle name="40% - Accent2 8 2 2 2 2" xfId="19991"/>
    <cellStyle name="40% - Accent2 8 2 2 2 2 2" xfId="19992"/>
    <cellStyle name="40% - Accent2 8 2 2 2 3" xfId="19993"/>
    <cellStyle name="40% - Accent2 8 2 2 3" xfId="19994"/>
    <cellStyle name="40% - Accent2 8 2 2 3 2" xfId="19995"/>
    <cellStyle name="40% - Accent2 8 2 2 4" xfId="19996"/>
    <cellStyle name="40% - Accent2 8 2 3" xfId="19997"/>
    <cellStyle name="40% - Accent2 8 2 3 2" xfId="19998"/>
    <cellStyle name="40% - Accent2 8 2 3 2 2" xfId="19999"/>
    <cellStyle name="40% - Accent2 8 2 3 3" xfId="20000"/>
    <cellStyle name="40% - Accent2 8 2 4" xfId="20001"/>
    <cellStyle name="40% - Accent2 8 2 4 2" xfId="20002"/>
    <cellStyle name="40% - Accent2 8 2 5" xfId="20003"/>
    <cellStyle name="40% - Accent2 8 2 5 2" xfId="20004"/>
    <cellStyle name="40% - Accent2 8 2 6" xfId="20005"/>
    <cellStyle name="40% - Accent2 8 3" xfId="20006"/>
    <cellStyle name="40% - Accent2 8 3 2" xfId="20007"/>
    <cellStyle name="40% - Accent2 8 3 2 2" xfId="20008"/>
    <cellStyle name="40% - Accent2 8 3 2 2 2" xfId="20009"/>
    <cellStyle name="40% - Accent2 8 3 2 2 2 2" xfId="20010"/>
    <cellStyle name="40% - Accent2 8 3 2 2 3" xfId="20011"/>
    <cellStyle name="40% - Accent2 8 3 2 3" xfId="20012"/>
    <cellStyle name="40% - Accent2 8 3 2 3 2" xfId="20013"/>
    <cellStyle name="40% - Accent2 8 3 2 4" xfId="20014"/>
    <cellStyle name="40% - Accent2 8 3 3" xfId="20015"/>
    <cellStyle name="40% - Accent2 8 3 3 2" xfId="20016"/>
    <cellStyle name="40% - Accent2 8 3 3 2 2" xfId="20017"/>
    <cellStyle name="40% - Accent2 8 3 3 3" xfId="20018"/>
    <cellStyle name="40% - Accent2 8 3 4" xfId="20019"/>
    <cellStyle name="40% - Accent2 8 3 4 2" xfId="20020"/>
    <cellStyle name="40% - Accent2 8 3 5" xfId="20021"/>
    <cellStyle name="40% - Accent2 8 3 5 2" xfId="20022"/>
    <cellStyle name="40% - Accent2 8 3 6" xfId="20023"/>
    <cellStyle name="40% - Accent2 8 4" xfId="20024"/>
    <cellStyle name="40% - Accent2 8 4 2" xfId="20025"/>
    <cellStyle name="40% - Accent2 8 4 2 2" xfId="20026"/>
    <cellStyle name="40% - Accent2 8 4 2 2 2" xfId="20027"/>
    <cellStyle name="40% - Accent2 8 4 2 3" xfId="20028"/>
    <cellStyle name="40% - Accent2 8 4 3" xfId="20029"/>
    <cellStyle name="40% - Accent2 8 4 3 2" xfId="20030"/>
    <cellStyle name="40% - Accent2 8 4 4" xfId="20031"/>
    <cellStyle name="40% - Accent2 8 5" xfId="20032"/>
    <cellStyle name="40% - Accent2 8 5 2" xfId="20033"/>
    <cellStyle name="40% - Accent2 8 5 2 2" xfId="20034"/>
    <cellStyle name="40% - Accent2 8 5 3" xfId="20035"/>
    <cellStyle name="40% - Accent2 8 6" xfId="20036"/>
    <cellStyle name="40% - Accent2 8 6 2" xfId="20037"/>
    <cellStyle name="40% - Accent2 8 7" xfId="20038"/>
    <cellStyle name="40% - Accent2 8 7 2" xfId="20039"/>
    <cellStyle name="40% - Accent2 8 8" xfId="20040"/>
    <cellStyle name="40% - Accent2 9" xfId="20041"/>
    <cellStyle name="40% - Accent2 9 2" xfId="20042"/>
    <cellStyle name="40% - Accent2 9 2 2" xfId="20043"/>
    <cellStyle name="40% - Accent2 9 2 2 2" xfId="20044"/>
    <cellStyle name="40% - Accent2 9 2 2 2 2" xfId="20045"/>
    <cellStyle name="40% - Accent2 9 2 2 2 2 2" xfId="20046"/>
    <cellStyle name="40% - Accent2 9 2 2 2 3" xfId="20047"/>
    <cellStyle name="40% - Accent2 9 2 2 3" xfId="20048"/>
    <cellStyle name="40% - Accent2 9 2 2 3 2" xfId="20049"/>
    <cellStyle name="40% - Accent2 9 2 2 4" xfId="20050"/>
    <cellStyle name="40% - Accent2 9 2 3" xfId="20051"/>
    <cellStyle name="40% - Accent2 9 2 3 2" xfId="20052"/>
    <cellStyle name="40% - Accent2 9 2 3 2 2" xfId="20053"/>
    <cellStyle name="40% - Accent2 9 2 3 3" xfId="20054"/>
    <cellStyle name="40% - Accent2 9 2 4" xfId="20055"/>
    <cellStyle name="40% - Accent2 9 2 4 2" xfId="20056"/>
    <cellStyle name="40% - Accent2 9 2 5" xfId="20057"/>
    <cellStyle name="40% - Accent2 9 2 5 2" xfId="20058"/>
    <cellStyle name="40% - Accent2 9 2 6" xfId="20059"/>
    <cellStyle name="40% - Accent2 9 3" xfId="20060"/>
    <cellStyle name="40% - Accent2 9 3 2" xfId="20061"/>
    <cellStyle name="40% - Accent2 9 3 2 2" xfId="20062"/>
    <cellStyle name="40% - Accent2 9 3 2 2 2" xfId="20063"/>
    <cellStyle name="40% - Accent2 9 3 2 2 2 2" xfId="20064"/>
    <cellStyle name="40% - Accent2 9 3 2 2 3" xfId="20065"/>
    <cellStyle name="40% - Accent2 9 3 2 3" xfId="20066"/>
    <cellStyle name="40% - Accent2 9 3 2 3 2" xfId="20067"/>
    <cellStyle name="40% - Accent2 9 3 2 4" xfId="20068"/>
    <cellStyle name="40% - Accent2 9 3 3" xfId="20069"/>
    <cellStyle name="40% - Accent2 9 3 3 2" xfId="20070"/>
    <cellStyle name="40% - Accent2 9 3 3 2 2" xfId="20071"/>
    <cellStyle name="40% - Accent2 9 3 3 3" xfId="20072"/>
    <cellStyle name="40% - Accent2 9 3 4" xfId="20073"/>
    <cellStyle name="40% - Accent2 9 3 4 2" xfId="20074"/>
    <cellStyle name="40% - Accent2 9 3 5" xfId="20075"/>
    <cellStyle name="40% - Accent2 9 3 5 2" xfId="20076"/>
    <cellStyle name="40% - Accent2 9 3 6" xfId="20077"/>
    <cellStyle name="40% - Accent2 9 4" xfId="20078"/>
    <cellStyle name="40% - Accent2 9 4 2" xfId="20079"/>
    <cellStyle name="40% - Accent2 9 4 2 2" xfId="20080"/>
    <cellStyle name="40% - Accent2 9 4 2 2 2" xfId="20081"/>
    <cellStyle name="40% - Accent2 9 4 2 3" xfId="20082"/>
    <cellStyle name="40% - Accent2 9 4 3" xfId="20083"/>
    <cellStyle name="40% - Accent2 9 4 3 2" xfId="20084"/>
    <cellStyle name="40% - Accent2 9 4 4" xfId="20085"/>
    <cellStyle name="40% - Accent2 9 5" xfId="20086"/>
    <cellStyle name="40% - Accent2 9 5 2" xfId="20087"/>
    <cellStyle name="40% - Accent2 9 5 2 2" xfId="20088"/>
    <cellStyle name="40% - Accent2 9 5 3" xfId="20089"/>
    <cellStyle name="40% - Accent2 9 6" xfId="20090"/>
    <cellStyle name="40% - Accent2 9 6 2" xfId="20091"/>
    <cellStyle name="40% - Accent2 9 7" xfId="20092"/>
    <cellStyle name="40% - Accent2 9 7 2" xfId="20093"/>
    <cellStyle name="40% - Accent2 9 8" xfId="20094"/>
    <cellStyle name="40% - Accent3 10" xfId="20095"/>
    <cellStyle name="40% - Accent3 10 2" xfId="20096"/>
    <cellStyle name="40% - Accent3 10 2 2" xfId="20097"/>
    <cellStyle name="40% - Accent3 10 2 2 2" xfId="20098"/>
    <cellStyle name="40% - Accent3 10 2 2 2 2" xfId="20099"/>
    <cellStyle name="40% - Accent3 10 2 2 3" xfId="20100"/>
    <cellStyle name="40% - Accent3 10 2 3" xfId="20101"/>
    <cellStyle name="40% - Accent3 10 2 3 2" xfId="20102"/>
    <cellStyle name="40% - Accent3 10 2 4" xfId="20103"/>
    <cellStyle name="40% - Accent3 10 3" xfId="20104"/>
    <cellStyle name="40% - Accent3 10 3 2" xfId="20105"/>
    <cellStyle name="40% - Accent3 10 3 2 2" xfId="20106"/>
    <cellStyle name="40% - Accent3 10 3 3" xfId="20107"/>
    <cellStyle name="40% - Accent3 10 4" xfId="20108"/>
    <cellStyle name="40% - Accent3 10 4 2" xfId="20109"/>
    <cellStyle name="40% - Accent3 10 5" xfId="20110"/>
    <cellStyle name="40% - Accent3 10 5 2" xfId="20111"/>
    <cellStyle name="40% - Accent3 10 6" xfId="20112"/>
    <cellStyle name="40% - Accent3 11" xfId="20113"/>
    <cellStyle name="40% - Accent3 11 2" xfId="20114"/>
    <cellStyle name="40% - Accent3 11 2 2" xfId="20115"/>
    <cellStyle name="40% - Accent3 11 2 2 2" xfId="20116"/>
    <cellStyle name="40% - Accent3 11 2 2 2 2" xfId="20117"/>
    <cellStyle name="40% - Accent3 11 2 2 3" xfId="20118"/>
    <cellStyle name="40% - Accent3 11 2 3" xfId="20119"/>
    <cellStyle name="40% - Accent3 11 2 3 2" xfId="20120"/>
    <cellStyle name="40% - Accent3 11 2 4" xfId="20121"/>
    <cellStyle name="40% - Accent3 11 3" xfId="20122"/>
    <cellStyle name="40% - Accent3 11 3 2" xfId="20123"/>
    <cellStyle name="40% - Accent3 11 3 2 2" xfId="20124"/>
    <cellStyle name="40% - Accent3 11 3 3" xfId="20125"/>
    <cellStyle name="40% - Accent3 11 4" xfId="20126"/>
    <cellStyle name="40% - Accent3 11 4 2" xfId="20127"/>
    <cellStyle name="40% - Accent3 11 5" xfId="20128"/>
    <cellStyle name="40% - Accent3 11 5 2" xfId="20129"/>
    <cellStyle name="40% - Accent3 11 6" xfId="20130"/>
    <cellStyle name="40% - Accent3 12" xfId="20131"/>
    <cellStyle name="40% - Accent3 12 2" xfId="20132"/>
    <cellStyle name="40% - Accent3 12 2 2" xfId="20133"/>
    <cellStyle name="40% - Accent3 12 2 2 2" xfId="20134"/>
    <cellStyle name="40% - Accent3 12 2 2 2 2" xfId="20135"/>
    <cellStyle name="40% - Accent3 12 2 2 3" xfId="20136"/>
    <cellStyle name="40% - Accent3 12 2 3" xfId="20137"/>
    <cellStyle name="40% - Accent3 12 2 3 2" xfId="20138"/>
    <cellStyle name="40% - Accent3 12 2 4" xfId="20139"/>
    <cellStyle name="40% - Accent3 12 3" xfId="20140"/>
    <cellStyle name="40% - Accent3 12 3 2" xfId="20141"/>
    <cellStyle name="40% - Accent3 12 3 2 2" xfId="20142"/>
    <cellStyle name="40% - Accent3 12 3 3" xfId="20143"/>
    <cellStyle name="40% - Accent3 12 4" xfId="20144"/>
    <cellStyle name="40% - Accent3 12 4 2" xfId="20145"/>
    <cellStyle name="40% - Accent3 12 5" xfId="20146"/>
    <cellStyle name="40% - Accent3 12 5 2" xfId="20147"/>
    <cellStyle name="40% - Accent3 12 6" xfId="20148"/>
    <cellStyle name="40% - Accent3 13" xfId="20149"/>
    <cellStyle name="40% - Accent3 13 2" xfId="20150"/>
    <cellStyle name="40% - Accent3 13 2 2" xfId="20151"/>
    <cellStyle name="40% - Accent3 13 2 2 2" xfId="20152"/>
    <cellStyle name="40% - Accent3 13 2 3" xfId="20153"/>
    <cellStyle name="40% - Accent3 13 3" xfId="20154"/>
    <cellStyle name="40% - Accent3 13 3 2" xfId="20155"/>
    <cellStyle name="40% - Accent3 13 4" xfId="20156"/>
    <cellStyle name="40% - Accent3 14" xfId="20157"/>
    <cellStyle name="40% - Accent3 14 2" xfId="20158"/>
    <cellStyle name="40% - Accent3 14 2 2" xfId="20159"/>
    <cellStyle name="40% - Accent3 14 3" xfId="20160"/>
    <cellStyle name="40% - Accent3 15" xfId="20161"/>
    <cellStyle name="40% - Accent3 15 2" xfId="20162"/>
    <cellStyle name="40% - Accent3 16" xfId="20163"/>
    <cellStyle name="40% - Accent3 16 2" xfId="20164"/>
    <cellStyle name="40% - Accent3 17" xfId="20165"/>
    <cellStyle name="40% - Accent3 2" xfId="1"/>
    <cellStyle name="40% - Accent3 2 2" xfId="20167"/>
    <cellStyle name="40% - Accent3 2 2 10" xfId="20168"/>
    <cellStyle name="40% - Accent3 2 2 10 2" xfId="20169"/>
    <cellStyle name="40% - Accent3 2 2 10 2 2" xfId="20170"/>
    <cellStyle name="40% - Accent3 2 2 10 2 2 2" xfId="20171"/>
    <cellStyle name="40% - Accent3 2 2 10 2 2 2 2" xfId="20172"/>
    <cellStyle name="40% - Accent3 2 2 10 2 2 3" xfId="20173"/>
    <cellStyle name="40% - Accent3 2 2 10 2 3" xfId="20174"/>
    <cellStyle name="40% - Accent3 2 2 10 2 3 2" xfId="20175"/>
    <cellStyle name="40% - Accent3 2 2 10 2 4" xfId="20176"/>
    <cellStyle name="40% - Accent3 2 2 10 3" xfId="20177"/>
    <cellStyle name="40% - Accent3 2 2 10 3 2" xfId="20178"/>
    <cellStyle name="40% - Accent3 2 2 10 3 2 2" xfId="20179"/>
    <cellStyle name="40% - Accent3 2 2 10 3 3" xfId="20180"/>
    <cellStyle name="40% - Accent3 2 2 10 4" xfId="20181"/>
    <cellStyle name="40% - Accent3 2 2 10 4 2" xfId="20182"/>
    <cellStyle name="40% - Accent3 2 2 10 5" xfId="20183"/>
    <cellStyle name="40% - Accent3 2 2 10 5 2" xfId="20184"/>
    <cellStyle name="40% - Accent3 2 2 10 6" xfId="20185"/>
    <cellStyle name="40% - Accent3 2 2 11" xfId="20186"/>
    <cellStyle name="40% - Accent3 2 2 11 2" xfId="20187"/>
    <cellStyle name="40% - Accent3 2 2 11 2 2" xfId="20188"/>
    <cellStyle name="40% - Accent3 2 2 11 2 2 2" xfId="20189"/>
    <cellStyle name="40% - Accent3 2 2 11 2 2 2 2" xfId="20190"/>
    <cellStyle name="40% - Accent3 2 2 11 2 2 3" xfId="20191"/>
    <cellStyle name="40% - Accent3 2 2 11 2 3" xfId="20192"/>
    <cellStyle name="40% - Accent3 2 2 11 2 3 2" xfId="20193"/>
    <cellStyle name="40% - Accent3 2 2 11 2 4" xfId="20194"/>
    <cellStyle name="40% - Accent3 2 2 11 3" xfId="20195"/>
    <cellStyle name="40% - Accent3 2 2 11 3 2" xfId="20196"/>
    <cellStyle name="40% - Accent3 2 2 11 3 2 2" xfId="20197"/>
    <cellStyle name="40% - Accent3 2 2 11 3 3" xfId="20198"/>
    <cellStyle name="40% - Accent3 2 2 11 4" xfId="20199"/>
    <cellStyle name="40% - Accent3 2 2 11 4 2" xfId="20200"/>
    <cellStyle name="40% - Accent3 2 2 11 5" xfId="20201"/>
    <cellStyle name="40% - Accent3 2 2 11 5 2" xfId="20202"/>
    <cellStyle name="40% - Accent3 2 2 11 6" xfId="20203"/>
    <cellStyle name="40% - Accent3 2 2 12" xfId="20204"/>
    <cellStyle name="40% - Accent3 2 2 12 2" xfId="20205"/>
    <cellStyle name="40% - Accent3 2 2 12 2 2" xfId="20206"/>
    <cellStyle name="40% - Accent3 2 2 12 2 2 2" xfId="20207"/>
    <cellStyle name="40% - Accent3 2 2 12 2 3" xfId="20208"/>
    <cellStyle name="40% - Accent3 2 2 12 3" xfId="20209"/>
    <cellStyle name="40% - Accent3 2 2 12 3 2" xfId="20210"/>
    <cellStyle name="40% - Accent3 2 2 12 4" xfId="20211"/>
    <cellStyle name="40% - Accent3 2 2 13" xfId="20212"/>
    <cellStyle name="40% - Accent3 2 2 13 2" xfId="20213"/>
    <cellStyle name="40% - Accent3 2 2 13 2 2" xfId="20214"/>
    <cellStyle name="40% - Accent3 2 2 13 3" xfId="20215"/>
    <cellStyle name="40% - Accent3 2 2 14" xfId="20216"/>
    <cellStyle name="40% - Accent3 2 2 14 2" xfId="20217"/>
    <cellStyle name="40% - Accent3 2 2 15" xfId="20218"/>
    <cellStyle name="40% - Accent3 2 2 15 2" xfId="20219"/>
    <cellStyle name="40% - Accent3 2 2 16" xfId="20220"/>
    <cellStyle name="40% - Accent3 2 2 2" xfId="20221"/>
    <cellStyle name="40% - Accent3 2 2 2 10" xfId="20222"/>
    <cellStyle name="40% - Accent3 2 2 2 10 2" xfId="20223"/>
    <cellStyle name="40% - Accent3 2 2 2 10 2 2" xfId="20224"/>
    <cellStyle name="40% - Accent3 2 2 2 10 2 2 2" xfId="20225"/>
    <cellStyle name="40% - Accent3 2 2 2 10 2 2 2 2" xfId="20226"/>
    <cellStyle name="40% - Accent3 2 2 2 10 2 2 3" xfId="20227"/>
    <cellStyle name="40% - Accent3 2 2 2 10 2 3" xfId="20228"/>
    <cellStyle name="40% - Accent3 2 2 2 10 2 3 2" xfId="20229"/>
    <cellStyle name="40% - Accent3 2 2 2 10 2 4" xfId="20230"/>
    <cellStyle name="40% - Accent3 2 2 2 10 3" xfId="20231"/>
    <cellStyle name="40% - Accent3 2 2 2 10 3 2" xfId="20232"/>
    <cellStyle name="40% - Accent3 2 2 2 10 3 2 2" xfId="20233"/>
    <cellStyle name="40% - Accent3 2 2 2 10 3 3" xfId="20234"/>
    <cellStyle name="40% - Accent3 2 2 2 10 4" xfId="20235"/>
    <cellStyle name="40% - Accent3 2 2 2 10 4 2" xfId="20236"/>
    <cellStyle name="40% - Accent3 2 2 2 10 5" xfId="20237"/>
    <cellStyle name="40% - Accent3 2 2 2 10 5 2" xfId="20238"/>
    <cellStyle name="40% - Accent3 2 2 2 10 6" xfId="20239"/>
    <cellStyle name="40% - Accent3 2 2 2 11" xfId="20240"/>
    <cellStyle name="40% - Accent3 2 2 2 11 2" xfId="20241"/>
    <cellStyle name="40% - Accent3 2 2 2 11 2 2" xfId="20242"/>
    <cellStyle name="40% - Accent3 2 2 2 11 2 2 2" xfId="20243"/>
    <cellStyle name="40% - Accent3 2 2 2 11 2 3" xfId="20244"/>
    <cellStyle name="40% - Accent3 2 2 2 11 3" xfId="20245"/>
    <cellStyle name="40% - Accent3 2 2 2 11 3 2" xfId="20246"/>
    <cellStyle name="40% - Accent3 2 2 2 11 4" xfId="20247"/>
    <cellStyle name="40% - Accent3 2 2 2 12" xfId="20248"/>
    <cellStyle name="40% - Accent3 2 2 2 12 2" xfId="20249"/>
    <cellStyle name="40% - Accent3 2 2 2 12 2 2" xfId="20250"/>
    <cellStyle name="40% - Accent3 2 2 2 12 3" xfId="20251"/>
    <cellStyle name="40% - Accent3 2 2 2 13" xfId="20252"/>
    <cellStyle name="40% - Accent3 2 2 2 13 2" xfId="20253"/>
    <cellStyle name="40% - Accent3 2 2 2 14" xfId="20254"/>
    <cellStyle name="40% - Accent3 2 2 2 14 2" xfId="20255"/>
    <cellStyle name="40% - Accent3 2 2 2 15" xfId="20256"/>
    <cellStyle name="40% - Accent3 2 2 2 2" xfId="20257"/>
    <cellStyle name="40% - Accent3 2 2 2 2 10" xfId="20258"/>
    <cellStyle name="40% - Accent3 2 2 2 2 10 2" xfId="20259"/>
    <cellStyle name="40% - Accent3 2 2 2 2 11" xfId="20260"/>
    <cellStyle name="40% - Accent3 2 2 2 2 2" xfId="20261"/>
    <cellStyle name="40% - Accent3 2 2 2 2 2 2" xfId="20262"/>
    <cellStyle name="40% - Accent3 2 2 2 2 2 2 2" xfId="20263"/>
    <cellStyle name="40% - Accent3 2 2 2 2 2 2 2 2" xfId="20264"/>
    <cellStyle name="40% - Accent3 2 2 2 2 2 2 2 2 2" xfId="20265"/>
    <cellStyle name="40% - Accent3 2 2 2 2 2 2 2 2 2 2" xfId="20266"/>
    <cellStyle name="40% - Accent3 2 2 2 2 2 2 2 2 3" xfId="20267"/>
    <cellStyle name="40% - Accent3 2 2 2 2 2 2 2 3" xfId="20268"/>
    <cellStyle name="40% - Accent3 2 2 2 2 2 2 2 3 2" xfId="20269"/>
    <cellStyle name="40% - Accent3 2 2 2 2 2 2 2 4" xfId="20270"/>
    <cellStyle name="40% - Accent3 2 2 2 2 2 2 3" xfId="20271"/>
    <cellStyle name="40% - Accent3 2 2 2 2 2 2 3 2" xfId="20272"/>
    <cellStyle name="40% - Accent3 2 2 2 2 2 2 3 2 2" xfId="20273"/>
    <cellStyle name="40% - Accent3 2 2 2 2 2 2 3 3" xfId="20274"/>
    <cellStyle name="40% - Accent3 2 2 2 2 2 2 4" xfId="20275"/>
    <cellStyle name="40% - Accent3 2 2 2 2 2 2 4 2" xfId="20276"/>
    <cellStyle name="40% - Accent3 2 2 2 2 2 2 5" xfId="20277"/>
    <cellStyle name="40% - Accent3 2 2 2 2 2 2 5 2" xfId="20278"/>
    <cellStyle name="40% - Accent3 2 2 2 2 2 2 6" xfId="20279"/>
    <cellStyle name="40% - Accent3 2 2 2 2 2 3" xfId="20280"/>
    <cellStyle name="40% - Accent3 2 2 2 2 2 3 2" xfId="20281"/>
    <cellStyle name="40% - Accent3 2 2 2 2 2 3 2 2" xfId="20282"/>
    <cellStyle name="40% - Accent3 2 2 2 2 2 3 2 2 2" xfId="20283"/>
    <cellStyle name="40% - Accent3 2 2 2 2 2 3 2 2 2 2" xfId="20284"/>
    <cellStyle name="40% - Accent3 2 2 2 2 2 3 2 2 3" xfId="20285"/>
    <cellStyle name="40% - Accent3 2 2 2 2 2 3 2 3" xfId="20286"/>
    <cellStyle name="40% - Accent3 2 2 2 2 2 3 2 3 2" xfId="20287"/>
    <cellStyle name="40% - Accent3 2 2 2 2 2 3 2 4" xfId="20288"/>
    <cellStyle name="40% - Accent3 2 2 2 2 2 3 3" xfId="20289"/>
    <cellStyle name="40% - Accent3 2 2 2 2 2 3 3 2" xfId="20290"/>
    <cellStyle name="40% - Accent3 2 2 2 2 2 3 3 2 2" xfId="20291"/>
    <cellStyle name="40% - Accent3 2 2 2 2 2 3 3 3" xfId="20292"/>
    <cellStyle name="40% - Accent3 2 2 2 2 2 3 4" xfId="20293"/>
    <cellStyle name="40% - Accent3 2 2 2 2 2 3 4 2" xfId="20294"/>
    <cellStyle name="40% - Accent3 2 2 2 2 2 3 5" xfId="20295"/>
    <cellStyle name="40% - Accent3 2 2 2 2 2 3 5 2" xfId="20296"/>
    <cellStyle name="40% - Accent3 2 2 2 2 2 3 6" xfId="20297"/>
    <cellStyle name="40% - Accent3 2 2 2 2 2 4" xfId="20298"/>
    <cellStyle name="40% - Accent3 2 2 2 2 2 4 2" xfId="20299"/>
    <cellStyle name="40% - Accent3 2 2 2 2 2 4 2 2" xfId="20300"/>
    <cellStyle name="40% - Accent3 2 2 2 2 2 4 2 2 2" xfId="20301"/>
    <cellStyle name="40% - Accent3 2 2 2 2 2 4 2 3" xfId="20302"/>
    <cellStyle name="40% - Accent3 2 2 2 2 2 4 3" xfId="20303"/>
    <cellStyle name="40% - Accent3 2 2 2 2 2 4 3 2" xfId="20304"/>
    <cellStyle name="40% - Accent3 2 2 2 2 2 4 4" xfId="20305"/>
    <cellStyle name="40% - Accent3 2 2 2 2 2 5" xfId="20306"/>
    <cellStyle name="40% - Accent3 2 2 2 2 2 5 2" xfId="20307"/>
    <cellStyle name="40% - Accent3 2 2 2 2 2 5 2 2" xfId="20308"/>
    <cellStyle name="40% - Accent3 2 2 2 2 2 5 3" xfId="20309"/>
    <cellStyle name="40% - Accent3 2 2 2 2 2 6" xfId="20310"/>
    <cellStyle name="40% - Accent3 2 2 2 2 2 6 2" xfId="20311"/>
    <cellStyle name="40% - Accent3 2 2 2 2 2 7" xfId="20312"/>
    <cellStyle name="40% - Accent3 2 2 2 2 2 7 2" xfId="20313"/>
    <cellStyle name="40% - Accent3 2 2 2 2 2 8" xfId="20314"/>
    <cellStyle name="40% - Accent3 2 2 2 2 3" xfId="20315"/>
    <cellStyle name="40% - Accent3 2 2 2 2 3 2" xfId="20316"/>
    <cellStyle name="40% - Accent3 2 2 2 2 3 2 2" xfId="20317"/>
    <cellStyle name="40% - Accent3 2 2 2 2 3 2 2 2" xfId="20318"/>
    <cellStyle name="40% - Accent3 2 2 2 2 3 2 2 2 2" xfId="20319"/>
    <cellStyle name="40% - Accent3 2 2 2 2 3 2 2 2 2 2" xfId="20320"/>
    <cellStyle name="40% - Accent3 2 2 2 2 3 2 2 2 3" xfId="20321"/>
    <cellStyle name="40% - Accent3 2 2 2 2 3 2 2 3" xfId="20322"/>
    <cellStyle name="40% - Accent3 2 2 2 2 3 2 2 3 2" xfId="20323"/>
    <cellStyle name="40% - Accent3 2 2 2 2 3 2 2 4" xfId="20324"/>
    <cellStyle name="40% - Accent3 2 2 2 2 3 2 3" xfId="20325"/>
    <cellStyle name="40% - Accent3 2 2 2 2 3 2 3 2" xfId="20326"/>
    <cellStyle name="40% - Accent3 2 2 2 2 3 2 3 2 2" xfId="20327"/>
    <cellStyle name="40% - Accent3 2 2 2 2 3 2 3 3" xfId="20328"/>
    <cellStyle name="40% - Accent3 2 2 2 2 3 2 4" xfId="20329"/>
    <cellStyle name="40% - Accent3 2 2 2 2 3 2 4 2" xfId="20330"/>
    <cellStyle name="40% - Accent3 2 2 2 2 3 2 5" xfId="20331"/>
    <cellStyle name="40% - Accent3 2 2 2 2 3 2 5 2" xfId="20332"/>
    <cellStyle name="40% - Accent3 2 2 2 2 3 2 6" xfId="20333"/>
    <cellStyle name="40% - Accent3 2 2 2 2 3 3" xfId="20334"/>
    <cellStyle name="40% - Accent3 2 2 2 2 3 3 2" xfId="20335"/>
    <cellStyle name="40% - Accent3 2 2 2 2 3 3 2 2" xfId="20336"/>
    <cellStyle name="40% - Accent3 2 2 2 2 3 3 2 2 2" xfId="20337"/>
    <cellStyle name="40% - Accent3 2 2 2 2 3 3 2 2 2 2" xfId="20338"/>
    <cellStyle name="40% - Accent3 2 2 2 2 3 3 2 2 3" xfId="20339"/>
    <cellStyle name="40% - Accent3 2 2 2 2 3 3 2 3" xfId="20340"/>
    <cellStyle name="40% - Accent3 2 2 2 2 3 3 2 3 2" xfId="20341"/>
    <cellStyle name="40% - Accent3 2 2 2 2 3 3 2 4" xfId="20342"/>
    <cellStyle name="40% - Accent3 2 2 2 2 3 3 3" xfId="20343"/>
    <cellStyle name="40% - Accent3 2 2 2 2 3 3 3 2" xfId="20344"/>
    <cellStyle name="40% - Accent3 2 2 2 2 3 3 3 2 2" xfId="20345"/>
    <cellStyle name="40% - Accent3 2 2 2 2 3 3 3 3" xfId="20346"/>
    <cellStyle name="40% - Accent3 2 2 2 2 3 3 4" xfId="20347"/>
    <cellStyle name="40% - Accent3 2 2 2 2 3 3 4 2" xfId="20348"/>
    <cellStyle name="40% - Accent3 2 2 2 2 3 3 5" xfId="20349"/>
    <cellStyle name="40% - Accent3 2 2 2 2 3 3 5 2" xfId="20350"/>
    <cellStyle name="40% - Accent3 2 2 2 2 3 3 6" xfId="20351"/>
    <cellStyle name="40% - Accent3 2 2 2 2 3 4" xfId="20352"/>
    <cellStyle name="40% - Accent3 2 2 2 2 3 4 2" xfId="20353"/>
    <cellStyle name="40% - Accent3 2 2 2 2 3 4 2 2" xfId="20354"/>
    <cellStyle name="40% - Accent3 2 2 2 2 3 4 2 2 2" xfId="20355"/>
    <cellStyle name="40% - Accent3 2 2 2 2 3 4 2 3" xfId="20356"/>
    <cellStyle name="40% - Accent3 2 2 2 2 3 4 3" xfId="20357"/>
    <cellStyle name="40% - Accent3 2 2 2 2 3 4 3 2" xfId="20358"/>
    <cellStyle name="40% - Accent3 2 2 2 2 3 4 4" xfId="20359"/>
    <cellStyle name="40% - Accent3 2 2 2 2 3 5" xfId="20360"/>
    <cellStyle name="40% - Accent3 2 2 2 2 3 5 2" xfId="20361"/>
    <cellStyle name="40% - Accent3 2 2 2 2 3 5 2 2" xfId="20362"/>
    <cellStyle name="40% - Accent3 2 2 2 2 3 5 3" xfId="20363"/>
    <cellStyle name="40% - Accent3 2 2 2 2 3 6" xfId="20364"/>
    <cellStyle name="40% - Accent3 2 2 2 2 3 6 2" xfId="20365"/>
    <cellStyle name="40% - Accent3 2 2 2 2 3 7" xfId="20366"/>
    <cellStyle name="40% - Accent3 2 2 2 2 3 7 2" xfId="20367"/>
    <cellStyle name="40% - Accent3 2 2 2 2 3 8" xfId="20368"/>
    <cellStyle name="40% - Accent3 2 2 2 2 4" xfId="20369"/>
    <cellStyle name="40% - Accent3 2 2 2 2 4 2" xfId="20370"/>
    <cellStyle name="40% - Accent3 2 2 2 2 4 2 2" xfId="20371"/>
    <cellStyle name="40% - Accent3 2 2 2 2 4 2 2 2" xfId="20372"/>
    <cellStyle name="40% - Accent3 2 2 2 2 4 2 2 2 2" xfId="20373"/>
    <cellStyle name="40% - Accent3 2 2 2 2 4 2 2 3" xfId="20374"/>
    <cellStyle name="40% - Accent3 2 2 2 2 4 2 3" xfId="20375"/>
    <cellStyle name="40% - Accent3 2 2 2 2 4 2 3 2" xfId="20376"/>
    <cellStyle name="40% - Accent3 2 2 2 2 4 2 4" xfId="20377"/>
    <cellStyle name="40% - Accent3 2 2 2 2 4 3" xfId="20378"/>
    <cellStyle name="40% - Accent3 2 2 2 2 4 3 2" xfId="20379"/>
    <cellStyle name="40% - Accent3 2 2 2 2 4 3 2 2" xfId="20380"/>
    <cellStyle name="40% - Accent3 2 2 2 2 4 3 3" xfId="20381"/>
    <cellStyle name="40% - Accent3 2 2 2 2 4 4" xfId="20382"/>
    <cellStyle name="40% - Accent3 2 2 2 2 4 4 2" xfId="20383"/>
    <cellStyle name="40% - Accent3 2 2 2 2 4 5" xfId="20384"/>
    <cellStyle name="40% - Accent3 2 2 2 2 4 5 2" xfId="20385"/>
    <cellStyle name="40% - Accent3 2 2 2 2 4 6" xfId="20386"/>
    <cellStyle name="40% - Accent3 2 2 2 2 5" xfId="20387"/>
    <cellStyle name="40% - Accent3 2 2 2 2 5 2" xfId="20388"/>
    <cellStyle name="40% - Accent3 2 2 2 2 5 2 2" xfId="20389"/>
    <cellStyle name="40% - Accent3 2 2 2 2 5 2 2 2" xfId="20390"/>
    <cellStyle name="40% - Accent3 2 2 2 2 5 2 2 2 2" xfId="20391"/>
    <cellStyle name="40% - Accent3 2 2 2 2 5 2 2 3" xfId="20392"/>
    <cellStyle name="40% - Accent3 2 2 2 2 5 2 3" xfId="20393"/>
    <cellStyle name="40% - Accent3 2 2 2 2 5 2 3 2" xfId="20394"/>
    <cellStyle name="40% - Accent3 2 2 2 2 5 2 4" xfId="20395"/>
    <cellStyle name="40% - Accent3 2 2 2 2 5 3" xfId="20396"/>
    <cellStyle name="40% - Accent3 2 2 2 2 5 3 2" xfId="20397"/>
    <cellStyle name="40% - Accent3 2 2 2 2 5 3 2 2" xfId="20398"/>
    <cellStyle name="40% - Accent3 2 2 2 2 5 3 3" xfId="20399"/>
    <cellStyle name="40% - Accent3 2 2 2 2 5 4" xfId="20400"/>
    <cellStyle name="40% - Accent3 2 2 2 2 5 4 2" xfId="20401"/>
    <cellStyle name="40% - Accent3 2 2 2 2 5 5" xfId="20402"/>
    <cellStyle name="40% - Accent3 2 2 2 2 5 5 2" xfId="20403"/>
    <cellStyle name="40% - Accent3 2 2 2 2 5 6" xfId="20404"/>
    <cellStyle name="40% - Accent3 2 2 2 2 6" xfId="20405"/>
    <cellStyle name="40% - Accent3 2 2 2 2 6 2" xfId="20406"/>
    <cellStyle name="40% - Accent3 2 2 2 2 6 2 2" xfId="20407"/>
    <cellStyle name="40% - Accent3 2 2 2 2 6 2 2 2" xfId="20408"/>
    <cellStyle name="40% - Accent3 2 2 2 2 6 2 2 2 2" xfId="20409"/>
    <cellStyle name="40% - Accent3 2 2 2 2 6 2 2 3" xfId="20410"/>
    <cellStyle name="40% - Accent3 2 2 2 2 6 2 3" xfId="20411"/>
    <cellStyle name="40% - Accent3 2 2 2 2 6 2 3 2" xfId="20412"/>
    <cellStyle name="40% - Accent3 2 2 2 2 6 2 4" xfId="20413"/>
    <cellStyle name="40% - Accent3 2 2 2 2 6 3" xfId="20414"/>
    <cellStyle name="40% - Accent3 2 2 2 2 6 3 2" xfId="20415"/>
    <cellStyle name="40% - Accent3 2 2 2 2 6 3 2 2" xfId="20416"/>
    <cellStyle name="40% - Accent3 2 2 2 2 6 3 3" xfId="20417"/>
    <cellStyle name="40% - Accent3 2 2 2 2 6 4" xfId="20418"/>
    <cellStyle name="40% - Accent3 2 2 2 2 6 4 2" xfId="20419"/>
    <cellStyle name="40% - Accent3 2 2 2 2 6 5" xfId="20420"/>
    <cellStyle name="40% - Accent3 2 2 2 2 6 5 2" xfId="20421"/>
    <cellStyle name="40% - Accent3 2 2 2 2 6 6" xfId="20422"/>
    <cellStyle name="40% - Accent3 2 2 2 2 7" xfId="20423"/>
    <cellStyle name="40% - Accent3 2 2 2 2 7 2" xfId="20424"/>
    <cellStyle name="40% - Accent3 2 2 2 2 7 2 2" xfId="20425"/>
    <cellStyle name="40% - Accent3 2 2 2 2 7 2 2 2" xfId="20426"/>
    <cellStyle name="40% - Accent3 2 2 2 2 7 2 3" xfId="20427"/>
    <cellStyle name="40% - Accent3 2 2 2 2 7 3" xfId="20428"/>
    <cellStyle name="40% - Accent3 2 2 2 2 7 3 2" xfId="20429"/>
    <cellStyle name="40% - Accent3 2 2 2 2 7 4" xfId="20430"/>
    <cellStyle name="40% - Accent3 2 2 2 2 8" xfId="20431"/>
    <cellStyle name="40% - Accent3 2 2 2 2 8 2" xfId="20432"/>
    <cellStyle name="40% - Accent3 2 2 2 2 8 2 2" xfId="20433"/>
    <cellStyle name="40% - Accent3 2 2 2 2 8 3" xfId="20434"/>
    <cellStyle name="40% - Accent3 2 2 2 2 9" xfId="20435"/>
    <cellStyle name="40% - Accent3 2 2 2 2 9 2" xfId="20436"/>
    <cellStyle name="40% - Accent3 2 2 2 3" xfId="20437"/>
    <cellStyle name="40% - Accent3 2 2 2 3 10" xfId="20438"/>
    <cellStyle name="40% - Accent3 2 2 2 3 10 2" xfId="20439"/>
    <cellStyle name="40% - Accent3 2 2 2 3 11" xfId="20440"/>
    <cellStyle name="40% - Accent3 2 2 2 3 2" xfId="20441"/>
    <cellStyle name="40% - Accent3 2 2 2 3 2 2" xfId="20442"/>
    <cellStyle name="40% - Accent3 2 2 2 3 2 2 2" xfId="20443"/>
    <cellStyle name="40% - Accent3 2 2 2 3 2 2 2 2" xfId="20444"/>
    <cellStyle name="40% - Accent3 2 2 2 3 2 2 2 2 2" xfId="20445"/>
    <cellStyle name="40% - Accent3 2 2 2 3 2 2 2 2 2 2" xfId="20446"/>
    <cellStyle name="40% - Accent3 2 2 2 3 2 2 2 2 3" xfId="20447"/>
    <cellStyle name="40% - Accent3 2 2 2 3 2 2 2 3" xfId="20448"/>
    <cellStyle name="40% - Accent3 2 2 2 3 2 2 2 3 2" xfId="20449"/>
    <cellStyle name="40% - Accent3 2 2 2 3 2 2 2 4" xfId="20450"/>
    <cellStyle name="40% - Accent3 2 2 2 3 2 2 3" xfId="20451"/>
    <cellStyle name="40% - Accent3 2 2 2 3 2 2 3 2" xfId="20452"/>
    <cellStyle name="40% - Accent3 2 2 2 3 2 2 3 2 2" xfId="20453"/>
    <cellStyle name="40% - Accent3 2 2 2 3 2 2 3 3" xfId="20454"/>
    <cellStyle name="40% - Accent3 2 2 2 3 2 2 4" xfId="20455"/>
    <cellStyle name="40% - Accent3 2 2 2 3 2 2 4 2" xfId="20456"/>
    <cellStyle name="40% - Accent3 2 2 2 3 2 2 5" xfId="20457"/>
    <cellStyle name="40% - Accent3 2 2 2 3 2 2 5 2" xfId="20458"/>
    <cellStyle name="40% - Accent3 2 2 2 3 2 2 6" xfId="20459"/>
    <cellStyle name="40% - Accent3 2 2 2 3 2 3" xfId="20460"/>
    <cellStyle name="40% - Accent3 2 2 2 3 2 3 2" xfId="20461"/>
    <cellStyle name="40% - Accent3 2 2 2 3 2 3 2 2" xfId="20462"/>
    <cellStyle name="40% - Accent3 2 2 2 3 2 3 2 2 2" xfId="20463"/>
    <cellStyle name="40% - Accent3 2 2 2 3 2 3 2 2 2 2" xfId="20464"/>
    <cellStyle name="40% - Accent3 2 2 2 3 2 3 2 2 3" xfId="20465"/>
    <cellStyle name="40% - Accent3 2 2 2 3 2 3 2 3" xfId="20466"/>
    <cellStyle name="40% - Accent3 2 2 2 3 2 3 2 3 2" xfId="20467"/>
    <cellStyle name="40% - Accent3 2 2 2 3 2 3 2 4" xfId="20468"/>
    <cellStyle name="40% - Accent3 2 2 2 3 2 3 3" xfId="20469"/>
    <cellStyle name="40% - Accent3 2 2 2 3 2 3 3 2" xfId="20470"/>
    <cellStyle name="40% - Accent3 2 2 2 3 2 3 3 2 2" xfId="20471"/>
    <cellStyle name="40% - Accent3 2 2 2 3 2 3 3 3" xfId="20472"/>
    <cellStyle name="40% - Accent3 2 2 2 3 2 3 4" xfId="20473"/>
    <cellStyle name="40% - Accent3 2 2 2 3 2 3 4 2" xfId="20474"/>
    <cellStyle name="40% - Accent3 2 2 2 3 2 3 5" xfId="20475"/>
    <cellStyle name="40% - Accent3 2 2 2 3 2 3 5 2" xfId="20476"/>
    <cellStyle name="40% - Accent3 2 2 2 3 2 3 6" xfId="20477"/>
    <cellStyle name="40% - Accent3 2 2 2 3 2 4" xfId="20478"/>
    <cellStyle name="40% - Accent3 2 2 2 3 2 4 2" xfId="20479"/>
    <cellStyle name="40% - Accent3 2 2 2 3 2 4 2 2" xfId="20480"/>
    <cellStyle name="40% - Accent3 2 2 2 3 2 4 2 2 2" xfId="20481"/>
    <cellStyle name="40% - Accent3 2 2 2 3 2 4 2 3" xfId="20482"/>
    <cellStyle name="40% - Accent3 2 2 2 3 2 4 3" xfId="20483"/>
    <cellStyle name="40% - Accent3 2 2 2 3 2 4 3 2" xfId="20484"/>
    <cellStyle name="40% - Accent3 2 2 2 3 2 4 4" xfId="20485"/>
    <cellStyle name="40% - Accent3 2 2 2 3 2 5" xfId="20486"/>
    <cellStyle name="40% - Accent3 2 2 2 3 2 5 2" xfId="20487"/>
    <cellStyle name="40% - Accent3 2 2 2 3 2 5 2 2" xfId="20488"/>
    <cellStyle name="40% - Accent3 2 2 2 3 2 5 3" xfId="20489"/>
    <cellStyle name="40% - Accent3 2 2 2 3 2 6" xfId="20490"/>
    <cellStyle name="40% - Accent3 2 2 2 3 2 6 2" xfId="20491"/>
    <cellStyle name="40% - Accent3 2 2 2 3 2 7" xfId="20492"/>
    <cellStyle name="40% - Accent3 2 2 2 3 2 7 2" xfId="20493"/>
    <cellStyle name="40% - Accent3 2 2 2 3 2 8" xfId="20494"/>
    <cellStyle name="40% - Accent3 2 2 2 3 3" xfId="20495"/>
    <cellStyle name="40% - Accent3 2 2 2 3 3 2" xfId="20496"/>
    <cellStyle name="40% - Accent3 2 2 2 3 3 2 2" xfId="20497"/>
    <cellStyle name="40% - Accent3 2 2 2 3 3 2 2 2" xfId="20498"/>
    <cellStyle name="40% - Accent3 2 2 2 3 3 2 2 2 2" xfId="20499"/>
    <cellStyle name="40% - Accent3 2 2 2 3 3 2 2 2 2 2" xfId="20500"/>
    <cellStyle name="40% - Accent3 2 2 2 3 3 2 2 2 3" xfId="20501"/>
    <cellStyle name="40% - Accent3 2 2 2 3 3 2 2 3" xfId="20502"/>
    <cellStyle name="40% - Accent3 2 2 2 3 3 2 2 3 2" xfId="20503"/>
    <cellStyle name="40% - Accent3 2 2 2 3 3 2 2 4" xfId="20504"/>
    <cellStyle name="40% - Accent3 2 2 2 3 3 2 3" xfId="20505"/>
    <cellStyle name="40% - Accent3 2 2 2 3 3 2 3 2" xfId="20506"/>
    <cellStyle name="40% - Accent3 2 2 2 3 3 2 3 2 2" xfId="20507"/>
    <cellStyle name="40% - Accent3 2 2 2 3 3 2 3 3" xfId="20508"/>
    <cellStyle name="40% - Accent3 2 2 2 3 3 2 4" xfId="20509"/>
    <cellStyle name="40% - Accent3 2 2 2 3 3 2 4 2" xfId="20510"/>
    <cellStyle name="40% - Accent3 2 2 2 3 3 2 5" xfId="20511"/>
    <cellStyle name="40% - Accent3 2 2 2 3 3 2 5 2" xfId="20512"/>
    <cellStyle name="40% - Accent3 2 2 2 3 3 2 6" xfId="20513"/>
    <cellStyle name="40% - Accent3 2 2 2 3 3 3" xfId="20514"/>
    <cellStyle name="40% - Accent3 2 2 2 3 3 3 2" xfId="20515"/>
    <cellStyle name="40% - Accent3 2 2 2 3 3 3 2 2" xfId="20516"/>
    <cellStyle name="40% - Accent3 2 2 2 3 3 3 2 2 2" xfId="20517"/>
    <cellStyle name="40% - Accent3 2 2 2 3 3 3 2 2 2 2" xfId="20518"/>
    <cellStyle name="40% - Accent3 2 2 2 3 3 3 2 2 3" xfId="20519"/>
    <cellStyle name="40% - Accent3 2 2 2 3 3 3 2 3" xfId="20520"/>
    <cellStyle name="40% - Accent3 2 2 2 3 3 3 2 3 2" xfId="20521"/>
    <cellStyle name="40% - Accent3 2 2 2 3 3 3 2 4" xfId="20522"/>
    <cellStyle name="40% - Accent3 2 2 2 3 3 3 3" xfId="20523"/>
    <cellStyle name="40% - Accent3 2 2 2 3 3 3 3 2" xfId="20524"/>
    <cellStyle name="40% - Accent3 2 2 2 3 3 3 3 2 2" xfId="20525"/>
    <cellStyle name="40% - Accent3 2 2 2 3 3 3 3 3" xfId="20526"/>
    <cellStyle name="40% - Accent3 2 2 2 3 3 3 4" xfId="20527"/>
    <cellStyle name="40% - Accent3 2 2 2 3 3 3 4 2" xfId="20528"/>
    <cellStyle name="40% - Accent3 2 2 2 3 3 3 5" xfId="20529"/>
    <cellStyle name="40% - Accent3 2 2 2 3 3 3 5 2" xfId="20530"/>
    <cellStyle name="40% - Accent3 2 2 2 3 3 3 6" xfId="20531"/>
    <cellStyle name="40% - Accent3 2 2 2 3 3 4" xfId="20532"/>
    <cellStyle name="40% - Accent3 2 2 2 3 3 4 2" xfId="20533"/>
    <cellStyle name="40% - Accent3 2 2 2 3 3 4 2 2" xfId="20534"/>
    <cellStyle name="40% - Accent3 2 2 2 3 3 4 2 2 2" xfId="20535"/>
    <cellStyle name="40% - Accent3 2 2 2 3 3 4 2 3" xfId="20536"/>
    <cellStyle name="40% - Accent3 2 2 2 3 3 4 3" xfId="20537"/>
    <cellStyle name="40% - Accent3 2 2 2 3 3 4 3 2" xfId="20538"/>
    <cellStyle name="40% - Accent3 2 2 2 3 3 4 4" xfId="20539"/>
    <cellStyle name="40% - Accent3 2 2 2 3 3 5" xfId="20540"/>
    <cellStyle name="40% - Accent3 2 2 2 3 3 5 2" xfId="20541"/>
    <cellStyle name="40% - Accent3 2 2 2 3 3 5 2 2" xfId="20542"/>
    <cellStyle name="40% - Accent3 2 2 2 3 3 5 3" xfId="20543"/>
    <cellStyle name="40% - Accent3 2 2 2 3 3 6" xfId="20544"/>
    <cellStyle name="40% - Accent3 2 2 2 3 3 6 2" xfId="20545"/>
    <cellStyle name="40% - Accent3 2 2 2 3 3 7" xfId="20546"/>
    <cellStyle name="40% - Accent3 2 2 2 3 3 7 2" xfId="20547"/>
    <cellStyle name="40% - Accent3 2 2 2 3 3 8" xfId="20548"/>
    <cellStyle name="40% - Accent3 2 2 2 3 4" xfId="20549"/>
    <cellStyle name="40% - Accent3 2 2 2 3 4 2" xfId="20550"/>
    <cellStyle name="40% - Accent3 2 2 2 3 4 2 2" xfId="20551"/>
    <cellStyle name="40% - Accent3 2 2 2 3 4 2 2 2" xfId="20552"/>
    <cellStyle name="40% - Accent3 2 2 2 3 4 2 2 2 2" xfId="20553"/>
    <cellStyle name="40% - Accent3 2 2 2 3 4 2 2 3" xfId="20554"/>
    <cellStyle name="40% - Accent3 2 2 2 3 4 2 3" xfId="20555"/>
    <cellStyle name="40% - Accent3 2 2 2 3 4 2 3 2" xfId="20556"/>
    <cellStyle name="40% - Accent3 2 2 2 3 4 2 4" xfId="20557"/>
    <cellStyle name="40% - Accent3 2 2 2 3 4 3" xfId="20558"/>
    <cellStyle name="40% - Accent3 2 2 2 3 4 3 2" xfId="20559"/>
    <cellStyle name="40% - Accent3 2 2 2 3 4 3 2 2" xfId="20560"/>
    <cellStyle name="40% - Accent3 2 2 2 3 4 3 3" xfId="20561"/>
    <cellStyle name="40% - Accent3 2 2 2 3 4 4" xfId="20562"/>
    <cellStyle name="40% - Accent3 2 2 2 3 4 4 2" xfId="20563"/>
    <cellStyle name="40% - Accent3 2 2 2 3 4 5" xfId="20564"/>
    <cellStyle name="40% - Accent3 2 2 2 3 4 5 2" xfId="20565"/>
    <cellStyle name="40% - Accent3 2 2 2 3 4 6" xfId="20566"/>
    <cellStyle name="40% - Accent3 2 2 2 3 5" xfId="20567"/>
    <cellStyle name="40% - Accent3 2 2 2 3 5 2" xfId="20568"/>
    <cellStyle name="40% - Accent3 2 2 2 3 5 2 2" xfId="20569"/>
    <cellStyle name="40% - Accent3 2 2 2 3 5 2 2 2" xfId="20570"/>
    <cellStyle name="40% - Accent3 2 2 2 3 5 2 2 2 2" xfId="20571"/>
    <cellStyle name="40% - Accent3 2 2 2 3 5 2 2 3" xfId="20572"/>
    <cellStyle name="40% - Accent3 2 2 2 3 5 2 3" xfId="20573"/>
    <cellStyle name="40% - Accent3 2 2 2 3 5 2 3 2" xfId="20574"/>
    <cellStyle name="40% - Accent3 2 2 2 3 5 2 4" xfId="20575"/>
    <cellStyle name="40% - Accent3 2 2 2 3 5 3" xfId="20576"/>
    <cellStyle name="40% - Accent3 2 2 2 3 5 3 2" xfId="20577"/>
    <cellStyle name="40% - Accent3 2 2 2 3 5 3 2 2" xfId="20578"/>
    <cellStyle name="40% - Accent3 2 2 2 3 5 3 3" xfId="20579"/>
    <cellStyle name="40% - Accent3 2 2 2 3 5 4" xfId="20580"/>
    <cellStyle name="40% - Accent3 2 2 2 3 5 4 2" xfId="20581"/>
    <cellStyle name="40% - Accent3 2 2 2 3 5 5" xfId="20582"/>
    <cellStyle name="40% - Accent3 2 2 2 3 5 5 2" xfId="20583"/>
    <cellStyle name="40% - Accent3 2 2 2 3 5 6" xfId="20584"/>
    <cellStyle name="40% - Accent3 2 2 2 3 6" xfId="20585"/>
    <cellStyle name="40% - Accent3 2 2 2 3 6 2" xfId="20586"/>
    <cellStyle name="40% - Accent3 2 2 2 3 6 2 2" xfId="20587"/>
    <cellStyle name="40% - Accent3 2 2 2 3 6 2 2 2" xfId="20588"/>
    <cellStyle name="40% - Accent3 2 2 2 3 6 2 2 2 2" xfId="20589"/>
    <cellStyle name="40% - Accent3 2 2 2 3 6 2 2 3" xfId="20590"/>
    <cellStyle name="40% - Accent3 2 2 2 3 6 2 3" xfId="20591"/>
    <cellStyle name="40% - Accent3 2 2 2 3 6 2 3 2" xfId="20592"/>
    <cellStyle name="40% - Accent3 2 2 2 3 6 2 4" xfId="20593"/>
    <cellStyle name="40% - Accent3 2 2 2 3 6 3" xfId="20594"/>
    <cellStyle name="40% - Accent3 2 2 2 3 6 3 2" xfId="20595"/>
    <cellStyle name="40% - Accent3 2 2 2 3 6 3 2 2" xfId="20596"/>
    <cellStyle name="40% - Accent3 2 2 2 3 6 3 3" xfId="20597"/>
    <cellStyle name="40% - Accent3 2 2 2 3 6 4" xfId="20598"/>
    <cellStyle name="40% - Accent3 2 2 2 3 6 4 2" xfId="20599"/>
    <cellStyle name="40% - Accent3 2 2 2 3 6 5" xfId="20600"/>
    <cellStyle name="40% - Accent3 2 2 2 3 6 5 2" xfId="20601"/>
    <cellStyle name="40% - Accent3 2 2 2 3 6 6" xfId="20602"/>
    <cellStyle name="40% - Accent3 2 2 2 3 7" xfId="20603"/>
    <cellStyle name="40% - Accent3 2 2 2 3 7 2" xfId="20604"/>
    <cellStyle name="40% - Accent3 2 2 2 3 7 2 2" xfId="20605"/>
    <cellStyle name="40% - Accent3 2 2 2 3 7 2 2 2" xfId="20606"/>
    <cellStyle name="40% - Accent3 2 2 2 3 7 2 3" xfId="20607"/>
    <cellStyle name="40% - Accent3 2 2 2 3 7 3" xfId="20608"/>
    <cellStyle name="40% - Accent3 2 2 2 3 7 3 2" xfId="20609"/>
    <cellStyle name="40% - Accent3 2 2 2 3 7 4" xfId="20610"/>
    <cellStyle name="40% - Accent3 2 2 2 3 8" xfId="20611"/>
    <cellStyle name="40% - Accent3 2 2 2 3 8 2" xfId="20612"/>
    <cellStyle name="40% - Accent3 2 2 2 3 8 2 2" xfId="20613"/>
    <cellStyle name="40% - Accent3 2 2 2 3 8 3" xfId="20614"/>
    <cellStyle name="40% - Accent3 2 2 2 3 9" xfId="20615"/>
    <cellStyle name="40% - Accent3 2 2 2 3 9 2" xfId="20616"/>
    <cellStyle name="40% - Accent3 2 2 2 4" xfId="20617"/>
    <cellStyle name="40% - Accent3 2 2 2 4 10" xfId="20618"/>
    <cellStyle name="40% - Accent3 2 2 2 4 10 2" xfId="20619"/>
    <cellStyle name="40% - Accent3 2 2 2 4 11" xfId="20620"/>
    <cellStyle name="40% - Accent3 2 2 2 4 2" xfId="20621"/>
    <cellStyle name="40% - Accent3 2 2 2 4 2 2" xfId="20622"/>
    <cellStyle name="40% - Accent3 2 2 2 4 2 2 2" xfId="20623"/>
    <cellStyle name="40% - Accent3 2 2 2 4 2 2 2 2" xfId="20624"/>
    <cellStyle name="40% - Accent3 2 2 2 4 2 2 2 2 2" xfId="20625"/>
    <cellStyle name="40% - Accent3 2 2 2 4 2 2 2 2 2 2" xfId="20626"/>
    <cellStyle name="40% - Accent3 2 2 2 4 2 2 2 2 3" xfId="20627"/>
    <cellStyle name="40% - Accent3 2 2 2 4 2 2 2 3" xfId="20628"/>
    <cellStyle name="40% - Accent3 2 2 2 4 2 2 2 3 2" xfId="20629"/>
    <cellStyle name="40% - Accent3 2 2 2 4 2 2 2 4" xfId="20630"/>
    <cellStyle name="40% - Accent3 2 2 2 4 2 2 3" xfId="20631"/>
    <cellStyle name="40% - Accent3 2 2 2 4 2 2 3 2" xfId="20632"/>
    <cellStyle name="40% - Accent3 2 2 2 4 2 2 3 2 2" xfId="20633"/>
    <cellStyle name="40% - Accent3 2 2 2 4 2 2 3 3" xfId="20634"/>
    <cellStyle name="40% - Accent3 2 2 2 4 2 2 4" xfId="20635"/>
    <cellStyle name="40% - Accent3 2 2 2 4 2 2 4 2" xfId="20636"/>
    <cellStyle name="40% - Accent3 2 2 2 4 2 2 5" xfId="20637"/>
    <cellStyle name="40% - Accent3 2 2 2 4 2 2 5 2" xfId="20638"/>
    <cellStyle name="40% - Accent3 2 2 2 4 2 2 6" xfId="20639"/>
    <cellStyle name="40% - Accent3 2 2 2 4 2 3" xfId="20640"/>
    <cellStyle name="40% - Accent3 2 2 2 4 2 3 2" xfId="20641"/>
    <cellStyle name="40% - Accent3 2 2 2 4 2 3 2 2" xfId="20642"/>
    <cellStyle name="40% - Accent3 2 2 2 4 2 3 2 2 2" xfId="20643"/>
    <cellStyle name="40% - Accent3 2 2 2 4 2 3 2 2 2 2" xfId="20644"/>
    <cellStyle name="40% - Accent3 2 2 2 4 2 3 2 2 3" xfId="20645"/>
    <cellStyle name="40% - Accent3 2 2 2 4 2 3 2 3" xfId="20646"/>
    <cellStyle name="40% - Accent3 2 2 2 4 2 3 2 3 2" xfId="20647"/>
    <cellStyle name="40% - Accent3 2 2 2 4 2 3 2 4" xfId="20648"/>
    <cellStyle name="40% - Accent3 2 2 2 4 2 3 3" xfId="20649"/>
    <cellStyle name="40% - Accent3 2 2 2 4 2 3 3 2" xfId="20650"/>
    <cellStyle name="40% - Accent3 2 2 2 4 2 3 3 2 2" xfId="20651"/>
    <cellStyle name="40% - Accent3 2 2 2 4 2 3 3 3" xfId="20652"/>
    <cellStyle name="40% - Accent3 2 2 2 4 2 3 4" xfId="20653"/>
    <cellStyle name="40% - Accent3 2 2 2 4 2 3 4 2" xfId="20654"/>
    <cellStyle name="40% - Accent3 2 2 2 4 2 3 5" xfId="20655"/>
    <cellStyle name="40% - Accent3 2 2 2 4 2 3 5 2" xfId="20656"/>
    <cellStyle name="40% - Accent3 2 2 2 4 2 3 6" xfId="20657"/>
    <cellStyle name="40% - Accent3 2 2 2 4 2 4" xfId="20658"/>
    <cellStyle name="40% - Accent3 2 2 2 4 2 4 2" xfId="20659"/>
    <cellStyle name="40% - Accent3 2 2 2 4 2 4 2 2" xfId="20660"/>
    <cellStyle name="40% - Accent3 2 2 2 4 2 4 2 2 2" xfId="20661"/>
    <cellStyle name="40% - Accent3 2 2 2 4 2 4 2 3" xfId="20662"/>
    <cellStyle name="40% - Accent3 2 2 2 4 2 4 3" xfId="20663"/>
    <cellStyle name="40% - Accent3 2 2 2 4 2 4 3 2" xfId="20664"/>
    <cellStyle name="40% - Accent3 2 2 2 4 2 4 4" xfId="20665"/>
    <cellStyle name="40% - Accent3 2 2 2 4 2 5" xfId="20666"/>
    <cellStyle name="40% - Accent3 2 2 2 4 2 5 2" xfId="20667"/>
    <cellStyle name="40% - Accent3 2 2 2 4 2 5 2 2" xfId="20668"/>
    <cellStyle name="40% - Accent3 2 2 2 4 2 5 3" xfId="20669"/>
    <cellStyle name="40% - Accent3 2 2 2 4 2 6" xfId="20670"/>
    <cellStyle name="40% - Accent3 2 2 2 4 2 6 2" xfId="20671"/>
    <cellStyle name="40% - Accent3 2 2 2 4 2 7" xfId="20672"/>
    <cellStyle name="40% - Accent3 2 2 2 4 2 7 2" xfId="20673"/>
    <cellStyle name="40% - Accent3 2 2 2 4 2 8" xfId="20674"/>
    <cellStyle name="40% - Accent3 2 2 2 4 3" xfId="20675"/>
    <cellStyle name="40% - Accent3 2 2 2 4 3 2" xfId="20676"/>
    <cellStyle name="40% - Accent3 2 2 2 4 3 2 2" xfId="20677"/>
    <cellStyle name="40% - Accent3 2 2 2 4 3 2 2 2" xfId="20678"/>
    <cellStyle name="40% - Accent3 2 2 2 4 3 2 2 2 2" xfId="20679"/>
    <cellStyle name="40% - Accent3 2 2 2 4 3 2 2 2 2 2" xfId="20680"/>
    <cellStyle name="40% - Accent3 2 2 2 4 3 2 2 2 3" xfId="20681"/>
    <cellStyle name="40% - Accent3 2 2 2 4 3 2 2 3" xfId="20682"/>
    <cellStyle name="40% - Accent3 2 2 2 4 3 2 2 3 2" xfId="20683"/>
    <cellStyle name="40% - Accent3 2 2 2 4 3 2 2 4" xfId="20684"/>
    <cellStyle name="40% - Accent3 2 2 2 4 3 2 3" xfId="20685"/>
    <cellStyle name="40% - Accent3 2 2 2 4 3 2 3 2" xfId="20686"/>
    <cellStyle name="40% - Accent3 2 2 2 4 3 2 3 2 2" xfId="20687"/>
    <cellStyle name="40% - Accent3 2 2 2 4 3 2 3 3" xfId="20688"/>
    <cellStyle name="40% - Accent3 2 2 2 4 3 2 4" xfId="20689"/>
    <cellStyle name="40% - Accent3 2 2 2 4 3 2 4 2" xfId="20690"/>
    <cellStyle name="40% - Accent3 2 2 2 4 3 2 5" xfId="20691"/>
    <cellStyle name="40% - Accent3 2 2 2 4 3 2 5 2" xfId="20692"/>
    <cellStyle name="40% - Accent3 2 2 2 4 3 2 6" xfId="20693"/>
    <cellStyle name="40% - Accent3 2 2 2 4 3 3" xfId="20694"/>
    <cellStyle name="40% - Accent3 2 2 2 4 3 3 2" xfId="20695"/>
    <cellStyle name="40% - Accent3 2 2 2 4 3 3 2 2" xfId="20696"/>
    <cellStyle name="40% - Accent3 2 2 2 4 3 3 2 2 2" xfId="20697"/>
    <cellStyle name="40% - Accent3 2 2 2 4 3 3 2 2 2 2" xfId="20698"/>
    <cellStyle name="40% - Accent3 2 2 2 4 3 3 2 2 3" xfId="20699"/>
    <cellStyle name="40% - Accent3 2 2 2 4 3 3 2 3" xfId="20700"/>
    <cellStyle name="40% - Accent3 2 2 2 4 3 3 2 3 2" xfId="20701"/>
    <cellStyle name="40% - Accent3 2 2 2 4 3 3 2 4" xfId="20702"/>
    <cellStyle name="40% - Accent3 2 2 2 4 3 3 3" xfId="20703"/>
    <cellStyle name="40% - Accent3 2 2 2 4 3 3 3 2" xfId="20704"/>
    <cellStyle name="40% - Accent3 2 2 2 4 3 3 3 2 2" xfId="20705"/>
    <cellStyle name="40% - Accent3 2 2 2 4 3 3 3 3" xfId="20706"/>
    <cellStyle name="40% - Accent3 2 2 2 4 3 3 4" xfId="20707"/>
    <cellStyle name="40% - Accent3 2 2 2 4 3 3 4 2" xfId="20708"/>
    <cellStyle name="40% - Accent3 2 2 2 4 3 3 5" xfId="20709"/>
    <cellStyle name="40% - Accent3 2 2 2 4 3 3 5 2" xfId="20710"/>
    <cellStyle name="40% - Accent3 2 2 2 4 3 3 6" xfId="20711"/>
    <cellStyle name="40% - Accent3 2 2 2 4 3 4" xfId="20712"/>
    <cellStyle name="40% - Accent3 2 2 2 4 3 4 2" xfId="20713"/>
    <cellStyle name="40% - Accent3 2 2 2 4 3 4 2 2" xfId="20714"/>
    <cellStyle name="40% - Accent3 2 2 2 4 3 4 2 2 2" xfId="20715"/>
    <cellStyle name="40% - Accent3 2 2 2 4 3 4 2 3" xfId="20716"/>
    <cellStyle name="40% - Accent3 2 2 2 4 3 4 3" xfId="20717"/>
    <cellStyle name="40% - Accent3 2 2 2 4 3 4 3 2" xfId="20718"/>
    <cellStyle name="40% - Accent3 2 2 2 4 3 4 4" xfId="20719"/>
    <cellStyle name="40% - Accent3 2 2 2 4 3 5" xfId="20720"/>
    <cellStyle name="40% - Accent3 2 2 2 4 3 5 2" xfId="20721"/>
    <cellStyle name="40% - Accent3 2 2 2 4 3 5 2 2" xfId="20722"/>
    <cellStyle name="40% - Accent3 2 2 2 4 3 5 3" xfId="20723"/>
    <cellStyle name="40% - Accent3 2 2 2 4 3 6" xfId="20724"/>
    <cellStyle name="40% - Accent3 2 2 2 4 3 6 2" xfId="20725"/>
    <cellStyle name="40% - Accent3 2 2 2 4 3 7" xfId="20726"/>
    <cellStyle name="40% - Accent3 2 2 2 4 3 7 2" xfId="20727"/>
    <cellStyle name="40% - Accent3 2 2 2 4 3 8" xfId="20728"/>
    <cellStyle name="40% - Accent3 2 2 2 4 4" xfId="20729"/>
    <cellStyle name="40% - Accent3 2 2 2 4 4 2" xfId="20730"/>
    <cellStyle name="40% - Accent3 2 2 2 4 4 2 2" xfId="20731"/>
    <cellStyle name="40% - Accent3 2 2 2 4 4 2 2 2" xfId="20732"/>
    <cellStyle name="40% - Accent3 2 2 2 4 4 2 2 2 2" xfId="20733"/>
    <cellStyle name="40% - Accent3 2 2 2 4 4 2 2 3" xfId="20734"/>
    <cellStyle name="40% - Accent3 2 2 2 4 4 2 3" xfId="20735"/>
    <cellStyle name="40% - Accent3 2 2 2 4 4 2 3 2" xfId="20736"/>
    <cellStyle name="40% - Accent3 2 2 2 4 4 2 4" xfId="20737"/>
    <cellStyle name="40% - Accent3 2 2 2 4 4 3" xfId="20738"/>
    <cellStyle name="40% - Accent3 2 2 2 4 4 3 2" xfId="20739"/>
    <cellStyle name="40% - Accent3 2 2 2 4 4 3 2 2" xfId="20740"/>
    <cellStyle name="40% - Accent3 2 2 2 4 4 3 3" xfId="20741"/>
    <cellStyle name="40% - Accent3 2 2 2 4 4 4" xfId="20742"/>
    <cellStyle name="40% - Accent3 2 2 2 4 4 4 2" xfId="20743"/>
    <cellStyle name="40% - Accent3 2 2 2 4 4 5" xfId="20744"/>
    <cellStyle name="40% - Accent3 2 2 2 4 4 5 2" xfId="20745"/>
    <cellStyle name="40% - Accent3 2 2 2 4 4 6" xfId="20746"/>
    <cellStyle name="40% - Accent3 2 2 2 4 5" xfId="20747"/>
    <cellStyle name="40% - Accent3 2 2 2 4 5 2" xfId="20748"/>
    <cellStyle name="40% - Accent3 2 2 2 4 5 2 2" xfId="20749"/>
    <cellStyle name="40% - Accent3 2 2 2 4 5 2 2 2" xfId="20750"/>
    <cellStyle name="40% - Accent3 2 2 2 4 5 2 2 2 2" xfId="20751"/>
    <cellStyle name="40% - Accent3 2 2 2 4 5 2 2 3" xfId="20752"/>
    <cellStyle name="40% - Accent3 2 2 2 4 5 2 3" xfId="20753"/>
    <cellStyle name="40% - Accent3 2 2 2 4 5 2 3 2" xfId="20754"/>
    <cellStyle name="40% - Accent3 2 2 2 4 5 2 4" xfId="20755"/>
    <cellStyle name="40% - Accent3 2 2 2 4 5 3" xfId="20756"/>
    <cellStyle name="40% - Accent3 2 2 2 4 5 3 2" xfId="20757"/>
    <cellStyle name="40% - Accent3 2 2 2 4 5 3 2 2" xfId="20758"/>
    <cellStyle name="40% - Accent3 2 2 2 4 5 3 3" xfId="20759"/>
    <cellStyle name="40% - Accent3 2 2 2 4 5 4" xfId="20760"/>
    <cellStyle name="40% - Accent3 2 2 2 4 5 4 2" xfId="20761"/>
    <cellStyle name="40% - Accent3 2 2 2 4 5 5" xfId="20762"/>
    <cellStyle name="40% - Accent3 2 2 2 4 5 5 2" xfId="20763"/>
    <cellStyle name="40% - Accent3 2 2 2 4 5 6" xfId="20764"/>
    <cellStyle name="40% - Accent3 2 2 2 4 6" xfId="20765"/>
    <cellStyle name="40% - Accent3 2 2 2 4 6 2" xfId="20766"/>
    <cellStyle name="40% - Accent3 2 2 2 4 6 2 2" xfId="20767"/>
    <cellStyle name="40% - Accent3 2 2 2 4 6 2 2 2" xfId="20768"/>
    <cellStyle name="40% - Accent3 2 2 2 4 6 2 2 2 2" xfId="20769"/>
    <cellStyle name="40% - Accent3 2 2 2 4 6 2 2 3" xfId="20770"/>
    <cellStyle name="40% - Accent3 2 2 2 4 6 2 3" xfId="20771"/>
    <cellStyle name="40% - Accent3 2 2 2 4 6 2 3 2" xfId="20772"/>
    <cellStyle name="40% - Accent3 2 2 2 4 6 2 4" xfId="20773"/>
    <cellStyle name="40% - Accent3 2 2 2 4 6 3" xfId="20774"/>
    <cellStyle name="40% - Accent3 2 2 2 4 6 3 2" xfId="20775"/>
    <cellStyle name="40% - Accent3 2 2 2 4 6 3 2 2" xfId="20776"/>
    <cellStyle name="40% - Accent3 2 2 2 4 6 3 3" xfId="20777"/>
    <cellStyle name="40% - Accent3 2 2 2 4 6 4" xfId="20778"/>
    <cellStyle name="40% - Accent3 2 2 2 4 6 4 2" xfId="20779"/>
    <cellStyle name="40% - Accent3 2 2 2 4 6 5" xfId="20780"/>
    <cellStyle name="40% - Accent3 2 2 2 4 6 5 2" xfId="20781"/>
    <cellStyle name="40% - Accent3 2 2 2 4 6 6" xfId="20782"/>
    <cellStyle name="40% - Accent3 2 2 2 4 7" xfId="20783"/>
    <cellStyle name="40% - Accent3 2 2 2 4 7 2" xfId="20784"/>
    <cellStyle name="40% - Accent3 2 2 2 4 7 2 2" xfId="20785"/>
    <cellStyle name="40% - Accent3 2 2 2 4 7 2 2 2" xfId="20786"/>
    <cellStyle name="40% - Accent3 2 2 2 4 7 2 3" xfId="20787"/>
    <cellStyle name="40% - Accent3 2 2 2 4 7 3" xfId="20788"/>
    <cellStyle name="40% - Accent3 2 2 2 4 7 3 2" xfId="20789"/>
    <cellStyle name="40% - Accent3 2 2 2 4 7 4" xfId="20790"/>
    <cellStyle name="40% - Accent3 2 2 2 4 8" xfId="20791"/>
    <cellStyle name="40% - Accent3 2 2 2 4 8 2" xfId="20792"/>
    <cellStyle name="40% - Accent3 2 2 2 4 8 2 2" xfId="20793"/>
    <cellStyle name="40% - Accent3 2 2 2 4 8 3" xfId="20794"/>
    <cellStyle name="40% - Accent3 2 2 2 4 9" xfId="20795"/>
    <cellStyle name="40% - Accent3 2 2 2 4 9 2" xfId="20796"/>
    <cellStyle name="40% - Accent3 2 2 2 5" xfId="20797"/>
    <cellStyle name="40% - Accent3 2 2 2 5 2" xfId="20798"/>
    <cellStyle name="40% - Accent3 2 2 2 5 2 2" xfId="20799"/>
    <cellStyle name="40% - Accent3 2 2 2 5 2 2 2" xfId="20800"/>
    <cellStyle name="40% - Accent3 2 2 2 5 2 2 2 2" xfId="20801"/>
    <cellStyle name="40% - Accent3 2 2 2 5 2 2 2 2 2" xfId="20802"/>
    <cellStyle name="40% - Accent3 2 2 2 5 2 2 2 3" xfId="20803"/>
    <cellStyle name="40% - Accent3 2 2 2 5 2 2 3" xfId="20804"/>
    <cellStyle name="40% - Accent3 2 2 2 5 2 2 3 2" xfId="20805"/>
    <cellStyle name="40% - Accent3 2 2 2 5 2 2 4" xfId="20806"/>
    <cellStyle name="40% - Accent3 2 2 2 5 2 3" xfId="20807"/>
    <cellStyle name="40% - Accent3 2 2 2 5 2 3 2" xfId="20808"/>
    <cellStyle name="40% - Accent3 2 2 2 5 2 3 2 2" xfId="20809"/>
    <cellStyle name="40% - Accent3 2 2 2 5 2 3 3" xfId="20810"/>
    <cellStyle name="40% - Accent3 2 2 2 5 2 4" xfId="20811"/>
    <cellStyle name="40% - Accent3 2 2 2 5 2 4 2" xfId="20812"/>
    <cellStyle name="40% - Accent3 2 2 2 5 2 5" xfId="20813"/>
    <cellStyle name="40% - Accent3 2 2 2 5 2 5 2" xfId="20814"/>
    <cellStyle name="40% - Accent3 2 2 2 5 2 6" xfId="20815"/>
    <cellStyle name="40% - Accent3 2 2 2 5 3" xfId="20816"/>
    <cellStyle name="40% - Accent3 2 2 2 5 3 2" xfId="20817"/>
    <cellStyle name="40% - Accent3 2 2 2 5 3 2 2" xfId="20818"/>
    <cellStyle name="40% - Accent3 2 2 2 5 3 2 2 2" xfId="20819"/>
    <cellStyle name="40% - Accent3 2 2 2 5 3 2 2 2 2" xfId="20820"/>
    <cellStyle name="40% - Accent3 2 2 2 5 3 2 2 3" xfId="20821"/>
    <cellStyle name="40% - Accent3 2 2 2 5 3 2 3" xfId="20822"/>
    <cellStyle name="40% - Accent3 2 2 2 5 3 2 3 2" xfId="20823"/>
    <cellStyle name="40% - Accent3 2 2 2 5 3 2 4" xfId="20824"/>
    <cellStyle name="40% - Accent3 2 2 2 5 3 3" xfId="20825"/>
    <cellStyle name="40% - Accent3 2 2 2 5 3 3 2" xfId="20826"/>
    <cellStyle name="40% - Accent3 2 2 2 5 3 3 2 2" xfId="20827"/>
    <cellStyle name="40% - Accent3 2 2 2 5 3 3 3" xfId="20828"/>
    <cellStyle name="40% - Accent3 2 2 2 5 3 4" xfId="20829"/>
    <cellStyle name="40% - Accent3 2 2 2 5 3 4 2" xfId="20830"/>
    <cellStyle name="40% - Accent3 2 2 2 5 3 5" xfId="20831"/>
    <cellStyle name="40% - Accent3 2 2 2 5 3 5 2" xfId="20832"/>
    <cellStyle name="40% - Accent3 2 2 2 5 3 6" xfId="20833"/>
    <cellStyle name="40% - Accent3 2 2 2 5 4" xfId="20834"/>
    <cellStyle name="40% - Accent3 2 2 2 5 4 2" xfId="20835"/>
    <cellStyle name="40% - Accent3 2 2 2 5 4 2 2" xfId="20836"/>
    <cellStyle name="40% - Accent3 2 2 2 5 4 2 2 2" xfId="20837"/>
    <cellStyle name="40% - Accent3 2 2 2 5 4 2 3" xfId="20838"/>
    <cellStyle name="40% - Accent3 2 2 2 5 4 3" xfId="20839"/>
    <cellStyle name="40% - Accent3 2 2 2 5 4 3 2" xfId="20840"/>
    <cellStyle name="40% - Accent3 2 2 2 5 4 4" xfId="20841"/>
    <cellStyle name="40% - Accent3 2 2 2 5 5" xfId="20842"/>
    <cellStyle name="40% - Accent3 2 2 2 5 5 2" xfId="20843"/>
    <cellStyle name="40% - Accent3 2 2 2 5 5 2 2" xfId="20844"/>
    <cellStyle name="40% - Accent3 2 2 2 5 5 3" xfId="20845"/>
    <cellStyle name="40% - Accent3 2 2 2 5 6" xfId="20846"/>
    <cellStyle name="40% - Accent3 2 2 2 5 6 2" xfId="20847"/>
    <cellStyle name="40% - Accent3 2 2 2 5 7" xfId="20848"/>
    <cellStyle name="40% - Accent3 2 2 2 5 7 2" xfId="20849"/>
    <cellStyle name="40% - Accent3 2 2 2 5 8" xfId="20850"/>
    <cellStyle name="40% - Accent3 2 2 2 6" xfId="20851"/>
    <cellStyle name="40% - Accent3 2 2 2 6 2" xfId="20852"/>
    <cellStyle name="40% - Accent3 2 2 2 6 2 2" xfId="20853"/>
    <cellStyle name="40% - Accent3 2 2 2 6 2 2 2" xfId="20854"/>
    <cellStyle name="40% - Accent3 2 2 2 6 2 2 2 2" xfId="20855"/>
    <cellStyle name="40% - Accent3 2 2 2 6 2 2 2 2 2" xfId="20856"/>
    <cellStyle name="40% - Accent3 2 2 2 6 2 2 2 3" xfId="20857"/>
    <cellStyle name="40% - Accent3 2 2 2 6 2 2 3" xfId="20858"/>
    <cellStyle name="40% - Accent3 2 2 2 6 2 2 3 2" xfId="20859"/>
    <cellStyle name="40% - Accent3 2 2 2 6 2 2 4" xfId="20860"/>
    <cellStyle name="40% - Accent3 2 2 2 6 2 3" xfId="20861"/>
    <cellStyle name="40% - Accent3 2 2 2 6 2 3 2" xfId="20862"/>
    <cellStyle name="40% - Accent3 2 2 2 6 2 3 2 2" xfId="20863"/>
    <cellStyle name="40% - Accent3 2 2 2 6 2 3 3" xfId="20864"/>
    <cellStyle name="40% - Accent3 2 2 2 6 2 4" xfId="20865"/>
    <cellStyle name="40% - Accent3 2 2 2 6 2 4 2" xfId="20866"/>
    <cellStyle name="40% - Accent3 2 2 2 6 2 5" xfId="20867"/>
    <cellStyle name="40% - Accent3 2 2 2 6 2 5 2" xfId="20868"/>
    <cellStyle name="40% - Accent3 2 2 2 6 2 6" xfId="20869"/>
    <cellStyle name="40% - Accent3 2 2 2 6 3" xfId="20870"/>
    <cellStyle name="40% - Accent3 2 2 2 6 3 2" xfId="20871"/>
    <cellStyle name="40% - Accent3 2 2 2 6 3 2 2" xfId="20872"/>
    <cellStyle name="40% - Accent3 2 2 2 6 3 2 2 2" xfId="20873"/>
    <cellStyle name="40% - Accent3 2 2 2 6 3 2 2 2 2" xfId="20874"/>
    <cellStyle name="40% - Accent3 2 2 2 6 3 2 2 3" xfId="20875"/>
    <cellStyle name="40% - Accent3 2 2 2 6 3 2 3" xfId="20876"/>
    <cellStyle name="40% - Accent3 2 2 2 6 3 2 3 2" xfId="20877"/>
    <cellStyle name="40% - Accent3 2 2 2 6 3 2 4" xfId="20878"/>
    <cellStyle name="40% - Accent3 2 2 2 6 3 3" xfId="20879"/>
    <cellStyle name="40% - Accent3 2 2 2 6 3 3 2" xfId="20880"/>
    <cellStyle name="40% - Accent3 2 2 2 6 3 3 2 2" xfId="20881"/>
    <cellStyle name="40% - Accent3 2 2 2 6 3 3 3" xfId="20882"/>
    <cellStyle name="40% - Accent3 2 2 2 6 3 4" xfId="20883"/>
    <cellStyle name="40% - Accent3 2 2 2 6 3 4 2" xfId="20884"/>
    <cellStyle name="40% - Accent3 2 2 2 6 3 5" xfId="20885"/>
    <cellStyle name="40% - Accent3 2 2 2 6 3 5 2" xfId="20886"/>
    <cellStyle name="40% - Accent3 2 2 2 6 3 6" xfId="20887"/>
    <cellStyle name="40% - Accent3 2 2 2 6 4" xfId="20888"/>
    <cellStyle name="40% - Accent3 2 2 2 6 4 2" xfId="20889"/>
    <cellStyle name="40% - Accent3 2 2 2 6 4 2 2" xfId="20890"/>
    <cellStyle name="40% - Accent3 2 2 2 6 4 2 2 2" xfId="20891"/>
    <cellStyle name="40% - Accent3 2 2 2 6 4 2 3" xfId="20892"/>
    <cellStyle name="40% - Accent3 2 2 2 6 4 3" xfId="20893"/>
    <cellStyle name="40% - Accent3 2 2 2 6 4 3 2" xfId="20894"/>
    <cellStyle name="40% - Accent3 2 2 2 6 4 4" xfId="20895"/>
    <cellStyle name="40% - Accent3 2 2 2 6 5" xfId="20896"/>
    <cellStyle name="40% - Accent3 2 2 2 6 5 2" xfId="20897"/>
    <cellStyle name="40% - Accent3 2 2 2 6 5 2 2" xfId="20898"/>
    <cellStyle name="40% - Accent3 2 2 2 6 5 3" xfId="20899"/>
    <cellStyle name="40% - Accent3 2 2 2 6 6" xfId="20900"/>
    <cellStyle name="40% - Accent3 2 2 2 6 6 2" xfId="20901"/>
    <cellStyle name="40% - Accent3 2 2 2 6 7" xfId="20902"/>
    <cellStyle name="40% - Accent3 2 2 2 6 7 2" xfId="20903"/>
    <cellStyle name="40% - Accent3 2 2 2 6 8" xfId="20904"/>
    <cellStyle name="40% - Accent3 2 2 2 7" xfId="20905"/>
    <cellStyle name="40% - Accent3 2 2 2 7 2" xfId="20906"/>
    <cellStyle name="40% - Accent3 2 2 2 7 2 2" xfId="20907"/>
    <cellStyle name="40% - Accent3 2 2 2 7 2 2 2" xfId="20908"/>
    <cellStyle name="40% - Accent3 2 2 2 7 2 2 2 2" xfId="20909"/>
    <cellStyle name="40% - Accent3 2 2 2 7 2 2 3" xfId="20910"/>
    <cellStyle name="40% - Accent3 2 2 2 7 2 3" xfId="20911"/>
    <cellStyle name="40% - Accent3 2 2 2 7 2 3 2" xfId="20912"/>
    <cellStyle name="40% - Accent3 2 2 2 7 2 4" xfId="20913"/>
    <cellStyle name="40% - Accent3 2 2 2 7 3" xfId="20914"/>
    <cellStyle name="40% - Accent3 2 2 2 7 3 2" xfId="20915"/>
    <cellStyle name="40% - Accent3 2 2 2 7 3 2 2" xfId="20916"/>
    <cellStyle name="40% - Accent3 2 2 2 7 3 3" xfId="20917"/>
    <cellStyle name="40% - Accent3 2 2 2 7 4" xfId="20918"/>
    <cellStyle name="40% - Accent3 2 2 2 7 4 2" xfId="20919"/>
    <cellStyle name="40% - Accent3 2 2 2 7 5" xfId="20920"/>
    <cellStyle name="40% - Accent3 2 2 2 7 5 2" xfId="20921"/>
    <cellStyle name="40% - Accent3 2 2 2 7 6" xfId="20922"/>
    <cellStyle name="40% - Accent3 2 2 2 8" xfId="20923"/>
    <cellStyle name="40% - Accent3 2 2 2 8 2" xfId="20924"/>
    <cellStyle name="40% - Accent3 2 2 2 8 2 2" xfId="20925"/>
    <cellStyle name="40% - Accent3 2 2 2 8 2 2 2" xfId="20926"/>
    <cellStyle name="40% - Accent3 2 2 2 8 2 2 2 2" xfId="20927"/>
    <cellStyle name="40% - Accent3 2 2 2 8 2 2 3" xfId="20928"/>
    <cellStyle name="40% - Accent3 2 2 2 8 2 3" xfId="20929"/>
    <cellStyle name="40% - Accent3 2 2 2 8 2 3 2" xfId="20930"/>
    <cellStyle name="40% - Accent3 2 2 2 8 2 4" xfId="20931"/>
    <cellStyle name="40% - Accent3 2 2 2 8 3" xfId="20932"/>
    <cellStyle name="40% - Accent3 2 2 2 8 3 2" xfId="20933"/>
    <cellStyle name="40% - Accent3 2 2 2 8 3 2 2" xfId="20934"/>
    <cellStyle name="40% - Accent3 2 2 2 8 3 3" xfId="20935"/>
    <cellStyle name="40% - Accent3 2 2 2 8 4" xfId="20936"/>
    <cellStyle name="40% - Accent3 2 2 2 8 4 2" xfId="20937"/>
    <cellStyle name="40% - Accent3 2 2 2 8 5" xfId="20938"/>
    <cellStyle name="40% - Accent3 2 2 2 8 5 2" xfId="20939"/>
    <cellStyle name="40% - Accent3 2 2 2 8 6" xfId="20940"/>
    <cellStyle name="40% - Accent3 2 2 2 9" xfId="20941"/>
    <cellStyle name="40% - Accent3 2 2 2 9 2" xfId="20942"/>
    <cellStyle name="40% - Accent3 2 2 2 9 2 2" xfId="20943"/>
    <cellStyle name="40% - Accent3 2 2 2 9 2 2 2" xfId="20944"/>
    <cellStyle name="40% - Accent3 2 2 2 9 2 2 2 2" xfId="20945"/>
    <cellStyle name="40% - Accent3 2 2 2 9 2 2 3" xfId="20946"/>
    <cellStyle name="40% - Accent3 2 2 2 9 2 3" xfId="20947"/>
    <cellStyle name="40% - Accent3 2 2 2 9 2 3 2" xfId="20948"/>
    <cellStyle name="40% - Accent3 2 2 2 9 2 4" xfId="20949"/>
    <cellStyle name="40% - Accent3 2 2 2 9 3" xfId="20950"/>
    <cellStyle name="40% - Accent3 2 2 2 9 3 2" xfId="20951"/>
    <cellStyle name="40% - Accent3 2 2 2 9 3 2 2" xfId="20952"/>
    <cellStyle name="40% - Accent3 2 2 2 9 3 3" xfId="20953"/>
    <cellStyle name="40% - Accent3 2 2 2 9 4" xfId="20954"/>
    <cellStyle name="40% - Accent3 2 2 2 9 4 2" xfId="20955"/>
    <cellStyle name="40% - Accent3 2 2 2 9 5" xfId="20956"/>
    <cellStyle name="40% - Accent3 2 2 2 9 5 2" xfId="20957"/>
    <cellStyle name="40% - Accent3 2 2 2 9 6" xfId="20958"/>
    <cellStyle name="40% - Accent3 2 2 3" xfId="20959"/>
    <cellStyle name="40% - Accent3 2 2 3 10" xfId="20960"/>
    <cellStyle name="40% - Accent3 2 2 3 10 2" xfId="20961"/>
    <cellStyle name="40% - Accent3 2 2 3 11" xfId="20962"/>
    <cellStyle name="40% - Accent3 2 2 3 2" xfId="20963"/>
    <cellStyle name="40% - Accent3 2 2 3 2 2" xfId="20964"/>
    <cellStyle name="40% - Accent3 2 2 3 2 2 2" xfId="20965"/>
    <cellStyle name="40% - Accent3 2 2 3 2 2 2 2" xfId="20966"/>
    <cellStyle name="40% - Accent3 2 2 3 2 2 2 2 2" xfId="20967"/>
    <cellStyle name="40% - Accent3 2 2 3 2 2 2 2 2 2" xfId="20968"/>
    <cellStyle name="40% - Accent3 2 2 3 2 2 2 2 3" xfId="20969"/>
    <cellStyle name="40% - Accent3 2 2 3 2 2 2 3" xfId="20970"/>
    <cellStyle name="40% - Accent3 2 2 3 2 2 2 3 2" xfId="20971"/>
    <cellStyle name="40% - Accent3 2 2 3 2 2 2 4" xfId="20972"/>
    <cellStyle name="40% - Accent3 2 2 3 2 2 3" xfId="20973"/>
    <cellStyle name="40% - Accent3 2 2 3 2 2 3 2" xfId="20974"/>
    <cellStyle name="40% - Accent3 2 2 3 2 2 3 2 2" xfId="20975"/>
    <cellStyle name="40% - Accent3 2 2 3 2 2 3 3" xfId="20976"/>
    <cellStyle name="40% - Accent3 2 2 3 2 2 4" xfId="20977"/>
    <cellStyle name="40% - Accent3 2 2 3 2 2 4 2" xfId="20978"/>
    <cellStyle name="40% - Accent3 2 2 3 2 2 5" xfId="20979"/>
    <cellStyle name="40% - Accent3 2 2 3 2 2 5 2" xfId="20980"/>
    <cellStyle name="40% - Accent3 2 2 3 2 2 6" xfId="20981"/>
    <cellStyle name="40% - Accent3 2 2 3 2 3" xfId="20982"/>
    <cellStyle name="40% - Accent3 2 2 3 2 3 2" xfId="20983"/>
    <cellStyle name="40% - Accent3 2 2 3 2 3 2 2" xfId="20984"/>
    <cellStyle name="40% - Accent3 2 2 3 2 3 2 2 2" xfId="20985"/>
    <cellStyle name="40% - Accent3 2 2 3 2 3 2 2 2 2" xfId="20986"/>
    <cellStyle name="40% - Accent3 2 2 3 2 3 2 2 3" xfId="20987"/>
    <cellStyle name="40% - Accent3 2 2 3 2 3 2 3" xfId="20988"/>
    <cellStyle name="40% - Accent3 2 2 3 2 3 2 3 2" xfId="20989"/>
    <cellStyle name="40% - Accent3 2 2 3 2 3 2 4" xfId="20990"/>
    <cellStyle name="40% - Accent3 2 2 3 2 3 3" xfId="20991"/>
    <cellStyle name="40% - Accent3 2 2 3 2 3 3 2" xfId="20992"/>
    <cellStyle name="40% - Accent3 2 2 3 2 3 3 2 2" xfId="20993"/>
    <cellStyle name="40% - Accent3 2 2 3 2 3 3 3" xfId="20994"/>
    <cellStyle name="40% - Accent3 2 2 3 2 3 4" xfId="20995"/>
    <cellStyle name="40% - Accent3 2 2 3 2 3 4 2" xfId="20996"/>
    <cellStyle name="40% - Accent3 2 2 3 2 3 5" xfId="20997"/>
    <cellStyle name="40% - Accent3 2 2 3 2 3 5 2" xfId="20998"/>
    <cellStyle name="40% - Accent3 2 2 3 2 3 6" xfId="20999"/>
    <cellStyle name="40% - Accent3 2 2 3 2 4" xfId="21000"/>
    <cellStyle name="40% - Accent3 2 2 3 2 4 2" xfId="21001"/>
    <cellStyle name="40% - Accent3 2 2 3 2 4 2 2" xfId="21002"/>
    <cellStyle name="40% - Accent3 2 2 3 2 4 2 2 2" xfId="21003"/>
    <cellStyle name="40% - Accent3 2 2 3 2 4 2 3" xfId="21004"/>
    <cellStyle name="40% - Accent3 2 2 3 2 4 3" xfId="21005"/>
    <cellStyle name="40% - Accent3 2 2 3 2 4 3 2" xfId="21006"/>
    <cellStyle name="40% - Accent3 2 2 3 2 4 4" xfId="21007"/>
    <cellStyle name="40% - Accent3 2 2 3 2 5" xfId="21008"/>
    <cellStyle name="40% - Accent3 2 2 3 2 5 2" xfId="21009"/>
    <cellStyle name="40% - Accent3 2 2 3 2 5 2 2" xfId="21010"/>
    <cellStyle name="40% - Accent3 2 2 3 2 5 3" xfId="21011"/>
    <cellStyle name="40% - Accent3 2 2 3 2 6" xfId="21012"/>
    <cellStyle name="40% - Accent3 2 2 3 2 6 2" xfId="21013"/>
    <cellStyle name="40% - Accent3 2 2 3 2 7" xfId="21014"/>
    <cellStyle name="40% - Accent3 2 2 3 2 7 2" xfId="21015"/>
    <cellStyle name="40% - Accent3 2 2 3 2 8" xfId="21016"/>
    <cellStyle name="40% - Accent3 2 2 3 3" xfId="21017"/>
    <cellStyle name="40% - Accent3 2 2 3 3 2" xfId="21018"/>
    <cellStyle name="40% - Accent3 2 2 3 3 2 2" xfId="21019"/>
    <cellStyle name="40% - Accent3 2 2 3 3 2 2 2" xfId="21020"/>
    <cellStyle name="40% - Accent3 2 2 3 3 2 2 2 2" xfId="21021"/>
    <cellStyle name="40% - Accent3 2 2 3 3 2 2 2 2 2" xfId="21022"/>
    <cellStyle name="40% - Accent3 2 2 3 3 2 2 2 3" xfId="21023"/>
    <cellStyle name="40% - Accent3 2 2 3 3 2 2 3" xfId="21024"/>
    <cellStyle name="40% - Accent3 2 2 3 3 2 2 3 2" xfId="21025"/>
    <cellStyle name="40% - Accent3 2 2 3 3 2 2 4" xfId="21026"/>
    <cellStyle name="40% - Accent3 2 2 3 3 2 3" xfId="21027"/>
    <cellStyle name="40% - Accent3 2 2 3 3 2 3 2" xfId="21028"/>
    <cellStyle name="40% - Accent3 2 2 3 3 2 3 2 2" xfId="21029"/>
    <cellStyle name="40% - Accent3 2 2 3 3 2 3 3" xfId="21030"/>
    <cellStyle name="40% - Accent3 2 2 3 3 2 4" xfId="21031"/>
    <cellStyle name="40% - Accent3 2 2 3 3 2 4 2" xfId="21032"/>
    <cellStyle name="40% - Accent3 2 2 3 3 2 5" xfId="21033"/>
    <cellStyle name="40% - Accent3 2 2 3 3 2 5 2" xfId="21034"/>
    <cellStyle name="40% - Accent3 2 2 3 3 2 6" xfId="21035"/>
    <cellStyle name="40% - Accent3 2 2 3 3 3" xfId="21036"/>
    <cellStyle name="40% - Accent3 2 2 3 3 3 2" xfId="21037"/>
    <cellStyle name="40% - Accent3 2 2 3 3 3 2 2" xfId="21038"/>
    <cellStyle name="40% - Accent3 2 2 3 3 3 2 2 2" xfId="21039"/>
    <cellStyle name="40% - Accent3 2 2 3 3 3 2 2 2 2" xfId="21040"/>
    <cellStyle name="40% - Accent3 2 2 3 3 3 2 2 3" xfId="21041"/>
    <cellStyle name="40% - Accent3 2 2 3 3 3 2 3" xfId="21042"/>
    <cellStyle name="40% - Accent3 2 2 3 3 3 2 3 2" xfId="21043"/>
    <cellStyle name="40% - Accent3 2 2 3 3 3 2 4" xfId="21044"/>
    <cellStyle name="40% - Accent3 2 2 3 3 3 3" xfId="21045"/>
    <cellStyle name="40% - Accent3 2 2 3 3 3 3 2" xfId="21046"/>
    <cellStyle name="40% - Accent3 2 2 3 3 3 3 2 2" xfId="21047"/>
    <cellStyle name="40% - Accent3 2 2 3 3 3 3 3" xfId="21048"/>
    <cellStyle name="40% - Accent3 2 2 3 3 3 4" xfId="21049"/>
    <cellStyle name="40% - Accent3 2 2 3 3 3 4 2" xfId="21050"/>
    <cellStyle name="40% - Accent3 2 2 3 3 3 5" xfId="21051"/>
    <cellStyle name="40% - Accent3 2 2 3 3 3 5 2" xfId="21052"/>
    <cellStyle name="40% - Accent3 2 2 3 3 3 6" xfId="21053"/>
    <cellStyle name="40% - Accent3 2 2 3 3 4" xfId="21054"/>
    <cellStyle name="40% - Accent3 2 2 3 3 4 2" xfId="21055"/>
    <cellStyle name="40% - Accent3 2 2 3 3 4 2 2" xfId="21056"/>
    <cellStyle name="40% - Accent3 2 2 3 3 4 2 2 2" xfId="21057"/>
    <cellStyle name="40% - Accent3 2 2 3 3 4 2 3" xfId="21058"/>
    <cellStyle name="40% - Accent3 2 2 3 3 4 3" xfId="21059"/>
    <cellStyle name="40% - Accent3 2 2 3 3 4 3 2" xfId="21060"/>
    <cellStyle name="40% - Accent3 2 2 3 3 4 4" xfId="21061"/>
    <cellStyle name="40% - Accent3 2 2 3 3 5" xfId="21062"/>
    <cellStyle name="40% - Accent3 2 2 3 3 5 2" xfId="21063"/>
    <cellStyle name="40% - Accent3 2 2 3 3 5 2 2" xfId="21064"/>
    <cellStyle name="40% - Accent3 2 2 3 3 5 3" xfId="21065"/>
    <cellStyle name="40% - Accent3 2 2 3 3 6" xfId="21066"/>
    <cellStyle name="40% - Accent3 2 2 3 3 6 2" xfId="21067"/>
    <cellStyle name="40% - Accent3 2 2 3 3 7" xfId="21068"/>
    <cellStyle name="40% - Accent3 2 2 3 3 7 2" xfId="21069"/>
    <cellStyle name="40% - Accent3 2 2 3 3 8" xfId="21070"/>
    <cellStyle name="40% - Accent3 2 2 3 4" xfId="21071"/>
    <cellStyle name="40% - Accent3 2 2 3 4 2" xfId="21072"/>
    <cellStyle name="40% - Accent3 2 2 3 4 2 2" xfId="21073"/>
    <cellStyle name="40% - Accent3 2 2 3 4 2 2 2" xfId="21074"/>
    <cellStyle name="40% - Accent3 2 2 3 4 2 2 2 2" xfId="21075"/>
    <cellStyle name="40% - Accent3 2 2 3 4 2 2 3" xfId="21076"/>
    <cellStyle name="40% - Accent3 2 2 3 4 2 3" xfId="21077"/>
    <cellStyle name="40% - Accent3 2 2 3 4 2 3 2" xfId="21078"/>
    <cellStyle name="40% - Accent3 2 2 3 4 2 4" xfId="21079"/>
    <cellStyle name="40% - Accent3 2 2 3 4 3" xfId="21080"/>
    <cellStyle name="40% - Accent3 2 2 3 4 3 2" xfId="21081"/>
    <cellStyle name="40% - Accent3 2 2 3 4 3 2 2" xfId="21082"/>
    <cellStyle name="40% - Accent3 2 2 3 4 3 3" xfId="21083"/>
    <cellStyle name="40% - Accent3 2 2 3 4 4" xfId="21084"/>
    <cellStyle name="40% - Accent3 2 2 3 4 4 2" xfId="21085"/>
    <cellStyle name="40% - Accent3 2 2 3 4 5" xfId="21086"/>
    <cellStyle name="40% - Accent3 2 2 3 4 5 2" xfId="21087"/>
    <cellStyle name="40% - Accent3 2 2 3 4 6" xfId="21088"/>
    <cellStyle name="40% - Accent3 2 2 3 5" xfId="21089"/>
    <cellStyle name="40% - Accent3 2 2 3 5 2" xfId="21090"/>
    <cellStyle name="40% - Accent3 2 2 3 5 2 2" xfId="21091"/>
    <cellStyle name="40% - Accent3 2 2 3 5 2 2 2" xfId="21092"/>
    <cellStyle name="40% - Accent3 2 2 3 5 2 2 2 2" xfId="21093"/>
    <cellStyle name="40% - Accent3 2 2 3 5 2 2 3" xfId="21094"/>
    <cellStyle name="40% - Accent3 2 2 3 5 2 3" xfId="21095"/>
    <cellStyle name="40% - Accent3 2 2 3 5 2 3 2" xfId="21096"/>
    <cellStyle name="40% - Accent3 2 2 3 5 2 4" xfId="21097"/>
    <cellStyle name="40% - Accent3 2 2 3 5 3" xfId="21098"/>
    <cellStyle name="40% - Accent3 2 2 3 5 3 2" xfId="21099"/>
    <cellStyle name="40% - Accent3 2 2 3 5 3 2 2" xfId="21100"/>
    <cellStyle name="40% - Accent3 2 2 3 5 3 3" xfId="21101"/>
    <cellStyle name="40% - Accent3 2 2 3 5 4" xfId="21102"/>
    <cellStyle name="40% - Accent3 2 2 3 5 4 2" xfId="21103"/>
    <cellStyle name="40% - Accent3 2 2 3 5 5" xfId="21104"/>
    <cellStyle name="40% - Accent3 2 2 3 5 5 2" xfId="21105"/>
    <cellStyle name="40% - Accent3 2 2 3 5 6" xfId="21106"/>
    <cellStyle name="40% - Accent3 2 2 3 6" xfId="21107"/>
    <cellStyle name="40% - Accent3 2 2 3 6 2" xfId="21108"/>
    <cellStyle name="40% - Accent3 2 2 3 6 2 2" xfId="21109"/>
    <cellStyle name="40% - Accent3 2 2 3 6 2 2 2" xfId="21110"/>
    <cellStyle name="40% - Accent3 2 2 3 6 2 2 2 2" xfId="21111"/>
    <cellStyle name="40% - Accent3 2 2 3 6 2 2 3" xfId="21112"/>
    <cellStyle name="40% - Accent3 2 2 3 6 2 3" xfId="21113"/>
    <cellStyle name="40% - Accent3 2 2 3 6 2 3 2" xfId="21114"/>
    <cellStyle name="40% - Accent3 2 2 3 6 2 4" xfId="21115"/>
    <cellStyle name="40% - Accent3 2 2 3 6 3" xfId="21116"/>
    <cellStyle name="40% - Accent3 2 2 3 6 3 2" xfId="21117"/>
    <cellStyle name="40% - Accent3 2 2 3 6 3 2 2" xfId="21118"/>
    <cellStyle name="40% - Accent3 2 2 3 6 3 3" xfId="21119"/>
    <cellStyle name="40% - Accent3 2 2 3 6 4" xfId="21120"/>
    <cellStyle name="40% - Accent3 2 2 3 6 4 2" xfId="21121"/>
    <cellStyle name="40% - Accent3 2 2 3 6 5" xfId="21122"/>
    <cellStyle name="40% - Accent3 2 2 3 6 5 2" xfId="21123"/>
    <cellStyle name="40% - Accent3 2 2 3 6 6" xfId="21124"/>
    <cellStyle name="40% - Accent3 2 2 3 7" xfId="21125"/>
    <cellStyle name="40% - Accent3 2 2 3 7 2" xfId="21126"/>
    <cellStyle name="40% - Accent3 2 2 3 7 2 2" xfId="21127"/>
    <cellStyle name="40% - Accent3 2 2 3 7 2 2 2" xfId="21128"/>
    <cellStyle name="40% - Accent3 2 2 3 7 2 3" xfId="21129"/>
    <cellStyle name="40% - Accent3 2 2 3 7 3" xfId="21130"/>
    <cellStyle name="40% - Accent3 2 2 3 7 3 2" xfId="21131"/>
    <cellStyle name="40% - Accent3 2 2 3 7 4" xfId="21132"/>
    <cellStyle name="40% - Accent3 2 2 3 8" xfId="21133"/>
    <cellStyle name="40% - Accent3 2 2 3 8 2" xfId="21134"/>
    <cellStyle name="40% - Accent3 2 2 3 8 2 2" xfId="21135"/>
    <cellStyle name="40% - Accent3 2 2 3 8 3" xfId="21136"/>
    <cellStyle name="40% - Accent3 2 2 3 9" xfId="21137"/>
    <cellStyle name="40% - Accent3 2 2 3 9 2" xfId="21138"/>
    <cellStyle name="40% - Accent3 2 2 4" xfId="21139"/>
    <cellStyle name="40% - Accent3 2 2 4 10" xfId="21140"/>
    <cellStyle name="40% - Accent3 2 2 4 10 2" xfId="21141"/>
    <cellStyle name="40% - Accent3 2 2 4 11" xfId="21142"/>
    <cellStyle name="40% - Accent3 2 2 4 2" xfId="21143"/>
    <cellStyle name="40% - Accent3 2 2 4 2 2" xfId="21144"/>
    <cellStyle name="40% - Accent3 2 2 4 2 2 2" xfId="21145"/>
    <cellStyle name="40% - Accent3 2 2 4 2 2 2 2" xfId="21146"/>
    <cellStyle name="40% - Accent3 2 2 4 2 2 2 2 2" xfId="21147"/>
    <cellStyle name="40% - Accent3 2 2 4 2 2 2 2 2 2" xfId="21148"/>
    <cellStyle name="40% - Accent3 2 2 4 2 2 2 2 3" xfId="21149"/>
    <cellStyle name="40% - Accent3 2 2 4 2 2 2 3" xfId="21150"/>
    <cellStyle name="40% - Accent3 2 2 4 2 2 2 3 2" xfId="21151"/>
    <cellStyle name="40% - Accent3 2 2 4 2 2 2 4" xfId="21152"/>
    <cellStyle name="40% - Accent3 2 2 4 2 2 3" xfId="21153"/>
    <cellStyle name="40% - Accent3 2 2 4 2 2 3 2" xfId="21154"/>
    <cellStyle name="40% - Accent3 2 2 4 2 2 3 2 2" xfId="21155"/>
    <cellStyle name="40% - Accent3 2 2 4 2 2 3 3" xfId="21156"/>
    <cellStyle name="40% - Accent3 2 2 4 2 2 4" xfId="21157"/>
    <cellStyle name="40% - Accent3 2 2 4 2 2 4 2" xfId="21158"/>
    <cellStyle name="40% - Accent3 2 2 4 2 2 5" xfId="21159"/>
    <cellStyle name="40% - Accent3 2 2 4 2 2 5 2" xfId="21160"/>
    <cellStyle name="40% - Accent3 2 2 4 2 2 6" xfId="21161"/>
    <cellStyle name="40% - Accent3 2 2 4 2 3" xfId="21162"/>
    <cellStyle name="40% - Accent3 2 2 4 2 3 2" xfId="21163"/>
    <cellStyle name="40% - Accent3 2 2 4 2 3 2 2" xfId="21164"/>
    <cellStyle name="40% - Accent3 2 2 4 2 3 2 2 2" xfId="21165"/>
    <cellStyle name="40% - Accent3 2 2 4 2 3 2 2 2 2" xfId="21166"/>
    <cellStyle name="40% - Accent3 2 2 4 2 3 2 2 3" xfId="21167"/>
    <cellStyle name="40% - Accent3 2 2 4 2 3 2 3" xfId="21168"/>
    <cellStyle name="40% - Accent3 2 2 4 2 3 2 3 2" xfId="21169"/>
    <cellStyle name="40% - Accent3 2 2 4 2 3 2 4" xfId="21170"/>
    <cellStyle name="40% - Accent3 2 2 4 2 3 3" xfId="21171"/>
    <cellStyle name="40% - Accent3 2 2 4 2 3 3 2" xfId="21172"/>
    <cellStyle name="40% - Accent3 2 2 4 2 3 3 2 2" xfId="21173"/>
    <cellStyle name="40% - Accent3 2 2 4 2 3 3 3" xfId="21174"/>
    <cellStyle name="40% - Accent3 2 2 4 2 3 4" xfId="21175"/>
    <cellStyle name="40% - Accent3 2 2 4 2 3 4 2" xfId="21176"/>
    <cellStyle name="40% - Accent3 2 2 4 2 3 5" xfId="21177"/>
    <cellStyle name="40% - Accent3 2 2 4 2 3 5 2" xfId="21178"/>
    <cellStyle name="40% - Accent3 2 2 4 2 3 6" xfId="21179"/>
    <cellStyle name="40% - Accent3 2 2 4 2 4" xfId="21180"/>
    <cellStyle name="40% - Accent3 2 2 4 2 4 2" xfId="21181"/>
    <cellStyle name="40% - Accent3 2 2 4 2 4 2 2" xfId="21182"/>
    <cellStyle name="40% - Accent3 2 2 4 2 4 2 2 2" xfId="21183"/>
    <cellStyle name="40% - Accent3 2 2 4 2 4 2 3" xfId="21184"/>
    <cellStyle name="40% - Accent3 2 2 4 2 4 3" xfId="21185"/>
    <cellStyle name="40% - Accent3 2 2 4 2 4 3 2" xfId="21186"/>
    <cellStyle name="40% - Accent3 2 2 4 2 4 4" xfId="21187"/>
    <cellStyle name="40% - Accent3 2 2 4 2 5" xfId="21188"/>
    <cellStyle name="40% - Accent3 2 2 4 2 5 2" xfId="21189"/>
    <cellStyle name="40% - Accent3 2 2 4 2 5 2 2" xfId="21190"/>
    <cellStyle name="40% - Accent3 2 2 4 2 5 3" xfId="21191"/>
    <cellStyle name="40% - Accent3 2 2 4 2 6" xfId="21192"/>
    <cellStyle name="40% - Accent3 2 2 4 2 6 2" xfId="21193"/>
    <cellStyle name="40% - Accent3 2 2 4 2 7" xfId="21194"/>
    <cellStyle name="40% - Accent3 2 2 4 2 7 2" xfId="21195"/>
    <cellStyle name="40% - Accent3 2 2 4 2 8" xfId="21196"/>
    <cellStyle name="40% - Accent3 2 2 4 3" xfId="21197"/>
    <cellStyle name="40% - Accent3 2 2 4 3 2" xfId="21198"/>
    <cellStyle name="40% - Accent3 2 2 4 3 2 2" xfId="21199"/>
    <cellStyle name="40% - Accent3 2 2 4 3 2 2 2" xfId="21200"/>
    <cellStyle name="40% - Accent3 2 2 4 3 2 2 2 2" xfId="21201"/>
    <cellStyle name="40% - Accent3 2 2 4 3 2 2 2 2 2" xfId="21202"/>
    <cellStyle name="40% - Accent3 2 2 4 3 2 2 2 3" xfId="21203"/>
    <cellStyle name="40% - Accent3 2 2 4 3 2 2 3" xfId="21204"/>
    <cellStyle name="40% - Accent3 2 2 4 3 2 2 3 2" xfId="21205"/>
    <cellStyle name="40% - Accent3 2 2 4 3 2 2 4" xfId="21206"/>
    <cellStyle name="40% - Accent3 2 2 4 3 2 3" xfId="21207"/>
    <cellStyle name="40% - Accent3 2 2 4 3 2 3 2" xfId="21208"/>
    <cellStyle name="40% - Accent3 2 2 4 3 2 3 2 2" xfId="21209"/>
    <cellStyle name="40% - Accent3 2 2 4 3 2 3 3" xfId="21210"/>
    <cellStyle name="40% - Accent3 2 2 4 3 2 4" xfId="21211"/>
    <cellStyle name="40% - Accent3 2 2 4 3 2 4 2" xfId="21212"/>
    <cellStyle name="40% - Accent3 2 2 4 3 2 5" xfId="21213"/>
    <cellStyle name="40% - Accent3 2 2 4 3 2 5 2" xfId="21214"/>
    <cellStyle name="40% - Accent3 2 2 4 3 2 6" xfId="21215"/>
    <cellStyle name="40% - Accent3 2 2 4 3 3" xfId="21216"/>
    <cellStyle name="40% - Accent3 2 2 4 3 3 2" xfId="21217"/>
    <cellStyle name="40% - Accent3 2 2 4 3 3 2 2" xfId="21218"/>
    <cellStyle name="40% - Accent3 2 2 4 3 3 2 2 2" xfId="21219"/>
    <cellStyle name="40% - Accent3 2 2 4 3 3 2 2 2 2" xfId="21220"/>
    <cellStyle name="40% - Accent3 2 2 4 3 3 2 2 3" xfId="21221"/>
    <cellStyle name="40% - Accent3 2 2 4 3 3 2 3" xfId="21222"/>
    <cellStyle name="40% - Accent3 2 2 4 3 3 2 3 2" xfId="21223"/>
    <cellStyle name="40% - Accent3 2 2 4 3 3 2 4" xfId="21224"/>
    <cellStyle name="40% - Accent3 2 2 4 3 3 3" xfId="21225"/>
    <cellStyle name="40% - Accent3 2 2 4 3 3 3 2" xfId="21226"/>
    <cellStyle name="40% - Accent3 2 2 4 3 3 3 2 2" xfId="21227"/>
    <cellStyle name="40% - Accent3 2 2 4 3 3 3 3" xfId="21228"/>
    <cellStyle name="40% - Accent3 2 2 4 3 3 4" xfId="21229"/>
    <cellStyle name="40% - Accent3 2 2 4 3 3 4 2" xfId="21230"/>
    <cellStyle name="40% - Accent3 2 2 4 3 3 5" xfId="21231"/>
    <cellStyle name="40% - Accent3 2 2 4 3 3 5 2" xfId="21232"/>
    <cellStyle name="40% - Accent3 2 2 4 3 3 6" xfId="21233"/>
    <cellStyle name="40% - Accent3 2 2 4 3 4" xfId="21234"/>
    <cellStyle name="40% - Accent3 2 2 4 3 4 2" xfId="21235"/>
    <cellStyle name="40% - Accent3 2 2 4 3 4 2 2" xfId="21236"/>
    <cellStyle name="40% - Accent3 2 2 4 3 4 2 2 2" xfId="21237"/>
    <cellStyle name="40% - Accent3 2 2 4 3 4 2 3" xfId="21238"/>
    <cellStyle name="40% - Accent3 2 2 4 3 4 3" xfId="21239"/>
    <cellStyle name="40% - Accent3 2 2 4 3 4 3 2" xfId="21240"/>
    <cellStyle name="40% - Accent3 2 2 4 3 4 4" xfId="21241"/>
    <cellStyle name="40% - Accent3 2 2 4 3 5" xfId="21242"/>
    <cellStyle name="40% - Accent3 2 2 4 3 5 2" xfId="21243"/>
    <cellStyle name="40% - Accent3 2 2 4 3 5 2 2" xfId="21244"/>
    <cellStyle name="40% - Accent3 2 2 4 3 5 3" xfId="21245"/>
    <cellStyle name="40% - Accent3 2 2 4 3 6" xfId="21246"/>
    <cellStyle name="40% - Accent3 2 2 4 3 6 2" xfId="21247"/>
    <cellStyle name="40% - Accent3 2 2 4 3 7" xfId="21248"/>
    <cellStyle name="40% - Accent3 2 2 4 3 7 2" xfId="21249"/>
    <cellStyle name="40% - Accent3 2 2 4 3 8" xfId="21250"/>
    <cellStyle name="40% - Accent3 2 2 4 4" xfId="21251"/>
    <cellStyle name="40% - Accent3 2 2 4 4 2" xfId="21252"/>
    <cellStyle name="40% - Accent3 2 2 4 4 2 2" xfId="21253"/>
    <cellStyle name="40% - Accent3 2 2 4 4 2 2 2" xfId="21254"/>
    <cellStyle name="40% - Accent3 2 2 4 4 2 2 2 2" xfId="21255"/>
    <cellStyle name="40% - Accent3 2 2 4 4 2 2 3" xfId="21256"/>
    <cellStyle name="40% - Accent3 2 2 4 4 2 3" xfId="21257"/>
    <cellStyle name="40% - Accent3 2 2 4 4 2 3 2" xfId="21258"/>
    <cellStyle name="40% - Accent3 2 2 4 4 2 4" xfId="21259"/>
    <cellStyle name="40% - Accent3 2 2 4 4 3" xfId="21260"/>
    <cellStyle name="40% - Accent3 2 2 4 4 3 2" xfId="21261"/>
    <cellStyle name="40% - Accent3 2 2 4 4 3 2 2" xfId="21262"/>
    <cellStyle name="40% - Accent3 2 2 4 4 3 3" xfId="21263"/>
    <cellStyle name="40% - Accent3 2 2 4 4 4" xfId="21264"/>
    <cellStyle name="40% - Accent3 2 2 4 4 4 2" xfId="21265"/>
    <cellStyle name="40% - Accent3 2 2 4 4 5" xfId="21266"/>
    <cellStyle name="40% - Accent3 2 2 4 4 5 2" xfId="21267"/>
    <cellStyle name="40% - Accent3 2 2 4 4 6" xfId="21268"/>
    <cellStyle name="40% - Accent3 2 2 4 5" xfId="21269"/>
    <cellStyle name="40% - Accent3 2 2 4 5 2" xfId="21270"/>
    <cellStyle name="40% - Accent3 2 2 4 5 2 2" xfId="21271"/>
    <cellStyle name="40% - Accent3 2 2 4 5 2 2 2" xfId="21272"/>
    <cellStyle name="40% - Accent3 2 2 4 5 2 2 2 2" xfId="21273"/>
    <cellStyle name="40% - Accent3 2 2 4 5 2 2 3" xfId="21274"/>
    <cellStyle name="40% - Accent3 2 2 4 5 2 3" xfId="21275"/>
    <cellStyle name="40% - Accent3 2 2 4 5 2 3 2" xfId="21276"/>
    <cellStyle name="40% - Accent3 2 2 4 5 2 4" xfId="21277"/>
    <cellStyle name="40% - Accent3 2 2 4 5 3" xfId="21278"/>
    <cellStyle name="40% - Accent3 2 2 4 5 3 2" xfId="21279"/>
    <cellStyle name="40% - Accent3 2 2 4 5 3 2 2" xfId="21280"/>
    <cellStyle name="40% - Accent3 2 2 4 5 3 3" xfId="21281"/>
    <cellStyle name="40% - Accent3 2 2 4 5 4" xfId="21282"/>
    <cellStyle name="40% - Accent3 2 2 4 5 4 2" xfId="21283"/>
    <cellStyle name="40% - Accent3 2 2 4 5 5" xfId="21284"/>
    <cellStyle name="40% - Accent3 2 2 4 5 5 2" xfId="21285"/>
    <cellStyle name="40% - Accent3 2 2 4 5 6" xfId="21286"/>
    <cellStyle name="40% - Accent3 2 2 4 6" xfId="21287"/>
    <cellStyle name="40% - Accent3 2 2 4 6 2" xfId="21288"/>
    <cellStyle name="40% - Accent3 2 2 4 6 2 2" xfId="21289"/>
    <cellStyle name="40% - Accent3 2 2 4 6 2 2 2" xfId="21290"/>
    <cellStyle name="40% - Accent3 2 2 4 6 2 2 2 2" xfId="21291"/>
    <cellStyle name="40% - Accent3 2 2 4 6 2 2 3" xfId="21292"/>
    <cellStyle name="40% - Accent3 2 2 4 6 2 3" xfId="21293"/>
    <cellStyle name="40% - Accent3 2 2 4 6 2 3 2" xfId="21294"/>
    <cellStyle name="40% - Accent3 2 2 4 6 2 4" xfId="21295"/>
    <cellStyle name="40% - Accent3 2 2 4 6 3" xfId="21296"/>
    <cellStyle name="40% - Accent3 2 2 4 6 3 2" xfId="21297"/>
    <cellStyle name="40% - Accent3 2 2 4 6 3 2 2" xfId="21298"/>
    <cellStyle name="40% - Accent3 2 2 4 6 3 3" xfId="21299"/>
    <cellStyle name="40% - Accent3 2 2 4 6 4" xfId="21300"/>
    <cellStyle name="40% - Accent3 2 2 4 6 4 2" xfId="21301"/>
    <cellStyle name="40% - Accent3 2 2 4 6 5" xfId="21302"/>
    <cellStyle name="40% - Accent3 2 2 4 6 5 2" xfId="21303"/>
    <cellStyle name="40% - Accent3 2 2 4 6 6" xfId="21304"/>
    <cellStyle name="40% - Accent3 2 2 4 7" xfId="21305"/>
    <cellStyle name="40% - Accent3 2 2 4 7 2" xfId="21306"/>
    <cellStyle name="40% - Accent3 2 2 4 7 2 2" xfId="21307"/>
    <cellStyle name="40% - Accent3 2 2 4 7 2 2 2" xfId="21308"/>
    <cellStyle name="40% - Accent3 2 2 4 7 2 3" xfId="21309"/>
    <cellStyle name="40% - Accent3 2 2 4 7 3" xfId="21310"/>
    <cellStyle name="40% - Accent3 2 2 4 7 3 2" xfId="21311"/>
    <cellStyle name="40% - Accent3 2 2 4 7 4" xfId="21312"/>
    <cellStyle name="40% - Accent3 2 2 4 8" xfId="21313"/>
    <cellStyle name="40% - Accent3 2 2 4 8 2" xfId="21314"/>
    <cellStyle name="40% - Accent3 2 2 4 8 2 2" xfId="21315"/>
    <cellStyle name="40% - Accent3 2 2 4 8 3" xfId="21316"/>
    <cellStyle name="40% - Accent3 2 2 4 9" xfId="21317"/>
    <cellStyle name="40% - Accent3 2 2 4 9 2" xfId="21318"/>
    <cellStyle name="40% - Accent3 2 2 5" xfId="21319"/>
    <cellStyle name="40% - Accent3 2 2 5 10" xfId="21320"/>
    <cellStyle name="40% - Accent3 2 2 5 10 2" xfId="21321"/>
    <cellStyle name="40% - Accent3 2 2 5 11" xfId="21322"/>
    <cellStyle name="40% - Accent3 2 2 5 2" xfId="21323"/>
    <cellStyle name="40% - Accent3 2 2 5 2 2" xfId="21324"/>
    <cellStyle name="40% - Accent3 2 2 5 2 2 2" xfId="21325"/>
    <cellStyle name="40% - Accent3 2 2 5 2 2 2 2" xfId="21326"/>
    <cellStyle name="40% - Accent3 2 2 5 2 2 2 2 2" xfId="21327"/>
    <cellStyle name="40% - Accent3 2 2 5 2 2 2 2 2 2" xfId="21328"/>
    <cellStyle name="40% - Accent3 2 2 5 2 2 2 2 3" xfId="21329"/>
    <cellStyle name="40% - Accent3 2 2 5 2 2 2 3" xfId="21330"/>
    <cellStyle name="40% - Accent3 2 2 5 2 2 2 3 2" xfId="21331"/>
    <cellStyle name="40% - Accent3 2 2 5 2 2 2 4" xfId="21332"/>
    <cellStyle name="40% - Accent3 2 2 5 2 2 3" xfId="21333"/>
    <cellStyle name="40% - Accent3 2 2 5 2 2 3 2" xfId="21334"/>
    <cellStyle name="40% - Accent3 2 2 5 2 2 3 2 2" xfId="21335"/>
    <cellStyle name="40% - Accent3 2 2 5 2 2 3 3" xfId="21336"/>
    <cellStyle name="40% - Accent3 2 2 5 2 2 4" xfId="21337"/>
    <cellStyle name="40% - Accent3 2 2 5 2 2 4 2" xfId="21338"/>
    <cellStyle name="40% - Accent3 2 2 5 2 2 5" xfId="21339"/>
    <cellStyle name="40% - Accent3 2 2 5 2 2 5 2" xfId="21340"/>
    <cellStyle name="40% - Accent3 2 2 5 2 2 6" xfId="21341"/>
    <cellStyle name="40% - Accent3 2 2 5 2 3" xfId="21342"/>
    <cellStyle name="40% - Accent3 2 2 5 2 3 2" xfId="21343"/>
    <cellStyle name="40% - Accent3 2 2 5 2 3 2 2" xfId="21344"/>
    <cellStyle name="40% - Accent3 2 2 5 2 3 2 2 2" xfId="21345"/>
    <cellStyle name="40% - Accent3 2 2 5 2 3 2 2 2 2" xfId="21346"/>
    <cellStyle name="40% - Accent3 2 2 5 2 3 2 2 3" xfId="21347"/>
    <cellStyle name="40% - Accent3 2 2 5 2 3 2 3" xfId="21348"/>
    <cellStyle name="40% - Accent3 2 2 5 2 3 2 3 2" xfId="21349"/>
    <cellStyle name="40% - Accent3 2 2 5 2 3 2 4" xfId="21350"/>
    <cellStyle name="40% - Accent3 2 2 5 2 3 3" xfId="21351"/>
    <cellStyle name="40% - Accent3 2 2 5 2 3 3 2" xfId="21352"/>
    <cellStyle name="40% - Accent3 2 2 5 2 3 3 2 2" xfId="21353"/>
    <cellStyle name="40% - Accent3 2 2 5 2 3 3 3" xfId="21354"/>
    <cellStyle name="40% - Accent3 2 2 5 2 3 4" xfId="21355"/>
    <cellStyle name="40% - Accent3 2 2 5 2 3 4 2" xfId="21356"/>
    <cellStyle name="40% - Accent3 2 2 5 2 3 5" xfId="21357"/>
    <cellStyle name="40% - Accent3 2 2 5 2 3 5 2" xfId="21358"/>
    <cellStyle name="40% - Accent3 2 2 5 2 3 6" xfId="21359"/>
    <cellStyle name="40% - Accent3 2 2 5 2 4" xfId="21360"/>
    <cellStyle name="40% - Accent3 2 2 5 2 4 2" xfId="21361"/>
    <cellStyle name="40% - Accent3 2 2 5 2 4 2 2" xfId="21362"/>
    <cellStyle name="40% - Accent3 2 2 5 2 4 2 2 2" xfId="21363"/>
    <cellStyle name="40% - Accent3 2 2 5 2 4 2 3" xfId="21364"/>
    <cellStyle name="40% - Accent3 2 2 5 2 4 3" xfId="21365"/>
    <cellStyle name="40% - Accent3 2 2 5 2 4 3 2" xfId="21366"/>
    <cellStyle name="40% - Accent3 2 2 5 2 4 4" xfId="21367"/>
    <cellStyle name="40% - Accent3 2 2 5 2 5" xfId="21368"/>
    <cellStyle name="40% - Accent3 2 2 5 2 5 2" xfId="21369"/>
    <cellStyle name="40% - Accent3 2 2 5 2 5 2 2" xfId="21370"/>
    <cellStyle name="40% - Accent3 2 2 5 2 5 3" xfId="21371"/>
    <cellStyle name="40% - Accent3 2 2 5 2 6" xfId="21372"/>
    <cellStyle name="40% - Accent3 2 2 5 2 6 2" xfId="21373"/>
    <cellStyle name="40% - Accent3 2 2 5 2 7" xfId="21374"/>
    <cellStyle name="40% - Accent3 2 2 5 2 7 2" xfId="21375"/>
    <cellStyle name="40% - Accent3 2 2 5 2 8" xfId="21376"/>
    <cellStyle name="40% - Accent3 2 2 5 3" xfId="21377"/>
    <cellStyle name="40% - Accent3 2 2 5 3 2" xfId="21378"/>
    <cellStyle name="40% - Accent3 2 2 5 3 2 2" xfId="21379"/>
    <cellStyle name="40% - Accent3 2 2 5 3 2 2 2" xfId="21380"/>
    <cellStyle name="40% - Accent3 2 2 5 3 2 2 2 2" xfId="21381"/>
    <cellStyle name="40% - Accent3 2 2 5 3 2 2 2 2 2" xfId="21382"/>
    <cellStyle name="40% - Accent3 2 2 5 3 2 2 2 3" xfId="21383"/>
    <cellStyle name="40% - Accent3 2 2 5 3 2 2 3" xfId="21384"/>
    <cellStyle name="40% - Accent3 2 2 5 3 2 2 3 2" xfId="21385"/>
    <cellStyle name="40% - Accent3 2 2 5 3 2 2 4" xfId="21386"/>
    <cellStyle name="40% - Accent3 2 2 5 3 2 3" xfId="21387"/>
    <cellStyle name="40% - Accent3 2 2 5 3 2 3 2" xfId="21388"/>
    <cellStyle name="40% - Accent3 2 2 5 3 2 3 2 2" xfId="21389"/>
    <cellStyle name="40% - Accent3 2 2 5 3 2 3 3" xfId="21390"/>
    <cellStyle name="40% - Accent3 2 2 5 3 2 4" xfId="21391"/>
    <cellStyle name="40% - Accent3 2 2 5 3 2 4 2" xfId="21392"/>
    <cellStyle name="40% - Accent3 2 2 5 3 2 5" xfId="21393"/>
    <cellStyle name="40% - Accent3 2 2 5 3 2 5 2" xfId="21394"/>
    <cellStyle name="40% - Accent3 2 2 5 3 2 6" xfId="21395"/>
    <cellStyle name="40% - Accent3 2 2 5 3 3" xfId="21396"/>
    <cellStyle name="40% - Accent3 2 2 5 3 3 2" xfId="21397"/>
    <cellStyle name="40% - Accent3 2 2 5 3 3 2 2" xfId="21398"/>
    <cellStyle name="40% - Accent3 2 2 5 3 3 2 2 2" xfId="21399"/>
    <cellStyle name="40% - Accent3 2 2 5 3 3 2 2 2 2" xfId="21400"/>
    <cellStyle name="40% - Accent3 2 2 5 3 3 2 2 3" xfId="21401"/>
    <cellStyle name="40% - Accent3 2 2 5 3 3 2 3" xfId="21402"/>
    <cellStyle name="40% - Accent3 2 2 5 3 3 2 3 2" xfId="21403"/>
    <cellStyle name="40% - Accent3 2 2 5 3 3 2 4" xfId="21404"/>
    <cellStyle name="40% - Accent3 2 2 5 3 3 3" xfId="21405"/>
    <cellStyle name="40% - Accent3 2 2 5 3 3 3 2" xfId="21406"/>
    <cellStyle name="40% - Accent3 2 2 5 3 3 3 2 2" xfId="21407"/>
    <cellStyle name="40% - Accent3 2 2 5 3 3 3 3" xfId="21408"/>
    <cellStyle name="40% - Accent3 2 2 5 3 3 4" xfId="21409"/>
    <cellStyle name="40% - Accent3 2 2 5 3 3 4 2" xfId="21410"/>
    <cellStyle name="40% - Accent3 2 2 5 3 3 5" xfId="21411"/>
    <cellStyle name="40% - Accent3 2 2 5 3 3 5 2" xfId="21412"/>
    <cellStyle name="40% - Accent3 2 2 5 3 3 6" xfId="21413"/>
    <cellStyle name="40% - Accent3 2 2 5 3 4" xfId="21414"/>
    <cellStyle name="40% - Accent3 2 2 5 3 4 2" xfId="21415"/>
    <cellStyle name="40% - Accent3 2 2 5 3 4 2 2" xfId="21416"/>
    <cellStyle name="40% - Accent3 2 2 5 3 4 2 2 2" xfId="21417"/>
    <cellStyle name="40% - Accent3 2 2 5 3 4 2 3" xfId="21418"/>
    <cellStyle name="40% - Accent3 2 2 5 3 4 3" xfId="21419"/>
    <cellStyle name="40% - Accent3 2 2 5 3 4 3 2" xfId="21420"/>
    <cellStyle name="40% - Accent3 2 2 5 3 4 4" xfId="21421"/>
    <cellStyle name="40% - Accent3 2 2 5 3 5" xfId="21422"/>
    <cellStyle name="40% - Accent3 2 2 5 3 5 2" xfId="21423"/>
    <cellStyle name="40% - Accent3 2 2 5 3 5 2 2" xfId="21424"/>
    <cellStyle name="40% - Accent3 2 2 5 3 5 3" xfId="21425"/>
    <cellStyle name="40% - Accent3 2 2 5 3 6" xfId="21426"/>
    <cellStyle name="40% - Accent3 2 2 5 3 6 2" xfId="21427"/>
    <cellStyle name="40% - Accent3 2 2 5 3 7" xfId="21428"/>
    <cellStyle name="40% - Accent3 2 2 5 3 7 2" xfId="21429"/>
    <cellStyle name="40% - Accent3 2 2 5 3 8" xfId="21430"/>
    <cellStyle name="40% - Accent3 2 2 5 4" xfId="21431"/>
    <cellStyle name="40% - Accent3 2 2 5 4 2" xfId="21432"/>
    <cellStyle name="40% - Accent3 2 2 5 4 2 2" xfId="21433"/>
    <cellStyle name="40% - Accent3 2 2 5 4 2 2 2" xfId="21434"/>
    <cellStyle name="40% - Accent3 2 2 5 4 2 2 2 2" xfId="21435"/>
    <cellStyle name="40% - Accent3 2 2 5 4 2 2 3" xfId="21436"/>
    <cellStyle name="40% - Accent3 2 2 5 4 2 3" xfId="21437"/>
    <cellStyle name="40% - Accent3 2 2 5 4 2 3 2" xfId="21438"/>
    <cellStyle name="40% - Accent3 2 2 5 4 2 4" xfId="21439"/>
    <cellStyle name="40% - Accent3 2 2 5 4 3" xfId="21440"/>
    <cellStyle name="40% - Accent3 2 2 5 4 3 2" xfId="21441"/>
    <cellStyle name="40% - Accent3 2 2 5 4 3 2 2" xfId="21442"/>
    <cellStyle name="40% - Accent3 2 2 5 4 3 3" xfId="21443"/>
    <cellStyle name="40% - Accent3 2 2 5 4 4" xfId="21444"/>
    <cellStyle name="40% - Accent3 2 2 5 4 4 2" xfId="21445"/>
    <cellStyle name="40% - Accent3 2 2 5 4 5" xfId="21446"/>
    <cellStyle name="40% - Accent3 2 2 5 4 5 2" xfId="21447"/>
    <cellStyle name="40% - Accent3 2 2 5 4 6" xfId="21448"/>
    <cellStyle name="40% - Accent3 2 2 5 5" xfId="21449"/>
    <cellStyle name="40% - Accent3 2 2 5 5 2" xfId="21450"/>
    <cellStyle name="40% - Accent3 2 2 5 5 2 2" xfId="21451"/>
    <cellStyle name="40% - Accent3 2 2 5 5 2 2 2" xfId="21452"/>
    <cellStyle name="40% - Accent3 2 2 5 5 2 2 2 2" xfId="21453"/>
    <cellStyle name="40% - Accent3 2 2 5 5 2 2 3" xfId="21454"/>
    <cellStyle name="40% - Accent3 2 2 5 5 2 3" xfId="21455"/>
    <cellStyle name="40% - Accent3 2 2 5 5 2 3 2" xfId="21456"/>
    <cellStyle name="40% - Accent3 2 2 5 5 2 4" xfId="21457"/>
    <cellStyle name="40% - Accent3 2 2 5 5 3" xfId="21458"/>
    <cellStyle name="40% - Accent3 2 2 5 5 3 2" xfId="21459"/>
    <cellStyle name="40% - Accent3 2 2 5 5 3 2 2" xfId="21460"/>
    <cellStyle name="40% - Accent3 2 2 5 5 3 3" xfId="21461"/>
    <cellStyle name="40% - Accent3 2 2 5 5 4" xfId="21462"/>
    <cellStyle name="40% - Accent3 2 2 5 5 4 2" xfId="21463"/>
    <cellStyle name="40% - Accent3 2 2 5 5 5" xfId="21464"/>
    <cellStyle name="40% - Accent3 2 2 5 5 5 2" xfId="21465"/>
    <cellStyle name="40% - Accent3 2 2 5 5 6" xfId="21466"/>
    <cellStyle name="40% - Accent3 2 2 5 6" xfId="21467"/>
    <cellStyle name="40% - Accent3 2 2 5 6 2" xfId="21468"/>
    <cellStyle name="40% - Accent3 2 2 5 6 2 2" xfId="21469"/>
    <cellStyle name="40% - Accent3 2 2 5 6 2 2 2" xfId="21470"/>
    <cellStyle name="40% - Accent3 2 2 5 6 2 2 2 2" xfId="21471"/>
    <cellStyle name="40% - Accent3 2 2 5 6 2 2 3" xfId="21472"/>
    <cellStyle name="40% - Accent3 2 2 5 6 2 3" xfId="21473"/>
    <cellStyle name="40% - Accent3 2 2 5 6 2 3 2" xfId="21474"/>
    <cellStyle name="40% - Accent3 2 2 5 6 2 4" xfId="21475"/>
    <cellStyle name="40% - Accent3 2 2 5 6 3" xfId="21476"/>
    <cellStyle name="40% - Accent3 2 2 5 6 3 2" xfId="21477"/>
    <cellStyle name="40% - Accent3 2 2 5 6 3 2 2" xfId="21478"/>
    <cellStyle name="40% - Accent3 2 2 5 6 3 3" xfId="21479"/>
    <cellStyle name="40% - Accent3 2 2 5 6 4" xfId="21480"/>
    <cellStyle name="40% - Accent3 2 2 5 6 4 2" xfId="21481"/>
    <cellStyle name="40% - Accent3 2 2 5 6 5" xfId="21482"/>
    <cellStyle name="40% - Accent3 2 2 5 6 5 2" xfId="21483"/>
    <cellStyle name="40% - Accent3 2 2 5 6 6" xfId="21484"/>
    <cellStyle name="40% - Accent3 2 2 5 7" xfId="21485"/>
    <cellStyle name="40% - Accent3 2 2 5 7 2" xfId="21486"/>
    <cellStyle name="40% - Accent3 2 2 5 7 2 2" xfId="21487"/>
    <cellStyle name="40% - Accent3 2 2 5 7 2 2 2" xfId="21488"/>
    <cellStyle name="40% - Accent3 2 2 5 7 2 3" xfId="21489"/>
    <cellStyle name="40% - Accent3 2 2 5 7 3" xfId="21490"/>
    <cellStyle name="40% - Accent3 2 2 5 7 3 2" xfId="21491"/>
    <cellStyle name="40% - Accent3 2 2 5 7 4" xfId="21492"/>
    <cellStyle name="40% - Accent3 2 2 5 8" xfId="21493"/>
    <cellStyle name="40% - Accent3 2 2 5 8 2" xfId="21494"/>
    <cellStyle name="40% - Accent3 2 2 5 8 2 2" xfId="21495"/>
    <cellStyle name="40% - Accent3 2 2 5 8 3" xfId="21496"/>
    <cellStyle name="40% - Accent3 2 2 5 9" xfId="21497"/>
    <cellStyle name="40% - Accent3 2 2 5 9 2" xfId="21498"/>
    <cellStyle name="40% - Accent3 2 2 6" xfId="21499"/>
    <cellStyle name="40% - Accent3 2 2 6 2" xfId="21500"/>
    <cellStyle name="40% - Accent3 2 2 6 2 2" xfId="21501"/>
    <cellStyle name="40% - Accent3 2 2 6 2 2 2" xfId="21502"/>
    <cellStyle name="40% - Accent3 2 2 6 2 2 2 2" xfId="21503"/>
    <cellStyle name="40% - Accent3 2 2 6 2 2 2 2 2" xfId="21504"/>
    <cellStyle name="40% - Accent3 2 2 6 2 2 2 3" xfId="21505"/>
    <cellStyle name="40% - Accent3 2 2 6 2 2 3" xfId="21506"/>
    <cellStyle name="40% - Accent3 2 2 6 2 2 3 2" xfId="21507"/>
    <cellStyle name="40% - Accent3 2 2 6 2 2 4" xfId="21508"/>
    <cellStyle name="40% - Accent3 2 2 6 2 3" xfId="21509"/>
    <cellStyle name="40% - Accent3 2 2 6 2 3 2" xfId="21510"/>
    <cellStyle name="40% - Accent3 2 2 6 2 3 2 2" xfId="21511"/>
    <cellStyle name="40% - Accent3 2 2 6 2 3 3" xfId="21512"/>
    <cellStyle name="40% - Accent3 2 2 6 2 4" xfId="21513"/>
    <cellStyle name="40% - Accent3 2 2 6 2 4 2" xfId="21514"/>
    <cellStyle name="40% - Accent3 2 2 6 2 5" xfId="21515"/>
    <cellStyle name="40% - Accent3 2 2 6 2 5 2" xfId="21516"/>
    <cellStyle name="40% - Accent3 2 2 6 2 6" xfId="21517"/>
    <cellStyle name="40% - Accent3 2 2 6 3" xfId="21518"/>
    <cellStyle name="40% - Accent3 2 2 6 3 2" xfId="21519"/>
    <cellStyle name="40% - Accent3 2 2 6 3 2 2" xfId="21520"/>
    <cellStyle name="40% - Accent3 2 2 6 3 2 2 2" xfId="21521"/>
    <cellStyle name="40% - Accent3 2 2 6 3 2 2 2 2" xfId="21522"/>
    <cellStyle name="40% - Accent3 2 2 6 3 2 2 3" xfId="21523"/>
    <cellStyle name="40% - Accent3 2 2 6 3 2 3" xfId="21524"/>
    <cellStyle name="40% - Accent3 2 2 6 3 2 3 2" xfId="21525"/>
    <cellStyle name="40% - Accent3 2 2 6 3 2 4" xfId="21526"/>
    <cellStyle name="40% - Accent3 2 2 6 3 3" xfId="21527"/>
    <cellStyle name="40% - Accent3 2 2 6 3 3 2" xfId="21528"/>
    <cellStyle name="40% - Accent3 2 2 6 3 3 2 2" xfId="21529"/>
    <cellStyle name="40% - Accent3 2 2 6 3 3 3" xfId="21530"/>
    <cellStyle name="40% - Accent3 2 2 6 3 4" xfId="21531"/>
    <cellStyle name="40% - Accent3 2 2 6 3 4 2" xfId="21532"/>
    <cellStyle name="40% - Accent3 2 2 6 3 5" xfId="21533"/>
    <cellStyle name="40% - Accent3 2 2 6 3 5 2" xfId="21534"/>
    <cellStyle name="40% - Accent3 2 2 6 3 6" xfId="21535"/>
    <cellStyle name="40% - Accent3 2 2 6 4" xfId="21536"/>
    <cellStyle name="40% - Accent3 2 2 6 4 2" xfId="21537"/>
    <cellStyle name="40% - Accent3 2 2 6 4 2 2" xfId="21538"/>
    <cellStyle name="40% - Accent3 2 2 6 4 2 2 2" xfId="21539"/>
    <cellStyle name="40% - Accent3 2 2 6 4 2 3" xfId="21540"/>
    <cellStyle name="40% - Accent3 2 2 6 4 3" xfId="21541"/>
    <cellStyle name="40% - Accent3 2 2 6 4 3 2" xfId="21542"/>
    <cellStyle name="40% - Accent3 2 2 6 4 4" xfId="21543"/>
    <cellStyle name="40% - Accent3 2 2 6 5" xfId="21544"/>
    <cellStyle name="40% - Accent3 2 2 6 5 2" xfId="21545"/>
    <cellStyle name="40% - Accent3 2 2 6 5 2 2" xfId="21546"/>
    <cellStyle name="40% - Accent3 2 2 6 5 3" xfId="21547"/>
    <cellStyle name="40% - Accent3 2 2 6 6" xfId="21548"/>
    <cellStyle name="40% - Accent3 2 2 6 6 2" xfId="21549"/>
    <cellStyle name="40% - Accent3 2 2 6 7" xfId="21550"/>
    <cellStyle name="40% - Accent3 2 2 6 7 2" xfId="21551"/>
    <cellStyle name="40% - Accent3 2 2 6 8" xfId="21552"/>
    <cellStyle name="40% - Accent3 2 2 7" xfId="21553"/>
    <cellStyle name="40% - Accent3 2 2 7 2" xfId="21554"/>
    <cellStyle name="40% - Accent3 2 2 7 2 2" xfId="21555"/>
    <cellStyle name="40% - Accent3 2 2 7 2 2 2" xfId="21556"/>
    <cellStyle name="40% - Accent3 2 2 7 2 2 2 2" xfId="21557"/>
    <cellStyle name="40% - Accent3 2 2 7 2 2 2 2 2" xfId="21558"/>
    <cellStyle name="40% - Accent3 2 2 7 2 2 2 3" xfId="21559"/>
    <cellStyle name="40% - Accent3 2 2 7 2 2 3" xfId="21560"/>
    <cellStyle name="40% - Accent3 2 2 7 2 2 3 2" xfId="21561"/>
    <cellStyle name="40% - Accent3 2 2 7 2 2 4" xfId="21562"/>
    <cellStyle name="40% - Accent3 2 2 7 2 3" xfId="21563"/>
    <cellStyle name="40% - Accent3 2 2 7 2 3 2" xfId="21564"/>
    <cellStyle name="40% - Accent3 2 2 7 2 3 2 2" xfId="21565"/>
    <cellStyle name="40% - Accent3 2 2 7 2 3 3" xfId="21566"/>
    <cellStyle name="40% - Accent3 2 2 7 2 4" xfId="21567"/>
    <cellStyle name="40% - Accent3 2 2 7 2 4 2" xfId="21568"/>
    <cellStyle name="40% - Accent3 2 2 7 2 5" xfId="21569"/>
    <cellStyle name="40% - Accent3 2 2 7 2 5 2" xfId="21570"/>
    <cellStyle name="40% - Accent3 2 2 7 2 6" xfId="21571"/>
    <cellStyle name="40% - Accent3 2 2 7 3" xfId="21572"/>
    <cellStyle name="40% - Accent3 2 2 7 3 2" xfId="21573"/>
    <cellStyle name="40% - Accent3 2 2 7 3 2 2" xfId="21574"/>
    <cellStyle name="40% - Accent3 2 2 7 3 2 2 2" xfId="21575"/>
    <cellStyle name="40% - Accent3 2 2 7 3 2 2 2 2" xfId="21576"/>
    <cellStyle name="40% - Accent3 2 2 7 3 2 2 3" xfId="21577"/>
    <cellStyle name="40% - Accent3 2 2 7 3 2 3" xfId="21578"/>
    <cellStyle name="40% - Accent3 2 2 7 3 2 3 2" xfId="21579"/>
    <cellStyle name="40% - Accent3 2 2 7 3 2 4" xfId="21580"/>
    <cellStyle name="40% - Accent3 2 2 7 3 3" xfId="21581"/>
    <cellStyle name="40% - Accent3 2 2 7 3 3 2" xfId="21582"/>
    <cellStyle name="40% - Accent3 2 2 7 3 3 2 2" xfId="21583"/>
    <cellStyle name="40% - Accent3 2 2 7 3 3 3" xfId="21584"/>
    <cellStyle name="40% - Accent3 2 2 7 3 4" xfId="21585"/>
    <cellStyle name="40% - Accent3 2 2 7 3 4 2" xfId="21586"/>
    <cellStyle name="40% - Accent3 2 2 7 3 5" xfId="21587"/>
    <cellStyle name="40% - Accent3 2 2 7 3 5 2" xfId="21588"/>
    <cellStyle name="40% - Accent3 2 2 7 3 6" xfId="21589"/>
    <cellStyle name="40% - Accent3 2 2 7 4" xfId="21590"/>
    <cellStyle name="40% - Accent3 2 2 7 4 2" xfId="21591"/>
    <cellStyle name="40% - Accent3 2 2 7 4 2 2" xfId="21592"/>
    <cellStyle name="40% - Accent3 2 2 7 4 2 2 2" xfId="21593"/>
    <cellStyle name="40% - Accent3 2 2 7 4 2 3" xfId="21594"/>
    <cellStyle name="40% - Accent3 2 2 7 4 3" xfId="21595"/>
    <cellStyle name="40% - Accent3 2 2 7 4 3 2" xfId="21596"/>
    <cellStyle name="40% - Accent3 2 2 7 4 4" xfId="21597"/>
    <cellStyle name="40% - Accent3 2 2 7 5" xfId="21598"/>
    <cellStyle name="40% - Accent3 2 2 7 5 2" xfId="21599"/>
    <cellStyle name="40% - Accent3 2 2 7 5 2 2" xfId="21600"/>
    <cellStyle name="40% - Accent3 2 2 7 5 3" xfId="21601"/>
    <cellStyle name="40% - Accent3 2 2 7 6" xfId="21602"/>
    <cellStyle name="40% - Accent3 2 2 7 6 2" xfId="21603"/>
    <cellStyle name="40% - Accent3 2 2 7 7" xfId="21604"/>
    <cellStyle name="40% - Accent3 2 2 7 7 2" xfId="21605"/>
    <cellStyle name="40% - Accent3 2 2 7 8" xfId="21606"/>
    <cellStyle name="40% - Accent3 2 2 8" xfId="21607"/>
    <cellStyle name="40% - Accent3 2 2 8 2" xfId="21608"/>
    <cellStyle name="40% - Accent3 2 2 8 2 2" xfId="21609"/>
    <cellStyle name="40% - Accent3 2 2 8 2 2 2" xfId="21610"/>
    <cellStyle name="40% - Accent3 2 2 8 2 2 2 2" xfId="21611"/>
    <cellStyle name="40% - Accent3 2 2 8 2 2 3" xfId="21612"/>
    <cellStyle name="40% - Accent3 2 2 8 2 3" xfId="21613"/>
    <cellStyle name="40% - Accent3 2 2 8 2 3 2" xfId="21614"/>
    <cellStyle name="40% - Accent3 2 2 8 2 4" xfId="21615"/>
    <cellStyle name="40% - Accent3 2 2 8 3" xfId="21616"/>
    <cellStyle name="40% - Accent3 2 2 8 3 2" xfId="21617"/>
    <cellStyle name="40% - Accent3 2 2 8 3 2 2" xfId="21618"/>
    <cellStyle name="40% - Accent3 2 2 8 3 3" xfId="21619"/>
    <cellStyle name="40% - Accent3 2 2 8 4" xfId="21620"/>
    <cellStyle name="40% - Accent3 2 2 8 4 2" xfId="21621"/>
    <cellStyle name="40% - Accent3 2 2 8 5" xfId="21622"/>
    <cellStyle name="40% - Accent3 2 2 8 5 2" xfId="21623"/>
    <cellStyle name="40% - Accent3 2 2 8 6" xfId="21624"/>
    <cellStyle name="40% - Accent3 2 2 9" xfId="21625"/>
    <cellStyle name="40% - Accent3 2 2 9 2" xfId="21626"/>
    <cellStyle name="40% - Accent3 2 2 9 2 2" xfId="21627"/>
    <cellStyle name="40% - Accent3 2 2 9 2 2 2" xfId="21628"/>
    <cellStyle name="40% - Accent3 2 2 9 2 2 2 2" xfId="21629"/>
    <cellStyle name="40% - Accent3 2 2 9 2 2 3" xfId="21630"/>
    <cellStyle name="40% - Accent3 2 2 9 2 3" xfId="21631"/>
    <cellStyle name="40% - Accent3 2 2 9 2 3 2" xfId="21632"/>
    <cellStyle name="40% - Accent3 2 2 9 2 4" xfId="21633"/>
    <cellStyle name="40% - Accent3 2 2 9 3" xfId="21634"/>
    <cellStyle name="40% - Accent3 2 2 9 3 2" xfId="21635"/>
    <cellStyle name="40% - Accent3 2 2 9 3 2 2" xfId="21636"/>
    <cellStyle name="40% - Accent3 2 2 9 3 3" xfId="21637"/>
    <cellStyle name="40% - Accent3 2 2 9 4" xfId="21638"/>
    <cellStyle name="40% - Accent3 2 2 9 4 2" xfId="21639"/>
    <cellStyle name="40% - Accent3 2 2 9 5" xfId="21640"/>
    <cellStyle name="40% - Accent3 2 2 9 5 2" xfId="21641"/>
    <cellStyle name="40% - Accent3 2 2 9 6" xfId="21642"/>
    <cellStyle name="40% - Accent3 2 3" xfId="21643"/>
    <cellStyle name="40% - Accent3 2 4" xfId="20166"/>
    <cellStyle name="40% - Accent3 3" xfId="21644"/>
    <cellStyle name="40% - Accent3 3 2" xfId="21645"/>
    <cellStyle name="40% - Accent3 3 3" xfId="21646"/>
    <cellStyle name="40% - Accent3 3 3 10" xfId="21647"/>
    <cellStyle name="40% - Accent3 3 3 10 2" xfId="21648"/>
    <cellStyle name="40% - Accent3 3 3 10 2 2" xfId="21649"/>
    <cellStyle name="40% - Accent3 3 3 10 2 2 2" xfId="21650"/>
    <cellStyle name="40% - Accent3 3 3 10 2 3" xfId="21651"/>
    <cellStyle name="40% - Accent3 3 3 10 3" xfId="21652"/>
    <cellStyle name="40% - Accent3 3 3 10 3 2" xfId="21653"/>
    <cellStyle name="40% - Accent3 3 3 10 4" xfId="21654"/>
    <cellStyle name="40% - Accent3 3 3 11" xfId="21655"/>
    <cellStyle name="40% - Accent3 3 3 11 2" xfId="21656"/>
    <cellStyle name="40% - Accent3 3 3 11 2 2" xfId="21657"/>
    <cellStyle name="40% - Accent3 3 3 11 3" xfId="21658"/>
    <cellStyle name="40% - Accent3 3 3 12" xfId="21659"/>
    <cellStyle name="40% - Accent3 3 3 12 2" xfId="21660"/>
    <cellStyle name="40% - Accent3 3 3 13" xfId="21661"/>
    <cellStyle name="40% - Accent3 3 3 13 2" xfId="21662"/>
    <cellStyle name="40% - Accent3 3 3 14" xfId="21663"/>
    <cellStyle name="40% - Accent3 3 3 2" xfId="21664"/>
    <cellStyle name="40% - Accent3 3 3 2 10" xfId="21665"/>
    <cellStyle name="40% - Accent3 3 3 2 10 2" xfId="21666"/>
    <cellStyle name="40% - Accent3 3 3 2 11" xfId="21667"/>
    <cellStyle name="40% - Accent3 3 3 2 2" xfId="21668"/>
    <cellStyle name="40% - Accent3 3 3 2 2 2" xfId="21669"/>
    <cellStyle name="40% - Accent3 3 3 2 2 2 2" xfId="21670"/>
    <cellStyle name="40% - Accent3 3 3 2 2 2 2 2" xfId="21671"/>
    <cellStyle name="40% - Accent3 3 3 2 2 2 2 2 2" xfId="21672"/>
    <cellStyle name="40% - Accent3 3 3 2 2 2 2 2 2 2" xfId="21673"/>
    <cellStyle name="40% - Accent3 3 3 2 2 2 2 2 3" xfId="21674"/>
    <cellStyle name="40% - Accent3 3 3 2 2 2 2 3" xfId="21675"/>
    <cellStyle name="40% - Accent3 3 3 2 2 2 2 3 2" xfId="21676"/>
    <cellStyle name="40% - Accent3 3 3 2 2 2 2 4" xfId="21677"/>
    <cellStyle name="40% - Accent3 3 3 2 2 2 3" xfId="21678"/>
    <cellStyle name="40% - Accent3 3 3 2 2 2 3 2" xfId="21679"/>
    <cellStyle name="40% - Accent3 3 3 2 2 2 3 2 2" xfId="21680"/>
    <cellStyle name="40% - Accent3 3 3 2 2 2 3 3" xfId="21681"/>
    <cellStyle name="40% - Accent3 3 3 2 2 2 4" xfId="21682"/>
    <cellStyle name="40% - Accent3 3 3 2 2 2 4 2" xfId="21683"/>
    <cellStyle name="40% - Accent3 3 3 2 2 2 5" xfId="21684"/>
    <cellStyle name="40% - Accent3 3 3 2 2 2 5 2" xfId="21685"/>
    <cellStyle name="40% - Accent3 3 3 2 2 2 6" xfId="21686"/>
    <cellStyle name="40% - Accent3 3 3 2 2 3" xfId="21687"/>
    <cellStyle name="40% - Accent3 3 3 2 2 3 2" xfId="21688"/>
    <cellStyle name="40% - Accent3 3 3 2 2 3 2 2" xfId="21689"/>
    <cellStyle name="40% - Accent3 3 3 2 2 3 2 2 2" xfId="21690"/>
    <cellStyle name="40% - Accent3 3 3 2 2 3 2 2 2 2" xfId="21691"/>
    <cellStyle name="40% - Accent3 3 3 2 2 3 2 2 3" xfId="21692"/>
    <cellStyle name="40% - Accent3 3 3 2 2 3 2 3" xfId="21693"/>
    <cellStyle name="40% - Accent3 3 3 2 2 3 2 3 2" xfId="21694"/>
    <cellStyle name="40% - Accent3 3 3 2 2 3 2 4" xfId="21695"/>
    <cellStyle name="40% - Accent3 3 3 2 2 3 3" xfId="21696"/>
    <cellStyle name="40% - Accent3 3 3 2 2 3 3 2" xfId="21697"/>
    <cellStyle name="40% - Accent3 3 3 2 2 3 3 2 2" xfId="21698"/>
    <cellStyle name="40% - Accent3 3 3 2 2 3 3 3" xfId="21699"/>
    <cellStyle name="40% - Accent3 3 3 2 2 3 4" xfId="21700"/>
    <cellStyle name="40% - Accent3 3 3 2 2 3 4 2" xfId="21701"/>
    <cellStyle name="40% - Accent3 3 3 2 2 3 5" xfId="21702"/>
    <cellStyle name="40% - Accent3 3 3 2 2 3 5 2" xfId="21703"/>
    <cellStyle name="40% - Accent3 3 3 2 2 3 6" xfId="21704"/>
    <cellStyle name="40% - Accent3 3 3 2 2 4" xfId="21705"/>
    <cellStyle name="40% - Accent3 3 3 2 2 4 2" xfId="21706"/>
    <cellStyle name="40% - Accent3 3 3 2 2 4 2 2" xfId="21707"/>
    <cellStyle name="40% - Accent3 3 3 2 2 4 2 2 2" xfId="21708"/>
    <cellStyle name="40% - Accent3 3 3 2 2 4 2 3" xfId="21709"/>
    <cellStyle name="40% - Accent3 3 3 2 2 4 3" xfId="21710"/>
    <cellStyle name="40% - Accent3 3 3 2 2 4 3 2" xfId="21711"/>
    <cellStyle name="40% - Accent3 3 3 2 2 4 4" xfId="21712"/>
    <cellStyle name="40% - Accent3 3 3 2 2 5" xfId="21713"/>
    <cellStyle name="40% - Accent3 3 3 2 2 5 2" xfId="21714"/>
    <cellStyle name="40% - Accent3 3 3 2 2 5 2 2" xfId="21715"/>
    <cellStyle name="40% - Accent3 3 3 2 2 5 3" xfId="21716"/>
    <cellStyle name="40% - Accent3 3 3 2 2 6" xfId="21717"/>
    <cellStyle name="40% - Accent3 3 3 2 2 6 2" xfId="21718"/>
    <cellStyle name="40% - Accent3 3 3 2 2 7" xfId="21719"/>
    <cellStyle name="40% - Accent3 3 3 2 2 7 2" xfId="21720"/>
    <cellStyle name="40% - Accent3 3 3 2 2 8" xfId="21721"/>
    <cellStyle name="40% - Accent3 3 3 2 3" xfId="21722"/>
    <cellStyle name="40% - Accent3 3 3 2 3 2" xfId="21723"/>
    <cellStyle name="40% - Accent3 3 3 2 3 2 2" xfId="21724"/>
    <cellStyle name="40% - Accent3 3 3 2 3 2 2 2" xfId="21725"/>
    <cellStyle name="40% - Accent3 3 3 2 3 2 2 2 2" xfId="21726"/>
    <cellStyle name="40% - Accent3 3 3 2 3 2 2 2 2 2" xfId="21727"/>
    <cellStyle name="40% - Accent3 3 3 2 3 2 2 2 3" xfId="21728"/>
    <cellStyle name="40% - Accent3 3 3 2 3 2 2 3" xfId="21729"/>
    <cellStyle name="40% - Accent3 3 3 2 3 2 2 3 2" xfId="21730"/>
    <cellStyle name="40% - Accent3 3 3 2 3 2 2 4" xfId="21731"/>
    <cellStyle name="40% - Accent3 3 3 2 3 2 3" xfId="21732"/>
    <cellStyle name="40% - Accent3 3 3 2 3 2 3 2" xfId="21733"/>
    <cellStyle name="40% - Accent3 3 3 2 3 2 3 2 2" xfId="21734"/>
    <cellStyle name="40% - Accent3 3 3 2 3 2 3 3" xfId="21735"/>
    <cellStyle name="40% - Accent3 3 3 2 3 2 4" xfId="21736"/>
    <cellStyle name="40% - Accent3 3 3 2 3 2 4 2" xfId="21737"/>
    <cellStyle name="40% - Accent3 3 3 2 3 2 5" xfId="21738"/>
    <cellStyle name="40% - Accent3 3 3 2 3 2 5 2" xfId="21739"/>
    <cellStyle name="40% - Accent3 3 3 2 3 2 6" xfId="21740"/>
    <cellStyle name="40% - Accent3 3 3 2 3 3" xfId="21741"/>
    <cellStyle name="40% - Accent3 3 3 2 3 3 2" xfId="21742"/>
    <cellStyle name="40% - Accent3 3 3 2 3 3 2 2" xfId="21743"/>
    <cellStyle name="40% - Accent3 3 3 2 3 3 2 2 2" xfId="21744"/>
    <cellStyle name="40% - Accent3 3 3 2 3 3 2 2 2 2" xfId="21745"/>
    <cellStyle name="40% - Accent3 3 3 2 3 3 2 2 3" xfId="21746"/>
    <cellStyle name="40% - Accent3 3 3 2 3 3 2 3" xfId="21747"/>
    <cellStyle name="40% - Accent3 3 3 2 3 3 2 3 2" xfId="21748"/>
    <cellStyle name="40% - Accent3 3 3 2 3 3 2 4" xfId="21749"/>
    <cellStyle name="40% - Accent3 3 3 2 3 3 3" xfId="21750"/>
    <cellStyle name="40% - Accent3 3 3 2 3 3 3 2" xfId="21751"/>
    <cellStyle name="40% - Accent3 3 3 2 3 3 3 2 2" xfId="21752"/>
    <cellStyle name="40% - Accent3 3 3 2 3 3 3 3" xfId="21753"/>
    <cellStyle name="40% - Accent3 3 3 2 3 3 4" xfId="21754"/>
    <cellStyle name="40% - Accent3 3 3 2 3 3 4 2" xfId="21755"/>
    <cellStyle name="40% - Accent3 3 3 2 3 3 5" xfId="21756"/>
    <cellStyle name="40% - Accent3 3 3 2 3 3 5 2" xfId="21757"/>
    <cellStyle name="40% - Accent3 3 3 2 3 3 6" xfId="21758"/>
    <cellStyle name="40% - Accent3 3 3 2 3 4" xfId="21759"/>
    <cellStyle name="40% - Accent3 3 3 2 3 4 2" xfId="21760"/>
    <cellStyle name="40% - Accent3 3 3 2 3 4 2 2" xfId="21761"/>
    <cellStyle name="40% - Accent3 3 3 2 3 4 2 2 2" xfId="21762"/>
    <cellStyle name="40% - Accent3 3 3 2 3 4 2 3" xfId="21763"/>
    <cellStyle name="40% - Accent3 3 3 2 3 4 3" xfId="21764"/>
    <cellStyle name="40% - Accent3 3 3 2 3 4 3 2" xfId="21765"/>
    <cellStyle name="40% - Accent3 3 3 2 3 4 4" xfId="21766"/>
    <cellStyle name="40% - Accent3 3 3 2 3 5" xfId="21767"/>
    <cellStyle name="40% - Accent3 3 3 2 3 5 2" xfId="21768"/>
    <cellStyle name="40% - Accent3 3 3 2 3 5 2 2" xfId="21769"/>
    <cellStyle name="40% - Accent3 3 3 2 3 5 3" xfId="21770"/>
    <cellStyle name="40% - Accent3 3 3 2 3 6" xfId="21771"/>
    <cellStyle name="40% - Accent3 3 3 2 3 6 2" xfId="21772"/>
    <cellStyle name="40% - Accent3 3 3 2 3 7" xfId="21773"/>
    <cellStyle name="40% - Accent3 3 3 2 3 7 2" xfId="21774"/>
    <cellStyle name="40% - Accent3 3 3 2 3 8" xfId="21775"/>
    <cellStyle name="40% - Accent3 3 3 2 4" xfId="21776"/>
    <cellStyle name="40% - Accent3 3 3 2 4 2" xfId="21777"/>
    <cellStyle name="40% - Accent3 3 3 2 4 2 2" xfId="21778"/>
    <cellStyle name="40% - Accent3 3 3 2 4 2 2 2" xfId="21779"/>
    <cellStyle name="40% - Accent3 3 3 2 4 2 2 2 2" xfId="21780"/>
    <cellStyle name="40% - Accent3 3 3 2 4 2 2 3" xfId="21781"/>
    <cellStyle name="40% - Accent3 3 3 2 4 2 3" xfId="21782"/>
    <cellStyle name="40% - Accent3 3 3 2 4 2 3 2" xfId="21783"/>
    <cellStyle name="40% - Accent3 3 3 2 4 2 4" xfId="21784"/>
    <cellStyle name="40% - Accent3 3 3 2 4 3" xfId="21785"/>
    <cellStyle name="40% - Accent3 3 3 2 4 3 2" xfId="21786"/>
    <cellStyle name="40% - Accent3 3 3 2 4 3 2 2" xfId="21787"/>
    <cellStyle name="40% - Accent3 3 3 2 4 3 3" xfId="21788"/>
    <cellStyle name="40% - Accent3 3 3 2 4 4" xfId="21789"/>
    <cellStyle name="40% - Accent3 3 3 2 4 4 2" xfId="21790"/>
    <cellStyle name="40% - Accent3 3 3 2 4 5" xfId="21791"/>
    <cellStyle name="40% - Accent3 3 3 2 4 5 2" xfId="21792"/>
    <cellStyle name="40% - Accent3 3 3 2 4 6" xfId="21793"/>
    <cellStyle name="40% - Accent3 3 3 2 5" xfId="21794"/>
    <cellStyle name="40% - Accent3 3 3 2 5 2" xfId="21795"/>
    <cellStyle name="40% - Accent3 3 3 2 5 2 2" xfId="21796"/>
    <cellStyle name="40% - Accent3 3 3 2 5 2 2 2" xfId="21797"/>
    <cellStyle name="40% - Accent3 3 3 2 5 2 2 2 2" xfId="21798"/>
    <cellStyle name="40% - Accent3 3 3 2 5 2 2 3" xfId="21799"/>
    <cellStyle name="40% - Accent3 3 3 2 5 2 3" xfId="21800"/>
    <cellStyle name="40% - Accent3 3 3 2 5 2 3 2" xfId="21801"/>
    <cellStyle name="40% - Accent3 3 3 2 5 2 4" xfId="21802"/>
    <cellStyle name="40% - Accent3 3 3 2 5 3" xfId="21803"/>
    <cellStyle name="40% - Accent3 3 3 2 5 3 2" xfId="21804"/>
    <cellStyle name="40% - Accent3 3 3 2 5 3 2 2" xfId="21805"/>
    <cellStyle name="40% - Accent3 3 3 2 5 3 3" xfId="21806"/>
    <cellStyle name="40% - Accent3 3 3 2 5 4" xfId="21807"/>
    <cellStyle name="40% - Accent3 3 3 2 5 4 2" xfId="21808"/>
    <cellStyle name="40% - Accent3 3 3 2 5 5" xfId="21809"/>
    <cellStyle name="40% - Accent3 3 3 2 5 5 2" xfId="21810"/>
    <cellStyle name="40% - Accent3 3 3 2 5 6" xfId="21811"/>
    <cellStyle name="40% - Accent3 3 3 2 6" xfId="21812"/>
    <cellStyle name="40% - Accent3 3 3 2 6 2" xfId="21813"/>
    <cellStyle name="40% - Accent3 3 3 2 6 2 2" xfId="21814"/>
    <cellStyle name="40% - Accent3 3 3 2 6 2 2 2" xfId="21815"/>
    <cellStyle name="40% - Accent3 3 3 2 6 2 2 2 2" xfId="21816"/>
    <cellStyle name="40% - Accent3 3 3 2 6 2 2 3" xfId="21817"/>
    <cellStyle name="40% - Accent3 3 3 2 6 2 3" xfId="21818"/>
    <cellStyle name="40% - Accent3 3 3 2 6 2 3 2" xfId="21819"/>
    <cellStyle name="40% - Accent3 3 3 2 6 2 4" xfId="21820"/>
    <cellStyle name="40% - Accent3 3 3 2 6 3" xfId="21821"/>
    <cellStyle name="40% - Accent3 3 3 2 6 3 2" xfId="21822"/>
    <cellStyle name="40% - Accent3 3 3 2 6 3 2 2" xfId="21823"/>
    <cellStyle name="40% - Accent3 3 3 2 6 3 3" xfId="21824"/>
    <cellStyle name="40% - Accent3 3 3 2 6 4" xfId="21825"/>
    <cellStyle name="40% - Accent3 3 3 2 6 4 2" xfId="21826"/>
    <cellStyle name="40% - Accent3 3 3 2 6 5" xfId="21827"/>
    <cellStyle name="40% - Accent3 3 3 2 6 5 2" xfId="21828"/>
    <cellStyle name="40% - Accent3 3 3 2 6 6" xfId="21829"/>
    <cellStyle name="40% - Accent3 3 3 2 7" xfId="21830"/>
    <cellStyle name="40% - Accent3 3 3 2 7 2" xfId="21831"/>
    <cellStyle name="40% - Accent3 3 3 2 7 2 2" xfId="21832"/>
    <cellStyle name="40% - Accent3 3 3 2 7 2 2 2" xfId="21833"/>
    <cellStyle name="40% - Accent3 3 3 2 7 2 3" xfId="21834"/>
    <cellStyle name="40% - Accent3 3 3 2 7 3" xfId="21835"/>
    <cellStyle name="40% - Accent3 3 3 2 7 3 2" xfId="21836"/>
    <cellStyle name="40% - Accent3 3 3 2 7 4" xfId="21837"/>
    <cellStyle name="40% - Accent3 3 3 2 8" xfId="21838"/>
    <cellStyle name="40% - Accent3 3 3 2 8 2" xfId="21839"/>
    <cellStyle name="40% - Accent3 3 3 2 8 2 2" xfId="21840"/>
    <cellStyle name="40% - Accent3 3 3 2 8 3" xfId="21841"/>
    <cellStyle name="40% - Accent3 3 3 2 9" xfId="21842"/>
    <cellStyle name="40% - Accent3 3 3 2 9 2" xfId="21843"/>
    <cellStyle name="40% - Accent3 3 3 3" xfId="21844"/>
    <cellStyle name="40% - Accent3 3 3 3 10" xfId="21845"/>
    <cellStyle name="40% - Accent3 3 3 3 10 2" xfId="21846"/>
    <cellStyle name="40% - Accent3 3 3 3 11" xfId="21847"/>
    <cellStyle name="40% - Accent3 3 3 3 2" xfId="21848"/>
    <cellStyle name="40% - Accent3 3 3 3 2 2" xfId="21849"/>
    <cellStyle name="40% - Accent3 3 3 3 2 2 2" xfId="21850"/>
    <cellStyle name="40% - Accent3 3 3 3 2 2 2 2" xfId="21851"/>
    <cellStyle name="40% - Accent3 3 3 3 2 2 2 2 2" xfId="21852"/>
    <cellStyle name="40% - Accent3 3 3 3 2 2 2 2 2 2" xfId="21853"/>
    <cellStyle name="40% - Accent3 3 3 3 2 2 2 2 3" xfId="21854"/>
    <cellStyle name="40% - Accent3 3 3 3 2 2 2 3" xfId="21855"/>
    <cellStyle name="40% - Accent3 3 3 3 2 2 2 3 2" xfId="21856"/>
    <cellStyle name="40% - Accent3 3 3 3 2 2 2 4" xfId="21857"/>
    <cellStyle name="40% - Accent3 3 3 3 2 2 3" xfId="21858"/>
    <cellStyle name="40% - Accent3 3 3 3 2 2 3 2" xfId="21859"/>
    <cellStyle name="40% - Accent3 3 3 3 2 2 3 2 2" xfId="21860"/>
    <cellStyle name="40% - Accent3 3 3 3 2 2 3 3" xfId="21861"/>
    <cellStyle name="40% - Accent3 3 3 3 2 2 4" xfId="21862"/>
    <cellStyle name="40% - Accent3 3 3 3 2 2 4 2" xfId="21863"/>
    <cellStyle name="40% - Accent3 3 3 3 2 2 5" xfId="21864"/>
    <cellStyle name="40% - Accent3 3 3 3 2 2 5 2" xfId="21865"/>
    <cellStyle name="40% - Accent3 3 3 3 2 2 6" xfId="21866"/>
    <cellStyle name="40% - Accent3 3 3 3 2 3" xfId="21867"/>
    <cellStyle name="40% - Accent3 3 3 3 2 3 2" xfId="21868"/>
    <cellStyle name="40% - Accent3 3 3 3 2 3 2 2" xfId="21869"/>
    <cellStyle name="40% - Accent3 3 3 3 2 3 2 2 2" xfId="21870"/>
    <cellStyle name="40% - Accent3 3 3 3 2 3 2 2 2 2" xfId="21871"/>
    <cellStyle name="40% - Accent3 3 3 3 2 3 2 2 3" xfId="21872"/>
    <cellStyle name="40% - Accent3 3 3 3 2 3 2 3" xfId="21873"/>
    <cellStyle name="40% - Accent3 3 3 3 2 3 2 3 2" xfId="21874"/>
    <cellStyle name="40% - Accent3 3 3 3 2 3 2 4" xfId="21875"/>
    <cellStyle name="40% - Accent3 3 3 3 2 3 3" xfId="21876"/>
    <cellStyle name="40% - Accent3 3 3 3 2 3 3 2" xfId="21877"/>
    <cellStyle name="40% - Accent3 3 3 3 2 3 3 2 2" xfId="21878"/>
    <cellStyle name="40% - Accent3 3 3 3 2 3 3 3" xfId="21879"/>
    <cellStyle name="40% - Accent3 3 3 3 2 3 4" xfId="21880"/>
    <cellStyle name="40% - Accent3 3 3 3 2 3 4 2" xfId="21881"/>
    <cellStyle name="40% - Accent3 3 3 3 2 3 5" xfId="21882"/>
    <cellStyle name="40% - Accent3 3 3 3 2 3 5 2" xfId="21883"/>
    <cellStyle name="40% - Accent3 3 3 3 2 3 6" xfId="21884"/>
    <cellStyle name="40% - Accent3 3 3 3 2 4" xfId="21885"/>
    <cellStyle name="40% - Accent3 3 3 3 2 4 2" xfId="21886"/>
    <cellStyle name="40% - Accent3 3 3 3 2 4 2 2" xfId="21887"/>
    <cellStyle name="40% - Accent3 3 3 3 2 4 2 2 2" xfId="21888"/>
    <cellStyle name="40% - Accent3 3 3 3 2 4 2 3" xfId="21889"/>
    <cellStyle name="40% - Accent3 3 3 3 2 4 3" xfId="21890"/>
    <cellStyle name="40% - Accent3 3 3 3 2 4 3 2" xfId="21891"/>
    <cellStyle name="40% - Accent3 3 3 3 2 4 4" xfId="21892"/>
    <cellStyle name="40% - Accent3 3 3 3 2 5" xfId="21893"/>
    <cellStyle name="40% - Accent3 3 3 3 2 5 2" xfId="21894"/>
    <cellStyle name="40% - Accent3 3 3 3 2 5 2 2" xfId="21895"/>
    <cellStyle name="40% - Accent3 3 3 3 2 5 3" xfId="21896"/>
    <cellStyle name="40% - Accent3 3 3 3 2 6" xfId="21897"/>
    <cellStyle name="40% - Accent3 3 3 3 2 6 2" xfId="21898"/>
    <cellStyle name="40% - Accent3 3 3 3 2 7" xfId="21899"/>
    <cellStyle name="40% - Accent3 3 3 3 2 7 2" xfId="21900"/>
    <cellStyle name="40% - Accent3 3 3 3 2 8" xfId="21901"/>
    <cellStyle name="40% - Accent3 3 3 3 3" xfId="21902"/>
    <cellStyle name="40% - Accent3 3 3 3 3 2" xfId="21903"/>
    <cellStyle name="40% - Accent3 3 3 3 3 2 2" xfId="21904"/>
    <cellStyle name="40% - Accent3 3 3 3 3 2 2 2" xfId="21905"/>
    <cellStyle name="40% - Accent3 3 3 3 3 2 2 2 2" xfId="21906"/>
    <cellStyle name="40% - Accent3 3 3 3 3 2 2 2 2 2" xfId="21907"/>
    <cellStyle name="40% - Accent3 3 3 3 3 2 2 2 3" xfId="21908"/>
    <cellStyle name="40% - Accent3 3 3 3 3 2 2 3" xfId="21909"/>
    <cellStyle name="40% - Accent3 3 3 3 3 2 2 3 2" xfId="21910"/>
    <cellStyle name="40% - Accent3 3 3 3 3 2 2 4" xfId="21911"/>
    <cellStyle name="40% - Accent3 3 3 3 3 2 3" xfId="21912"/>
    <cellStyle name="40% - Accent3 3 3 3 3 2 3 2" xfId="21913"/>
    <cellStyle name="40% - Accent3 3 3 3 3 2 3 2 2" xfId="21914"/>
    <cellStyle name="40% - Accent3 3 3 3 3 2 3 3" xfId="21915"/>
    <cellStyle name="40% - Accent3 3 3 3 3 2 4" xfId="21916"/>
    <cellStyle name="40% - Accent3 3 3 3 3 2 4 2" xfId="21917"/>
    <cellStyle name="40% - Accent3 3 3 3 3 2 5" xfId="21918"/>
    <cellStyle name="40% - Accent3 3 3 3 3 2 5 2" xfId="21919"/>
    <cellStyle name="40% - Accent3 3 3 3 3 2 6" xfId="21920"/>
    <cellStyle name="40% - Accent3 3 3 3 3 3" xfId="21921"/>
    <cellStyle name="40% - Accent3 3 3 3 3 3 2" xfId="21922"/>
    <cellStyle name="40% - Accent3 3 3 3 3 3 2 2" xfId="21923"/>
    <cellStyle name="40% - Accent3 3 3 3 3 3 2 2 2" xfId="21924"/>
    <cellStyle name="40% - Accent3 3 3 3 3 3 2 2 2 2" xfId="21925"/>
    <cellStyle name="40% - Accent3 3 3 3 3 3 2 2 3" xfId="21926"/>
    <cellStyle name="40% - Accent3 3 3 3 3 3 2 3" xfId="21927"/>
    <cellStyle name="40% - Accent3 3 3 3 3 3 2 3 2" xfId="21928"/>
    <cellStyle name="40% - Accent3 3 3 3 3 3 2 4" xfId="21929"/>
    <cellStyle name="40% - Accent3 3 3 3 3 3 3" xfId="21930"/>
    <cellStyle name="40% - Accent3 3 3 3 3 3 3 2" xfId="21931"/>
    <cellStyle name="40% - Accent3 3 3 3 3 3 3 2 2" xfId="21932"/>
    <cellStyle name="40% - Accent3 3 3 3 3 3 3 3" xfId="21933"/>
    <cellStyle name="40% - Accent3 3 3 3 3 3 4" xfId="21934"/>
    <cellStyle name="40% - Accent3 3 3 3 3 3 4 2" xfId="21935"/>
    <cellStyle name="40% - Accent3 3 3 3 3 3 5" xfId="21936"/>
    <cellStyle name="40% - Accent3 3 3 3 3 3 5 2" xfId="21937"/>
    <cellStyle name="40% - Accent3 3 3 3 3 3 6" xfId="21938"/>
    <cellStyle name="40% - Accent3 3 3 3 3 4" xfId="21939"/>
    <cellStyle name="40% - Accent3 3 3 3 3 4 2" xfId="21940"/>
    <cellStyle name="40% - Accent3 3 3 3 3 4 2 2" xfId="21941"/>
    <cellStyle name="40% - Accent3 3 3 3 3 4 2 2 2" xfId="21942"/>
    <cellStyle name="40% - Accent3 3 3 3 3 4 2 3" xfId="21943"/>
    <cellStyle name="40% - Accent3 3 3 3 3 4 3" xfId="21944"/>
    <cellStyle name="40% - Accent3 3 3 3 3 4 3 2" xfId="21945"/>
    <cellStyle name="40% - Accent3 3 3 3 3 4 4" xfId="21946"/>
    <cellStyle name="40% - Accent3 3 3 3 3 5" xfId="21947"/>
    <cellStyle name="40% - Accent3 3 3 3 3 5 2" xfId="21948"/>
    <cellStyle name="40% - Accent3 3 3 3 3 5 2 2" xfId="21949"/>
    <cellStyle name="40% - Accent3 3 3 3 3 5 3" xfId="21950"/>
    <cellStyle name="40% - Accent3 3 3 3 3 6" xfId="21951"/>
    <cellStyle name="40% - Accent3 3 3 3 3 6 2" xfId="21952"/>
    <cellStyle name="40% - Accent3 3 3 3 3 7" xfId="21953"/>
    <cellStyle name="40% - Accent3 3 3 3 3 7 2" xfId="21954"/>
    <cellStyle name="40% - Accent3 3 3 3 3 8" xfId="21955"/>
    <cellStyle name="40% - Accent3 3 3 3 4" xfId="21956"/>
    <cellStyle name="40% - Accent3 3 3 3 4 2" xfId="21957"/>
    <cellStyle name="40% - Accent3 3 3 3 4 2 2" xfId="21958"/>
    <cellStyle name="40% - Accent3 3 3 3 4 2 2 2" xfId="21959"/>
    <cellStyle name="40% - Accent3 3 3 3 4 2 2 2 2" xfId="21960"/>
    <cellStyle name="40% - Accent3 3 3 3 4 2 2 3" xfId="21961"/>
    <cellStyle name="40% - Accent3 3 3 3 4 2 3" xfId="21962"/>
    <cellStyle name="40% - Accent3 3 3 3 4 2 3 2" xfId="21963"/>
    <cellStyle name="40% - Accent3 3 3 3 4 2 4" xfId="21964"/>
    <cellStyle name="40% - Accent3 3 3 3 4 3" xfId="21965"/>
    <cellStyle name="40% - Accent3 3 3 3 4 3 2" xfId="21966"/>
    <cellStyle name="40% - Accent3 3 3 3 4 3 2 2" xfId="21967"/>
    <cellStyle name="40% - Accent3 3 3 3 4 3 3" xfId="21968"/>
    <cellStyle name="40% - Accent3 3 3 3 4 4" xfId="21969"/>
    <cellStyle name="40% - Accent3 3 3 3 4 4 2" xfId="21970"/>
    <cellStyle name="40% - Accent3 3 3 3 4 5" xfId="21971"/>
    <cellStyle name="40% - Accent3 3 3 3 4 5 2" xfId="21972"/>
    <cellStyle name="40% - Accent3 3 3 3 4 6" xfId="21973"/>
    <cellStyle name="40% - Accent3 3 3 3 5" xfId="21974"/>
    <cellStyle name="40% - Accent3 3 3 3 5 2" xfId="21975"/>
    <cellStyle name="40% - Accent3 3 3 3 5 2 2" xfId="21976"/>
    <cellStyle name="40% - Accent3 3 3 3 5 2 2 2" xfId="21977"/>
    <cellStyle name="40% - Accent3 3 3 3 5 2 2 2 2" xfId="21978"/>
    <cellStyle name="40% - Accent3 3 3 3 5 2 2 3" xfId="21979"/>
    <cellStyle name="40% - Accent3 3 3 3 5 2 3" xfId="21980"/>
    <cellStyle name="40% - Accent3 3 3 3 5 2 3 2" xfId="21981"/>
    <cellStyle name="40% - Accent3 3 3 3 5 2 4" xfId="21982"/>
    <cellStyle name="40% - Accent3 3 3 3 5 3" xfId="21983"/>
    <cellStyle name="40% - Accent3 3 3 3 5 3 2" xfId="21984"/>
    <cellStyle name="40% - Accent3 3 3 3 5 3 2 2" xfId="21985"/>
    <cellStyle name="40% - Accent3 3 3 3 5 3 3" xfId="21986"/>
    <cellStyle name="40% - Accent3 3 3 3 5 4" xfId="21987"/>
    <cellStyle name="40% - Accent3 3 3 3 5 4 2" xfId="21988"/>
    <cellStyle name="40% - Accent3 3 3 3 5 5" xfId="21989"/>
    <cellStyle name="40% - Accent3 3 3 3 5 5 2" xfId="21990"/>
    <cellStyle name="40% - Accent3 3 3 3 5 6" xfId="21991"/>
    <cellStyle name="40% - Accent3 3 3 3 6" xfId="21992"/>
    <cellStyle name="40% - Accent3 3 3 3 6 2" xfId="21993"/>
    <cellStyle name="40% - Accent3 3 3 3 6 2 2" xfId="21994"/>
    <cellStyle name="40% - Accent3 3 3 3 6 2 2 2" xfId="21995"/>
    <cellStyle name="40% - Accent3 3 3 3 6 2 2 2 2" xfId="21996"/>
    <cellStyle name="40% - Accent3 3 3 3 6 2 2 3" xfId="21997"/>
    <cellStyle name="40% - Accent3 3 3 3 6 2 3" xfId="21998"/>
    <cellStyle name="40% - Accent3 3 3 3 6 2 3 2" xfId="21999"/>
    <cellStyle name="40% - Accent3 3 3 3 6 2 4" xfId="22000"/>
    <cellStyle name="40% - Accent3 3 3 3 6 3" xfId="22001"/>
    <cellStyle name="40% - Accent3 3 3 3 6 3 2" xfId="22002"/>
    <cellStyle name="40% - Accent3 3 3 3 6 3 2 2" xfId="22003"/>
    <cellStyle name="40% - Accent3 3 3 3 6 3 3" xfId="22004"/>
    <cellStyle name="40% - Accent3 3 3 3 6 4" xfId="22005"/>
    <cellStyle name="40% - Accent3 3 3 3 6 4 2" xfId="22006"/>
    <cellStyle name="40% - Accent3 3 3 3 6 5" xfId="22007"/>
    <cellStyle name="40% - Accent3 3 3 3 6 5 2" xfId="22008"/>
    <cellStyle name="40% - Accent3 3 3 3 6 6" xfId="22009"/>
    <cellStyle name="40% - Accent3 3 3 3 7" xfId="22010"/>
    <cellStyle name="40% - Accent3 3 3 3 7 2" xfId="22011"/>
    <cellStyle name="40% - Accent3 3 3 3 7 2 2" xfId="22012"/>
    <cellStyle name="40% - Accent3 3 3 3 7 2 2 2" xfId="22013"/>
    <cellStyle name="40% - Accent3 3 3 3 7 2 3" xfId="22014"/>
    <cellStyle name="40% - Accent3 3 3 3 7 3" xfId="22015"/>
    <cellStyle name="40% - Accent3 3 3 3 7 3 2" xfId="22016"/>
    <cellStyle name="40% - Accent3 3 3 3 7 4" xfId="22017"/>
    <cellStyle name="40% - Accent3 3 3 3 8" xfId="22018"/>
    <cellStyle name="40% - Accent3 3 3 3 8 2" xfId="22019"/>
    <cellStyle name="40% - Accent3 3 3 3 8 2 2" xfId="22020"/>
    <cellStyle name="40% - Accent3 3 3 3 8 3" xfId="22021"/>
    <cellStyle name="40% - Accent3 3 3 3 9" xfId="22022"/>
    <cellStyle name="40% - Accent3 3 3 3 9 2" xfId="22023"/>
    <cellStyle name="40% - Accent3 3 3 4" xfId="22024"/>
    <cellStyle name="40% - Accent3 3 3 4 2" xfId="22025"/>
    <cellStyle name="40% - Accent3 3 3 4 2 2" xfId="22026"/>
    <cellStyle name="40% - Accent3 3 3 4 2 2 2" xfId="22027"/>
    <cellStyle name="40% - Accent3 3 3 4 2 2 2 2" xfId="22028"/>
    <cellStyle name="40% - Accent3 3 3 4 2 2 2 2 2" xfId="22029"/>
    <cellStyle name="40% - Accent3 3 3 4 2 2 2 3" xfId="22030"/>
    <cellStyle name="40% - Accent3 3 3 4 2 2 3" xfId="22031"/>
    <cellStyle name="40% - Accent3 3 3 4 2 2 3 2" xfId="22032"/>
    <cellStyle name="40% - Accent3 3 3 4 2 2 4" xfId="22033"/>
    <cellStyle name="40% - Accent3 3 3 4 2 3" xfId="22034"/>
    <cellStyle name="40% - Accent3 3 3 4 2 3 2" xfId="22035"/>
    <cellStyle name="40% - Accent3 3 3 4 2 3 2 2" xfId="22036"/>
    <cellStyle name="40% - Accent3 3 3 4 2 3 3" xfId="22037"/>
    <cellStyle name="40% - Accent3 3 3 4 2 4" xfId="22038"/>
    <cellStyle name="40% - Accent3 3 3 4 2 4 2" xfId="22039"/>
    <cellStyle name="40% - Accent3 3 3 4 2 5" xfId="22040"/>
    <cellStyle name="40% - Accent3 3 3 4 2 5 2" xfId="22041"/>
    <cellStyle name="40% - Accent3 3 3 4 2 6" xfId="22042"/>
    <cellStyle name="40% - Accent3 3 3 4 3" xfId="22043"/>
    <cellStyle name="40% - Accent3 3 3 4 3 2" xfId="22044"/>
    <cellStyle name="40% - Accent3 3 3 4 3 2 2" xfId="22045"/>
    <cellStyle name="40% - Accent3 3 3 4 3 2 2 2" xfId="22046"/>
    <cellStyle name="40% - Accent3 3 3 4 3 2 2 2 2" xfId="22047"/>
    <cellStyle name="40% - Accent3 3 3 4 3 2 2 3" xfId="22048"/>
    <cellStyle name="40% - Accent3 3 3 4 3 2 3" xfId="22049"/>
    <cellStyle name="40% - Accent3 3 3 4 3 2 3 2" xfId="22050"/>
    <cellStyle name="40% - Accent3 3 3 4 3 2 4" xfId="22051"/>
    <cellStyle name="40% - Accent3 3 3 4 3 3" xfId="22052"/>
    <cellStyle name="40% - Accent3 3 3 4 3 3 2" xfId="22053"/>
    <cellStyle name="40% - Accent3 3 3 4 3 3 2 2" xfId="22054"/>
    <cellStyle name="40% - Accent3 3 3 4 3 3 3" xfId="22055"/>
    <cellStyle name="40% - Accent3 3 3 4 3 4" xfId="22056"/>
    <cellStyle name="40% - Accent3 3 3 4 3 4 2" xfId="22057"/>
    <cellStyle name="40% - Accent3 3 3 4 3 5" xfId="22058"/>
    <cellStyle name="40% - Accent3 3 3 4 3 5 2" xfId="22059"/>
    <cellStyle name="40% - Accent3 3 3 4 3 6" xfId="22060"/>
    <cellStyle name="40% - Accent3 3 3 4 4" xfId="22061"/>
    <cellStyle name="40% - Accent3 3 3 4 4 2" xfId="22062"/>
    <cellStyle name="40% - Accent3 3 3 4 4 2 2" xfId="22063"/>
    <cellStyle name="40% - Accent3 3 3 4 4 2 2 2" xfId="22064"/>
    <cellStyle name="40% - Accent3 3 3 4 4 2 3" xfId="22065"/>
    <cellStyle name="40% - Accent3 3 3 4 4 3" xfId="22066"/>
    <cellStyle name="40% - Accent3 3 3 4 4 3 2" xfId="22067"/>
    <cellStyle name="40% - Accent3 3 3 4 4 4" xfId="22068"/>
    <cellStyle name="40% - Accent3 3 3 4 5" xfId="22069"/>
    <cellStyle name="40% - Accent3 3 3 4 5 2" xfId="22070"/>
    <cellStyle name="40% - Accent3 3 3 4 5 2 2" xfId="22071"/>
    <cellStyle name="40% - Accent3 3 3 4 5 3" xfId="22072"/>
    <cellStyle name="40% - Accent3 3 3 4 6" xfId="22073"/>
    <cellStyle name="40% - Accent3 3 3 4 6 2" xfId="22074"/>
    <cellStyle name="40% - Accent3 3 3 4 7" xfId="22075"/>
    <cellStyle name="40% - Accent3 3 3 4 7 2" xfId="22076"/>
    <cellStyle name="40% - Accent3 3 3 4 8" xfId="22077"/>
    <cellStyle name="40% - Accent3 3 3 5" xfId="22078"/>
    <cellStyle name="40% - Accent3 3 3 5 2" xfId="22079"/>
    <cellStyle name="40% - Accent3 3 3 5 2 2" xfId="22080"/>
    <cellStyle name="40% - Accent3 3 3 5 2 2 2" xfId="22081"/>
    <cellStyle name="40% - Accent3 3 3 5 2 2 2 2" xfId="22082"/>
    <cellStyle name="40% - Accent3 3 3 5 2 2 2 2 2" xfId="22083"/>
    <cellStyle name="40% - Accent3 3 3 5 2 2 2 3" xfId="22084"/>
    <cellStyle name="40% - Accent3 3 3 5 2 2 3" xfId="22085"/>
    <cellStyle name="40% - Accent3 3 3 5 2 2 3 2" xfId="22086"/>
    <cellStyle name="40% - Accent3 3 3 5 2 2 4" xfId="22087"/>
    <cellStyle name="40% - Accent3 3 3 5 2 3" xfId="22088"/>
    <cellStyle name="40% - Accent3 3 3 5 2 3 2" xfId="22089"/>
    <cellStyle name="40% - Accent3 3 3 5 2 3 2 2" xfId="22090"/>
    <cellStyle name="40% - Accent3 3 3 5 2 3 3" xfId="22091"/>
    <cellStyle name="40% - Accent3 3 3 5 2 4" xfId="22092"/>
    <cellStyle name="40% - Accent3 3 3 5 2 4 2" xfId="22093"/>
    <cellStyle name="40% - Accent3 3 3 5 2 5" xfId="22094"/>
    <cellStyle name="40% - Accent3 3 3 5 2 5 2" xfId="22095"/>
    <cellStyle name="40% - Accent3 3 3 5 2 6" xfId="22096"/>
    <cellStyle name="40% - Accent3 3 3 5 3" xfId="22097"/>
    <cellStyle name="40% - Accent3 3 3 5 3 2" xfId="22098"/>
    <cellStyle name="40% - Accent3 3 3 5 3 2 2" xfId="22099"/>
    <cellStyle name="40% - Accent3 3 3 5 3 2 2 2" xfId="22100"/>
    <cellStyle name="40% - Accent3 3 3 5 3 2 2 2 2" xfId="22101"/>
    <cellStyle name="40% - Accent3 3 3 5 3 2 2 3" xfId="22102"/>
    <cellStyle name="40% - Accent3 3 3 5 3 2 3" xfId="22103"/>
    <cellStyle name="40% - Accent3 3 3 5 3 2 3 2" xfId="22104"/>
    <cellStyle name="40% - Accent3 3 3 5 3 2 4" xfId="22105"/>
    <cellStyle name="40% - Accent3 3 3 5 3 3" xfId="22106"/>
    <cellStyle name="40% - Accent3 3 3 5 3 3 2" xfId="22107"/>
    <cellStyle name="40% - Accent3 3 3 5 3 3 2 2" xfId="22108"/>
    <cellStyle name="40% - Accent3 3 3 5 3 3 3" xfId="22109"/>
    <cellStyle name="40% - Accent3 3 3 5 3 4" xfId="22110"/>
    <cellStyle name="40% - Accent3 3 3 5 3 4 2" xfId="22111"/>
    <cellStyle name="40% - Accent3 3 3 5 3 5" xfId="22112"/>
    <cellStyle name="40% - Accent3 3 3 5 3 5 2" xfId="22113"/>
    <cellStyle name="40% - Accent3 3 3 5 3 6" xfId="22114"/>
    <cellStyle name="40% - Accent3 3 3 5 4" xfId="22115"/>
    <cellStyle name="40% - Accent3 3 3 5 4 2" xfId="22116"/>
    <cellStyle name="40% - Accent3 3 3 5 4 2 2" xfId="22117"/>
    <cellStyle name="40% - Accent3 3 3 5 4 2 2 2" xfId="22118"/>
    <cellStyle name="40% - Accent3 3 3 5 4 2 3" xfId="22119"/>
    <cellStyle name="40% - Accent3 3 3 5 4 3" xfId="22120"/>
    <cellStyle name="40% - Accent3 3 3 5 4 3 2" xfId="22121"/>
    <cellStyle name="40% - Accent3 3 3 5 4 4" xfId="22122"/>
    <cellStyle name="40% - Accent3 3 3 5 5" xfId="22123"/>
    <cellStyle name="40% - Accent3 3 3 5 5 2" xfId="22124"/>
    <cellStyle name="40% - Accent3 3 3 5 5 2 2" xfId="22125"/>
    <cellStyle name="40% - Accent3 3 3 5 5 3" xfId="22126"/>
    <cellStyle name="40% - Accent3 3 3 5 6" xfId="22127"/>
    <cellStyle name="40% - Accent3 3 3 5 6 2" xfId="22128"/>
    <cellStyle name="40% - Accent3 3 3 5 7" xfId="22129"/>
    <cellStyle name="40% - Accent3 3 3 5 7 2" xfId="22130"/>
    <cellStyle name="40% - Accent3 3 3 5 8" xfId="22131"/>
    <cellStyle name="40% - Accent3 3 3 6" xfId="22132"/>
    <cellStyle name="40% - Accent3 3 3 6 2" xfId="22133"/>
    <cellStyle name="40% - Accent3 3 3 6 2 2" xfId="22134"/>
    <cellStyle name="40% - Accent3 3 3 6 2 2 2" xfId="22135"/>
    <cellStyle name="40% - Accent3 3 3 6 2 2 2 2" xfId="22136"/>
    <cellStyle name="40% - Accent3 3 3 6 2 2 3" xfId="22137"/>
    <cellStyle name="40% - Accent3 3 3 6 2 3" xfId="22138"/>
    <cellStyle name="40% - Accent3 3 3 6 2 3 2" xfId="22139"/>
    <cellStyle name="40% - Accent3 3 3 6 2 4" xfId="22140"/>
    <cellStyle name="40% - Accent3 3 3 6 3" xfId="22141"/>
    <cellStyle name="40% - Accent3 3 3 6 3 2" xfId="22142"/>
    <cellStyle name="40% - Accent3 3 3 6 3 2 2" xfId="22143"/>
    <cellStyle name="40% - Accent3 3 3 6 3 3" xfId="22144"/>
    <cellStyle name="40% - Accent3 3 3 6 4" xfId="22145"/>
    <cellStyle name="40% - Accent3 3 3 6 4 2" xfId="22146"/>
    <cellStyle name="40% - Accent3 3 3 6 5" xfId="22147"/>
    <cellStyle name="40% - Accent3 3 3 6 5 2" xfId="22148"/>
    <cellStyle name="40% - Accent3 3 3 6 6" xfId="22149"/>
    <cellStyle name="40% - Accent3 3 3 7" xfId="22150"/>
    <cellStyle name="40% - Accent3 3 3 7 2" xfId="22151"/>
    <cellStyle name="40% - Accent3 3 3 7 2 2" xfId="22152"/>
    <cellStyle name="40% - Accent3 3 3 7 2 2 2" xfId="22153"/>
    <cellStyle name="40% - Accent3 3 3 7 2 2 2 2" xfId="22154"/>
    <cellStyle name="40% - Accent3 3 3 7 2 2 3" xfId="22155"/>
    <cellStyle name="40% - Accent3 3 3 7 2 3" xfId="22156"/>
    <cellStyle name="40% - Accent3 3 3 7 2 3 2" xfId="22157"/>
    <cellStyle name="40% - Accent3 3 3 7 2 4" xfId="22158"/>
    <cellStyle name="40% - Accent3 3 3 7 3" xfId="22159"/>
    <cellStyle name="40% - Accent3 3 3 7 3 2" xfId="22160"/>
    <cellStyle name="40% - Accent3 3 3 7 3 2 2" xfId="22161"/>
    <cellStyle name="40% - Accent3 3 3 7 3 3" xfId="22162"/>
    <cellStyle name="40% - Accent3 3 3 7 4" xfId="22163"/>
    <cellStyle name="40% - Accent3 3 3 7 4 2" xfId="22164"/>
    <cellStyle name="40% - Accent3 3 3 7 5" xfId="22165"/>
    <cellStyle name="40% - Accent3 3 3 7 5 2" xfId="22166"/>
    <cellStyle name="40% - Accent3 3 3 7 6" xfId="22167"/>
    <cellStyle name="40% - Accent3 3 3 8" xfId="22168"/>
    <cellStyle name="40% - Accent3 3 3 8 2" xfId="22169"/>
    <cellStyle name="40% - Accent3 3 3 8 2 2" xfId="22170"/>
    <cellStyle name="40% - Accent3 3 3 8 2 2 2" xfId="22171"/>
    <cellStyle name="40% - Accent3 3 3 8 2 2 2 2" xfId="22172"/>
    <cellStyle name="40% - Accent3 3 3 8 2 2 3" xfId="22173"/>
    <cellStyle name="40% - Accent3 3 3 8 2 3" xfId="22174"/>
    <cellStyle name="40% - Accent3 3 3 8 2 3 2" xfId="22175"/>
    <cellStyle name="40% - Accent3 3 3 8 2 4" xfId="22176"/>
    <cellStyle name="40% - Accent3 3 3 8 3" xfId="22177"/>
    <cellStyle name="40% - Accent3 3 3 8 3 2" xfId="22178"/>
    <cellStyle name="40% - Accent3 3 3 8 3 2 2" xfId="22179"/>
    <cellStyle name="40% - Accent3 3 3 8 3 3" xfId="22180"/>
    <cellStyle name="40% - Accent3 3 3 8 4" xfId="22181"/>
    <cellStyle name="40% - Accent3 3 3 8 4 2" xfId="22182"/>
    <cellStyle name="40% - Accent3 3 3 8 5" xfId="22183"/>
    <cellStyle name="40% - Accent3 3 3 8 5 2" xfId="22184"/>
    <cellStyle name="40% - Accent3 3 3 8 6" xfId="22185"/>
    <cellStyle name="40% - Accent3 3 3 9" xfId="22186"/>
    <cellStyle name="40% - Accent3 3 3 9 2" xfId="22187"/>
    <cellStyle name="40% - Accent3 3 3 9 2 2" xfId="22188"/>
    <cellStyle name="40% - Accent3 3 3 9 2 2 2" xfId="22189"/>
    <cellStyle name="40% - Accent3 3 3 9 2 2 2 2" xfId="22190"/>
    <cellStyle name="40% - Accent3 3 3 9 2 2 3" xfId="22191"/>
    <cellStyle name="40% - Accent3 3 3 9 2 3" xfId="22192"/>
    <cellStyle name="40% - Accent3 3 3 9 2 3 2" xfId="22193"/>
    <cellStyle name="40% - Accent3 3 3 9 2 4" xfId="22194"/>
    <cellStyle name="40% - Accent3 3 3 9 3" xfId="22195"/>
    <cellStyle name="40% - Accent3 3 3 9 3 2" xfId="22196"/>
    <cellStyle name="40% - Accent3 3 3 9 3 2 2" xfId="22197"/>
    <cellStyle name="40% - Accent3 3 3 9 3 3" xfId="22198"/>
    <cellStyle name="40% - Accent3 3 3 9 4" xfId="22199"/>
    <cellStyle name="40% - Accent3 3 3 9 4 2" xfId="22200"/>
    <cellStyle name="40% - Accent3 3 3 9 5" xfId="22201"/>
    <cellStyle name="40% - Accent3 3 3 9 5 2" xfId="22202"/>
    <cellStyle name="40% - Accent3 3 3 9 6" xfId="22203"/>
    <cellStyle name="40% - Accent3 3 4" xfId="22204"/>
    <cellStyle name="40% - Accent3 3 4 10" xfId="22205"/>
    <cellStyle name="40% - Accent3 3 4 10 2" xfId="22206"/>
    <cellStyle name="40% - Accent3 3 4 11" xfId="22207"/>
    <cellStyle name="40% - Accent3 3 4 2" xfId="22208"/>
    <cellStyle name="40% - Accent3 3 4 2 2" xfId="22209"/>
    <cellStyle name="40% - Accent3 3 4 2 2 2" xfId="22210"/>
    <cellStyle name="40% - Accent3 3 4 2 2 2 2" xfId="22211"/>
    <cellStyle name="40% - Accent3 3 4 2 2 2 2 2" xfId="22212"/>
    <cellStyle name="40% - Accent3 3 4 2 2 2 2 2 2" xfId="22213"/>
    <cellStyle name="40% - Accent3 3 4 2 2 2 2 3" xfId="22214"/>
    <cellStyle name="40% - Accent3 3 4 2 2 2 3" xfId="22215"/>
    <cellStyle name="40% - Accent3 3 4 2 2 2 3 2" xfId="22216"/>
    <cellStyle name="40% - Accent3 3 4 2 2 2 4" xfId="22217"/>
    <cellStyle name="40% - Accent3 3 4 2 2 3" xfId="22218"/>
    <cellStyle name="40% - Accent3 3 4 2 2 3 2" xfId="22219"/>
    <cellStyle name="40% - Accent3 3 4 2 2 3 2 2" xfId="22220"/>
    <cellStyle name="40% - Accent3 3 4 2 2 3 3" xfId="22221"/>
    <cellStyle name="40% - Accent3 3 4 2 2 4" xfId="22222"/>
    <cellStyle name="40% - Accent3 3 4 2 2 4 2" xfId="22223"/>
    <cellStyle name="40% - Accent3 3 4 2 2 5" xfId="22224"/>
    <cellStyle name="40% - Accent3 3 4 2 2 5 2" xfId="22225"/>
    <cellStyle name="40% - Accent3 3 4 2 2 6" xfId="22226"/>
    <cellStyle name="40% - Accent3 3 4 2 3" xfId="22227"/>
    <cellStyle name="40% - Accent3 3 4 2 3 2" xfId="22228"/>
    <cellStyle name="40% - Accent3 3 4 2 3 2 2" xfId="22229"/>
    <cellStyle name="40% - Accent3 3 4 2 3 2 2 2" xfId="22230"/>
    <cellStyle name="40% - Accent3 3 4 2 3 2 2 2 2" xfId="22231"/>
    <cellStyle name="40% - Accent3 3 4 2 3 2 2 3" xfId="22232"/>
    <cellStyle name="40% - Accent3 3 4 2 3 2 3" xfId="22233"/>
    <cellStyle name="40% - Accent3 3 4 2 3 2 3 2" xfId="22234"/>
    <cellStyle name="40% - Accent3 3 4 2 3 2 4" xfId="22235"/>
    <cellStyle name="40% - Accent3 3 4 2 3 3" xfId="22236"/>
    <cellStyle name="40% - Accent3 3 4 2 3 3 2" xfId="22237"/>
    <cellStyle name="40% - Accent3 3 4 2 3 3 2 2" xfId="22238"/>
    <cellStyle name="40% - Accent3 3 4 2 3 3 3" xfId="22239"/>
    <cellStyle name="40% - Accent3 3 4 2 3 4" xfId="22240"/>
    <cellStyle name="40% - Accent3 3 4 2 3 4 2" xfId="22241"/>
    <cellStyle name="40% - Accent3 3 4 2 3 5" xfId="22242"/>
    <cellStyle name="40% - Accent3 3 4 2 3 5 2" xfId="22243"/>
    <cellStyle name="40% - Accent3 3 4 2 3 6" xfId="22244"/>
    <cellStyle name="40% - Accent3 3 4 2 4" xfId="22245"/>
    <cellStyle name="40% - Accent3 3 4 2 4 2" xfId="22246"/>
    <cellStyle name="40% - Accent3 3 4 2 4 2 2" xfId="22247"/>
    <cellStyle name="40% - Accent3 3 4 2 4 2 2 2" xfId="22248"/>
    <cellStyle name="40% - Accent3 3 4 2 4 2 3" xfId="22249"/>
    <cellStyle name="40% - Accent3 3 4 2 4 3" xfId="22250"/>
    <cellStyle name="40% - Accent3 3 4 2 4 3 2" xfId="22251"/>
    <cellStyle name="40% - Accent3 3 4 2 4 4" xfId="22252"/>
    <cellStyle name="40% - Accent3 3 4 2 5" xfId="22253"/>
    <cellStyle name="40% - Accent3 3 4 2 5 2" xfId="22254"/>
    <cellStyle name="40% - Accent3 3 4 2 5 2 2" xfId="22255"/>
    <cellStyle name="40% - Accent3 3 4 2 5 3" xfId="22256"/>
    <cellStyle name="40% - Accent3 3 4 2 6" xfId="22257"/>
    <cellStyle name="40% - Accent3 3 4 2 6 2" xfId="22258"/>
    <cellStyle name="40% - Accent3 3 4 2 7" xfId="22259"/>
    <cellStyle name="40% - Accent3 3 4 2 7 2" xfId="22260"/>
    <cellStyle name="40% - Accent3 3 4 2 8" xfId="22261"/>
    <cellStyle name="40% - Accent3 3 4 3" xfId="22262"/>
    <cellStyle name="40% - Accent3 3 4 3 2" xfId="22263"/>
    <cellStyle name="40% - Accent3 3 4 3 2 2" xfId="22264"/>
    <cellStyle name="40% - Accent3 3 4 3 2 2 2" xfId="22265"/>
    <cellStyle name="40% - Accent3 3 4 3 2 2 2 2" xfId="22266"/>
    <cellStyle name="40% - Accent3 3 4 3 2 2 2 2 2" xfId="22267"/>
    <cellStyle name="40% - Accent3 3 4 3 2 2 2 3" xfId="22268"/>
    <cellStyle name="40% - Accent3 3 4 3 2 2 3" xfId="22269"/>
    <cellStyle name="40% - Accent3 3 4 3 2 2 3 2" xfId="22270"/>
    <cellStyle name="40% - Accent3 3 4 3 2 2 4" xfId="22271"/>
    <cellStyle name="40% - Accent3 3 4 3 2 3" xfId="22272"/>
    <cellStyle name="40% - Accent3 3 4 3 2 3 2" xfId="22273"/>
    <cellStyle name="40% - Accent3 3 4 3 2 3 2 2" xfId="22274"/>
    <cellStyle name="40% - Accent3 3 4 3 2 3 3" xfId="22275"/>
    <cellStyle name="40% - Accent3 3 4 3 2 4" xfId="22276"/>
    <cellStyle name="40% - Accent3 3 4 3 2 4 2" xfId="22277"/>
    <cellStyle name="40% - Accent3 3 4 3 2 5" xfId="22278"/>
    <cellStyle name="40% - Accent3 3 4 3 2 5 2" xfId="22279"/>
    <cellStyle name="40% - Accent3 3 4 3 2 6" xfId="22280"/>
    <cellStyle name="40% - Accent3 3 4 3 3" xfId="22281"/>
    <cellStyle name="40% - Accent3 3 4 3 3 2" xfId="22282"/>
    <cellStyle name="40% - Accent3 3 4 3 3 2 2" xfId="22283"/>
    <cellStyle name="40% - Accent3 3 4 3 3 2 2 2" xfId="22284"/>
    <cellStyle name="40% - Accent3 3 4 3 3 2 2 2 2" xfId="22285"/>
    <cellStyle name="40% - Accent3 3 4 3 3 2 2 3" xfId="22286"/>
    <cellStyle name="40% - Accent3 3 4 3 3 2 3" xfId="22287"/>
    <cellStyle name="40% - Accent3 3 4 3 3 2 3 2" xfId="22288"/>
    <cellStyle name="40% - Accent3 3 4 3 3 2 4" xfId="22289"/>
    <cellStyle name="40% - Accent3 3 4 3 3 3" xfId="22290"/>
    <cellStyle name="40% - Accent3 3 4 3 3 3 2" xfId="22291"/>
    <cellStyle name="40% - Accent3 3 4 3 3 3 2 2" xfId="22292"/>
    <cellStyle name="40% - Accent3 3 4 3 3 3 3" xfId="22293"/>
    <cellStyle name="40% - Accent3 3 4 3 3 4" xfId="22294"/>
    <cellStyle name="40% - Accent3 3 4 3 3 4 2" xfId="22295"/>
    <cellStyle name="40% - Accent3 3 4 3 3 5" xfId="22296"/>
    <cellStyle name="40% - Accent3 3 4 3 3 5 2" xfId="22297"/>
    <cellStyle name="40% - Accent3 3 4 3 3 6" xfId="22298"/>
    <cellStyle name="40% - Accent3 3 4 3 4" xfId="22299"/>
    <cellStyle name="40% - Accent3 3 4 3 4 2" xfId="22300"/>
    <cellStyle name="40% - Accent3 3 4 3 4 2 2" xfId="22301"/>
    <cellStyle name="40% - Accent3 3 4 3 4 2 2 2" xfId="22302"/>
    <cellStyle name="40% - Accent3 3 4 3 4 2 3" xfId="22303"/>
    <cellStyle name="40% - Accent3 3 4 3 4 3" xfId="22304"/>
    <cellStyle name="40% - Accent3 3 4 3 4 3 2" xfId="22305"/>
    <cellStyle name="40% - Accent3 3 4 3 4 4" xfId="22306"/>
    <cellStyle name="40% - Accent3 3 4 3 5" xfId="22307"/>
    <cellStyle name="40% - Accent3 3 4 3 5 2" xfId="22308"/>
    <cellStyle name="40% - Accent3 3 4 3 5 2 2" xfId="22309"/>
    <cellStyle name="40% - Accent3 3 4 3 5 3" xfId="22310"/>
    <cellStyle name="40% - Accent3 3 4 3 6" xfId="22311"/>
    <cellStyle name="40% - Accent3 3 4 3 6 2" xfId="22312"/>
    <cellStyle name="40% - Accent3 3 4 3 7" xfId="22313"/>
    <cellStyle name="40% - Accent3 3 4 3 7 2" xfId="22314"/>
    <cellStyle name="40% - Accent3 3 4 3 8" xfId="22315"/>
    <cellStyle name="40% - Accent3 3 4 4" xfId="22316"/>
    <cellStyle name="40% - Accent3 3 4 4 2" xfId="22317"/>
    <cellStyle name="40% - Accent3 3 4 4 2 2" xfId="22318"/>
    <cellStyle name="40% - Accent3 3 4 4 2 2 2" xfId="22319"/>
    <cellStyle name="40% - Accent3 3 4 4 2 2 2 2" xfId="22320"/>
    <cellStyle name="40% - Accent3 3 4 4 2 2 3" xfId="22321"/>
    <cellStyle name="40% - Accent3 3 4 4 2 3" xfId="22322"/>
    <cellStyle name="40% - Accent3 3 4 4 2 3 2" xfId="22323"/>
    <cellStyle name="40% - Accent3 3 4 4 2 4" xfId="22324"/>
    <cellStyle name="40% - Accent3 3 4 4 3" xfId="22325"/>
    <cellStyle name="40% - Accent3 3 4 4 3 2" xfId="22326"/>
    <cellStyle name="40% - Accent3 3 4 4 3 2 2" xfId="22327"/>
    <cellStyle name="40% - Accent3 3 4 4 3 3" xfId="22328"/>
    <cellStyle name="40% - Accent3 3 4 4 4" xfId="22329"/>
    <cellStyle name="40% - Accent3 3 4 4 4 2" xfId="22330"/>
    <cellStyle name="40% - Accent3 3 4 4 5" xfId="22331"/>
    <cellStyle name="40% - Accent3 3 4 4 5 2" xfId="22332"/>
    <cellStyle name="40% - Accent3 3 4 4 6" xfId="22333"/>
    <cellStyle name="40% - Accent3 3 4 5" xfId="22334"/>
    <cellStyle name="40% - Accent3 3 4 5 2" xfId="22335"/>
    <cellStyle name="40% - Accent3 3 4 5 2 2" xfId="22336"/>
    <cellStyle name="40% - Accent3 3 4 5 2 2 2" xfId="22337"/>
    <cellStyle name="40% - Accent3 3 4 5 2 2 2 2" xfId="22338"/>
    <cellStyle name="40% - Accent3 3 4 5 2 2 3" xfId="22339"/>
    <cellStyle name="40% - Accent3 3 4 5 2 3" xfId="22340"/>
    <cellStyle name="40% - Accent3 3 4 5 2 3 2" xfId="22341"/>
    <cellStyle name="40% - Accent3 3 4 5 2 4" xfId="22342"/>
    <cellStyle name="40% - Accent3 3 4 5 3" xfId="22343"/>
    <cellStyle name="40% - Accent3 3 4 5 3 2" xfId="22344"/>
    <cellStyle name="40% - Accent3 3 4 5 3 2 2" xfId="22345"/>
    <cellStyle name="40% - Accent3 3 4 5 3 3" xfId="22346"/>
    <cellStyle name="40% - Accent3 3 4 5 4" xfId="22347"/>
    <cellStyle name="40% - Accent3 3 4 5 4 2" xfId="22348"/>
    <cellStyle name="40% - Accent3 3 4 5 5" xfId="22349"/>
    <cellStyle name="40% - Accent3 3 4 5 5 2" xfId="22350"/>
    <cellStyle name="40% - Accent3 3 4 5 6" xfId="22351"/>
    <cellStyle name="40% - Accent3 3 4 6" xfId="22352"/>
    <cellStyle name="40% - Accent3 3 4 6 2" xfId="22353"/>
    <cellStyle name="40% - Accent3 3 4 6 2 2" xfId="22354"/>
    <cellStyle name="40% - Accent3 3 4 6 2 2 2" xfId="22355"/>
    <cellStyle name="40% - Accent3 3 4 6 2 2 2 2" xfId="22356"/>
    <cellStyle name="40% - Accent3 3 4 6 2 2 3" xfId="22357"/>
    <cellStyle name="40% - Accent3 3 4 6 2 3" xfId="22358"/>
    <cellStyle name="40% - Accent3 3 4 6 2 3 2" xfId="22359"/>
    <cellStyle name="40% - Accent3 3 4 6 2 4" xfId="22360"/>
    <cellStyle name="40% - Accent3 3 4 6 3" xfId="22361"/>
    <cellStyle name="40% - Accent3 3 4 6 3 2" xfId="22362"/>
    <cellStyle name="40% - Accent3 3 4 6 3 2 2" xfId="22363"/>
    <cellStyle name="40% - Accent3 3 4 6 3 3" xfId="22364"/>
    <cellStyle name="40% - Accent3 3 4 6 4" xfId="22365"/>
    <cellStyle name="40% - Accent3 3 4 6 4 2" xfId="22366"/>
    <cellStyle name="40% - Accent3 3 4 6 5" xfId="22367"/>
    <cellStyle name="40% - Accent3 3 4 6 5 2" xfId="22368"/>
    <cellStyle name="40% - Accent3 3 4 6 6" xfId="22369"/>
    <cellStyle name="40% - Accent3 3 4 7" xfId="22370"/>
    <cellStyle name="40% - Accent3 3 4 7 2" xfId="22371"/>
    <cellStyle name="40% - Accent3 3 4 7 2 2" xfId="22372"/>
    <cellStyle name="40% - Accent3 3 4 7 2 2 2" xfId="22373"/>
    <cellStyle name="40% - Accent3 3 4 7 2 3" xfId="22374"/>
    <cellStyle name="40% - Accent3 3 4 7 3" xfId="22375"/>
    <cellStyle name="40% - Accent3 3 4 7 3 2" xfId="22376"/>
    <cellStyle name="40% - Accent3 3 4 7 4" xfId="22377"/>
    <cellStyle name="40% - Accent3 3 4 8" xfId="22378"/>
    <cellStyle name="40% - Accent3 3 4 8 2" xfId="22379"/>
    <cellStyle name="40% - Accent3 3 4 8 2 2" xfId="22380"/>
    <cellStyle name="40% - Accent3 3 4 8 3" xfId="22381"/>
    <cellStyle name="40% - Accent3 3 4 9" xfId="22382"/>
    <cellStyle name="40% - Accent3 3 4 9 2" xfId="22383"/>
    <cellStyle name="40% - Accent3 3 5" xfId="22384"/>
    <cellStyle name="40% - Accent3 3 5 2" xfId="22385"/>
    <cellStyle name="40% - Accent3 3 5 2 2" xfId="22386"/>
    <cellStyle name="40% - Accent3 3 5 2 2 2" xfId="22387"/>
    <cellStyle name="40% - Accent3 3 5 2 2 2 2" xfId="22388"/>
    <cellStyle name="40% - Accent3 3 5 2 2 2 2 2" xfId="22389"/>
    <cellStyle name="40% - Accent3 3 5 2 2 2 3" xfId="22390"/>
    <cellStyle name="40% - Accent3 3 5 2 2 3" xfId="22391"/>
    <cellStyle name="40% - Accent3 3 5 2 2 3 2" xfId="22392"/>
    <cellStyle name="40% - Accent3 3 5 2 2 4" xfId="22393"/>
    <cellStyle name="40% - Accent3 3 5 2 3" xfId="22394"/>
    <cellStyle name="40% - Accent3 3 5 2 3 2" xfId="22395"/>
    <cellStyle name="40% - Accent3 3 5 2 3 2 2" xfId="22396"/>
    <cellStyle name="40% - Accent3 3 5 2 3 3" xfId="22397"/>
    <cellStyle name="40% - Accent3 3 5 2 4" xfId="22398"/>
    <cellStyle name="40% - Accent3 3 5 2 4 2" xfId="22399"/>
    <cellStyle name="40% - Accent3 3 5 2 5" xfId="22400"/>
    <cellStyle name="40% - Accent3 3 5 2 5 2" xfId="22401"/>
    <cellStyle name="40% - Accent3 3 5 2 6" xfId="22402"/>
    <cellStyle name="40% - Accent3 3 5 3" xfId="22403"/>
    <cellStyle name="40% - Accent3 3 5 3 2" xfId="22404"/>
    <cellStyle name="40% - Accent3 3 5 3 2 2" xfId="22405"/>
    <cellStyle name="40% - Accent3 3 5 3 2 2 2" xfId="22406"/>
    <cellStyle name="40% - Accent3 3 5 3 2 2 2 2" xfId="22407"/>
    <cellStyle name="40% - Accent3 3 5 3 2 2 3" xfId="22408"/>
    <cellStyle name="40% - Accent3 3 5 3 2 3" xfId="22409"/>
    <cellStyle name="40% - Accent3 3 5 3 2 3 2" xfId="22410"/>
    <cellStyle name="40% - Accent3 3 5 3 2 4" xfId="22411"/>
    <cellStyle name="40% - Accent3 3 5 3 3" xfId="22412"/>
    <cellStyle name="40% - Accent3 3 5 3 3 2" xfId="22413"/>
    <cellStyle name="40% - Accent3 3 5 3 3 2 2" xfId="22414"/>
    <cellStyle name="40% - Accent3 3 5 3 3 3" xfId="22415"/>
    <cellStyle name="40% - Accent3 3 5 3 4" xfId="22416"/>
    <cellStyle name="40% - Accent3 3 5 3 4 2" xfId="22417"/>
    <cellStyle name="40% - Accent3 3 5 3 5" xfId="22418"/>
    <cellStyle name="40% - Accent3 3 5 3 5 2" xfId="22419"/>
    <cellStyle name="40% - Accent3 3 5 3 6" xfId="22420"/>
    <cellStyle name="40% - Accent3 3 5 4" xfId="22421"/>
    <cellStyle name="40% - Accent3 3 5 4 2" xfId="22422"/>
    <cellStyle name="40% - Accent3 3 5 4 2 2" xfId="22423"/>
    <cellStyle name="40% - Accent3 3 5 4 2 2 2" xfId="22424"/>
    <cellStyle name="40% - Accent3 3 5 4 2 3" xfId="22425"/>
    <cellStyle name="40% - Accent3 3 5 4 3" xfId="22426"/>
    <cellStyle name="40% - Accent3 3 5 4 3 2" xfId="22427"/>
    <cellStyle name="40% - Accent3 3 5 4 4" xfId="22428"/>
    <cellStyle name="40% - Accent3 3 5 5" xfId="22429"/>
    <cellStyle name="40% - Accent3 3 5 5 2" xfId="22430"/>
    <cellStyle name="40% - Accent3 3 5 5 2 2" xfId="22431"/>
    <cellStyle name="40% - Accent3 3 5 5 3" xfId="22432"/>
    <cellStyle name="40% - Accent3 3 5 6" xfId="22433"/>
    <cellStyle name="40% - Accent3 3 5 6 2" xfId="22434"/>
    <cellStyle name="40% - Accent3 3 5 7" xfId="22435"/>
    <cellStyle name="40% - Accent3 3 5 7 2" xfId="22436"/>
    <cellStyle name="40% - Accent3 3 5 8" xfId="22437"/>
    <cellStyle name="40% - Accent3 3 6" xfId="22438"/>
    <cellStyle name="40% - Accent3 3 6 2" xfId="22439"/>
    <cellStyle name="40% - Accent3 3 6 2 2" xfId="22440"/>
    <cellStyle name="40% - Accent3 3 6 2 2 2" xfId="22441"/>
    <cellStyle name="40% - Accent3 3 6 2 2 2 2" xfId="22442"/>
    <cellStyle name="40% - Accent3 3 6 2 2 2 2 2" xfId="22443"/>
    <cellStyle name="40% - Accent3 3 6 2 2 2 3" xfId="22444"/>
    <cellStyle name="40% - Accent3 3 6 2 2 3" xfId="22445"/>
    <cellStyle name="40% - Accent3 3 6 2 2 3 2" xfId="22446"/>
    <cellStyle name="40% - Accent3 3 6 2 2 4" xfId="22447"/>
    <cellStyle name="40% - Accent3 3 6 2 3" xfId="22448"/>
    <cellStyle name="40% - Accent3 3 6 2 3 2" xfId="22449"/>
    <cellStyle name="40% - Accent3 3 6 2 3 2 2" xfId="22450"/>
    <cellStyle name="40% - Accent3 3 6 2 3 3" xfId="22451"/>
    <cellStyle name="40% - Accent3 3 6 2 4" xfId="22452"/>
    <cellStyle name="40% - Accent3 3 6 2 4 2" xfId="22453"/>
    <cellStyle name="40% - Accent3 3 6 2 5" xfId="22454"/>
    <cellStyle name="40% - Accent3 3 6 2 5 2" xfId="22455"/>
    <cellStyle name="40% - Accent3 3 6 2 6" xfId="22456"/>
    <cellStyle name="40% - Accent3 3 6 3" xfId="22457"/>
    <cellStyle name="40% - Accent3 3 6 3 2" xfId="22458"/>
    <cellStyle name="40% - Accent3 3 6 3 2 2" xfId="22459"/>
    <cellStyle name="40% - Accent3 3 6 3 2 2 2" xfId="22460"/>
    <cellStyle name="40% - Accent3 3 6 3 2 2 2 2" xfId="22461"/>
    <cellStyle name="40% - Accent3 3 6 3 2 2 3" xfId="22462"/>
    <cellStyle name="40% - Accent3 3 6 3 2 3" xfId="22463"/>
    <cellStyle name="40% - Accent3 3 6 3 2 3 2" xfId="22464"/>
    <cellStyle name="40% - Accent3 3 6 3 2 4" xfId="22465"/>
    <cellStyle name="40% - Accent3 3 6 3 3" xfId="22466"/>
    <cellStyle name="40% - Accent3 3 6 3 3 2" xfId="22467"/>
    <cellStyle name="40% - Accent3 3 6 3 3 2 2" xfId="22468"/>
    <cellStyle name="40% - Accent3 3 6 3 3 3" xfId="22469"/>
    <cellStyle name="40% - Accent3 3 6 3 4" xfId="22470"/>
    <cellStyle name="40% - Accent3 3 6 3 4 2" xfId="22471"/>
    <cellStyle name="40% - Accent3 3 6 3 5" xfId="22472"/>
    <cellStyle name="40% - Accent3 3 6 3 5 2" xfId="22473"/>
    <cellStyle name="40% - Accent3 3 6 3 6" xfId="22474"/>
    <cellStyle name="40% - Accent3 3 6 4" xfId="22475"/>
    <cellStyle name="40% - Accent3 3 6 4 2" xfId="22476"/>
    <cellStyle name="40% - Accent3 3 6 4 2 2" xfId="22477"/>
    <cellStyle name="40% - Accent3 3 6 4 2 2 2" xfId="22478"/>
    <cellStyle name="40% - Accent3 3 6 4 2 3" xfId="22479"/>
    <cellStyle name="40% - Accent3 3 6 4 3" xfId="22480"/>
    <cellStyle name="40% - Accent3 3 6 4 3 2" xfId="22481"/>
    <cellStyle name="40% - Accent3 3 6 4 4" xfId="22482"/>
    <cellStyle name="40% - Accent3 3 6 5" xfId="22483"/>
    <cellStyle name="40% - Accent3 3 6 5 2" xfId="22484"/>
    <cellStyle name="40% - Accent3 3 6 5 2 2" xfId="22485"/>
    <cellStyle name="40% - Accent3 3 6 5 3" xfId="22486"/>
    <cellStyle name="40% - Accent3 3 6 6" xfId="22487"/>
    <cellStyle name="40% - Accent3 3 6 6 2" xfId="22488"/>
    <cellStyle name="40% - Accent3 3 6 7" xfId="22489"/>
    <cellStyle name="40% - Accent3 3 6 7 2" xfId="22490"/>
    <cellStyle name="40% - Accent3 3 6 8" xfId="22491"/>
    <cellStyle name="40% - Accent3 3 7" xfId="22492"/>
    <cellStyle name="40% - Accent3 3 7 2" xfId="22493"/>
    <cellStyle name="40% - Accent3 3 7 2 2" xfId="22494"/>
    <cellStyle name="40% - Accent3 3 7 2 2 2" xfId="22495"/>
    <cellStyle name="40% - Accent3 3 7 2 2 2 2" xfId="22496"/>
    <cellStyle name="40% - Accent3 3 7 2 2 3" xfId="22497"/>
    <cellStyle name="40% - Accent3 3 7 2 3" xfId="22498"/>
    <cellStyle name="40% - Accent3 3 7 2 3 2" xfId="22499"/>
    <cellStyle name="40% - Accent3 3 7 2 4" xfId="22500"/>
    <cellStyle name="40% - Accent3 3 7 3" xfId="22501"/>
    <cellStyle name="40% - Accent3 3 7 3 2" xfId="22502"/>
    <cellStyle name="40% - Accent3 3 7 3 2 2" xfId="22503"/>
    <cellStyle name="40% - Accent3 3 7 3 3" xfId="22504"/>
    <cellStyle name="40% - Accent3 3 7 4" xfId="22505"/>
    <cellStyle name="40% - Accent3 3 7 4 2" xfId="22506"/>
    <cellStyle name="40% - Accent3 3 7 5" xfId="22507"/>
    <cellStyle name="40% - Accent3 3 7 5 2" xfId="22508"/>
    <cellStyle name="40% - Accent3 3 7 6" xfId="22509"/>
    <cellStyle name="40% - Accent3 4" xfId="22510"/>
    <cellStyle name="40% - Accent3 4 10" xfId="22511"/>
    <cellStyle name="40% - Accent3 4 10 2" xfId="22512"/>
    <cellStyle name="40% - Accent3 4 11" xfId="22513"/>
    <cellStyle name="40% - Accent3 4 2" xfId="22514"/>
    <cellStyle name="40% - Accent3 4 2 2" xfId="22515"/>
    <cellStyle name="40% - Accent3 4 2 2 2" xfId="22516"/>
    <cellStyle name="40% - Accent3 4 2 2 2 2" xfId="22517"/>
    <cellStyle name="40% - Accent3 4 2 2 2 2 2" xfId="22518"/>
    <cellStyle name="40% - Accent3 4 2 2 2 2 2 2" xfId="22519"/>
    <cellStyle name="40% - Accent3 4 2 2 2 2 3" xfId="22520"/>
    <cellStyle name="40% - Accent3 4 2 2 2 3" xfId="22521"/>
    <cellStyle name="40% - Accent3 4 2 2 2 3 2" xfId="22522"/>
    <cellStyle name="40% - Accent3 4 2 2 2 4" xfId="22523"/>
    <cellStyle name="40% - Accent3 4 2 2 3" xfId="22524"/>
    <cellStyle name="40% - Accent3 4 2 2 3 2" xfId="22525"/>
    <cellStyle name="40% - Accent3 4 2 2 3 2 2" xfId="22526"/>
    <cellStyle name="40% - Accent3 4 2 2 3 3" xfId="22527"/>
    <cellStyle name="40% - Accent3 4 2 2 4" xfId="22528"/>
    <cellStyle name="40% - Accent3 4 2 2 4 2" xfId="22529"/>
    <cellStyle name="40% - Accent3 4 2 2 5" xfId="22530"/>
    <cellStyle name="40% - Accent3 4 2 2 5 2" xfId="22531"/>
    <cellStyle name="40% - Accent3 4 2 2 6" xfId="22532"/>
    <cellStyle name="40% - Accent3 4 2 3" xfId="22533"/>
    <cellStyle name="40% - Accent3 4 2 3 2" xfId="22534"/>
    <cellStyle name="40% - Accent3 4 2 3 2 2" xfId="22535"/>
    <cellStyle name="40% - Accent3 4 2 3 2 2 2" xfId="22536"/>
    <cellStyle name="40% - Accent3 4 2 3 2 2 2 2" xfId="22537"/>
    <cellStyle name="40% - Accent3 4 2 3 2 2 3" xfId="22538"/>
    <cellStyle name="40% - Accent3 4 2 3 2 3" xfId="22539"/>
    <cellStyle name="40% - Accent3 4 2 3 2 3 2" xfId="22540"/>
    <cellStyle name="40% - Accent3 4 2 3 2 4" xfId="22541"/>
    <cellStyle name="40% - Accent3 4 2 3 3" xfId="22542"/>
    <cellStyle name="40% - Accent3 4 2 3 3 2" xfId="22543"/>
    <cellStyle name="40% - Accent3 4 2 3 3 2 2" xfId="22544"/>
    <cellStyle name="40% - Accent3 4 2 3 3 3" xfId="22545"/>
    <cellStyle name="40% - Accent3 4 2 3 4" xfId="22546"/>
    <cellStyle name="40% - Accent3 4 2 3 4 2" xfId="22547"/>
    <cellStyle name="40% - Accent3 4 2 3 5" xfId="22548"/>
    <cellStyle name="40% - Accent3 4 2 3 5 2" xfId="22549"/>
    <cellStyle name="40% - Accent3 4 2 3 6" xfId="22550"/>
    <cellStyle name="40% - Accent3 4 2 4" xfId="22551"/>
    <cellStyle name="40% - Accent3 4 2 4 2" xfId="22552"/>
    <cellStyle name="40% - Accent3 4 2 4 2 2" xfId="22553"/>
    <cellStyle name="40% - Accent3 4 2 4 2 2 2" xfId="22554"/>
    <cellStyle name="40% - Accent3 4 2 4 2 3" xfId="22555"/>
    <cellStyle name="40% - Accent3 4 2 4 3" xfId="22556"/>
    <cellStyle name="40% - Accent3 4 2 4 3 2" xfId="22557"/>
    <cellStyle name="40% - Accent3 4 2 4 4" xfId="22558"/>
    <cellStyle name="40% - Accent3 4 2 5" xfId="22559"/>
    <cellStyle name="40% - Accent3 4 2 5 2" xfId="22560"/>
    <cellStyle name="40% - Accent3 4 2 5 2 2" xfId="22561"/>
    <cellStyle name="40% - Accent3 4 2 5 3" xfId="22562"/>
    <cellStyle name="40% - Accent3 4 2 6" xfId="22563"/>
    <cellStyle name="40% - Accent3 4 2 6 2" xfId="22564"/>
    <cellStyle name="40% - Accent3 4 2 7" xfId="22565"/>
    <cellStyle name="40% - Accent3 4 2 7 2" xfId="22566"/>
    <cellStyle name="40% - Accent3 4 2 8" xfId="22567"/>
    <cellStyle name="40% - Accent3 4 3" xfId="22568"/>
    <cellStyle name="40% - Accent3 4 3 2" xfId="22569"/>
    <cellStyle name="40% - Accent3 4 3 2 2" xfId="22570"/>
    <cellStyle name="40% - Accent3 4 3 2 2 2" xfId="22571"/>
    <cellStyle name="40% - Accent3 4 3 2 2 2 2" xfId="22572"/>
    <cellStyle name="40% - Accent3 4 3 2 2 2 2 2" xfId="22573"/>
    <cellStyle name="40% - Accent3 4 3 2 2 2 3" xfId="22574"/>
    <cellStyle name="40% - Accent3 4 3 2 2 3" xfId="22575"/>
    <cellStyle name="40% - Accent3 4 3 2 2 3 2" xfId="22576"/>
    <cellStyle name="40% - Accent3 4 3 2 2 4" xfId="22577"/>
    <cellStyle name="40% - Accent3 4 3 2 3" xfId="22578"/>
    <cellStyle name="40% - Accent3 4 3 2 3 2" xfId="22579"/>
    <cellStyle name="40% - Accent3 4 3 2 3 2 2" xfId="22580"/>
    <cellStyle name="40% - Accent3 4 3 2 3 3" xfId="22581"/>
    <cellStyle name="40% - Accent3 4 3 2 4" xfId="22582"/>
    <cellStyle name="40% - Accent3 4 3 2 4 2" xfId="22583"/>
    <cellStyle name="40% - Accent3 4 3 2 5" xfId="22584"/>
    <cellStyle name="40% - Accent3 4 3 2 5 2" xfId="22585"/>
    <cellStyle name="40% - Accent3 4 3 2 6" xfId="22586"/>
    <cellStyle name="40% - Accent3 4 3 3" xfId="22587"/>
    <cellStyle name="40% - Accent3 4 3 3 2" xfId="22588"/>
    <cellStyle name="40% - Accent3 4 3 3 2 2" xfId="22589"/>
    <cellStyle name="40% - Accent3 4 3 3 2 2 2" xfId="22590"/>
    <cellStyle name="40% - Accent3 4 3 3 2 2 2 2" xfId="22591"/>
    <cellStyle name="40% - Accent3 4 3 3 2 2 3" xfId="22592"/>
    <cellStyle name="40% - Accent3 4 3 3 2 3" xfId="22593"/>
    <cellStyle name="40% - Accent3 4 3 3 2 3 2" xfId="22594"/>
    <cellStyle name="40% - Accent3 4 3 3 2 4" xfId="22595"/>
    <cellStyle name="40% - Accent3 4 3 3 3" xfId="22596"/>
    <cellStyle name="40% - Accent3 4 3 3 3 2" xfId="22597"/>
    <cellStyle name="40% - Accent3 4 3 3 3 2 2" xfId="22598"/>
    <cellStyle name="40% - Accent3 4 3 3 3 3" xfId="22599"/>
    <cellStyle name="40% - Accent3 4 3 3 4" xfId="22600"/>
    <cellStyle name="40% - Accent3 4 3 3 4 2" xfId="22601"/>
    <cellStyle name="40% - Accent3 4 3 3 5" xfId="22602"/>
    <cellStyle name="40% - Accent3 4 3 3 5 2" xfId="22603"/>
    <cellStyle name="40% - Accent3 4 3 3 6" xfId="22604"/>
    <cellStyle name="40% - Accent3 4 3 4" xfId="22605"/>
    <cellStyle name="40% - Accent3 4 3 4 2" xfId="22606"/>
    <cellStyle name="40% - Accent3 4 3 4 2 2" xfId="22607"/>
    <cellStyle name="40% - Accent3 4 3 4 2 2 2" xfId="22608"/>
    <cellStyle name="40% - Accent3 4 3 4 2 3" xfId="22609"/>
    <cellStyle name="40% - Accent3 4 3 4 3" xfId="22610"/>
    <cellStyle name="40% - Accent3 4 3 4 3 2" xfId="22611"/>
    <cellStyle name="40% - Accent3 4 3 4 4" xfId="22612"/>
    <cellStyle name="40% - Accent3 4 3 5" xfId="22613"/>
    <cellStyle name="40% - Accent3 4 3 5 2" xfId="22614"/>
    <cellStyle name="40% - Accent3 4 3 5 2 2" xfId="22615"/>
    <cellStyle name="40% - Accent3 4 3 5 3" xfId="22616"/>
    <cellStyle name="40% - Accent3 4 3 6" xfId="22617"/>
    <cellStyle name="40% - Accent3 4 3 6 2" xfId="22618"/>
    <cellStyle name="40% - Accent3 4 3 7" xfId="22619"/>
    <cellStyle name="40% - Accent3 4 3 7 2" xfId="22620"/>
    <cellStyle name="40% - Accent3 4 3 8" xfId="22621"/>
    <cellStyle name="40% - Accent3 4 4" xfId="22622"/>
    <cellStyle name="40% - Accent3 4 4 2" xfId="22623"/>
    <cellStyle name="40% - Accent3 4 4 2 2" xfId="22624"/>
    <cellStyle name="40% - Accent3 4 4 2 2 2" xfId="22625"/>
    <cellStyle name="40% - Accent3 4 4 2 2 2 2" xfId="22626"/>
    <cellStyle name="40% - Accent3 4 4 2 2 3" xfId="22627"/>
    <cellStyle name="40% - Accent3 4 4 2 3" xfId="22628"/>
    <cellStyle name="40% - Accent3 4 4 2 3 2" xfId="22629"/>
    <cellStyle name="40% - Accent3 4 4 2 4" xfId="22630"/>
    <cellStyle name="40% - Accent3 4 4 3" xfId="22631"/>
    <cellStyle name="40% - Accent3 4 4 3 2" xfId="22632"/>
    <cellStyle name="40% - Accent3 4 4 3 2 2" xfId="22633"/>
    <cellStyle name="40% - Accent3 4 4 3 3" xfId="22634"/>
    <cellStyle name="40% - Accent3 4 4 4" xfId="22635"/>
    <cellStyle name="40% - Accent3 4 4 4 2" xfId="22636"/>
    <cellStyle name="40% - Accent3 4 4 5" xfId="22637"/>
    <cellStyle name="40% - Accent3 4 4 5 2" xfId="22638"/>
    <cellStyle name="40% - Accent3 4 4 6" xfId="22639"/>
    <cellStyle name="40% - Accent3 4 5" xfId="22640"/>
    <cellStyle name="40% - Accent3 4 5 2" xfId="22641"/>
    <cellStyle name="40% - Accent3 4 5 2 2" xfId="22642"/>
    <cellStyle name="40% - Accent3 4 5 2 2 2" xfId="22643"/>
    <cellStyle name="40% - Accent3 4 5 2 2 2 2" xfId="22644"/>
    <cellStyle name="40% - Accent3 4 5 2 2 3" xfId="22645"/>
    <cellStyle name="40% - Accent3 4 5 2 3" xfId="22646"/>
    <cellStyle name="40% - Accent3 4 5 2 3 2" xfId="22647"/>
    <cellStyle name="40% - Accent3 4 5 2 4" xfId="22648"/>
    <cellStyle name="40% - Accent3 4 5 3" xfId="22649"/>
    <cellStyle name="40% - Accent3 4 5 3 2" xfId="22650"/>
    <cellStyle name="40% - Accent3 4 5 3 2 2" xfId="22651"/>
    <cellStyle name="40% - Accent3 4 5 3 3" xfId="22652"/>
    <cellStyle name="40% - Accent3 4 5 4" xfId="22653"/>
    <cellStyle name="40% - Accent3 4 5 4 2" xfId="22654"/>
    <cellStyle name="40% - Accent3 4 5 5" xfId="22655"/>
    <cellStyle name="40% - Accent3 4 5 5 2" xfId="22656"/>
    <cellStyle name="40% - Accent3 4 5 6" xfId="22657"/>
    <cellStyle name="40% - Accent3 4 6" xfId="22658"/>
    <cellStyle name="40% - Accent3 4 6 2" xfId="22659"/>
    <cellStyle name="40% - Accent3 4 6 2 2" xfId="22660"/>
    <cellStyle name="40% - Accent3 4 6 2 2 2" xfId="22661"/>
    <cellStyle name="40% - Accent3 4 6 2 2 2 2" xfId="22662"/>
    <cellStyle name="40% - Accent3 4 6 2 2 3" xfId="22663"/>
    <cellStyle name="40% - Accent3 4 6 2 3" xfId="22664"/>
    <cellStyle name="40% - Accent3 4 6 2 3 2" xfId="22665"/>
    <cellStyle name="40% - Accent3 4 6 2 4" xfId="22666"/>
    <cellStyle name="40% - Accent3 4 6 3" xfId="22667"/>
    <cellStyle name="40% - Accent3 4 6 3 2" xfId="22668"/>
    <cellStyle name="40% - Accent3 4 6 3 2 2" xfId="22669"/>
    <cellStyle name="40% - Accent3 4 6 3 3" xfId="22670"/>
    <cellStyle name="40% - Accent3 4 6 4" xfId="22671"/>
    <cellStyle name="40% - Accent3 4 6 4 2" xfId="22672"/>
    <cellStyle name="40% - Accent3 4 6 5" xfId="22673"/>
    <cellStyle name="40% - Accent3 4 6 5 2" xfId="22674"/>
    <cellStyle name="40% - Accent3 4 6 6" xfId="22675"/>
    <cellStyle name="40% - Accent3 4 7" xfId="22676"/>
    <cellStyle name="40% - Accent3 4 7 2" xfId="22677"/>
    <cellStyle name="40% - Accent3 4 7 2 2" xfId="22678"/>
    <cellStyle name="40% - Accent3 4 7 2 2 2" xfId="22679"/>
    <cellStyle name="40% - Accent3 4 7 2 3" xfId="22680"/>
    <cellStyle name="40% - Accent3 4 7 3" xfId="22681"/>
    <cellStyle name="40% - Accent3 4 7 3 2" xfId="22682"/>
    <cellStyle name="40% - Accent3 4 7 4" xfId="22683"/>
    <cellStyle name="40% - Accent3 4 8" xfId="22684"/>
    <cellStyle name="40% - Accent3 4 8 2" xfId="22685"/>
    <cellStyle name="40% - Accent3 4 8 2 2" xfId="22686"/>
    <cellStyle name="40% - Accent3 4 8 3" xfId="22687"/>
    <cellStyle name="40% - Accent3 4 9" xfId="22688"/>
    <cellStyle name="40% - Accent3 4 9 2" xfId="22689"/>
    <cellStyle name="40% - Accent3 5" xfId="22690"/>
    <cellStyle name="40% - Accent3 5 10" xfId="22691"/>
    <cellStyle name="40% - Accent3 5 10 2" xfId="22692"/>
    <cellStyle name="40% - Accent3 5 11" xfId="22693"/>
    <cellStyle name="40% - Accent3 5 2" xfId="22694"/>
    <cellStyle name="40% - Accent3 5 2 2" xfId="22695"/>
    <cellStyle name="40% - Accent3 5 2 2 2" xfId="22696"/>
    <cellStyle name="40% - Accent3 5 2 2 2 2" xfId="22697"/>
    <cellStyle name="40% - Accent3 5 2 2 2 2 2" xfId="22698"/>
    <cellStyle name="40% - Accent3 5 2 2 2 2 2 2" xfId="22699"/>
    <cellStyle name="40% - Accent3 5 2 2 2 2 3" xfId="22700"/>
    <cellStyle name="40% - Accent3 5 2 2 2 3" xfId="22701"/>
    <cellStyle name="40% - Accent3 5 2 2 2 3 2" xfId="22702"/>
    <cellStyle name="40% - Accent3 5 2 2 2 4" xfId="22703"/>
    <cellStyle name="40% - Accent3 5 2 2 3" xfId="22704"/>
    <cellStyle name="40% - Accent3 5 2 2 3 2" xfId="22705"/>
    <cellStyle name="40% - Accent3 5 2 2 3 2 2" xfId="22706"/>
    <cellStyle name="40% - Accent3 5 2 2 3 3" xfId="22707"/>
    <cellStyle name="40% - Accent3 5 2 2 4" xfId="22708"/>
    <cellStyle name="40% - Accent3 5 2 2 4 2" xfId="22709"/>
    <cellStyle name="40% - Accent3 5 2 2 5" xfId="22710"/>
    <cellStyle name="40% - Accent3 5 2 2 5 2" xfId="22711"/>
    <cellStyle name="40% - Accent3 5 2 2 6" xfId="22712"/>
    <cellStyle name="40% - Accent3 5 2 3" xfId="22713"/>
    <cellStyle name="40% - Accent3 5 2 3 2" xfId="22714"/>
    <cellStyle name="40% - Accent3 5 2 3 2 2" xfId="22715"/>
    <cellStyle name="40% - Accent3 5 2 3 2 2 2" xfId="22716"/>
    <cellStyle name="40% - Accent3 5 2 3 2 2 2 2" xfId="22717"/>
    <cellStyle name="40% - Accent3 5 2 3 2 2 3" xfId="22718"/>
    <cellStyle name="40% - Accent3 5 2 3 2 3" xfId="22719"/>
    <cellStyle name="40% - Accent3 5 2 3 2 3 2" xfId="22720"/>
    <cellStyle name="40% - Accent3 5 2 3 2 4" xfId="22721"/>
    <cellStyle name="40% - Accent3 5 2 3 3" xfId="22722"/>
    <cellStyle name="40% - Accent3 5 2 3 3 2" xfId="22723"/>
    <cellStyle name="40% - Accent3 5 2 3 3 2 2" xfId="22724"/>
    <cellStyle name="40% - Accent3 5 2 3 3 3" xfId="22725"/>
    <cellStyle name="40% - Accent3 5 2 3 4" xfId="22726"/>
    <cellStyle name="40% - Accent3 5 2 3 4 2" xfId="22727"/>
    <cellStyle name="40% - Accent3 5 2 3 5" xfId="22728"/>
    <cellStyle name="40% - Accent3 5 2 3 5 2" xfId="22729"/>
    <cellStyle name="40% - Accent3 5 2 3 6" xfId="22730"/>
    <cellStyle name="40% - Accent3 5 2 4" xfId="22731"/>
    <cellStyle name="40% - Accent3 5 2 4 2" xfId="22732"/>
    <cellStyle name="40% - Accent3 5 2 4 2 2" xfId="22733"/>
    <cellStyle name="40% - Accent3 5 2 4 2 2 2" xfId="22734"/>
    <cellStyle name="40% - Accent3 5 2 4 2 3" xfId="22735"/>
    <cellStyle name="40% - Accent3 5 2 4 3" xfId="22736"/>
    <cellStyle name="40% - Accent3 5 2 4 3 2" xfId="22737"/>
    <cellStyle name="40% - Accent3 5 2 4 4" xfId="22738"/>
    <cellStyle name="40% - Accent3 5 2 5" xfId="22739"/>
    <cellStyle name="40% - Accent3 5 2 5 2" xfId="22740"/>
    <cellStyle name="40% - Accent3 5 2 5 2 2" xfId="22741"/>
    <cellStyle name="40% - Accent3 5 2 5 3" xfId="22742"/>
    <cellStyle name="40% - Accent3 5 2 6" xfId="22743"/>
    <cellStyle name="40% - Accent3 5 2 6 2" xfId="22744"/>
    <cellStyle name="40% - Accent3 5 2 7" xfId="22745"/>
    <cellStyle name="40% - Accent3 5 2 7 2" xfId="22746"/>
    <cellStyle name="40% - Accent3 5 2 8" xfId="22747"/>
    <cellStyle name="40% - Accent3 5 3" xfId="22748"/>
    <cellStyle name="40% - Accent3 5 3 2" xfId="22749"/>
    <cellStyle name="40% - Accent3 5 3 2 2" xfId="22750"/>
    <cellStyle name="40% - Accent3 5 3 2 2 2" xfId="22751"/>
    <cellStyle name="40% - Accent3 5 3 2 2 2 2" xfId="22752"/>
    <cellStyle name="40% - Accent3 5 3 2 2 2 2 2" xfId="22753"/>
    <cellStyle name="40% - Accent3 5 3 2 2 2 3" xfId="22754"/>
    <cellStyle name="40% - Accent3 5 3 2 2 3" xfId="22755"/>
    <cellStyle name="40% - Accent3 5 3 2 2 3 2" xfId="22756"/>
    <cellStyle name="40% - Accent3 5 3 2 2 4" xfId="22757"/>
    <cellStyle name="40% - Accent3 5 3 2 3" xfId="22758"/>
    <cellStyle name="40% - Accent3 5 3 2 3 2" xfId="22759"/>
    <cellStyle name="40% - Accent3 5 3 2 3 2 2" xfId="22760"/>
    <cellStyle name="40% - Accent3 5 3 2 3 3" xfId="22761"/>
    <cellStyle name="40% - Accent3 5 3 2 4" xfId="22762"/>
    <cellStyle name="40% - Accent3 5 3 2 4 2" xfId="22763"/>
    <cellStyle name="40% - Accent3 5 3 2 5" xfId="22764"/>
    <cellStyle name="40% - Accent3 5 3 2 5 2" xfId="22765"/>
    <cellStyle name="40% - Accent3 5 3 2 6" xfId="22766"/>
    <cellStyle name="40% - Accent3 5 3 3" xfId="22767"/>
    <cellStyle name="40% - Accent3 5 3 3 2" xfId="22768"/>
    <cellStyle name="40% - Accent3 5 3 3 2 2" xfId="22769"/>
    <cellStyle name="40% - Accent3 5 3 3 2 2 2" xfId="22770"/>
    <cellStyle name="40% - Accent3 5 3 3 2 2 2 2" xfId="22771"/>
    <cellStyle name="40% - Accent3 5 3 3 2 2 3" xfId="22772"/>
    <cellStyle name="40% - Accent3 5 3 3 2 3" xfId="22773"/>
    <cellStyle name="40% - Accent3 5 3 3 2 3 2" xfId="22774"/>
    <cellStyle name="40% - Accent3 5 3 3 2 4" xfId="22775"/>
    <cellStyle name="40% - Accent3 5 3 3 3" xfId="22776"/>
    <cellStyle name="40% - Accent3 5 3 3 3 2" xfId="22777"/>
    <cellStyle name="40% - Accent3 5 3 3 3 2 2" xfId="22778"/>
    <cellStyle name="40% - Accent3 5 3 3 3 3" xfId="22779"/>
    <cellStyle name="40% - Accent3 5 3 3 4" xfId="22780"/>
    <cellStyle name="40% - Accent3 5 3 3 4 2" xfId="22781"/>
    <cellStyle name="40% - Accent3 5 3 3 5" xfId="22782"/>
    <cellStyle name="40% - Accent3 5 3 3 5 2" xfId="22783"/>
    <cellStyle name="40% - Accent3 5 3 3 6" xfId="22784"/>
    <cellStyle name="40% - Accent3 5 3 4" xfId="22785"/>
    <cellStyle name="40% - Accent3 5 3 4 2" xfId="22786"/>
    <cellStyle name="40% - Accent3 5 3 4 2 2" xfId="22787"/>
    <cellStyle name="40% - Accent3 5 3 4 2 2 2" xfId="22788"/>
    <cellStyle name="40% - Accent3 5 3 4 2 3" xfId="22789"/>
    <cellStyle name="40% - Accent3 5 3 4 3" xfId="22790"/>
    <cellStyle name="40% - Accent3 5 3 4 3 2" xfId="22791"/>
    <cellStyle name="40% - Accent3 5 3 4 4" xfId="22792"/>
    <cellStyle name="40% - Accent3 5 3 5" xfId="22793"/>
    <cellStyle name="40% - Accent3 5 3 5 2" xfId="22794"/>
    <cellStyle name="40% - Accent3 5 3 5 2 2" xfId="22795"/>
    <cellStyle name="40% - Accent3 5 3 5 3" xfId="22796"/>
    <cellStyle name="40% - Accent3 5 3 6" xfId="22797"/>
    <cellStyle name="40% - Accent3 5 3 6 2" xfId="22798"/>
    <cellStyle name="40% - Accent3 5 3 7" xfId="22799"/>
    <cellStyle name="40% - Accent3 5 3 7 2" xfId="22800"/>
    <cellStyle name="40% - Accent3 5 3 8" xfId="22801"/>
    <cellStyle name="40% - Accent3 5 4" xfId="22802"/>
    <cellStyle name="40% - Accent3 5 4 2" xfId="22803"/>
    <cellStyle name="40% - Accent3 5 4 2 2" xfId="22804"/>
    <cellStyle name="40% - Accent3 5 4 2 2 2" xfId="22805"/>
    <cellStyle name="40% - Accent3 5 4 2 2 2 2" xfId="22806"/>
    <cellStyle name="40% - Accent3 5 4 2 2 3" xfId="22807"/>
    <cellStyle name="40% - Accent3 5 4 2 3" xfId="22808"/>
    <cellStyle name="40% - Accent3 5 4 2 3 2" xfId="22809"/>
    <cellStyle name="40% - Accent3 5 4 2 4" xfId="22810"/>
    <cellStyle name="40% - Accent3 5 4 3" xfId="22811"/>
    <cellStyle name="40% - Accent3 5 4 3 2" xfId="22812"/>
    <cellStyle name="40% - Accent3 5 4 3 2 2" xfId="22813"/>
    <cellStyle name="40% - Accent3 5 4 3 3" xfId="22814"/>
    <cellStyle name="40% - Accent3 5 4 4" xfId="22815"/>
    <cellStyle name="40% - Accent3 5 4 4 2" xfId="22816"/>
    <cellStyle name="40% - Accent3 5 4 5" xfId="22817"/>
    <cellStyle name="40% - Accent3 5 4 5 2" xfId="22818"/>
    <cellStyle name="40% - Accent3 5 4 6" xfId="22819"/>
    <cellStyle name="40% - Accent3 5 5" xfId="22820"/>
    <cellStyle name="40% - Accent3 5 5 2" xfId="22821"/>
    <cellStyle name="40% - Accent3 5 5 2 2" xfId="22822"/>
    <cellStyle name="40% - Accent3 5 5 2 2 2" xfId="22823"/>
    <cellStyle name="40% - Accent3 5 5 2 2 2 2" xfId="22824"/>
    <cellStyle name="40% - Accent3 5 5 2 2 3" xfId="22825"/>
    <cellStyle name="40% - Accent3 5 5 2 3" xfId="22826"/>
    <cellStyle name="40% - Accent3 5 5 2 3 2" xfId="22827"/>
    <cellStyle name="40% - Accent3 5 5 2 4" xfId="22828"/>
    <cellStyle name="40% - Accent3 5 5 3" xfId="22829"/>
    <cellStyle name="40% - Accent3 5 5 3 2" xfId="22830"/>
    <cellStyle name="40% - Accent3 5 5 3 2 2" xfId="22831"/>
    <cellStyle name="40% - Accent3 5 5 3 3" xfId="22832"/>
    <cellStyle name="40% - Accent3 5 5 4" xfId="22833"/>
    <cellStyle name="40% - Accent3 5 5 4 2" xfId="22834"/>
    <cellStyle name="40% - Accent3 5 5 5" xfId="22835"/>
    <cellStyle name="40% - Accent3 5 5 5 2" xfId="22836"/>
    <cellStyle name="40% - Accent3 5 5 6" xfId="22837"/>
    <cellStyle name="40% - Accent3 5 6" xfId="22838"/>
    <cellStyle name="40% - Accent3 5 6 2" xfId="22839"/>
    <cellStyle name="40% - Accent3 5 6 2 2" xfId="22840"/>
    <cellStyle name="40% - Accent3 5 6 2 2 2" xfId="22841"/>
    <cellStyle name="40% - Accent3 5 6 2 2 2 2" xfId="22842"/>
    <cellStyle name="40% - Accent3 5 6 2 2 3" xfId="22843"/>
    <cellStyle name="40% - Accent3 5 6 2 3" xfId="22844"/>
    <cellStyle name="40% - Accent3 5 6 2 3 2" xfId="22845"/>
    <cellStyle name="40% - Accent3 5 6 2 4" xfId="22846"/>
    <cellStyle name="40% - Accent3 5 6 3" xfId="22847"/>
    <cellStyle name="40% - Accent3 5 6 3 2" xfId="22848"/>
    <cellStyle name="40% - Accent3 5 6 3 2 2" xfId="22849"/>
    <cellStyle name="40% - Accent3 5 6 3 3" xfId="22850"/>
    <cellStyle name="40% - Accent3 5 6 4" xfId="22851"/>
    <cellStyle name="40% - Accent3 5 6 4 2" xfId="22852"/>
    <cellStyle name="40% - Accent3 5 6 5" xfId="22853"/>
    <cellStyle name="40% - Accent3 5 6 5 2" xfId="22854"/>
    <cellStyle name="40% - Accent3 5 6 6" xfId="22855"/>
    <cellStyle name="40% - Accent3 5 7" xfId="22856"/>
    <cellStyle name="40% - Accent3 5 7 2" xfId="22857"/>
    <cellStyle name="40% - Accent3 5 7 2 2" xfId="22858"/>
    <cellStyle name="40% - Accent3 5 7 2 2 2" xfId="22859"/>
    <cellStyle name="40% - Accent3 5 7 2 3" xfId="22860"/>
    <cellStyle name="40% - Accent3 5 7 3" xfId="22861"/>
    <cellStyle name="40% - Accent3 5 7 3 2" xfId="22862"/>
    <cellStyle name="40% - Accent3 5 7 4" xfId="22863"/>
    <cellStyle name="40% - Accent3 5 8" xfId="22864"/>
    <cellStyle name="40% - Accent3 5 8 2" xfId="22865"/>
    <cellStyle name="40% - Accent3 5 8 2 2" xfId="22866"/>
    <cellStyle name="40% - Accent3 5 8 3" xfId="22867"/>
    <cellStyle name="40% - Accent3 5 9" xfId="22868"/>
    <cellStyle name="40% - Accent3 5 9 2" xfId="22869"/>
    <cellStyle name="40% - Accent3 6" xfId="22870"/>
    <cellStyle name="40% - Accent3 6 10" xfId="22871"/>
    <cellStyle name="40% - Accent3 6 10 2" xfId="22872"/>
    <cellStyle name="40% - Accent3 6 11" xfId="22873"/>
    <cellStyle name="40% - Accent3 6 2" xfId="22874"/>
    <cellStyle name="40% - Accent3 6 2 2" xfId="22875"/>
    <cellStyle name="40% - Accent3 6 2 2 2" xfId="22876"/>
    <cellStyle name="40% - Accent3 6 2 2 2 2" xfId="22877"/>
    <cellStyle name="40% - Accent3 6 2 2 2 2 2" xfId="22878"/>
    <cellStyle name="40% - Accent3 6 2 2 2 2 2 2" xfId="22879"/>
    <cellStyle name="40% - Accent3 6 2 2 2 2 3" xfId="22880"/>
    <cellStyle name="40% - Accent3 6 2 2 2 3" xfId="22881"/>
    <cellStyle name="40% - Accent3 6 2 2 2 3 2" xfId="22882"/>
    <cellStyle name="40% - Accent3 6 2 2 2 4" xfId="22883"/>
    <cellStyle name="40% - Accent3 6 2 2 3" xfId="22884"/>
    <cellStyle name="40% - Accent3 6 2 2 3 2" xfId="22885"/>
    <cellStyle name="40% - Accent3 6 2 2 3 2 2" xfId="22886"/>
    <cellStyle name="40% - Accent3 6 2 2 3 3" xfId="22887"/>
    <cellStyle name="40% - Accent3 6 2 2 4" xfId="22888"/>
    <cellStyle name="40% - Accent3 6 2 2 4 2" xfId="22889"/>
    <cellStyle name="40% - Accent3 6 2 2 5" xfId="22890"/>
    <cellStyle name="40% - Accent3 6 2 2 5 2" xfId="22891"/>
    <cellStyle name="40% - Accent3 6 2 2 6" xfId="22892"/>
    <cellStyle name="40% - Accent3 6 2 3" xfId="22893"/>
    <cellStyle name="40% - Accent3 6 2 3 2" xfId="22894"/>
    <cellStyle name="40% - Accent3 6 2 3 2 2" xfId="22895"/>
    <cellStyle name="40% - Accent3 6 2 3 2 2 2" xfId="22896"/>
    <cellStyle name="40% - Accent3 6 2 3 2 2 2 2" xfId="22897"/>
    <cellStyle name="40% - Accent3 6 2 3 2 2 3" xfId="22898"/>
    <cellStyle name="40% - Accent3 6 2 3 2 3" xfId="22899"/>
    <cellStyle name="40% - Accent3 6 2 3 2 3 2" xfId="22900"/>
    <cellStyle name="40% - Accent3 6 2 3 2 4" xfId="22901"/>
    <cellStyle name="40% - Accent3 6 2 3 3" xfId="22902"/>
    <cellStyle name="40% - Accent3 6 2 3 3 2" xfId="22903"/>
    <cellStyle name="40% - Accent3 6 2 3 3 2 2" xfId="22904"/>
    <cellStyle name="40% - Accent3 6 2 3 3 3" xfId="22905"/>
    <cellStyle name="40% - Accent3 6 2 3 4" xfId="22906"/>
    <cellStyle name="40% - Accent3 6 2 3 4 2" xfId="22907"/>
    <cellStyle name="40% - Accent3 6 2 3 5" xfId="22908"/>
    <cellStyle name="40% - Accent3 6 2 3 5 2" xfId="22909"/>
    <cellStyle name="40% - Accent3 6 2 3 6" xfId="22910"/>
    <cellStyle name="40% - Accent3 6 2 4" xfId="22911"/>
    <cellStyle name="40% - Accent3 6 2 4 2" xfId="22912"/>
    <cellStyle name="40% - Accent3 6 2 4 2 2" xfId="22913"/>
    <cellStyle name="40% - Accent3 6 2 4 2 2 2" xfId="22914"/>
    <cellStyle name="40% - Accent3 6 2 4 2 3" xfId="22915"/>
    <cellStyle name="40% - Accent3 6 2 4 3" xfId="22916"/>
    <cellStyle name="40% - Accent3 6 2 4 3 2" xfId="22917"/>
    <cellStyle name="40% - Accent3 6 2 4 4" xfId="22918"/>
    <cellStyle name="40% - Accent3 6 2 5" xfId="22919"/>
    <cellStyle name="40% - Accent3 6 2 5 2" xfId="22920"/>
    <cellStyle name="40% - Accent3 6 2 5 2 2" xfId="22921"/>
    <cellStyle name="40% - Accent3 6 2 5 3" xfId="22922"/>
    <cellStyle name="40% - Accent3 6 2 6" xfId="22923"/>
    <cellStyle name="40% - Accent3 6 2 6 2" xfId="22924"/>
    <cellStyle name="40% - Accent3 6 2 7" xfId="22925"/>
    <cellStyle name="40% - Accent3 6 2 7 2" xfId="22926"/>
    <cellStyle name="40% - Accent3 6 2 8" xfId="22927"/>
    <cellStyle name="40% - Accent3 6 3" xfId="22928"/>
    <cellStyle name="40% - Accent3 6 3 2" xfId="22929"/>
    <cellStyle name="40% - Accent3 6 3 2 2" xfId="22930"/>
    <cellStyle name="40% - Accent3 6 3 2 2 2" xfId="22931"/>
    <cellStyle name="40% - Accent3 6 3 2 2 2 2" xfId="22932"/>
    <cellStyle name="40% - Accent3 6 3 2 2 2 2 2" xfId="22933"/>
    <cellStyle name="40% - Accent3 6 3 2 2 2 3" xfId="22934"/>
    <cellStyle name="40% - Accent3 6 3 2 2 3" xfId="22935"/>
    <cellStyle name="40% - Accent3 6 3 2 2 3 2" xfId="22936"/>
    <cellStyle name="40% - Accent3 6 3 2 2 4" xfId="22937"/>
    <cellStyle name="40% - Accent3 6 3 2 3" xfId="22938"/>
    <cellStyle name="40% - Accent3 6 3 2 3 2" xfId="22939"/>
    <cellStyle name="40% - Accent3 6 3 2 3 2 2" xfId="22940"/>
    <cellStyle name="40% - Accent3 6 3 2 3 3" xfId="22941"/>
    <cellStyle name="40% - Accent3 6 3 2 4" xfId="22942"/>
    <cellStyle name="40% - Accent3 6 3 2 4 2" xfId="22943"/>
    <cellStyle name="40% - Accent3 6 3 2 5" xfId="22944"/>
    <cellStyle name="40% - Accent3 6 3 2 5 2" xfId="22945"/>
    <cellStyle name="40% - Accent3 6 3 2 6" xfId="22946"/>
    <cellStyle name="40% - Accent3 6 3 3" xfId="22947"/>
    <cellStyle name="40% - Accent3 6 3 3 2" xfId="22948"/>
    <cellStyle name="40% - Accent3 6 3 3 2 2" xfId="22949"/>
    <cellStyle name="40% - Accent3 6 3 3 2 2 2" xfId="22950"/>
    <cellStyle name="40% - Accent3 6 3 3 2 2 2 2" xfId="22951"/>
    <cellStyle name="40% - Accent3 6 3 3 2 2 3" xfId="22952"/>
    <cellStyle name="40% - Accent3 6 3 3 2 3" xfId="22953"/>
    <cellStyle name="40% - Accent3 6 3 3 2 3 2" xfId="22954"/>
    <cellStyle name="40% - Accent3 6 3 3 2 4" xfId="22955"/>
    <cellStyle name="40% - Accent3 6 3 3 3" xfId="22956"/>
    <cellStyle name="40% - Accent3 6 3 3 3 2" xfId="22957"/>
    <cellStyle name="40% - Accent3 6 3 3 3 2 2" xfId="22958"/>
    <cellStyle name="40% - Accent3 6 3 3 3 3" xfId="22959"/>
    <cellStyle name="40% - Accent3 6 3 3 4" xfId="22960"/>
    <cellStyle name="40% - Accent3 6 3 3 4 2" xfId="22961"/>
    <cellStyle name="40% - Accent3 6 3 3 5" xfId="22962"/>
    <cellStyle name="40% - Accent3 6 3 3 5 2" xfId="22963"/>
    <cellStyle name="40% - Accent3 6 3 3 6" xfId="22964"/>
    <cellStyle name="40% - Accent3 6 3 4" xfId="22965"/>
    <cellStyle name="40% - Accent3 6 3 4 2" xfId="22966"/>
    <cellStyle name="40% - Accent3 6 3 4 2 2" xfId="22967"/>
    <cellStyle name="40% - Accent3 6 3 4 2 2 2" xfId="22968"/>
    <cellStyle name="40% - Accent3 6 3 4 2 3" xfId="22969"/>
    <cellStyle name="40% - Accent3 6 3 4 3" xfId="22970"/>
    <cellStyle name="40% - Accent3 6 3 4 3 2" xfId="22971"/>
    <cellStyle name="40% - Accent3 6 3 4 4" xfId="22972"/>
    <cellStyle name="40% - Accent3 6 3 5" xfId="22973"/>
    <cellStyle name="40% - Accent3 6 3 5 2" xfId="22974"/>
    <cellStyle name="40% - Accent3 6 3 5 2 2" xfId="22975"/>
    <cellStyle name="40% - Accent3 6 3 5 3" xfId="22976"/>
    <cellStyle name="40% - Accent3 6 3 6" xfId="22977"/>
    <cellStyle name="40% - Accent3 6 3 6 2" xfId="22978"/>
    <cellStyle name="40% - Accent3 6 3 7" xfId="22979"/>
    <cellStyle name="40% - Accent3 6 3 7 2" xfId="22980"/>
    <cellStyle name="40% - Accent3 6 3 8" xfId="22981"/>
    <cellStyle name="40% - Accent3 6 4" xfId="22982"/>
    <cellStyle name="40% - Accent3 6 4 2" xfId="22983"/>
    <cellStyle name="40% - Accent3 6 4 2 2" xfId="22984"/>
    <cellStyle name="40% - Accent3 6 4 2 2 2" xfId="22985"/>
    <cellStyle name="40% - Accent3 6 4 2 2 2 2" xfId="22986"/>
    <cellStyle name="40% - Accent3 6 4 2 2 3" xfId="22987"/>
    <cellStyle name="40% - Accent3 6 4 2 3" xfId="22988"/>
    <cellStyle name="40% - Accent3 6 4 2 3 2" xfId="22989"/>
    <cellStyle name="40% - Accent3 6 4 2 4" xfId="22990"/>
    <cellStyle name="40% - Accent3 6 4 3" xfId="22991"/>
    <cellStyle name="40% - Accent3 6 4 3 2" xfId="22992"/>
    <cellStyle name="40% - Accent3 6 4 3 2 2" xfId="22993"/>
    <cellStyle name="40% - Accent3 6 4 3 3" xfId="22994"/>
    <cellStyle name="40% - Accent3 6 4 4" xfId="22995"/>
    <cellStyle name="40% - Accent3 6 4 4 2" xfId="22996"/>
    <cellStyle name="40% - Accent3 6 4 5" xfId="22997"/>
    <cellStyle name="40% - Accent3 6 4 5 2" xfId="22998"/>
    <cellStyle name="40% - Accent3 6 4 6" xfId="22999"/>
    <cellStyle name="40% - Accent3 6 5" xfId="23000"/>
    <cellStyle name="40% - Accent3 6 5 2" xfId="23001"/>
    <cellStyle name="40% - Accent3 6 5 2 2" xfId="23002"/>
    <cellStyle name="40% - Accent3 6 5 2 2 2" xfId="23003"/>
    <cellStyle name="40% - Accent3 6 5 2 2 2 2" xfId="23004"/>
    <cellStyle name="40% - Accent3 6 5 2 2 3" xfId="23005"/>
    <cellStyle name="40% - Accent3 6 5 2 3" xfId="23006"/>
    <cellStyle name="40% - Accent3 6 5 2 3 2" xfId="23007"/>
    <cellStyle name="40% - Accent3 6 5 2 4" xfId="23008"/>
    <cellStyle name="40% - Accent3 6 5 3" xfId="23009"/>
    <cellStyle name="40% - Accent3 6 5 3 2" xfId="23010"/>
    <cellStyle name="40% - Accent3 6 5 3 2 2" xfId="23011"/>
    <cellStyle name="40% - Accent3 6 5 3 3" xfId="23012"/>
    <cellStyle name="40% - Accent3 6 5 4" xfId="23013"/>
    <cellStyle name="40% - Accent3 6 5 4 2" xfId="23014"/>
    <cellStyle name="40% - Accent3 6 5 5" xfId="23015"/>
    <cellStyle name="40% - Accent3 6 5 5 2" xfId="23016"/>
    <cellStyle name="40% - Accent3 6 5 6" xfId="23017"/>
    <cellStyle name="40% - Accent3 6 6" xfId="23018"/>
    <cellStyle name="40% - Accent3 6 6 2" xfId="23019"/>
    <cellStyle name="40% - Accent3 6 6 2 2" xfId="23020"/>
    <cellStyle name="40% - Accent3 6 6 2 2 2" xfId="23021"/>
    <cellStyle name="40% - Accent3 6 6 2 2 2 2" xfId="23022"/>
    <cellStyle name="40% - Accent3 6 6 2 2 3" xfId="23023"/>
    <cellStyle name="40% - Accent3 6 6 2 3" xfId="23024"/>
    <cellStyle name="40% - Accent3 6 6 2 3 2" xfId="23025"/>
    <cellStyle name="40% - Accent3 6 6 2 4" xfId="23026"/>
    <cellStyle name="40% - Accent3 6 6 3" xfId="23027"/>
    <cellStyle name="40% - Accent3 6 6 3 2" xfId="23028"/>
    <cellStyle name="40% - Accent3 6 6 3 2 2" xfId="23029"/>
    <cellStyle name="40% - Accent3 6 6 3 3" xfId="23030"/>
    <cellStyle name="40% - Accent3 6 6 4" xfId="23031"/>
    <cellStyle name="40% - Accent3 6 6 4 2" xfId="23032"/>
    <cellStyle name="40% - Accent3 6 6 5" xfId="23033"/>
    <cellStyle name="40% - Accent3 6 6 5 2" xfId="23034"/>
    <cellStyle name="40% - Accent3 6 6 6" xfId="23035"/>
    <cellStyle name="40% - Accent3 6 7" xfId="23036"/>
    <cellStyle name="40% - Accent3 6 7 2" xfId="23037"/>
    <cellStyle name="40% - Accent3 6 7 2 2" xfId="23038"/>
    <cellStyle name="40% - Accent3 6 7 2 2 2" xfId="23039"/>
    <cellStyle name="40% - Accent3 6 7 2 3" xfId="23040"/>
    <cellStyle name="40% - Accent3 6 7 3" xfId="23041"/>
    <cellStyle name="40% - Accent3 6 7 3 2" xfId="23042"/>
    <cellStyle name="40% - Accent3 6 7 4" xfId="23043"/>
    <cellStyle name="40% - Accent3 6 8" xfId="23044"/>
    <cellStyle name="40% - Accent3 6 8 2" xfId="23045"/>
    <cellStyle name="40% - Accent3 6 8 2 2" xfId="23046"/>
    <cellStyle name="40% - Accent3 6 8 3" xfId="23047"/>
    <cellStyle name="40% - Accent3 6 9" xfId="23048"/>
    <cellStyle name="40% - Accent3 6 9 2" xfId="23049"/>
    <cellStyle name="40% - Accent3 7" xfId="23050"/>
    <cellStyle name="40% - Accent3 7 2" xfId="23051"/>
    <cellStyle name="40% - Accent3 7 2 2" xfId="23052"/>
    <cellStyle name="40% - Accent3 7 2 2 2" xfId="23053"/>
    <cellStyle name="40% - Accent3 7 2 2 2 2" xfId="23054"/>
    <cellStyle name="40% - Accent3 7 2 2 2 2 2" xfId="23055"/>
    <cellStyle name="40% - Accent3 7 2 2 2 3" xfId="23056"/>
    <cellStyle name="40% - Accent3 7 2 2 3" xfId="23057"/>
    <cellStyle name="40% - Accent3 7 2 2 3 2" xfId="23058"/>
    <cellStyle name="40% - Accent3 7 2 2 4" xfId="23059"/>
    <cellStyle name="40% - Accent3 7 2 3" xfId="23060"/>
    <cellStyle name="40% - Accent3 7 2 3 2" xfId="23061"/>
    <cellStyle name="40% - Accent3 7 2 3 2 2" xfId="23062"/>
    <cellStyle name="40% - Accent3 7 2 3 3" xfId="23063"/>
    <cellStyle name="40% - Accent3 7 2 4" xfId="23064"/>
    <cellStyle name="40% - Accent3 7 2 4 2" xfId="23065"/>
    <cellStyle name="40% - Accent3 7 2 5" xfId="23066"/>
    <cellStyle name="40% - Accent3 7 2 5 2" xfId="23067"/>
    <cellStyle name="40% - Accent3 7 2 6" xfId="23068"/>
    <cellStyle name="40% - Accent3 7 3" xfId="23069"/>
    <cellStyle name="40% - Accent3 7 3 2" xfId="23070"/>
    <cellStyle name="40% - Accent3 7 3 2 2" xfId="23071"/>
    <cellStyle name="40% - Accent3 7 3 2 2 2" xfId="23072"/>
    <cellStyle name="40% - Accent3 7 3 2 2 2 2" xfId="23073"/>
    <cellStyle name="40% - Accent3 7 3 2 2 3" xfId="23074"/>
    <cellStyle name="40% - Accent3 7 3 2 3" xfId="23075"/>
    <cellStyle name="40% - Accent3 7 3 2 3 2" xfId="23076"/>
    <cellStyle name="40% - Accent3 7 3 2 4" xfId="23077"/>
    <cellStyle name="40% - Accent3 7 3 3" xfId="23078"/>
    <cellStyle name="40% - Accent3 7 3 3 2" xfId="23079"/>
    <cellStyle name="40% - Accent3 7 3 3 2 2" xfId="23080"/>
    <cellStyle name="40% - Accent3 7 3 3 3" xfId="23081"/>
    <cellStyle name="40% - Accent3 7 3 4" xfId="23082"/>
    <cellStyle name="40% - Accent3 7 3 4 2" xfId="23083"/>
    <cellStyle name="40% - Accent3 7 3 5" xfId="23084"/>
    <cellStyle name="40% - Accent3 7 3 5 2" xfId="23085"/>
    <cellStyle name="40% - Accent3 7 3 6" xfId="23086"/>
    <cellStyle name="40% - Accent3 7 4" xfId="23087"/>
    <cellStyle name="40% - Accent3 7 4 2" xfId="23088"/>
    <cellStyle name="40% - Accent3 7 4 2 2" xfId="23089"/>
    <cellStyle name="40% - Accent3 7 4 2 2 2" xfId="23090"/>
    <cellStyle name="40% - Accent3 7 4 2 3" xfId="23091"/>
    <cellStyle name="40% - Accent3 7 4 3" xfId="23092"/>
    <cellStyle name="40% - Accent3 7 4 3 2" xfId="23093"/>
    <cellStyle name="40% - Accent3 7 4 4" xfId="23094"/>
    <cellStyle name="40% - Accent3 7 5" xfId="23095"/>
    <cellStyle name="40% - Accent3 7 5 2" xfId="23096"/>
    <cellStyle name="40% - Accent3 7 5 2 2" xfId="23097"/>
    <cellStyle name="40% - Accent3 7 5 3" xfId="23098"/>
    <cellStyle name="40% - Accent3 7 6" xfId="23099"/>
    <cellStyle name="40% - Accent3 7 6 2" xfId="23100"/>
    <cellStyle name="40% - Accent3 7 7" xfId="23101"/>
    <cellStyle name="40% - Accent3 7 7 2" xfId="23102"/>
    <cellStyle name="40% - Accent3 7 8" xfId="23103"/>
    <cellStyle name="40% - Accent3 8" xfId="23104"/>
    <cellStyle name="40% - Accent3 8 2" xfId="23105"/>
    <cellStyle name="40% - Accent3 8 2 2" xfId="23106"/>
    <cellStyle name="40% - Accent3 8 2 2 2" xfId="23107"/>
    <cellStyle name="40% - Accent3 8 2 2 2 2" xfId="23108"/>
    <cellStyle name="40% - Accent3 8 2 2 2 2 2" xfId="23109"/>
    <cellStyle name="40% - Accent3 8 2 2 2 3" xfId="23110"/>
    <cellStyle name="40% - Accent3 8 2 2 3" xfId="23111"/>
    <cellStyle name="40% - Accent3 8 2 2 3 2" xfId="23112"/>
    <cellStyle name="40% - Accent3 8 2 2 4" xfId="23113"/>
    <cellStyle name="40% - Accent3 8 2 3" xfId="23114"/>
    <cellStyle name="40% - Accent3 8 2 3 2" xfId="23115"/>
    <cellStyle name="40% - Accent3 8 2 3 2 2" xfId="23116"/>
    <cellStyle name="40% - Accent3 8 2 3 3" xfId="23117"/>
    <cellStyle name="40% - Accent3 8 2 4" xfId="23118"/>
    <cellStyle name="40% - Accent3 8 2 4 2" xfId="23119"/>
    <cellStyle name="40% - Accent3 8 2 5" xfId="23120"/>
    <cellStyle name="40% - Accent3 8 2 5 2" xfId="23121"/>
    <cellStyle name="40% - Accent3 8 2 6" xfId="23122"/>
    <cellStyle name="40% - Accent3 8 3" xfId="23123"/>
    <cellStyle name="40% - Accent3 8 3 2" xfId="23124"/>
    <cellStyle name="40% - Accent3 8 3 2 2" xfId="23125"/>
    <cellStyle name="40% - Accent3 8 3 2 2 2" xfId="23126"/>
    <cellStyle name="40% - Accent3 8 3 2 2 2 2" xfId="23127"/>
    <cellStyle name="40% - Accent3 8 3 2 2 3" xfId="23128"/>
    <cellStyle name="40% - Accent3 8 3 2 3" xfId="23129"/>
    <cellStyle name="40% - Accent3 8 3 2 3 2" xfId="23130"/>
    <cellStyle name="40% - Accent3 8 3 2 4" xfId="23131"/>
    <cellStyle name="40% - Accent3 8 3 3" xfId="23132"/>
    <cellStyle name="40% - Accent3 8 3 3 2" xfId="23133"/>
    <cellStyle name="40% - Accent3 8 3 3 2 2" xfId="23134"/>
    <cellStyle name="40% - Accent3 8 3 3 3" xfId="23135"/>
    <cellStyle name="40% - Accent3 8 3 4" xfId="23136"/>
    <cellStyle name="40% - Accent3 8 3 4 2" xfId="23137"/>
    <cellStyle name="40% - Accent3 8 3 5" xfId="23138"/>
    <cellStyle name="40% - Accent3 8 3 5 2" xfId="23139"/>
    <cellStyle name="40% - Accent3 8 3 6" xfId="23140"/>
    <cellStyle name="40% - Accent3 8 4" xfId="23141"/>
    <cellStyle name="40% - Accent3 8 4 2" xfId="23142"/>
    <cellStyle name="40% - Accent3 8 4 2 2" xfId="23143"/>
    <cellStyle name="40% - Accent3 8 4 2 2 2" xfId="23144"/>
    <cellStyle name="40% - Accent3 8 4 2 3" xfId="23145"/>
    <cellStyle name="40% - Accent3 8 4 3" xfId="23146"/>
    <cellStyle name="40% - Accent3 8 4 3 2" xfId="23147"/>
    <cellStyle name="40% - Accent3 8 4 4" xfId="23148"/>
    <cellStyle name="40% - Accent3 8 5" xfId="23149"/>
    <cellStyle name="40% - Accent3 8 5 2" xfId="23150"/>
    <cellStyle name="40% - Accent3 8 5 2 2" xfId="23151"/>
    <cellStyle name="40% - Accent3 8 5 3" xfId="23152"/>
    <cellStyle name="40% - Accent3 8 6" xfId="23153"/>
    <cellStyle name="40% - Accent3 8 6 2" xfId="23154"/>
    <cellStyle name="40% - Accent3 8 7" xfId="23155"/>
    <cellStyle name="40% - Accent3 8 7 2" xfId="23156"/>
    <cellStyle name="40% - Accent3 8 8" xfId="23157"/>
    <cellStyle name="40% - Accent3 9" xfId="23158"/>
    <cellStyle name="40% - Accent3 9 2" xfId="23159"/>
    <cellStyle name="40% - Accent3 9 2 2" xfId="23160"/>
    <cellStyle name="40% - Accent3 9 2 2 2" xfId="23161"/>
    <cellStyle name="40% - Accent3 9 2 2 2 2" xfId="23162"/>
    <cellStyle name="40% - Accent3 9 2 2 3" xfId="23163"/>
    <cellStyle name="40% - Accent3 9 2 3" xfId="23164"/>
    <cellStyle name="40% - Accent3 9 2 3 2" xfId="23165"/>
    <cellStyle name="40% - Accent3 9 2 4" xfId="23166"/>
    <cellStyle name="40% - Accent3 9 3" xfId="23167"/>
    <cellStyle name="40% - Accent3 9 3 2" xfId="23168"/>
    <cellStyle name="40% - Accent3 9 3 2 2" xfId="23169"/>
    <cellStyle name="40% - Accent3 9 3 3" xfId="23170"/>
    <cellStyle name="40% - Accent3 9 4" xfId="23171"/>
    <cellStyle name="40% - Accent3 9 4 2" xfId="23172"/>
    <cellStyle name="40% - Accent3 9 5" xfId="23173"/>
    <cellStyle name="40% - Accent3 9 5 2" xfId="23174"/>
    <cellStyle name="40% - Accent3 9 6" xfId="23175"/>
    <cellStyle name="40% - Accent4 10" xfId="23176"/>
    <cellStyle name="40% - Accent4 10 2" xfId="23177"/>
    <cellStyle name="40% - Accent4 10 2 2" xfId="23178"/>
    <cellStyle name="40% - Accent4 10 2 2 2" xfId="23179"/>
    <cellStyle name="40% - Accent4 10 2 2 2 2" xfId="23180"/>
    <cellStyle name="40% - Accent4 10 2 2 3" xfId="23181"/>
    <cellStyle name="40% - Accent4 10 2 3" xfId="23182"/>
    <cellStyle name="40% - Accent4 10 2 3 2" xfId="23183"/>
    <cellStyle name="40% - Accent4 10 2 4" xfId="23184"/>
    <cellStyle name="40% - Accent4 10 3" xfId="23185"/>
    <cellStyle name="40% - Accent4 10 3 2" xfId="23186"/>
    <cellStyle name="40% - Accent4 10 3 2 2" xfId="23187"/>
    <cellStyle name="40% - Accent4 10 3 3" xfId="23188"/>
    <cellStyle name="40% - Accent4 10 4" xfId="23189"/>
    <cellStyle name="40% - Accent4 10 4 2" xfId="23190"/>
    <cellStyle name="40% - Accent4 10 5" xfId="23191"/>
    <cellStyle name="40% - Accent4 10 5 2" xfId="23192"/>
    <cellStyle name="40% - Accent4 10 6" xfId="23193"/>
    <cellStyle name="40% - Accent4 11" xfId="23194"/>
    <cellStyle name="40% - Accent4 11 2" xfId="23195"/>
    <cellStyle name="40% - Accent4 11 2 2" xfId="23196"/>
    <cellStyle name="40% - Accent4 11 2 2 2" xfId="23197"/>
    <cellStyle name="40% - Accent4 11 2 2 2 2" xfId="23198"/>
    <cellStyle name="40% - Accent4 11 2 2 3" xfId="23199"/>
    <cellStyle name="40% - Accent4 11 2 3" xfId="23200"/>
    <cellStyle name="40% - Accent4 11 2 3 2" xfId="23201"/>
    <cellStyle name="40% - Accent4 11 2 4" xfId="23202"/>
    <cellStyle name="40% - Accent4 11 3" xfId="23203"/>
    <cellStyle name="40% - Accent4 11 3 2" xfId="23204"/>
    <cellStyle name="40% - Accent4 11 3 2 2" xfId="23205"/>
    <cellStyle name="40% - Accent4 11 3 3" xfId="23206"/>
    <cellStyle name="40% - Accent4 11 4" xfId="23207"/>
    <cellStyle name="40% - Accent4 11 4 2" xfId="23208"/>
    <cellStyle name="40% - Accent4 11 5" xfId="23209"/>
    <cellStyle name="40% - Accent4 11 5 2" xfId="23210"/>
    <cellStyle name="40% - Accent4 11 6" xfId="23211"/>
    <cellStyle name="40% - Accent4 12" xfId="23212"/>
    <cellStyle name="40% - Accent4 12 2" xfId="23213"/>
    <cellStyle name="40% - Accent4 12 2 2" xfId="23214"/>
    <cellStyle name="40% - Accent4 12 2 2 2" xfId="23215"/>
    <cellStyle name="40% - Accent4 12 2 2 2 2" xfId="23216"/>
    <cellStyle name="40% - Accent4 12 2 2 3" xfId="23217"/>
    <cellStyle name="40% - Accent4 12 2 3" xfId="23218"/>
    <cellStyle name="40% - Accent4 12 2 3 2" xfId="23219"/>
    <cellStyle name="40% - Accent4 12 2 4" xfId="23220"/>
    <cellStyle name="40% - Accent4 12 3" xfId="23221"/>
    <cellStyle name="40% - Accent4 12 3 2" xfId="23222"/>
    <cellStyle name="40% - Accent4 12 3 2 2" xfId="23223"/>
    <cellStyle name="40% - Accent4 12 3 3" xfId="23224"/>
    <cellStyle name="40% - Accent4 12 4" xfId="23225"/>
    <cellStyle name="40% - Accent4 12 4 2" xfId="23226"/>
    <cellStyle name="40% - Accent4 12 5" xfId="23227"/>
    <cellStyle name="40% - Accent4 12 5 2" xfId="23228"/>
    <cellStyle name="40% - Accent4 12 6" xfId="23229"/>
    <cellStyle name="40% - Accent4 13" xfId="23230"/>
    <cellStyle name="40% - Accent4 13 2" xfId="23231"/>
    <cellStyle name="40% - Accent4 13 2 2" xfId="23232"/>
    <cellStyle name="40% - Accent4 13 2 2 2" xfId="23233"/>
    <cellStyle name="40% - Accent4 13 2 2 2 2" xfId="23234"/>
    <cellStyle name="40% - Accent4 13 2 2 3" xfId="23235"/>
    <cellStyle name="40% - Accent4 13 2 3" xfId="23236"/>
    <cellStyle name="40% - Accent4 13 2 3 2" xfId="23237"/>
    <cellStyle name="40% - Accent4 13 2 4" xfId="23238"/>
    <cellStyle name="40% - Accent4 13 3" xfId="23239"/>
    <cellStyle name="40% - Accent4 13 3 2" xfId="23240"/>
    <cellStyle name="40% - Accent4 13 3 2 2" xfId="23241"/>
    <cellStyle name="40% - Accent4 13 3 3" xfId="23242"/>
    <cellStyle name="40% - Accent4 13 4" xfId="23243"/>
    <cellStyle name="40% - Accent4 13 4 2" xfId="23244"/>
    <cellStyle name="40% - Accent4 13 5" xfId="23245"/>
    <cellStyle name="40% - Accent4 13 5 2" xfId="23246"/>
    <cellStyle name="40% - Accent4 13 6" xfId="23247"/>
    <cellStyle name="40% - Accent4 14" xfId="23248"/>
    <cellStyle name="40% - Accent4 14 2" xfId="23249"/>
    <cellStyle name="40% - Accent4 14 2 2" xfId="23250"/>
    <cellStyle name="40% - Accent4 14 2 2 2" xfId="23251"/>
    <cellStyle name="40% - Accent4 14 2 3" xfId="23252"/>
    <cellStyle name="40% - Accent4 14 3" xfId="23253"/>
    <cellStyle name="40% - Accent4 14 3 2" xfId="23254"/>
    <cellStyle name="40% - Accent4 14 4" xfId="23255"/>
    <cellStyle name="40% - Accent4 15" xfId="23256"/>
    <cellStyle name="40% - Accent4 15 2" xfId="23257"/>
    <cellStyle name="40% - Accent4 15 2 2" xfId="23258"/>
    <cellStyle name="40% - Accent4 15 3" xfId="23259"/>
    <cellStyle name="40% - Accent4 16" xfId="23260"/>
    <cellStyle name="40% - Accent4 16 2" xfId="23261"/>
    <cellStyle name="40% - Accent4 17" xfId="23262"/>
    <cellStyle name="40% - Accent4 17 2" xfId="23263"/>
    <cellStyle name="40% - Accent4 18" xfId="23264"/>
    <cellStyle name="40% - Accent4 2" xfId="23265"/>
    <cellStyle name="40% - Accent4 2 2" xfId="23266"/>
    <cellStyle name="40% - Accent4 3" xfId="23267"/>
    <cellStyle name="40% - Accent4 3 10" xfId="23268"/>
    <cellStyle name="40% - Accent4 3 10 2" xfId="23269"/>
    <cellStyle name="40% - Accent4 3 10 2 2" xfId="23270"/>
    <cellStyle name="40% - Accent4 3 10 2 2 2" xfId="23271"/>
    <cellStyle name="40% - Accent4 3 10 2 2 2 2" xfId="23272"/>
    <cellStyle name="40% - Accent4 3 10 2 2 3" xfId="23273"/>
    <cellStyle name="40% - Accent4 3 10 2 3" xfId="23274"/>
    <cellStyle name="40% - Accent4 3 10 2 3 2" xfId="23275"/>
    <cellStyle name="40% - Accent4 3 10 2 4" xfId="23276"/>
    <cellStyle name="40% - Accent4 3 10 3" xfId="23277"/>
    <cellStyle name="40% - Accent4 3 10 3 2" xfId="23278"/>
    <cellStyle name="40% - Accent4 3 10 3 2 2" xfId="23279"/>
    <cellStyle name="40% - Accent4 3 10 3 3" xfId="23280"/>
    <cellStyle name="40% - Accent4 3 10 4" xfId="23281"/>
    <cellStyle name="40% - Accent4 3 10 4 2" xfId="23282"/>
    <cellStyle name="40% - Accent4 3 10 5" xfId="23283"/>
    <cellStyle name="40% - Accent4 3 10 5 2" xfId="23284"/>
    <cellStyle name="40% - Accent4 3 10 6" xfId="23285"/>
    <cellStyle name="40% - Accent4 3 11" xfId="23286"/>
    <cellStyle name="40% - Accent4 3 11 2" xfId="23287"/>
    <cellStyle name="40% - Accent4 3 11 2 2" xfId="23288"/>
    <cellStyle name="40% - Accent4 3 11 2 2 2" xfId="23289"/>
    <cellStyle name="40% - Accent4 3 11 2 2 2 2" xfId="23290"/>
    <cellStyle name="40% - Accent4 3 11 2 2 3" xfId="23291"/>
    <cellStyle name="40% - Accent4 3 11 2 3" xfId="23292"/>
    <cellStyle name="40% - Accent4 3 11 2 3 2" xfId="23293"/>
    <cellStyle name="40% - Accent4 3 11 2 4" xfId="23294"/>
    <cellStyle name="40% - Accent4 3 11 3" xfId="23295"/>
    <cellStyle name="40% - Accent4 3 11 3 2" xfId="23296"/>
    <cellStyle name="40% - Accent4 3 11 3 2 2" xfId="23297"/>
    <cellStyle name="40% - Accent4 3 11 3 3" xfId="23298"/>
    <cellStyle name="40% - Accent4 3 11 4" xfId="23299"/>
    <cellStyle name="40% - Accent4 3 11 4 2" xfId="23300"/>
    <cellStyle name="40% - Accent4 3 11 5" xfId="23301"/>
    <cellStyle name="40% - Accent4 3 11 5 2" xfId="23302"/>
    <cellStyle name="40% - Accent4 3 11 6" xfId="23303"/>
    <cellStyle name="40% - Accent4 3 12" xfId="23304"/>
    <cellStyle name="40% - Accent4 3 12 2" xfId="23305"/>
    <cellStyle name="40% - Accent4 3 12 2 2" xfId="23306"/>
    <cellStyle name="40% - Accent4 3 12 2 2 2" xfId="23307"/>
    <cellStyle name="40% - Accent4 3 12 2 3" xfId="23308"/>
    <cellStyle name="40% - Accent4 3 12 3" xfId="23309"/>
    <cellStyle name="40% - Accent4 3 12 3 2" xfId="23310"/>
    <cellStyle name="40% - Accent4 3 12 4" xfId="23311"/>
    <cellStyle name="40% - Accent4 3 13" xfId="23312"/>
    <cellStyle name="40% - Accent4 3 13 2" xfId="23313"/>
    <cellStyle name="40% - Accent4 3 13 2 2" xfId="23314"/>
    <cellStyle name="40% - Accent4 3 13 3" xfId="23315"/>
    <cellStyle name="40% - Accent4 3 13 4" xfId="23316"/>
    <cellStyle name="40% - Accent4 3 14" xfId="23317"/>
    <cellStyle name="40% - Accent4 3 14 2" xfId="23318"/>
    <cellStyle name="40% - Accent4 3 15" xfId="23319"/>
    <cellStyle name="40% - Accent4 3 15 2" xfId="23320"/>
    <cellStyle name="40% - Accent4 3 16" xfId="23321"/>
    <cellStyle name="40% - Accent4 3 2" xfId="23322"/>
    <cellStyle name="40% - Accent4 3 2 10" xfId="23323"/>
    <cellStyle name="40% - Accent4 3 2 10 2" xfId="23324"/>
    <cellStyle name="40% - Accent4 3 2 10 2 2" xfId="23325"/>
    <cellStyle name="40% - Accent4 3 2 10 2 2 2" xfId="23326"/>
    <cellStyle name="40% - Accent4 3 2 10 2 2 2 2" xfId="23327"/>
    <cellStyle name="40% - Accent4 3 2 10 2 2 3" xfId="23328"/>
    <cellStyle name="40% - Accent4 3 2 10 2 3" xfId="23329"/>
    <cellStyle name="40% - Accent4 3 2 10 2 3 2" xfId="23330"/>
    <cellStyle name="40% - Accent4 3 2 10 2 4" xfId="23331"/>
    <cellStyle name="40% - Accent4 3 2 10 3" xfId="23332"/>
    <cellStyle name="40% - Accent4 3 2 10 3 2" xfId="23333"/>
    <cellStyle name="40% - Accent4 3 2 10 3 2 2" xfId="23334"/>
    <cellStyle name="40% - Accent4 3 2 10 3 3" xfId="23335"/>
    <cellStyle name="40% - Accent4 3 2 10 4" xfId="23336"/>
    <cellStyle name="40% - Accent4 3 2 10 4 2" xfId="23337"/>
    <cellStyle name="40% - Accent4 3 2 10 5" xfId="23338"/>
    <cellStyle name="40% - Accent4 3 2 10 5 2" xfId="23339"/>
    <cellStyle name="40% - Accent4 3 2 10 6" xfId="23340"/>
    <cellStyle name="40% - Accent4 3 2 11" xfId="23341"/>
    <cellStyle name="40% - Accent4 3 2 11 2" xfId="23342"/>
    <cellStyle name="40% - Accent4 3 2 11 2 2" xfId="23343"/>
    <cellStyle name="40% - Accent4 3 2 11 2 2 2" xfId="23344"/>
    <cellStyle name="40% - Accent4 3 2 11 2 3" xfId="23345"/>
    <cellStyle name="40% - Accent4 3 2 11 3" xfId="23346"/>
    <cellStyle name="40% - Accent4 3 2 11 3 2" xfId="23347"/>
    <cellStyle name="40% - Accent4 3 2 11 4" xfId="23348"/>
    <cellStyle name="40% - Accent4 3 2 12" xfId="23349"/>
    <cellStyle name="40% - Accent4 3 2 12 2" xfId="23350"/>
    <cellStyle name="40% - Accent4 3 2 12 2 2" xfId="23351"/>
    <cellStyle name="40% - Accent4 3 2 12 3" xfId="23352"/>
    <cellStyle name="40% - Accent4 3 2 13" xfId="23353"/>
    <cellStyle name="40% - Accent4 3 2 13 2" xfId="23354"/>
    <cellStyle name="40% - Accent4 3 2 14" xfId="23355"/>
    <cellStyle name="40% - Accent4 3 2 14 2" xfId="23356"/>
    <cellStyle name="40% - Accent4 3 2 15" xfId="23357"/>
    <cellStyle name="40% - Accent4 3 2 2" xfId="23358"/>
    <cellStyle name="40% - Accent4 3 2 2 10" xfId="23359"/>
    <cellStyle name="40% - Accent4 3 2 2 10 2" xfId="23360"/>
    <cellStyle name="40% - Accent4 3 2 2 11" xfId="23361"/>
    <cellStyle name="40% - Accent4 3 2 2 2" xfId="23362"/>
    <cellStyle name="40% - Accent4 3 2 2 2 2" xfId="23363"/>
    <cellStyle name="40% - Accent4 3 2 2 2 2 2" xfId="23364"/>
    <cellStyle name="40% - Accent4 3 2 2 2 2 2 2" xfId="23365"/>
    <cellStyle name="40% - Accent4 3 2 2 2 2 2 2 2" xfId="23366"/>
    <cellStyle name="40% - Accent4 3 2 2 2 2 2 2 2 2" xfId="23367"/>
    <cellStyle name="40% - Accent4 3 2 2 2 2 2 2 3" xfId="23368"/>
    <cellStyle name="40% - Accent4 3 2 2 2 2 2 3" xfId="23369"/>
    <cellStyle name="40% - Accent4 3 2 2 2 2 2 3 2" xfId="23370"/>
    <cellStyle name="40% - Accent4 3 2 2 2 2 2 4" xfId="23371"/>
    <cellStyle name="40% - Accent4 3 2 2 2 2 3" xfId="23372"/>
    <cellStyle name="40% - Accent4 3 2 2 2 2 3 2" xfId="23373"/>
    <cellStyle name="40% - Accent4 3 2 2 2 2 3 2 2" xfId="23374"/>
    <cellStyle name="40% - Accent4 3 2 2 2 2 3 3" xfId="23375"/>
    <cellStyle name="40% - Accent4 3 2 2 2 2 4" xfId="23376"/>
    <cellStyle name="40% - Accent4 3 2 2 2 2 4 2" xfId="23377"/>
    <cellStyle name="40% - Accent4 3 2 2 2 2 5" xfId="23378"/>
    <cellStyle name="40% - Accent4 3 2 2 2 2 5 2" xfId="23379"/>
    <cellStyle name="40% - Accent4 3 2 2 2 2 6" xfId="23380"/>
    <cellStyle name="40% - Accent4 3 2 2 2 3" xfId="23381"/>
    <cellStyle name="40% - Accent4 3 2 2 2 3 2" xfId="23382"/>
    <cellStyle name="40% - Accent4 3 2 2 2 3 2 2" xfId="23383"/>
    <cellStyle name="40% - Accent4 3 2 2 2 3 2 2 2" xfId="23384"/>
    <cellStyle name="40% - Accent4 3 2 2 2 3 2 2 2 2" xfId="23385"/>
    <cellStyle name="40% - Accent4 3 2 2 2 3 2 2 3" xfId="23386"/>
    <cellStyle name="40% - Accent4 3 2 2 2 3 2 3" xfId="23387"/>
    <cellStyle name="40% - Accent4 3 2 2 2 3 2 3 2" xfId="23388"/>
    <cellStyle name="40% - Accent4 3 2 2 2 3 2 4" xfId="23389"/>
    <cellStyle name="40% - Accent4 3 2 2 2 3 3" xfId="23390"/>
    <cellStyle name="40% - Accent4 3 2 2 2 3 3 2" xfId="23391"/>
    <cellStyle name="40% - Accent4 3 2 2 2 3 3 2 2" xfId="23392"/>
    <cellStyle name="40% - Accent4 3 2 2 2 3 3 3" xfId="23393"/>
    <cellStyle name="40% - Accent4 3 2 2 2 3 4" xfId="23394"/>
    <cellStyle name="40% - Accent4 3 2 2 2 3 4 2" xfId="23395"/>
    <cellStyle name="40% - Accent4 3 2 2 2 3 5" xfId="23396"/>
    <cellStyle name="40% - Accent4 3 2 2 2 3 5 2" xfId="23397"/>
    <cellStyle name="40% - Accent4 3 2 2 2 3 6" xfId="23398"/>
    <cellStyle name="40% - Accent4 3 2 2 2 4" xfId="23399"/>
    <cellStyle name="40% - Accent4 3 2 2 2 4 2" xfId="23400"/>
    <cellStyle name="40% - Accent4 3 2 2 2 4 2 2" xfId="23401"/>
    <cellStyle name="40% - Accent4 3 2 2 2 4 2 2 2" xfId="23402"/>
    <cellStyle name="40% - Accent4 3 2 2 2 4 2 3" xfId="23403"/>
    <cellStyle name="40% - Accent4 3 2 2 2 4 3" xfId="23404"/>
    <cellStyle name="40% - Accent4 3 2 2 2 4 3 2" xfId="23405"/>
    <cellStyle name="40% - Accent4 3 2 2 2 4 4" xfId="23406"/>
    <cellStyle name="40% - Accent4 3 2 2 2 5" xfId="23407"/>
    <cellStyle name="40% - Accent4 3 2 2 2 5 2" xfId="23408"/>
    <cellStyle name="40% - Accent4 3 2 2 2 5 2 2" xfId="23409"/>
    <cellStyle name="40% - Accent4 3 2 2 2 5 3" xfId="23410"/>
    <cellStyle name="40% - Accent4 3 2 2 2 6" xfId="23411"/>
    <cellStyle name="40% - Accent4 3 2 2 2 6 2" xfId="23412"/>
    <cellStyle name="40% - Accent4 3 2 2 2 7" xfId="23413"/>
    <cellStyle name="40% - Accent4 3 2 2 2 7 2" xfId="23414"/>
    <cellStyle name="40% - Accent4 3 2 2 2 8" xfId="23415"/>
    <cellStyle name="40% - Accent4 3 2 2 3" xfId="23416"/>
    <cellStyle name="40% - Accent4 3 2 2 3 2" xfId="23417"/>
    <cellStyle name="40% - Accent4 3 2 2 3 2 2" xfId="23418"/>
    <cellStyle name="40% - Accent4 3 2 2 3 2 2 2" xfId="23419"/>
    <cellStyle name="40% - Accent4 3 2 2 3 2 2 2 2" xfId="23420"/>
    <cellStyle name="40% - Accent4 3 2 2 3 2 2 2 2 2" xfId="23421"/>
    <cellStyle name="40% - Accent4 3 2 2 3 2 2 2 3" xfId="23422"/>
    <cellStyle name="40% - Accent4 3 2 2 3 2 2 3" xfId="23423"/>
    <cellStyle name="40% - Accent4 3 2 2 3 2 2 3 2" xfId="23424"/>
    <cellStyle name="40% - Accent4 3 2 2 3 2 2 4" xfId="23425"/>
    <cellStyle name="40% - Accent4 3 2 2 3 2 3" xfId="23426"/>
    <cellStyle name="40% - Accent4 3 2 2 3 2 3 2" xfId="23427"/>
    <cellStyle name="40% - Accent4 3 2 2 3 2 3 2 2" xfId="23428"/>
    <cellStyle name="40% - Accent4 3 2 2 3 2 3 3" xfId="23429"/>
    <cellStyle name="40% - Accent4 3 2 2 3 2 4" xfId="23430"/>
    <cellStyle name="40% - Accent4 3 2 2 3 2 4 2" xfId="23431"/>
    <cellStyle name="40% - Accent4 3 2 2 3 2 5" xfId="23432"/>
    <cellStyle name="40% - Accent4 3 2 2 3 2 5 2" xfId="23433"/>
    <cellStyle name="40% - Accent4 3 2 2 3 2 6" xfId="23434"/>
    <cellStyle name="40% - Accent4 3 2 2 3 3" xfId="23435"/>
    <cellStyle name="40% - Accent4 3 2 2 3 3 2" xfId="23436"/>
    <cellStyle name="40% - Accent4 3 2 2 3 3 2 2" xfId="23437"/>
    <cellStyle name="40% - Accent4 3 2 2 3 3 2 2 2" xfId="23438"/>
    <cellStyle name="40% - Accent4 3 2 2 3 3 2 2 2 2" xfId="23439"/>
    <cellStyle name="40% - Accent4 3 2 2 3 3 2 2 3" xfId="23440"/>
    <cellStyle name="40% - Accent4 3 2 2 3 3 2 3" xfId="23441"/>
    <cellStyle name="40% - Accent4 3 2 2 3 3 2 3 2" xfId="23442"/>
    <cellStyle name="40% - Accent4 3 2 2 3 3 2 4" xfId="23443"/>
    <cellStyle name="40% - Accent4 3 2 2 3 3 3" xfId="23444"/>
    <cellStyle name="40% - Accent4 3 2 2 3 3 3 2" xfId="23445"/>
    <cellStyle name="40% - Accent4 3 2 2 3 3 3 2 2" xfId="23446"/>
    <cellStyle name="40% - Accent4 3 2 2 3 3 3 3" xfId="23447"/>
    <cellStyle name="40% - Accent4 3 2 2 3 3 4" xfId="23448"/>
    <cellStyle name="40% - Accent4 3 2 2 3 3 4 2" xfId="23449"/>
    <cellStyle name="40% - Accent4 3 2 2 3 3 5" xfId="23450"/>
    <cellStyle name="40% - Accent4 3 2 2 3 3 5 2" xfId="23451"/>
    <cellStyle name="40% - Accent4 3 2 2 3 3 6" xfId="23452"/>
    <cellStyle name="40% - Accent4 3 2 2 3 4" xfId="23453"/>
    <cellStyle name="40% - Accent4 3 2 2 3 4 2" xfId="23454"/>
    <cellStyle name="40% - Accent4 3 2 2 3 4 2 2" xfId="23455"/>
    <cellStyle name="40% - Accent4 3 2 2 3 4 2 2 2" xfId="23456"/>
    <cellStyle name="40% - Accent4 3 2 2 3 4 2 3" xfId="23457"/>
    <cellStyle name="40% - Accent4 3 2 2 3 4 3" xfId="23458"/>
    <cellStyle name="40% - Accent4 3 2 2 3 4 3 2" xfId="23459"/>
    <cellStyle name="40% - Accent4 3 2 2 3 4 4" xfId="23460"/>
    <cellStyle name="40% - Accent4 3 2 2 3 5" xfId="23461"/>
    <cellStyle name="40% - Accent4 3 2 2 3 5 2" xfId="23462"/>
    <cellStyle name="40% - Accent4 3 2 2 3 5 2 2" xfId="23463"/>
    <cellStyle name="40% - Accent4 3 2 2 3 5 3" xfId="23464"/>
    <cellStyle name="40% - Accent4 3 2 2 3 6" xfId="23465"/>
    <cellStyle name="40% - Accent4 3 2 2 3 6 2" xfId="23466"/>
    <cellStyle name="40% - Accent4 3 2 2 3 7" xfId="23467"/>
    <cellStyle name="40% - Accent4 3 2 2 3 7 2" xfId="23468"/>
    <cellStyle name="40% - Accent4 3 2 2 3 8" xfId="23469"/>
    <cellStyle name="40% - Accent4 3 2 2 4" xfId="23470"/>
    <cellStyle name="40% - Accent4 3 2 2 4 2" xfId="23471"/>
    <cellStyle name="40% - Accent4 3 2 2 4 2 2" xfId="23472"/>
    <cellStyle name="40% - Accent4 3 2 2 4 2 2 2" xfId="23473"/>
    <cellStyle name="40% - Accent4 3 2 2 4 2 2 2 2" xfId="23474"/>
    <cellStyle name="40% - Accent4 3 2 2 4 2 2 3" xfId="23475"/>
    <cellStyle name="40% - Accent4 3 2 2 4 2 3" xfId="23476"/>
    <cellStyle name="40% - Accent4 3 2 2 4 2 3 2" xfId="23477"/>
    <cellStyle name="40% - Accent4 3 2 2 4 2 4" xfId="23478"/>
    <cellStyle name="40% - Accent4 3 2 2 4 3" xfId="23479"/>
    <cellStyle name="40% - Accent4 3 2 2 4 3 2" xfId="23480"/>
    <cellStyle name="40% - Accent4 3 2 2 4 3 2 2" xfId="23481"/>
    <cellStyle name="40% - Accent4 3 2 2 4 3 3" xfId="23482"/>
    <cellStyle name="40% - Accent4 3 2 2 4 4" xfId="23483"/>
    <cellStyle name="40% - Accent4 3 2 2 4 4 2" xfId="23484"/>
    <cellStyle name="40% - Accent4 3 2 2 4 5" xfId="23485"/>
    <cellStyle name="40% - Accent4 3 2 2 4 5 2" xfId="23486"/>
    <cellStyle name="40% - Accent4 3 2 2 4 6" xfId="23487"/>
    <cellStyle name="40% - Accent4 3 2 2 5" xfId="23488"/>
    <cellStyle name="40% - Accent4 3 2 2 5 2" xfId="23489"/>
    <cellStyle name="40% - Accent4 3 2 2 5 2 2" xfId="23490"/>
    <cellStyle name="40% - Accent4 3 2 2 5 2 2 2" xfId="23491"/>
    <cellStyle name="40% - Accent4 3 2 2 5 2 2 2 2" xfId="23492"/>
    <cellStyle name="40% - Accent4 3 2 2 5 2 2 3" xfId="23493"/>
    <cellStyle name="40% - Accent4 3 2 2 5 2 3" xfId="23494"/>
    <cellStyle name="40% - Accent4 3 2 2 5 2 3 2" xfId="23495"/>
    <cellStyle name="40% - Accent4 3 2 2 5 2 4" xfId="23496"/>
    <cellStyle name="40% - Accent4 3 2 2 5 3" xfId="23497"/>
    <cellStyle name="40% - Accent4 3 2 2 5 3 2" xfId="23498"/>
    <cellStyle name="40% - Accent4 3 2 2 5 3 2 2" xfId="23499"/>
    <cellStyle name="40% - Accent4 3 2 2 5 3 3" xfId="23500"/>
    <cellStyle name="40% - Accent4 3 2 2 5 4" xfId="23501"/>
    <cellStyle name="40% - Accent4 3 2 2 5 4 2" xfId="23502"/>
    <cellStyle name="40% - Accent4 3 2 2 5 5" xfId="23503"/>
    <cellStyle name="40% - Accent4 3 2 2 5 5 2" xfId="23504"/>
    <cellStyle name="40% - Accent4 3 2 2 5 6" xfId="23505"/>
    <cellStyle name="40% - Accent4 3 2 2 6" xfId="23506"/>
    <cellStyle name="40% - Accent4 3 2 2 6 2" xfId="23507"/>
    <cellStyle name="40% - Accent4 3 2 2 6 2 2" xfId="23508"/>
    <cellStyle name="40% - Accent4 3 2 2 6 2 2 2" xfId="23509"/>
    <cellStyle name="40% - Accent4 3 2 2 6 2 2 2 2" xfId="23510"/>
    <cellStyle name="40% - Accent4 3 2 2 6 2 2 3" xfId="23511"/>
    <cellStyle name="40% - Accent4 3 2 2 6 2 3" xfId="23512"/>
    <cellStyle name="40% - Accent4 3 2 2 6 2 3 2" xfId="23513"/>
    <cellStyle name="40% - Accent4 3 2 2 6 2 4" xfId="23514"/>
    <cellStyle name="40% - Accent4 3 2 2 6 3" xfId="23515"/>
    <cellStyle name="40% - Accent4 3 2 2 6 3 2" xfId="23516"/>
    <cellStyle name="40% - Accent4 3 2 2 6 3 2 2" xfId="23517"/>
    <cellStyle name="40% - Accent4 3 2 2 6 3 3" xfId="23518"/>
    <cellStyle name="40% - Accent4 3 2 2 6 4" xfId="23519"/>
    <cellStyle name="40% - Accent4 3 2 2 6 4 2" xfId="23520"/>
    <cellStyle name="40% - Accent4 3 2 2 6 5" xfId="23521"/>
    <cellStyle name="40% - Accent4 3 2 2 6 5 2" xfId="23522"/>
    <cellStyle name="40% - Accent4 3 2 2 6 6" xfId="23523"/>
    <cellStyle name="40% - Accent4 3 2 2 7" xfId="23524"/>
    <cellStyle name="40% - Accent4 3 2 2 7 2" xfId="23525"/>
    <cellStyle name="40% - Accent4 3 2 2 7 2 2" xfId="23526"/>
    <cellStyle name="40% - Accent4 3 2 2 7 2 2 2" xfId="23527"/>
    <cellStyle name="40% - Accent4 3 2 2 7 2 3" xfId="23528"/>
    <cellStyle name="40% - Accent4 3 2 2 7 3" xfId="23529"/>
    <cellStyle name="40% - Accent4 3 2 2 7 3 2" xfId="23530"/>
    <cellStyle name="40% - Accent4 3 2 2 7 4" xfId="23531"/>
    <cellStyle name="40% - Accent4 3 2 2 8" xfId="23532"/>
    <cellStyle name="40% - Accent4 3 2 2 8 2" xfId="23533"/>
    <cellStyle name="40% - Accent4 3 2 2 8 2 2" xfId="23534"/>
    <cellStyle name="40% - Accent4 3 2 2 8 3" xfId="23535"/>
    <cellStyle name="40% - Accent4 3 2 2 9" xfId="23536"/>
    <cellStyle name="40% - Accent4 3 2 2 9 2" xfId="23537"/>
    <cellStyle name="40% - Accent4 3 2 3" xfId="23538"/>
    <cellStyle name="40% - Accent4 3 2 3 10" xfId="23539"/>
    <cellStyle name="40% - Accent4 3 2 3 10 2" xfId="23540"/>
    <cellStyle name="40% - Accent4 3 2 3 11" xfId="23541"/>
    <cellStyle name="40% - Accent4 3 2 3 2" xfId="23542"/>
    <cellStyle name="40% - Accent4 3 2 3 2 2" xfId="23543"/>
    <cellStyle name="40% - Accent4 3 2 3 2 2 2" xfId="23544"/>
    <cellStyle name="40% - Accent4 3 2 3 2 2 2 2" xfId="23545"/>
    <cellStyle name="40% - Accent4 3 2 3 2 2 2 2 2" xfId="23546"/>
    <cellStyle name="40% - Accent4 3 2 3 2 2 2 2 2 2" xfId="23547"/>
    <cellStyle name="40% - Accent4 3 2 3 2 2 2 2 3" xfId="23548"/>
    <cellStyle name="40% - Accent4 3 2 3 2 2 2 3" xfId="23549"/>
    <cellStyle name="40% - Accent4 3 2 3 2 2 2 3 2" xfId="23550"/>
    <cellStyle name="40% - Accent4 3 2 3 2 2 2 4" xfId="23551"/>
    <cellStyle name="40% - Accent4 3 2 3 2 2 3" xfId="23552"/>
    <cellStyle name="40% - Accent4 3 2 3 2 2 3 2" xfId="23553"/>
    <cellStyle name="40% - Accent4 3 2 3 2 2 3 2 2" xfId="23554"/>
    <cellStyle name="40% - Accent4 3 2 3 2 2 3 3" xfId="23555"/>
    <cellStyle name="40% - Accent4 3 2 3 2 2 4" xfId="23556"/>
    <cellStyle name="40% - Accent4 3 2 3 2 2 4 2" xfId="23557"/>
    <cellStyle name="40% - Accent4 3 2 3 2 2 5" xfId="23558"/>
    <cellStyle name="40% - Accent4 3 2 3 2 2 5 2" xfId="23559"/>
    <cellStyle name="40% - Accent4 3 2 3 2 2 6" xfId="23560"/>
    <cellStyle name="40% - Accent4 3 2 3 2 3" xfId="23561"/>
    <cellStyle name="40% - Accent4 3 2 3 2 3 2" xfId="23562"/>
    <cellStyle name="40% - Accent4 3 2 3 2 3 2 2" xfId="23563"/>
    <cellStyle name="40% - Accent4 3 2 3 2 3 2 2 2" xfId="23564"/>
    <cellStyle name="40% - Accent4 3 2 3 2 3 2 2 2 2" xfId="23565"/>
    <cellStyle name="40% - Accent4 3 2 3 2 3 2 2 3" xfId="23566"/>
    <cellStyle name="40% - Accent4 3 2 3 2 3 2 3" xfId="23567"/>
    <cellStyle name="40% - Accent4 3 2 3 2 3 2 3 2" xfId="23568"/>
    <cellStyle name="40% - Accent4 3 2 3 2 3 2 4" xfId="23569"/>
    <cellStyle name="40% - Accent4 3 2 3 2 3 3" xfId="23570"/>
    <cellStyle name="40% - Accent4 3 2 3 2 3 3 2" xfId="23571"/>
    <cellStyle name="40% - Accent4 3 2 3 2 3 3 2 2" xfId="23572"/>
    <cellStyle name="40% - Accent4 3 2 3 2 3 3 3" xfId="23573"/>
    <cellStyle name="40% - Accent4 3 2 3 2 3 4" xfId="23574"/>
    <cellStyle name="40% - Accent4 3 2 3 2 3 4 2" xfId="23575"/>
    <cellStyle name="40% - Accent4 3 2 3 2 3 5" xfId="23576"/>
    <cellStyle name="40% - Accent4 3 2 3 2 3 5 2" xfId="23577"/>
    <cellStyle name="40% - Accent4 3 2 3 2 3 6" xfId="23578"/>
    <cellStyle name="40% - Accent4 3 2 3 2 4" xfId="23579"/>
    <cellStyle name="40% - Accent4 3 2 3 2 4 2" xfId="23580"/>
    <cellStyle name="40% - Accent4 3 2 3 2 4 2 2" xfId="23581"/>
    <cellStyle name="40% - Accent4 3 2 3 2 4 2 2 2" xfId="23582"/>
    <cellStyle name="40% - Accent4 3 2 3 2 4 2 3" xfId="23583"/>
    <cellStyle name="40% - Accent4 3 2 3 2 4 3" xfId="23584"/>
    <cellStyle name="40% - Accent4 3 2 3 2 4 3 2" xfId="23585"/>
    <cellStyle name="40% - Accent4 3 2 3 2 4 4" xfId="23586"/>
    <cellStyle name="40% - Accent4 3 2 3 2 5" xfId="23587"/>
    <cellStyle name="40% - Accent4 3 2 3 2 5 2" xfId="23588"/>
    <cellStyle name="40% - Accent4 3 2 3 2 5 2 2" xfId="23589"/>
    <cellStyle name="40% - Accent4 3 2 3 2 5 3" xfId="23590"/>
    <cellStyle name="40% - Accent4 3 2 3 2 6" xfId="23591"/>
    <cellStyle name="40% - Accent4 3 2 3 2 6 2" xfId="23592"/>
    <cellStyle name="40% - Accent4 3 2 3 2 7" xfId="23593"/>
    <cellStyle name="40% - Accent4 3 2 3 2 7 2" xfId="23594"/>
    <cellStyle name="40% - Accent4 3 2 3 2 8" xfId="23595"/>
    <cellStyle name="40% - Accent4 3 2 3 3" xfId="23596"/>
    <cellStyle name="40% - Accent4 3 2 3 3 2" xfId="23597"/>
    <cellStyle name="40% - Accent4 3 2 3 3 2 2" xfId="23598"/>
    <cellStyle name="40% - Accent4 3 2 3 3 2 2 2" xfId="23599"/>
    <cellStyle name="40% - Accent4 3 2 3 3 2 2 2 2" xfId="23600"/>
    <cellStyle name="40% - Accent4 3 2 3 3 2 2 2 2 2" xfId="23601"/>
    <cellStyle name="40% - Accent4 3 2 3 3 2 2 2 3" xfId="23602"/>
    <cellStyle name="40% - Accent4 3 2 3 3 2 2 3" xfId="23603"/>
    <cellStyle name="40% - Accent4 3 2 3 3 2 2 3 2" xfId="23604"/>
    <cellStyle name="40% - Accent4 3 2 3 3 2 2 4" xfId="23605"/>
    <cellStyle name="40% - Accent4 3 2 3 3 2 3" xfId="23606"/>
    <cellStyle name="40% - Accent4 3 2 3 3 2 3 2" xfId="23607"/>
    <cellStyle name="40% - Accent4 3 2 3 3 2 3 2 2" xfId="23608"/>
    <cellStyle name="40% - Accent4 3 2 3 3 2 3 3" xfId="23609"/>
    <cellStyle name="40% - Accent4 3 2 3 3 2 4" xfId="23610"/>
    <cellStyle name="40% - Accent4 3 2 3 3 2 4 2" xfId="23611"/>
    <cellStyle name="40% - Accent4 3 2 3 3 2 5" xfId="23612"/>
    <cellStyle name="40% - Accent4 3 2 3 3 2 5 2" xfId="23613"/>
    <cellStyle name="40% - Accent4 3 2 3 3 2 6" xfId="23614"/>
    <cellStyle name="40% - Accent4 3 2 3 3 3" xfId="23615"/>
    <cellStyle name="40% - Accent4 3 2 3 3 3 2" xfId="23616"/>
    <cellStyle name="40% - Accent4 3 2 3 3 3 2 2" xfId="23617"/>
    <cellStyle name="40% - Accent4 3 2 3 3 3 2 2 2" xfId="23618"/>
    <cellStyle name="40% - Accent4 3 2 3 3 3 2 2 2 2" xfId="23619"/>
    <cellStyle name="40% - Accent4 3 2 3 3 3 2 2 3" xfId="23620"/>
    <cellStyle name="40% - Accent4 3 2 3 3 3 2 3" xfId="23621"/>
    <cellStyle name="40% - Accent4 3 2 3 3 3 2 3 2" xfId="23622"/>
    <cellStyle name="40% - Accent4 3 2 3 3 3 2 4" xfId="23623"/>
    <cellStyle name="40% - Accent4 3 2 3 3 3 3" xfId="23624"/>
    <cellStyle name="40% - Accent4 3 2 3 3 3 3 2" xfId="23625"/>
    <cellStyle name="40% - Accent4 3 2 3 3 3 3 2 2" xfId="23626"/>
    <cellStyle name="40% - Accent4 3 2 3 3 3 3 3" xfId="23627"/>
    <cellStyle name="40% - Accent4 3 2 3 3 3 4" xfId="23628"/>
    <cellStyle name="40% - Accent4 3 2 3 3 3 4 2" xfId="23629"/>
    <cellStyle name="40% - Accent4 3 2 3 3 3 5" xfId="23630"/>
    <cellStyle name="40% - Accent4 3 2 3 3 3 5 2" xfId="23631"/>
    <cellStyle name="40% - Accent4 3 2 3 3 3 6" xfId="23632"/>
    <cellStyle name="40% - Accent4 3 2 3 3 4" xfId="23633"/>
    <cellStyle name="40% - Accent4 3 2 3 3 4 2" xfId="23634"/>
    <cellStyle name="40% - Accent4 3 2 3 3 4 2 2" xfId="23635"/>
    <cellStyle name="40% - Accent4 3 2 3 3 4 2 2 2" xfId="23636"/>
    <cellStyle name="40% - Accent4 3 2 3 3 4 2 3" xfId="23637"/>
    <cellStyle name="40% - Accent4 3 2 3 3 4 3" xfId="23638"/>
    <cellStyle name="40% - Accent4 3 2 3 3 4 3 2" xfId="23639"/>
    <cellStyle name="40% - Accent4 3 2 3 3 4 4" xfId="23640"/>
    <cellStyle name="40% - Accent4 3 2 3 3 5" xfId="23641"/>
    <cellStyle name="40% - Accent4 3 2 3 3 5 2" xfId="23642"/>
    <cellStyle name="40% - Accent4 3 2 3 3 5 2 2" xfId="23643"/>
    <cellStyle name="40% - Accent4 3 2 3 3 5 3" xfId="23644"/>
    <cellStyle name="40% - Accent4 3 2 3 3 6" xfId="23645"/>
    <cellStyle name="40% - Accent4 3 2 3 3 6 2" xfId="23646"/>
    <cellStyle name="40% - Accent4 3 2 3 3 7" xfId="23647"/>
    <cellStyle name="40% - Accent4 3 2 3 3 7 2" xfId="23648"/>
    <cellStyle name="40% - Accent4 3 2 3 3 8" xfId="23649"/>
    <cellStyle name="40% - Accent4 3 2 3 4" xfId="23650"/>
    <cellStyle name="40% - Accent4 3 2 3 4 2" xfId="23651"/>
    <cellStyle name="40% - Accent4 3 2 3 4 2 2" xfId="23652"/>
    <cellStyle name="40% - Accent4 3 2 3 4 2 2 2" xfId="23653"/>
    <cellStyle name="40% - Accent4 3 2 3 4 2 2 2 2" xfId="23654"/>
    <cellStyle name="40% - Accent4 3 2 3 4 2 2 3" xfId="23655"/>
    <cellStyle name="40% - Accent4 3 2 3 4 2 3" xfId="23656"/>
    <cellStyle name="40% - Accent4 3 2 3 4 2 3 2" xfId="23657"/>
    <cellStyle name="40% - Accent4 3 2 3 4 2 4" xfId="23658"/>
    <cellStyle name="40% - Accent4 3 2 3 4 3" xfId="23659"/>
    <cellStyle name="40% - Accent4 3 2 3 4 3 2" xfId="23660"/>
    <cellStyle name="40% - Accent4 3 2 3 4 3 2 2" xfId="23661"/>
    <cellStyle name="40% - Accent4 3 2 3 4 3 3" xfId="23662"/>
    <cellStyle name="40% - Accent4 3 2 3 4 4" xfId="23663"/>
    <cellStyle name="40% - Accent4 3 2 3 4 4 2" xfId="23664"/>
    <cellStyle name="40% - Accent4 3 2 3 4 5" xfId="23665"/>
    <cellStyle name="40% - Accent4 3 2 3 4 5 2" xfId="23666"/>
    <cellStyle name="40% - Accent4 3 2 3 4 6" xfId="23667"/>
    <cellStyle name="40% - Accent4 3 2 3 5" xfId="23668"/>
    <cellStyle name="40% - Accent4 3 2 3 5 2" xfId="23669"/>
    <cellStyle name="40% - Accent4 3 2 3 5 2 2" xfId="23670"/>
    <cellStyle name="40% - Accent4 3 2 3 5 2 2 2" xfId="23671"/>
    <cellStyle name="40% - Accent4 3 2 3 5 2 2 2 2" xfId="23672"/>
    <cellStyle name="40% - Accent4 3 2 3 5 2 2 3" xfId="23673"/>
    <cellStyle name="40% - Accent4 3 2 3 5 2 3" xfId="23674"/>
    <cellStyle name="40% - Accent4 3 2 3 5 2 3 2" xfId="23675"/>
    <cellStyle name="40% - Accent4 3 2 3 5 2 4" xfId="23676"/>
    <cellStyle name="40% - Accent4 3 2 3 5 3" xfId="23677"/>
    <cellStyle name="40% - Accent4 3 2 3 5 3 2" xfId="23678"/>
    <cellStyle name="40% - Accent4 3 2 3 5 3 2 2" xfId="23679"/>
    <cellStyle name="40% - Accent4 3 2 3 5 3 3" xfId="23680"/>
    <cellStyle name="40% - Accent4 3 2 3 5 4" xfId="23681"/>
    <cellStyle name="40% - Accent4 3 2 3 5 4 2" xfId="23682"/>
    <cellStyle name="40% - Accent4 3 2 3 5 5" xfId="23683"/>
    <cellStyle name="40% - Accent4 3 2 3 5 5 2" xfId="23684"/>
    <cellStyle name="40% - Accent4 3 2 3 5 6" xfId="23685"/>
    <cellStyle name="40% - Accent4 3 2 3 6" xfId="23686"/>
    <cellStyle name="40% - Accent4 3 2 3 6 2" xfId="23687"/>
    <cellStyle name="40% - Accent4 3 2 3 6 2 2" xfId="23688"/>
    <cellStyle name="40% - Accent4 3 2 3 6 2 2 2" xfId="23689"/>
    <cellStyle name="40% - Accent4 3 2 3 6 2 2 2 2" xfId="23690"/>
    <cellStyle name="40% - Accent4 3 2 3 6 2 2 3" xfId="23691"/>
    <cellStyle name="40% - Accent4 3 2 3 6 2 3" xfId="23692"/>
    <cellStyle name="40% - Accent4 3 2 3 6 2 3 2" xfId="23693"/>
    <cellStyle name="40% - Accent4 3 2 3 6 2 4" xfId="23694"/>
    <cellStyle name="40% - Accent4 3 2 3 6 3" xfId="23695"/>
    <cellStyle name="40% - Accent4 3 2 3 6 3 2" xfId="23696"/>
    <cellStyle name="40% - Accent4 3 2 3 6 3 2 2" xfId="23697"/>
    <cellStyle name="40% - Accent4 3 2 3 6 3 3" xfId="23698"/>
    <cellStyle name="40% - Accent4 3 2 3 6 4" xfId="23699"/>
    <cellStyle name="40% - Accent4 3 2 3 6 4 2" xfId="23700"/>
    <cellStyle name="40% - Accent4 3 2 3 6 5" xfId="23701"/>
    <cellStyle name="40% - Accent4 3 2 3 6 5 2" xfId="23702"/>
    <cellStyle name="40% - Accent4 3 2 3 6 6" xfId="23703"/>
    <cellStyle name="40% - Accent4 3 2 3 7" xfId="23704"/>
    <cellStyle name="40% - Accent4 3 2 3 7 2" xfId="23705"/>
    <cellStyle name="40% - Accent4 3 2 3 7 2 2" xfId="23706"/>
    <cellStyle name="40% - Accent4 3 2 3 7 2 2 2" xfId="23707"/>
    <cellStyle name="40% - Accent4 3 2 3 7 2 3" xfId="23708"/>
    <cellStyle name="40% - Accent4 3 2 3 7 3" xfId="23709"/>
    <cellStyle name="40% - Accent4 3 2 3 7 3 2" xfId="23710"/>
    <cellStyle name="40% - Accent4 3 2 3 7 4" xfId="23711"/>
    <cellStyle name="40% - Accent4 3 2 3 8" xfId="23712"/>
    <cellStyle name="40% - Accent4 3 2 3 8 2" xfId="23713"/>
    <cellStyle name="40% - Accent4 3 2 3 8 2 2" xfId="23714"/>
    <cellStyle name="40% - Accent4 3 2 3 8 3" xfId="23715"/>
    <cellStyle name="40% - Accent4 3 2 3 9" xfId="23716"/>
    <cellStyle name="40% - Accent4 3 2 3 9 2" xfId="23717"/>
    <cellStyle name="40% - Accent4 3 2 4" xfId="23718"/>
    <cellStyle name="40% - Accent4 3 2 4 10" xfId="23719"/>
    <cellStyle name="40% - Accent4 3 2 4 10 2" xfId="23720"/>
    <cellStyle name="40% - Accent4 3 2 4 11" xfId="23721"/>
    <cellStyle name="40% - Accent4 3 2 4 2" xfId="23722"/>
    <cellStyle name="40% - Accent4 3 2 4 2 2" xfId="23723"/>
    <cellStyle name="40% - Accent4 3 2 4 2 2 2" xfId="23724"/>
    <cellStyle name="40% - Accent4 3 2 4 2 2 2 2" xfId="23725"/>
    <cellStyle name="40% - Accent4 3 2 4 2 2 2 2 2" xfId="23726"/>
    <cellStyle name="40% - Accent4 3 2 4 2 2 2 2 2 2" xfId="23727"/>
    <cellStyle name="40% - Accent4 3 2 4 2 2 2 2 3" xfId="23728"/>
    <cellStyle name="40% - Accent4 3 2 4 2 2 2 3" xfId="23729"/>
    <cellStyle name="40% - Accent4 3 2 4 2 2 2 3 2" xfId="23730"/>
    <cellStyle name="40% - Accent4 3 2 4 2 2 2 4" xfId="23731"/>
    <cellStyle name="40% - Accent4 3 2 4 2 2 3" xfId="23732"/>
    <cellStyle name="40% - Accent4 3 2 4 2 2 3 2" xfId="23733"/>
    <cellStyle name="40% - Accent4 3 2 4 2 2 3 2 2" xfId="23734"/>
    <cellStyle name="40% - Accent4 3 2 4 2 2 3 3" xfId="23735"/>
    <cellStyle name="40% - Accent4 3 2 4 2 2 4" xfId="23736"/>
    <cellStyle name="40% - Accent4 3 2 4 2 2 4 2" xfId="23737"/>
    <cellStyle name="40% - Accent4 3 2 4 2 2 5" xfId="23738"/>
    <cellStyle name="40% - Accent4 3 2 4 2 2 5 2" xfId="23739"/>
    <cellStyle name="40% - Accent4 3 2 4 2 2 6" xfId="23740"/>
    <cellStyle name="40% - Accent4 3 2 4 2 3" xfId="23741"/>
    <cellStyle name="40% - Accent4 3 2 4 2 3 2" xfId="23742"/>
    <cellStyle name="40% - Accent4 3 2 4 2 3 2 2" xfId="23743"/>
    <cellStyle name="40% - Accent4 3 2 4 2 3 2 2 2" xfId="23744"/>
    <cellStyle name="40% - Accent4 3 2 4 2 3 2 2 2 2" xfId="23745"/>
    <cellStyle name="40% - Accent4 3 2 4 2 3 2 2 3" xfId="23746"/>
    <cellStyle name="40% - Accent4 3 2 4 2 3 2 3" xfId="23747"/>
    <cellStyle name="40% - Accent4 3 2 4 2 3 2 3 2" xfId="23748"/>
    <cellStyle name="40% - Accent4 3 2 4 2 3 2 4" xfId="23749"/>
    <cellStyle name="40% - Accent4 3 2 4 2 3 3" xfId="23750"/>
    <cellStyle name="40% - Accent4 3 2 4 2 3 3 2" xfId="23751"/>
    <cellStyle name="40% - Accent4 3 2 4 2 3 3 2 2" xfId="23752"/>
    <cellStyle name="40% - Accent4 3 2 4 2 3 3 3" xfId="23753"/>
    <cellStyle name="40% - Accent4 3 2 4 2 3 4" xfId="23754"/>
    <cellStyle name="40% - Accent4 3 2 4 2 3 4 2" xfId="23755"/>
    <cellStyle name="40% - Accent4 3 2 4 2 3 5" xfId="23756"/>
    <cellStyle name="40% - Accent4 3 2 4 2 3 5 2" xfId="23757"/>
    <cellStyle name="40% - Accent4 3 2 4 2 3 6" xfId="23758"/>
    <cellStyle name="40% - Accent4 3 2 4 2 4" xfId="23759"/>
    <cellStyle name="40% - Accent4 3 2 4 2 4 2" xfId="23760"/>
    <cellStyle name="40% - Accent4 3 2 4 2 4 2 2" xfId="23761"/>
    <cellStyle name="40% - Accent4 3 2 4 2 4 2 2 2" xfId="23762"/>
    <cellStyle name="40% - Accent4 3 2 4 2 4 2 3" xfId="23763"/>
    <cellStyle name="40% - Accent4 3 2 4 2 4 3" xfId="23764"/>
    <cellStyle name="40% - Accent4 3 2 4 2 4 3 2" xfId="23765"/>
    <cellStyle name="40% - Accent4 3 2 4 2 4 4" xfId="23766"/>
    <cellStyle name="40% - Accent4 3 2 4 2 5" xfId="23767"/>
    <cellStyle name="40% - Accent4 3 2 4 2 5 2" xfId="23768"/>
    <cellStyle name="40% - Accent4 3 2 4 2 5 2 2" xfId="23769"/>
    <cellStyle name="40% - Accent4 3 2 4 2 5 3" xfId="23770"/>
    <cellStyle name="40% - Accent4 3 2 4 2 6" xfId="23771"/>
    <cellStyle name="40% - Accent4 3 2 4 2 6 2" xfId="23772"/>
    <cellStyle name="40% - Accent4 3 2 4 2 7" xfId="23773"/>
    <cellStyle name="40% - Accent4 3 2 4 2 7 2" xfId="23774"/>
    <cellStyle name="40% - Accent4 3 2 4 2 8" xfId="23775"/>
    <cellStyle name="40% - Accent4 3 2 4 3" xfId="23776"/>
    <cellStyle name="40% - Accent4 3 2 4 3 2" xfId="23777"/>
    <cellStyle name="40% - Accent4 3 2 4 3 2 2" xfId="23778"/>
    <cellStyle name="40% - Accent4 3 2 4 3 2 2 2" xfId="23779"/>
    <cellStyle name="40% - Accent4 3 2 4 3 2 2 2 2" xfId="23780"/>
    <cellStyle name="40% - Accent4 3 2 4 3 2 2 2 2 2" xfId="23781"/>
    <cellStyle name="40% - Accent4 3 2 4 3 2 2 2 3" xfId="23782"/>
    <cellStyle name="40% - Accent4 3 2 4 3 2 2 3" xfId="23783"/>
    <cellStyle name="40% - Accent4 3 2 4 3 2 2 3 2" xfId="23784"/>
    <cellStyle name="40% - Accent4 3 2 4 3 2 2 4" xfId="23785"/>
    <cellStyle name="40% - Accent4 3 2 4 3 2 3" xfId="23786"/>
    <cellStyle name="40% - Accent4 3 2 4 3 2 3 2" xfId="23787"/>
    <cellStyle name="40% - Accent4 3 2 4 3 2 3 2 2" xfId="23788"/>
    <cellStyle name="40% - Accent4 3 2 4 3 2 3 3" xfId="23789"/>
    <cellStyle name="40% - Accent4 3 2 4 3 2 4" xfId="23790"/>
    <cellStyle name="40% - Accent4 3 2 4 3 2 4 2" xfId="23791"/>
    <cellStyle name="40% - Accent4 3 2 4 3 2 5" xfId="23792"/>
    <cellStyle name="40% - Accent4 3 2 4 3 2 5 2" xfId="23793"/>
    <cellStyle name="40% - Accent4 3 2 4 3 2 6" xfId="23794"/>
    <cellStyle name="40% - Accent4 3 2 4 3 3" xfId="23795"/>
    <cellStyle name="40% - Accent4 3 2 4 3 3 2" xfId="23796"/>
    <cellStyle name="40% - Accent4 3 2 4 3 3 2 2" xfId="23797"/>
    <cellStyle name="40% - Accent4 3 2 4 3 3 2 2 2" xfId="23798"/>
    <cellStyle name="40% - Accent4 3 2 4 3 3 2 2 2 2" xfId="23799"/>
    <cellStyle name="40% - Accent4 3 2 4 3 3 2 2 3" xfId="23800"/>
    <cellStyle name="40% - Accent4 3 2 4 3 3 2 3" xfId="23801"/>
    <cellStyle name="40% - Accent4 3 2 4 3 3 2 3 2" xfId="23802"/>
    <cellStyle name="40% - Accent4 3 2 4 3 3 2 4" xfId="23803"/>
    <cellStyle name="40% - Accent4 3 2 4 3 3 3" xfId="23804"/>
    <cellStyle name="40% - Accent4 3 2 4 3 3 3 2" xfId="23805"/>
    <cellStyle name="40% - Accent4 3 2 4 3 3 3 2 2" xfId="23806"/>
    <cellStyle name="40% - Accent4 3 2 4 3 3 3 3" xfId="23807"/>
    <cellStyle name="40% - Accent4 3 2 4 3 3 4" xfId="23808"/>
    <cellStyle name="40% - Accent4 3 2 4 3 3 4 2" xfId="23809"/>
    <cellStyle name="40% - Accent4 3 2 4 3 3 5" xfId="23810"/>
    <cellStyle name="40% - Accent4 3 2 4 3 3 5 2" xfId="23811"/>
    <cellStyle name="40% - Accent4 3 2 4 3 3 6" xfId="23812"/>
    <cellStyle name="40% - Accent4 3 2 4 3 4" xfId="23813"/>
    <cellStyle name="40% - Accent4 3 2 4 3 4 2" xfId="23814"/>
    <cellStyle name="40% - Accent4 3 2 4 3 4 2 2" xfId="23815"/>
    <cellStyle name="40% - Accent4 3 2 4 3 4 2 2 2" xfId="23816"/>
    <cellStyle name="40% - Accent4 3 2 4 3 4 2 3" xfId="23817"/>
    <cellStyle name="40% - Accent4 3 2 4 3 4 3" xfId="23818"/>
    <cellStyle name="40% - Accent4 3 2 4 3 4 3 2" xfId="23819"/>
    <cellStyle name="40% - Accent4 3 2 4 3 4 4" xfId="23820"/>
    <cellStyle name="40% - Accent4 3 2 4 3 5" xfId="23821"/>
    <cellStyle name="40% - Accent4 3 2 4 3 5 2" xfId="23822"/>
    <cellStyle name="40% - Accent4 3 2 4 3 5 2 2" xfId="23823"/>
    <cellStyle name="40% - Accent4 3 2 4 3 5 3" xfId="23824"/>
    <cellStyle name="40% - Accent4 3 2 4 3 6" xfId="23825"/>
    <cellStyle name="40% - Accent4 3 2 4 3 6 2" xfId="23826"/>
    <cellStyle name="40% - Accent4 3 2 4 3 7" xfId="23827"/>
    <cellStyle name="40% - Accent4 3 2 4 3 7 2" xfId="23828"/>
    <cellStyle name="40% - Accent4 3 2 4 3 8" xfId="23829"/>
    <cellStyle name="40% - Accent4 3 2 4 4" xfId="23830"/>
    <cellStyle name="40% - Accent4 3 2 4 4 2" xfId="23831"/>
    <cellStyle name="40% - Accent4 3 2 4 4 2 2" xfId="23832"/>
    <cellStyle name="40% - Accent4 3 2 4 4 2 2 2" xfId="23833"/>
    <cellStyle name="40% - Accent4 3 2 4 4 2 2 2 2" xfId="23834"/>
    <cellStyle name="40% - Accent4 3 2 4 4 2 2 3" xfId="23835"/>
    <cellStyle name="40% - Accent4 3 2 4 4 2 3" xfId="23836"/>
    <cellStyle name="40% - Accent4 3 2 4 4 2 3 2" xfId="23837"/>
    <cellStyle name="40% - Accent4 3 2 4 4 2 4" xfId="23838"/>
    <cellStyle name="40% - Accent4 3 2 4 4 3" xfId="23839"/>
    <cellStyle name="40% - Accent4 3 2 4 4 3 2" xfId="23840"/>
    <cellStyle name="40% - Accent4 3 2 4 4 3 2 2" xfId="23841"/>
    <cellStyle name="40% - Accent4 3 2 4 4 3 3" xfId="23842"/>
    <cellStyle name="40% - Accent4 3 2 4 4 4" xfId="23843"/>
    <cellStyle name="40% - Accent4 3 2 4 4 4 2" xfId="23844"/>
    <cellStyle name="40% - Accent4 3 2 4 4 5" xfId="23845"/>
    <cellStyle name="40% - Accent4 3 2 4 4 5 2" xfId="23846"/>
    <cellStyle name="40% - Accent4 3 2 4 4 6" xfId="23847"/>
    <cellStyle name="40% - Accent4 3 2 4 5" xfId="23848"/>
    <cellStyle name="40% - Accent4 3 2 4 5 2" xfId="23849"/>
    <cellStyle name="40% - Accent4 3 2 4 5 2 2" xfId="23850"/>
    <cellStyle name="40% - Accent4 3 2 4 5 2 2 2" xfId="23851"/>
    <cellStyle name="40% - Accent4 3 2 4 5 2 2 2 2" xfId="23852"/>
    <cellStyle name="40% - Accent4 3 2 4 5 2 2 3" xfId="23853"/>
    <cellStyle name="40% - Accent4 3 2 4 5 2 3" xfId="23854"/>
    <cellStyle name="40% - Accent4 3 2 4 5 2 3 2" xfId="23855"/>
    <cellStyle name="40% - Accent4 3 2 4 5 2 4" xfId="23856"/>
    <cellStyle name="40% - Accent4 3 2 4 5 3" xfId="23857"/>
    <cellStyle name="40% - Accent4 3 2 4 5 3 2" xfId="23858"/>
    <cellStyle name="40% - Accent4 3 2 4 5 3 2 2" xfId="23859"/>
    <cellStyle name="40% - Accent4 3 2 4 5 3 3" xfId="23860"/>
    <cellStyle name="40% - Accent4 3 2 4 5 4" xfId="23861"/>
    <cellStyle name="40% - Accent4 3 2 4 5 4 2" xfId="23862"/>
    <cellStyle name="40% - Accent4 3 2 4 5 5" xfId="23863"/>
    <cellStyle name="40% - Accent4 3 2 4 5 5 2" xfId="23864"/>
    <cellStyle name="40% - Accent4 3 2 4 5 6" xfId="23865"/>
    <cellStyle name="40% - Accent4 3 2 4 6" xfId="23866"/>
    <cellStyle name="40% - Accent4 3 2 4 6 2" xfId="23867"/>
    <cellStyle name="40% - Accent4 3 2 4 6 2 2" xfId="23868"/>
    <cellStyle name="40% - Accent4 3 2 4 6 2 2 2" xfId="23869"/>
    <cellStyle name="40% - Accent4 3 2 4 6 2 2 2 2" xfId="23870"/>
    <cellStyle name="40% - Accent4 3 2 4 6 2 2 3" xfId="23871"/>
    <cellStyle name="40% - Accent4 3 2 4 6 2 3" xfId="23872"/>
    <cellStyle name="40% - Accent4 3 2 4 6 2 3 2" xfId="23873"/>
    <cellStyle name="40% - Accent4 3 2 4 6 2 4" xfId="23874"/>
    <cellStyle name="40% - Accent4 3 2 4 6 3" xfId="23875"/>
    <cellStyle name="40% - Accent4 3 2 4 6 3 2" xfId="23876"/>
    <cellStyle name="40% - Accent4 3 2 4 6 3 2 2" xfId="23877"/>
    <cellStyle name="40% - Accent4 3 2 4 6 3 3" xfId="23878"/>
    <cellStyle name="40% - Accent4 3 2 4 6 4" xfId="23879"/>
    <cellStyle name="40% - Accent4 3 2 4 6 4 2" xfId="23880"/>
    <cellStyle name="40% - Accent4 3 2 4 6 5" xfId="23881"/>
    <cellStyle name="40% - Accent4 3 2 4 6 5 2" xfId="23882"/>
    <cellStyle name="40% - Accent4 3 2 4 6 6" xfId="23883"/>
    <cellStyle name="40% - Accent4 3 2 4 7" xfId="23884"/>
    <cellStyle name="40% - Accent4 3 2 4 7 2" xfId="23885"/>
    <cellStyle name="40% - Accent4 3 2 4 7 2 2" xfId="23886"/>
    <cellStyle name="40% - Accent4 3 2 4 7 2 2 2" xfId="23887"/>
    <cellStyle name="40% - Accent4 3 2 4 7 2 3" xfId="23888"/>
    <cellStyle name="40% - Accent4 3 2 4 7 3" xfId="23889"/>
    <cellStyle name="40% - Accent4 3 2 4 7 3 2" xfId="23890"/>
    <cellStyle name="40% - Accent4 3 2 4 7 4" xfId="23891"/>
    <cellStyle name="40% - Accent4 3 2 4 8" xfId="23892"/>
    <cellStyle name="40% - Accent4 3 2 4 8 2" xfId="23893"/>
    <cellStyle name="40% - Accent4 3 2 4 8 2 2" xfId="23894"/>
    <cellStyle name="40% - Accent4 3 2 4 8 3" xfId="23895"/>
    <cellStyle name="40% - Accent4 3 2 4 9" xfId="23896"/>
    <cellStyle name="40% - Accent4 3 2 4 9 2" xfId="23897"/>
    <cellStyle name="40% - Accent4 3 2 5" xfId="23898"/>
    <cellStyle name="40% - Accent4 3 2 5 2" xfId="23899"/>
    <cellStyle name="40% - Accent4 3 2 5 2 2" xfId="23900"/>
    <cellStyle name="40% - Accent4 3 2 5 2 2 2" xfId="23901"/>
    <cellStyle name="40% - Accent4 3 2 5 2 2 2 2" xfId="23902"/>
    <cellStyle name="40% - Accent4 3 2 5 2 2 2 2 2" xfId="23903"/>
    <cellStyle name="40% - Accent4 3 2 5 2 2 2 3" xfId="23904"/>
    <cellStyle name="40% - Accent4 3 2 5 2 2 3" xfId="23905"/>
    <cellStyle name="40% - Accent4 3 2 5 2 2 3 2" xfId="23906"/>
    <cellStyle name="40% - Accent4 3 2 5 2 2 4" xfId="23907"/>
    <cellStyle name="40% - Accent4 3 2 5 2 3" xfId="23908"/>
    <cellStyle name="40% - Accent4 3 2 5 2 3 2" xfId="23909"/>
    <cellStyle name="40% - Accent4 3 2 5 2 3 2 2" xfId="23910"/>
    <cellStyle name="40% - Accent4 3 2 5 2 3 3" xfId="23911"/>
    <cellStyle name="40% - Accent4 3 2 5 2 4" xfId="23912"/>
    <cellStyle name="40% - Accent4 3 2 5 2 4 2" xfId="23913"/>
    <cellStyle name="40% - Accent4 3 2 5 2 5" xfId="23914"/>
    <cellStyle name="40% - Accent4 3 2 5 2 5 2" xfId="23915"/>
    <cellStyle name="40% - Accent4 3 2 5 2 6" xfId="23916"/>
    <cellStyle name="40% - Accent4 3 2 5 3" xfId="23917"/>
    <cellStyle name="40% - Accent4 3 2 5 3 2" xfId="23918"/>
    <cellStyle name="40% - Accent4 3 2 5 3 2 2" xfId="23919"/>
    <cellStyle name="40% - Accent4 3 2 5 3 2 2 2" xfId="23920"/>
    <cellStyle name="40% - Accent4 3 2 5 3 2 2 2 2" xfId="23921"/>
    <cellStyle name="40% - Accent4 3 2 5 3 2 2 3" xfId="23922"/>
    <cellStyle name="40% - Accent4 3 2 5 3 2 3" xfId="23923"/>
    <cellStyle name="40% - Accent4 3 2 5 3 2 3 2" xfId="23924"/>
    <cellStyle name="40% - Accent4 3 2 5 3 2 4" xfId="23925"/>
    <cellStyle name="40% - Accent4 3 2 5 3 3" xfId="23926"/>
    <cellStyle name="40% - Accent4 3 2 5 3 3 2" xfId="23927"/>
    <cellStyle name="40% - Accent4 3 2 5 3 3 2 2" xfId="23928"/>
    <cellStyle name="40% - Accent4 3 2 5 3 3 3" xfId="23929"/>
    <cellStyle name="40% - Accent4 3 2 5 3 4" xfId="23930"/>
    <cellStyle name="40% - Accent4 3 2 5 3 4 2" xfId="23931"/>
    <cellStyle name="40% - Accent4 3 2 5 3 5" xfId="23932"/>
    <cellStyle name="40% - Accent4 3 2 5 3 5 2" xfId="23933"/>
    <cellStyle name="40% - Accent4 3 2 5 3 6" xfId="23934"/>
    <cellStyle name="40% - Accent4 3 2 5 4" xfId="23935"/>
    <cellStyle name="40% - Accent4 3 2 5 4 2" xfId="23936"/>
    <cellStyle name="40% - Accent4 3 2 5 4 2 2" xfId="23937"/>
    <cellStyle name="40% - Accent4 3 2 5 4 2 2 2" xfId="23938"/>
    <cellStyle name="40% - Accent4 3 2 5 4 2 3" xfId="23939"/>
    <cellStyle name="40% - Accent4 3 2 5 4 3" xfId="23940"/>
    <cellStyle name="40% - Accent4 3 2 5 4 3 2" xfId="23941"/>
    <cellStyle name="40% - Accent4 3 2 5 4 4" xfId="23942"/>
    <cellStyle name="40% - Accent4 3 2 5 5" xfId="23943"/>
    <cellStyle name="40% - Accent4 3 2 5 5 2" xfId="23944"/>
    <cellStyle name="40% - Accent4 3 2 5 5 2 2" xfId="23945"/>
    <cellStyle name="40% - Accent4 3 2 5 5 3" xfId="23946"/>
    <cellStyle name="40% - Accent4 3 2 5 6" xfId="23947"/>
    <cellStyle name="40% - Accent4 3 2 5 6 2" xfId="23948"/>
    <cellStyle name="40% - Accent4 3 2 5 7" xfId="23949"/>
    <cellStyle name="40% - Accent4 3 2 5 7 2" xfId="23950"/>
    <cellStyle name="40% - Accent4 3 2 5 8" xfId="23951"/>
    <cellStyle name="40% - Accent4 3 2 6" xfId="23952"/>
    <cellStyle name="40% - Accent4 3 2 6 2" xfId="23953"/>
    <cellStyle name="40% - Accent4 3 2 6 2 2" xfId="23954"/>
    <cellStyle name="40% - Accent4 3 2 6 2 2 2" xfId="23955"/>
    <cellStyle name="40% - Accent4 3 2 6 2 2 2 2" xfId="23956"/>
    <cellStyle name="40% - Accent4 3 2 6 2 2 2 2 2" xfId="23957"/>
    <cellStyle name="40% - Accent4 3 2 6 2 2 2 3" xfId="23958"/>
    <cellStyle name="40% - Accent4 3 2 6 2 2 3" xfId="23959"/>
    <cellStyle name="40% - Accent4 3 2 6 2 2 3 2" xfId="23960"/>
    <cellStyle name="40% - Accent4 3 2 6 2 2 4" xfId="23961"/>
    <cellStyle name="40% - Accent4 3 2 6 2 3" xfId="23962"/>
    <cellStyle name="40% - Accent4 3 2 6 2 3 2" xfId="23963"/>
    <cellStyle name="40% - Accent4 3 2 6 2 3 2 2" xfId="23964"/>
    <cellStyle name="40% - Accent4 3 2 6 2 3 3" xfId="23965"/>
    <cellStyle name="40% - Accent4 3 2 6 2 4" xfId="23966"/>
    <cellStyle name="40% - Accent4 3 2 6 2 4 2" xfId="23967"/>
    <cellStyle name="40% - Accent4 3 2 6 2 5" xfId="23968"/>
    <cellStyle name="40% - Accent4 3 2 6 2 5 2" xfId="23969"/>
    <cellStyle name="40% - Accent4 3 2 6 2 6" xfId="23970"/>
    <cellStyle name="40% - Accent4 3 2 6 3" xfId="23971"/>
    <cellStyle name="40% - Accent4 3 2 6 3 2" xfId="23972"/>
    <cellStyle name="40% - Accent4 3 2 6 3 2 2" xfId="23973"/>
    <cellStyle name="40% - Accent4 3 2 6 3 2 2 2" xfId="23974"/>
    <cellStyle name="40% - Accent4 3 2 6 3 2 2 2 2" xfId="23975"/>
    <cellStyle name="40% - Accent4 3 2 6 3 2 2 3" xfId="23976"/>
    <cellStyle name="40% - Accent4 3 2 6 3 2 3" xfId="23977"/>
    <cellStyle name="40% - Accent4 3 2 6 3 2 3 2" xfId="23978"/>
    <cellStyle name="40% - Accent4 3 2 6 3 2 4" xfId="23979"/>
    <cellStyle name="40% - Accent4 3 2 6 3 3" xfId="23980"/>
    <cellStyle name="40% - Accent4 3 2 6 3 3 2" xfId="23981"/>
    <cellStyle name="40% - Accent4 3 2 6 3 3 2 2" xfId="23982"/>
    <cellStyle name="40% - Accent4 3 2 6 3 3 3" xfId="23983"/>
    <cellStyle name="40% - Accent4 3 2 6 3 4" xfId="23984"/>
    <cellStyle name="40% - Accent4 3 2 6 3 4 2" xfId="23985"/>
    <cellStyle name="40% - Accent4 3 2 6 3 5" xfId="23986"/>
    <cellStyle name="40% - Accent4 3 2 6 3 5 2" xfId="23987"/>
    <cellStyle name="40% - Accent4 3 2 6 3 6" xfId="23988"/>
    <cellStyle name="40% - Accent4 3 2 6 4" xfId="23989"/>
    <cellStyle name="40% - Accent4 3 2 6 4 2" xfId="23990"/>
    <cellStyle name="40% - Accent4 3 2 6 4 2 2" xfId="23991"/>
    <cellStyle name="40% - Accent4 3 2 6 4 2 2 2" xfId="23992"/>
    <cellStyle name="40% - Accent4 3 2 6 4 2 3" xfId="23993"/>
    <cellStyle name="40% - Accent4 3 2 6 4 3" xfId="23994"/>
    <cellStyle name="40% - Accent4 3 2 6 4 3 2" xfId="23995"/>
    <cellStyle name="40% - Accent4 3 2 6 4 4" xfId="23996"/>
    <cellStyle name="40% - Accent4 3 2 6 5" xfId="23997"/>
    <cellStyle name="40% - Accent4 3 2 6 5 2" xfId="23998"/>
    <cellStyle name="40% - Accent4 3 2 6 5 2 2" xfId="23999"/>
    <cellStyle name="40% - Accent4 3 2 6 5 3" xfId="24000"/>
    <cellStyle name="40% - Accent4 3 2 6 6" xfId="24001"/>
    <cellStyle name="40% - Accent4 3 2 6 6 2" xfId="24002"/>
    <cellStyle name="40% - Accent4 3 2 6 7" xfId="24003"/>
    <cellStyle name="40% - Accent4 3 2 6 7 2" xfId="24004"/>
    <cellStyle name="40% - Accent4 3 2 6 8" xfId="24005"/>
    <cellStyle name="40% - Accent4 3 2 7" xfId="24006"/>
    <cellStyle name="40% - Accent4 3 2 7 2" xfId="24007"/>
    <cellStyle name="40% - Accent4 3 2 7 2 2" xfId="24008"/>
    <cellStyle name="40% - Accent4 3 2 7 2 2 2" xfId="24009"/>
    <cellStyle name="40% - Accent4 3 2 7 2 2 2 2" xfId="24010"/>
    <cellStyle name="40% - Accent4 3 2 7 2 2 3" xfId="24011"/>
    <cellStyle name="40% - Accent4 3 2 7 2 3" xfId="24012"/>
    <cellStyle name="40% - Accent4 3 2 7 2 3 2" xfId="24013"/>
    <cellStyle name="40% - Accent4 3 2 7 2 4" xfId="24014"/>
    <cellStyle name="40% - Accent4 3 2 7 3" xfId="24015"/>
    <cellStyle name="40% - Accent4 3 2 7 3 2" xfId="24016"/>
    <cellStyle name="40% - Accent4 3 2 7 3 2 2" xfId="24017"/>
    <cellStyle name="40% - Accent4 3 2 7 3 3" xfId="24018"/>
    <cellStyle name="40% - Accent4 3 2 7 4" xfId="24019"/>
    <cellStyle name="40% - Accent4 3 2 7 4 2" xfId="24020"/>
    <cellStyle name="40% - Accent4 3 2 7 5" xfId="24021"/>
    <cellStyle name="40% - Accent4 3 2 7 5 2" xfId="24022"/>
    <cellStyle name="40% - Accent4 3 2 7 6" xfId="24023"/>
    <cellStyle name="40% - Accent4 3 2 8" xfId="24024"/>
    <cellStyle name="40% - Accent4 3 2 8 2" xfId="24025"/>
    <cellStyle name="40% - Accent4 3 2 8 2 2" xfId="24026"/>
    <cellStyle name="40% - Accent4 3 2 8 2 2 2" xfId="24027"/>
    <cellStyle name="40% - Accent4 3 2 8 2 2 2 2" xfId="24028"/>
    <cellStyle name="40% - Accent4 3 2 8 2 2 3" xfId="24029"/>
    <cellStyle name="40% - Accent4 3 2 8 2 3" xfId="24030"/>
    <cellStyle name="40% - Accent4 3 2 8 2 3 2" xfId="24031"/>
    <cellStyle name="40% - Accent4 3 2 8 2 4" xfId="24032"/>
    <cellStyle name="40% - Accent4 3 2 8 3" xfId="24033"/>
    <cellStyle name="40% - Accent4 3 2 8 3 2" xfId="24034"/>
    <cellStyle name="40% - Accent4 3 2 8 3 2 2" xfId="24035"/>
    <cellStyle name="40% - Accent4 3 2 8 3 3" xfId="24036"/>
    <cellStyle name="40% - Accent4 3 2 8 4" xfId="24037"/>
    <cellStyle name="40% - Accent4 3 2 8 4 2" xfId="24038"/>
    <cellStyle name="40% - Accent4 3 2 8 5" xfId="24039"/>
    <cellStyle name="40% - Accent4 3 2 8 5 2" xfId="24040"/>
    <cellStyle name="40% - Accent4 3 2 8 6" xfId="24041"/>
    <cellStyle name="40% - Accent4 3 2 9" xfId="24042"/>
    <cellStyle name="40% - Accent4 3 2 9 2" xfId="24043"/>
    <cellStyle name="40% - Accent4 3 2 9 2 2" xfId="24044"/>
    <cellStyle name="40% - Accent4 3 2 9 2 2 2" xfId="24045"/>
    <cellStyle name="40% - Accent4 3 2 9 2 2 2 2" xfId="24046"/>
    <cellStyle name="40% - Accent4 3 2 9 2 2 3" xfId="24047"/>
    <cellStyle name="40% - Accent4 3 2 9 2 3" xfId="24048"/>
    <cellStyle name="40% - Accent4 3 2 9 2 3 2" xfId="24049"/>
    <cellStyle name="40% - Accent4 3 2 9 2 4" xfId="24050"/>
    <cellStyle name="40% - Accent4 3 2 9 3" xfId="24051"/>
    <cellStyle name="40% - Accent4 3 2 9 3 2" xfId="24052"/>
    <cellStyle name="40% - Accent4 3 2 9 3 2 2" xfId="24053"/>
    <cellStyle name="40% - Accent4 3 2 9 3 3" xfId="24054"/>
    <cellStyle name="40% - Accent4 3 2 9 4" xfId="24055"/>
    <cellStyle name="40% - Accent4 3 2 9 4 2" xfId="24056"/>
    <cellStyle name="40% - Accent4 3 2 9 5" xfId="24057"/>
    <cellStyle name="40% - Accent4 3 2 9 5 2" xfId="24058"/>
    <cellStyle name="40% - Accent4 3 2 9 6" xfId="24059"/>
    <cellStyle name="40% - Accent4 3 3" xfId="24060"/>
    <cellStyle name="40% - Accent4 3 3 10" xfId="24061"/>
    <cellStyle name="40% - Accent4 3 3 10 2" xfId="24062"/>
    <cellStyle name="40% - Accent4 3 3 11" xfId="24063"/>
    <cellStyle name="40% - Accent4 3 3 2" xfId="24064"/>
    <cellStyle name="40% - Accent4 3 3 2 2" xfId="24065"/>
    <cellStyle name="40% - Accent4 3 3 2 2 2" xfId="24066"/>
    <cellStyle name="40% - Accent4 3 3 2 2 2 2" xfId="24067"/>
    <cellStyle name="40% - Accent4 3 3 2 2 2 2 2" xfId="24068"/>
    <cellStyle name="40% - Accent4 3 3 2 2 2 2 2 2" xfId="24069"/>
    <cellStyle name="40% - Accent4 3 3 2 2 2 2 3" xfId="24070"/>
    <cellStyle name="40% - Accent4 3 3 2 2 2 3" xfId="24071"/>
    <cellStyle name="40% - Accent4 3 3 2 2 2 3 2" xfId="24072"/>
    <cellStyle name="40% - Accent4 3 3 2 2 2 4" xfId="24073"/>
    <cellStyle name="40% - Accent4 3 3 2 2 3" xfId="24074"/>
    <cellStyle name="40% - Accent4 3 3 2 2 3 2" xfId="24075"/>
    <cellStyle name="40% - Accent4 3 3 2 2 3 2 2" xfId="24076"/>
    <cellStyle name="40% - Accent4 3 3 2 2 3 3" xfId="24077"/>
    <cellStyle name="40% - Accent4 3 3 2 2 4" xfId="24078"/>
    <cellStyle name="40% - Accent4 3 3 2 2 4 2" xfId="24079"/>
    <cellStyle name="40% - Accent4 3 3 2 2 5" xfId="24080"/>
    <cellStyle name="40% - Accent4 3 3 2 2 5 2" xfId="24081"/>
    <cellStyle name="40% - Accent4 3 3 2 2 6" xfId="24082"/>
    <cellStyle name="40% - Accent4 3 3 2 3" xfId="24083"/>
    <cellStyle name="40% - Accent4 3 3 2 3 2" xfId="24084"/>
    <cellStyle name="40% - Accent4 3 3 2 3 2 2" xfId="24085"/>
    <cellStyle name="40% - Accent4 3 3 2 3 2 2 2" xfId="24086"/>
    <cellStyle name="40% - Accent4 3 3 2 3 2 2 2 2" xfId="24087"/>
    <cellStyle name="40% - Accent4 3 3 2 3 2 2 3" xfId="24088"/>
    <cellStyle name="40% - Accent4 3 3 2 3 2 3" xfId="24089"/>
    <cellStyle name="40% - Accent4 3 3 2 3 2 3 2" xfId="24090"/>
    <cellStyle name="40% - Accent4 3 3 2 3 2 4" xfId="24091"/>
    <cellStyle name="40% - Accent4 3 3 2 3 3" xfId="24092"/>
    <cellStyle name="40% - Accent4 3 3 2 3 3 2" xfId="24093"/>
    <cellStyle name="40% - Accent4 3 3 2 3 3 2 2" xfId="24094"/>
    <cellStyle name="40% - Accent4 3 3 2 3 3 3" xfId="24095"/>
    <cellStyle name="40% - Accent4 3 3 2 3 4" xfId="24096"/>
    <cellStyle name="40% - Accent4 3 3 2 3 4 2" xfId="24097"/>
    <cellStyle name="40% - Accent4 3 3 2 3 5" xfId="24098"/>
    <cellStyle name="40% - Accent4 3 3 2 3 5 2" xfId="24099"/>
    <cellStyle name="40% - Accent4 3 3 2 3 6" xfId="24100"/>
    <cellStyle name="40% - Accent4 3 3 2 4" xfId="24101"/>
    <cellStyle name="40% - Accent4 3 3 2 4 2" xfId="24102"/>
    <cellStyle name="40% - Accent4 3 3 2 4 2 2" xfId="24103"/>
    <cellStyle name="40% - Accent4 3 3 2 4 2 2 2" xfId="24104"/>
    <cellStyle name="40% - Accent4 3 3 2 4 2 3" xfId="24105"/>
    <cellStyle name="40% - Accent4 3 3 2 4 3" xfId="24106"/>
    <cellStyle name="40% - Accent4 3 3 2 4 3 2" xfId="24107"/>
    <cellStyle name="40% - Accent4 3 3 2 4 4" xfId="24108"/>
    <cellStyle name="40% - Accent4 3 3 2 5" xfId="24109"/>
    <cellStyle name="40% - Accent4 3 3 2 5 2" xfId="24110"/>
    <cellStyle name="40% - Accent4 3 3 2 5 2 2" xfId="24111"/>
    <cellStyle name="40% - Accent4 3 3 2 5 3" xfId="24112"/>
    <cellStyle name="40% - Accent4 3 3 2 6" xfId="24113"/>
    <cellStyle name="40% - Accent4 3 3 2 6 2" xfId="24114"/>
    <cellStyle name="40% - Accent4 3 3 2 7" xfId="24115"/>
    <cellStyle name="40% - Accent4 3 3 2 7 2" xfId="24116"/>
    <cellStyle name="40% - Accent4 3 3 2 8" xfId="24117"/>
    <cellStyle name="40% - Accent4 3 3 3" xfId="24118"/>
    <cellStyle name="40% - Accent4 3 3 3 2" xfId="24119"/>
    <cellStyle name="40% - Accent4 3 3 3 2 2" xfId="24120"/>
    <cellStyle name="40% - Accent4 3 3 3 2 2 2" xfId="24121"/>
    <cellStyle name="40% - Accent4 3 3 3 2 2 2 2" xfId="24122"/>
    <cellStyle name="40% - Accent4 3 3 3 2 2 2 2 2" xfId="24123"/>
    <cellStyle name="40% - Accent4 3 3 3 2 2 2 3" xfId="24124"/>
    <cellStyle name="40% - Accent4 3 3 3 2 2 3" xfId="24125"/>
    <cellStyle name="40% - Accent4 3 3 3 2 2 3 2" xfId="24126"/>
    <cellStyle name="40% - Accent4 3 3 3 2 2 4" xfId="24127"/>
    <cellStyle name="40% - Accent4 3 3 3 2 3" xfId="24128"/>
    <cellStyle name="40% - Accent4 3 3 3 2 3 2" xfId="24129"/>
    <cellStyle name="40% - Accent4 3 3 3 2 3 2 2" xfId="24130"/>
    <cellStyle name="40% - Accent4 3 3 3 2 3 3" xfId="24131"/>
    <cellStyle name="40% - Accent4 3 3 3 2 4" xfId="24132"/>
    <cellStyle name="40% - Accent4 3 3 3 2 4 2" xfId="24133"/>
    <cellStyle name="40% - Accent4 3 3 3 2 5" xfId="24134"/>
    <cellStyle name="40% - Accent4 3 3 3 2 5 2" xfId="24135"/>
    <cellStyle name="40% - Accent4 3 3 3 2 6" xfId="24136"/>
    <cellStyle name="40% - Accent4 3 3 3 3" xfId="24137"/>
    <cellStyle name="40% - Accent4 3 3 3 3 2" xfId="24138"/>
    <cellStyle name="40% - Accent4 3 3 3 3 2 2" xfId="24139"/>
    <cellStyle name="40% - Accent4 3 3 3 3 2 2 2" xfId="24140"/>
    <cellStyle name="40% - Accent4 3 3 3 3 2 2 2 2" xfId="24141"/>
    <cellStyle name="40% - Accent4 3 3 3 3 2 2 3" xfId="24142"/>
    <cellStyle name="40% - Accent4 3 3 3 3 2 3" xfId="24143"/>
    <cellStyle name="40% - Accent4 3 3 3 3 2 3 2" xfId="24144"/>
    <cellStyle name="40% - Accent4 3 3 3 3 2 4" xfId="24145"/>
    <cellStyle name="40% - Accent4 3 3 3 3 3" xfId="24146"/>
    <cellStyle name="40% - Accent4 3 3 3 3 3 2" xfId="24147"/>
    <cellStyle name="40% - Accent4 3 3 3 3 3 2 2" xfId="24148"/>
    <cellStyle name="40% - Accent4 3 3 3 3 3 3" xfId="24149"/>
    <cellStyle name="40% - Accent4 3 3 3 3 4" xfId="24150"/>
    <cellStyle name="40% - Accent4 3 3 3 3 4 2" xfId="24151"/>
    <cellStyle name="40% - Accent4 3 3 3 3 5" xfId="24152"/>
    <cellStyle name="40% - Accent4 3 3 3 3 5 2" xfId="24153"/>
    <cellStyle name="40% - Accent4 3 3 3 3 6" xfId="24154"/>
    <cellStyle name="40% - Accent4 3 3 3 4" xfId="24155"/>
    <cellStyle name="40% - Accent4 3 3 3 4 2" xfId="24156"/>
    <cellStyle name="40% - Accent4 3 3 3 4 2 2" xfId="24157"/>
    <cellStyle name="40% - Accent4 3 3 3 4 2 2 2" xfId="24158"/>
    <cellStyle name="40% - Accent4 3 3 3 4 2 3" xfId="24159"/>
    <cellStyle name="40% - Accent4 3 3 3 4 3" xfId="24160"/>
    <cellStyle name="40% - Accent4 3 3 3 4 3 2" xfId="24161"/>
    <cellStyle name="40% - Accent4 3 3 3 4 4" xfId="24162"/>
    <cellStyle name="40% - Accent4 3 3 3 5" xfId="24163"/>
    <cellStyle name="40% - Accent4 3 3 3 5 2" xfId="24164"/>
    <cellStyle name="40% - Accent4 3 3 3 5 2 2" xfId="24165"/>
    <cellStyle name="40% - Accent4 3 3 3 5 3" xfId="24166"/>
    <cellStyle name="40% - Accent4 3 3 3 6" xfId="24167"/>
    <cellStyle name="40% - Accent4 3 3 3 6 2" xfId="24168"/>
    <cellStyle name="40% - Accent4 3 3 3 7" xfId="24169"/>
    <cellStyle name="40% - Accent4 3 3 3 7 2" xfId="24170"/>
    <cellStyle name="40% - Accent4 3 3 3 8" xfId="24171"/>
    <cellStyle name="40% - Accent4 3 3 4" xfId="24172"/>
    <cellStyle name="40% - Accent4 3 3 4 2" xfId="24173"/>
    <cellStyle name="40% - Accent4 3 3 4 2 2" xfId="24174"/>
    <cellStyle name="40% - Accent4 3 3 4 2 2 2" xfId="24175"/>
    <cellStyle name="40% - Accent4 3 3 4 2 2 2 2" xfId="24176"/>
    <cellStyle name="40% - Accent4 3 3 4 2 2 3" xfId="24177"/>
    <cellStyle name="40% - Accent4 3 3 4 2 3" xfId="24178"/>
    <cellStyle name="40% - Accent4 3 3 4 2 3 2" xfId="24179"/>
    <cellStyle name="40% - Accent4 3 3 4 2 4" xfId="24180"/>
    <cellStyle name="40% - Accent4 3 3 4 3" xfId="24181"/>
    <cellStyle name="40% - Accent4 3 3 4 3 2" xfId="24182"/>
    <cellStyle name="40% - Accent4 3 3 4 3 2 2" xfId="24183"/>
    <cellStyle name="40% - Accent4 3 3 4 3 3" xfId="24184"/>
    <cellStyle name="40% - Accent4 3 3 4 4" xfId="24185"/>
    <cellStyle name="40% - Accent4 3 3 4 4 2" xfId="24186"/>
    <cellStyle name="40% - Accent4 3 3 4 5" xfId="24187"/>
    <cellStyle name="40% - Accent4 3 3 4 5 2" xfId="24188"/>
    <cellStyle name="40% - Accent4 3 3 4 6" xfId="24189"/>
    <cellStyle name="40% - Accent4 3 3 5" xfId="24190"/>
    <cellStyle name="40% - Accent4 3 3 5 2" xfId="24191"/>
    <cellStyle name="40% - Accent4 3 3 5 2 2" xfId="24192"/>
    <cellStyle name="40% - Accent4 3 3 5 2 2 2" xfId="24193"/>
    <cellStyle name="40% - Accent4 3 3 5 2 2 2 2" xfId="24194"/>
    <cellStyle name="40% - Accent4 3 3 5 2 2 3" xfId="24195"/>
    <cellStyle name="40% - Accent4 3 3 5 2 3" xfId="24196"/>
    <cellStyle name="40% - Accent4 3 3 5 2 3 2" xfId="24197"/>
    <cellStyle name="40% - Accent4 3 3 5 2 4" xfId="24198"/>
    <cellStyle name="40% - Accent4 3 3 5 3" xfId="24199"/>
    <cellStyle name="40% - Accent4 3 3 5 3 2" xfId="24200"/>
    <cellStyle name="40% - Accent4 3 3 5 3 2 2" xfId="24201"/>
    <cellStyle name="40% - Accent4 3 3 5 3 3" xfId="24202"/>
    <cellStyle name="40% - Accent4 3 3 5 4" xfId="24203"/>
    <cellStyle name="40% - Accent4 3 3 5 4 2" xfId="24204"/>
    <cellStyle name="40% - Accent4 3 3 5 5" xfId="24205"/>
    <cellStyle name="40% - Accent4 3 3 5 5 2" xfId="24206"/>
    <cellStyle name="40% - Accent4 3 3 5 6" xfId="24207"/>
    <cellStyle name="40% - Accent4 3 3 6" xfId="24208"/>
    <cellStyle name="40% - Accent4 3 3 6 2" xfId="24209"/>
    <cellStyle name="40% - Accent4 3 3 6 2 2" xfId="24210"/>
    <cellStyle name="40% - Accent4 3 3 6 2 2 2" xfId="24211"/>
    <cellStyle name="40% - Accent4 3 3 6 2 2 2 2" xfId="24212"/>
    <cellStyle name="40% - Accent4 3 3 6 2 2 3" xfId="24213"/>
    <cellStyle name="40% - Accent4 3 3 6 2 3" xfId="24214"/>
    <cellStyle name="40% - Accent4 3 3 6 2 3 2" xfId="24215"/>
    <cellStyle name="40% - Accent4 3 3 6 2 4" xfId="24216"/>
    <cellStyle name="40% - Accent4 3 3 6 3" xfId="24217"/>
    <cellStyle name="40% - Accent4 3 3 6 3 2" xfId="24218"/>
    <cellStyle name="40% - Accent4 3 3 6 3 2 2" xfId="24219"/>
    <cellStyle name="40% - Accent4 3 3 6 3 3" xfId="24220"/>
    <cellStyle name="40% - Accent4 3 3 6 4" xfId="24221"/>
    <cellStyle name="40% - Accent4 3 3 6 4 2" xfId="24222"/>
    <cellStyle name="40% - Accent4 3 3 6 5" xfId="24223"/>
    <cellStyle name="40% - Accent4 3 3 6 5 2" xfId="24224"/>
    <cellStyle name="40% - Accent4 3 3 6 6" xfId="24225"/>
    <cellStyle name="40% - Accent4 3 3 7" xfId="24226"/>
    <cellStyle name="40% - Accent4 3 3 7 2" xfId="24227"/>
    <cellStyle name="40% - Accent4 3 3 7 2 2" xfId="24228"/>
    <cellStyle name="40% - Accent4 3 3 7 2 2 2" xfId="24229"/>
    <cellStyle name="40% - Accent4 3 3 7 2 3" xfId="24230"/>
    <cellStyle name="40% - Accent4 3 3 7 3" xfId="24231"/>
    <cellStyle name="40% - Accent4 3 3 7 3 2" xfId="24232"/>
    <cellStyle name="40% - Accent4 3 3 7 4" xfId="24233"/>
    <cellStyle name="40% - Accent4 3 3 8" xfId="24234"/>
    <cellStyle name="40% - Accent4 3 3 8 2" xfId="24235"/>
    <cellStyle name="40% - Accent4 3 3 8 2 2" xfId="24236"/>
    <cellStyle name="40% - Accent4 3 3 8 3" xfId="24237"/>
    <cellStyle name="40% - Accent4 3 3 9" xfId="24238"/>
    <cellStyle name="40% - Accent4 3 3 9 2" xfId="24239"/>
    <cellStyle name="40% - Accent4 3 4" xfId="24240"/>
    <cellStyle name="40% - Accent4 3 4 10" xfId="24241"/>
    <cellStyle name="40% - Accent4 3 4 10 2" xfId="24242"/>
    <cellStyle name="40% - Accent4 3 4 11" xfId="24243"/>
    <cellStyle name="40% - Accent4 3 4 2" xfId="24244"/>
    <cellStyle name="40% - Accent4 3 4 2 2" xfId="24245"/>
    <cellStyle name="40% - Accent4 3 4 2 2 2" xfId="24246"/>
    <cellStyle name="40% - Accent4 3 4 2 2 2 2" xfId="24247"/>
    <cellStyle name="40% - Accent4 3 4 2 2 2 2 2" xfId="24248"/>
    <cellStyle name="40% - Accent4 3 4 2 2 2 2 2 2" xfId="24249"/>
    <cellStyle name="40% - Accent4 3 4 2 2 2 2 3" xfId="24250"/>
    <cellStyle name="40% - Accent4 3 4 2 2 2 3" xfId="24251"/>
    <cellStyle name="40% - Accent4 3 4 2 2 2 3 2" xfId="24252"/>
    <cellStyle name="40% - Accent4 3 4 2 2 2 4" xfId="24253"/>
    <cellStyle name="40% - Accent4 3 4 2 2 3" xfId="24254"/>
    <cellStyle name="40% - Accent4 3 4 2 2 3 2" xfId="24255"/>
    <cellStyle name="40% - Accent4 3 4 2 2 3 2 2" xfId="24256"/>
    <cellStyle name="40% - Accent4 3 4 2 2 3 3" xfId="24257"/>
    <cellStyle name="40% - Accent4 3 4 2 2 4" xfId="24258"/>
    <cellStyle name="40% - Accent4 3 4 2 2 4 2" xfId="24259"/>
    <cellStyle name="40% - Accent4 3 4 2 2 5" xfId="24260"/>
    <cellStyle name="40% - Accent4 3 4 2 2 5 2" xfId="24261"/>
    <cellStyle name="40% - Accent4 3 4 2 2 6" xfId="24262"/>
    <cellStyle name="40% - Accent4 3 4 2 3" xfId="24263"/>
    <cellStyle name="40% - Accent4 3 4 2 3 2" xfId="24264"/>
    <cellStyle name="40% - Accent4 3 4 2 3 2 2" xfId="24265"/>
    <cellStyle name="40% - Accent4 3 4 2 3 2 2 2" xfId="24266"/>
    <cellStyle name="40% - Accent4 3 4 2 3 2 2 2 2" xfId="24267"/>
    <cellStyle name="40% - Accent4 3 4 2 3 2 2 3" xfId="24268"/>
    <cellStyle name="40% - Accent4 3 4 2 3 2 3" xfId="24269"/>
    <cellStyle name="40% - Accent4 3 4 2 3 2 3 2" xfId="24270"/>
    <cellStyle name="40% - Accent4 3 4 2 3 2 4" xfId="24271"/>
    <cellStyle name="40% - Accent4 3 4 2 3 3" xfId="24272"/>
    <cellStyle name="40% - Accent4 3 4 2 3 3 2" xfId="24273"/>
    <cellStyle name="40% - Accent4 3 4 2 3 3 2 2" xfId="24274"/>
    <cellStyle name="40% - Accent4 3 4 2 3 3 3" xfId="24275"/>
    <cellStyle name="40% - Accent4 3 4 2 3 4" xfId="24276"/>
    <cellStyle name="40% - Accent4 3 4 2 3 4 2" xfId="24277"/>
    <cellStyle name="40% - Accent4 3 4 2 3 5" xfId="24278"/>
    <cellStyle name="40% - Accent4 3 4 2 3 5 2" xfId="24279"/>
    <cellStyle name="40% - Accent4 3 4 2 3 6" xfId="24280"/>
    <cellStyle name="40% - Accent4 3 4 2 4" xfId="24281"/>
    <cellStyle name="40% - Accent4 3 4 2 4 2" xfId="24282"/>
    <cellStyle name="40% - Accent4 3 4 2 4 2 2" xfId="24283"/>
    <cellStyle name="40% - Accent4 3 4 2 4 2 2 2" xfId="24284"/>
    <cellStyle name="40% - Accent4 3 4 2 4 2 3" xfId="24285"/>
    <cellStyle name="40% - Accent4 3 4 2 4 3" xfId="24286"/>
    <cellStyle name="40% - Accent4 3 4 2 4 3 2" xfId="24287"/>
    <cellStyle name="40% - Accent4 3 4 2 4 4" xfId="24288"/>
    <cellStyle name="40% - Accent4 3 4 2 5" xfId="24289"/>
    <cellStyle name="40% - Accent4 3 4 2 5 2" xfId="24290"/>
    <cellStyle name="40% - Accent4 3 4 2 5 2 2" xfId="24291"/>
    <cellStyle name="40% - Accent4 3 4 2 5 3" xfId="24292"/>
    <cellStyle name="40% - Accent4 3 4 2 6" xfId="24293"/>
    <cellStyle name="40% - Accent4 3 4 2 6 2" xfId="24294"/>
    <cellStyle name="40% - Accent4 3 4 2 7" xfId="24295"/>
    <cellStyle name="40% - Accent4 3 4 2 7 2" xfId="24296"/>
    <cellStyle name="40% - Accent4 3 4 2 8" xfId="24297"/>
    <cellStyle name="40% - Accent4 3 4 3" xfId="24298"/>
    <cellStyle name="40% - Accent4 3 4 3 2" xfId="24299"/>
    <cellStyle name="40% - Accent4 3 4 3 2 2" xfId="24300"/>
    <cellStyle name="40% - Accent4 3 4 3 2 2 2" xfId="24301"/>
    <cellStyle name="40% - Accent4 3 4 3 2 2 2 2" xfId="24302"/>
    <cellStyle name="40% - Accent4 3 4 3 2 2 2 2 2" xfId="24303"/>
    <cellStyle name="40% - Accent4 3 4 3 2 2 2 3" xfId="24304"/>
    <cellStyle name="40% - Accent4 3 4 3 2 2 3" xfId="24305"/>
    <cellStyle name="40% - Accent4 3 4 3 2 2 3 2" xfId="24306"/>
    <cellStyle name="40% - Accent4 3 4 3 2 2 4" xfId="24307"/>
    <cellStyle name="40% - Accent4 3 4 3 2 3" xfId="24308"/>
    <cellStyle name="40% - Accent4 3 4 3 2 3 2" xfId="24309"/>
    <cellStyle name="40% - Accent4 3 4 3 2 3 2 2" xfId="24310"/>
    <cellStyle name="40% - Accent4 3 4 3 2 3 3" xfId="24311"/>
    <cellStyle name="40% - Accent4 3 4 3 2 4" xfId="24312"/>
    <cellStyle name="40% - Accent4 3 4 3 2 4 2" xfId="24313"/>
    <cellStyle name="40% - Accent4 3 4 3 2 5" xfId="24314"/>
    <cellStyle name="40% - Accent4 3 4 3 2 5 2" xfId="24315"/>
    <cellStyle name="40% - Accent4 3 4 3 2 6" xfId="24316"/>
    <cellStyle name="40% - Accent4 3 4 3 3" xfId="24317"/>
    <cellStyle name="40% - Accent4 3 4 3 3 2" xfId="24318"/>
    <cellStyle name="40% - Accent4 3 4 3 3 2 2" xfId="24319"/>
    <cellStyle name="40% - Accent4 3 4 3 3 2 2 2" xfId="24320"/>
    <cellStyle name="40% - Accent4 3 4 3 3 2 2 2 2" xfId="24321"/>
    <cellStyle name="40% - Accent4 3 4 3 3 2 2 3" xfId="24322"/>
    <cellStyle name="40% - Accent4 3 4 3 3 2 3" xfId="24323"/>
    <cellStyle name="40% - Accent4 3 4 3 3 2 3 2" xfId="24324"/>
    <cellStyle name="40% - Accent4 3 4 3 3 2 4" xfId="24325"/>
    <cellStyle name="40% - Accent4 3 4 3 3 3" xfId="24326"/>
    <cellStyle name="40% - Accent4 3 4 3 3 3 2" xfId="24327"/>
    <cellStyle name="40% - Accent4 3 4 3 3 3 2 2" xfId="24328"/>
    <cellStyle name="40% - Accent4 3 4 3 3 3 3" xfId="24329"/>
    <cellStyle name="40% - Accent4 3 4 3 3 4" xfId="24330"/>
    <cellStyle name="40% - Accent4 3 4 3 3 4 2" xfId="24331"/>
    <cellStyle name="40% - Accent4 3 4 3 3 5" xfId="24332"/>
    <cellStyle name="40% - Accent4 3 4 3 3 5 2" xfId="24333"/>
    <cellStyle name="40% - Accent4 3 4 3 3 6" xfId="24334"/>
    <cellStyle name="40% - Accent4 3 4 3 4" xfId="24335"/>
    <cellStyle name="40% - Accent4 3 4 3 4 2" xfId="24336"/>
    <cellStyle name="40% - Accent4 3 4 3 4 2 2" xfId="24337"/>
    <cellStyle name="40% - Accent4 3 4 3 4 2 2 2" xfId="24338"/>
    <cellStyle name="40% - Accent4 3 4 3 4 2 3" xfId="24339"/>
    <cellStyle name="40% - Accent4 3 4 3 4 3" xfId="24340"/>
    <cellStyle name="40% - Accent4 3 4 3 4 3 2" xfId="24341"/>
    <cellStyle name="40% - Accent4 3 4 3 4 4" xfId="24342"/>
    <cellStyle name="40% - Accent4 3 4 3 5" xfId="24343"/>
    <cellStyle name="40% - Accent4 3 4 3 5 2" xfId="24344"/>
    <cellStyle name="40% - Accent4 3 4 3 5 2 2" xfId="24345"/>
    <cellStyle name="40% - Accent4 3 4 3 5 3" xfId="24346"/>
    <cellStyle name="40% - Accent4 3 4 3 6" xfId="24347"/>
    <cellStyle name="40% - Accent4 3 4 3 6 2" xfId="24348"/>
    <cellStyle name="40% - Accent4 3 4 3 7" xfId="24349"/>
    <cellStyle name="40% - Accent4 3 4 3 7 2" xfId="24350"/>
    <cellStyle name="40% - Accent4 3 4 3 8" xfId="24351"/>
    <cellStyle name="40% - Accent4 3 4 4" xfId="24352"/>
    <cellStyle name="40% - Accent4 3 4 4 2" xfId="24353"/>
    <cellStyle name="40% - Accent4 3 4 4 2 2" xfId="24354"/>
    <cellStyle name="40% - Accent4 3 4 4 2 2 2" xfId="24355"/>
    <cellStyle name="40% - Accent4 3 4 4 2 2 2 2" xfId="24356"/>
    <cellStyle name="40% - Accent4 3 4 4 2 2 3" xfId="24357"/>
    <cellStyle name="40% - Accent4 3 4 4 2 3" xfId="24358"/>
    <cellStyle name="40% - Accent4 3 4 4 2 3 2" xfId="24359"/>
    <cellStyle name="40% - Accent4 3 4 4 2 4" xfId="24360"/>
    <cellStyle name="40% - Accent4 3 4 4 3" xfId="24361"/>
    <cellStyle name="40% - Accent4 3 4 4 3 2" xfId="24362"/>
    <cellStyle name="40% - Accent4 3 4 4 3 2 2" xfId="24363"/>
    <cellStyle name="40% - Accent4 3 4 4 3 3" xfId="24364"/>
    <cellStyle name="40% - Accent4 3 4 4 4" xfId="24365"/>
    <cellStyle name="40% - Accent4 3 4 4 4 2" xfId="24366"/>
    <cellStyle name="40% - Accent4 3 4 4 5" xfId="24367"/>
    <cellStyle name="40% - Accent4 3 4 4 5 2" xfId="24368"/>
    <cellStyle name="40% - Accent4 3 4 4 6" xfId="24369"/>
    <cellStyle name="40% - Accent4 3 4 5" xfId="24370"/>
    <cellStyle name="40% - Accent4 3 4 5 2" xfId="24371"/>
    <cellStyle name="40% - Accent4 3 4 5 2 2" xfId="24372"/>
    <cellStyle name="40% - Accent4 3 4 5 2 2 2" xfId="24373"/>
    <cellStyle name="40% - Accent4 3 4 5 2 2 2 2" xfId="24374"/>
    <cellStyle name="40% - Accent4 3 4 5 2 2 3" xfId="24375"/>
    <cellStyle name="40% - Accent4 3 4 5 2 3" xfId="24376"/>
    <cellStyle name="40% - Accent4 3 4 5 2 3 2" xfId="24377"/>
    <cellStyle name="40% - Accent4 3 4 5 2 4" xfId="24378"/>
    <cellStyle name="40% - Accent4 3 4 5 3" xfId="24379"/>
    <cellStyle name="40% - Accent4 3 4 5 3 2" xfId="24380"/>
    <cellStyle name="40% - Accent4 3 4 5 3 2 2" xfId="24381"/>
    <cellStyle name="40% - Accent4 3 4 5 3 3" xfId="24382"/>
    <cellStyle name="40% - Accent4 3 4 5 4" xfId="24383"/>
    <cellStyle name="40% - Accent4 3 4 5 4 2" xfId="24384"/>
    <cellStyle name="40% - Accent4 3 4 5 5" xfId="24385"/>
    <cellStyle name="40% - Accent4 3 4 5 5 2" xfId="24386"/>
    <cellStyle name="40% - Accent4 3 4 5 6" xfId="24387"/>
    <cellStyle name="40% - Accent4 3 4 6" xfId="24388"/>
    <cellStyle name="40% - Accent4 3 4 6 2" xfId="24389"/>
    <cellStyle name="40% - Accent4 3 4 6 2 2" xfId="24390"/>
    <cellStyle name="40% - Accent4 3 4 6 2 2 2" xfId="24391"/>
    <cellStyle name="40% - Accent4 3 4 6 2 2 2 2" xfId="24392"/>
    <cellStyle name="40% - Accent4 3 4 6 2 2 3" xfId="24393"/>
    <cellStyle name="40% - Accent4 3 4 6 2 3" xfId="24394"/>
    <cellStyle name="40% - Accent4 3 4 6 2 3 2" xfId="24395"/>
    <cellStyle name="40% - Accent4 3 4 6 2 4" xfId="24396"/>
    <cellStyle name="40% - Accent4 3 4 6 3" xfId="24397"/>
    <cellStyle name="40% - Accent4 3 4 6 3 2" xfId="24398"/>
    <cellStyle name="40% - Accent4 3 4 6 3 2 2" xfId="24399"/>
    <cellStyle name="40% - Accent4 3 4 6 3 3" xfId="24400"/>
    <cellStyle name="40% - Accent4 3 4 6 4" xfId="24401"/>
    <cellStyle name="40% - Accent4 3 4 6 4 2" xfId="24402"/>
    <cellStyle name="40% - Accent4 3 4 6 5" xfId="24403"/>
    <cellStyle name="40% - Accent4 3 4 6 5 2" xfId="24404"/>
    <cellStyle name="40% - Accent4 3 4 6 6" xfId="24405"/>
    <cellStyle name="40% - Accent4 3 4 7" xfId="24406"/>
    <cellStyle name="40% - Accent4 3 4 7 2" xfId="24407"/>
    <cellStyle name="40% - Accent4 3 4 7 2 2" xfId="24408"/>
    <cellStyle name="40% - Accent4 3 4 7 2 2 2" xfId="24409"/>
    <cellStyle name="40% - Accent4 3 4 7 2 3" xfId="24410"/>
    <cellStyle name="40% - Accent4 3 4 7 3" xfId="24411"/>
    <cellStyle name="40% - Accent4 3 4 7 3 2" xfId="24412"/>
    <cellStyle name="40% - Accent4 3 4 7 4" xfId="24413"/>
    <cellStyle name="40% - Accent4 3 4 8" xfId="24414"/>
    <cellStyle name="40% - Accent4 3 4 8 2" xfId="24415"/>
    <cellStyle name="40% - Accent4 3 4 8 2 2" xfId="24416"/>
    <cellStyle name="40% - Accent4 3 4 8 3" xfId="24417"/>
    <cellStyle name="40% - Accent4 3 4 9" xfId="24418"/>
    <cellStyle name="40% - Accent4 3 4 9 2" xfId="24419"/>
    <cellStyle name="40% - Accent4 3 5" xfId="24420"/>
    <cellStyle name="40% - Accent4 3 5 10" xfId="24421"/>
    <cellStyle name="40% - Accent4 3 5 10 2" xfId="24422"/>
    <cellStyle name="40% - Accent4 3 5 11" xfId="24423"/>
    <cellStyle name="40% - Accent4 3 5 2" xfId="24424"/>
    <cellStyle name="40% - Accent4 3 5 2 2" xfId="24425"/>
    <cellStyle name="40% - Accent4 3 5 2 2 2" xfId="24426"/>
    <cellStyle name="40% - Accent4 3 5 2 2 2 2" xfId="24427"/>
    <cellStyle name="40% - Accent4 3 5 2 2 2 2 2" xfId="24428"/>
    <cellStyle name="40% - Accent4 3 5 2 2 2 2 2 2" xfId="24429"/>
    <cellStyle name="40% - Accent4 3 5 2 2 2 2 3" xfId="24430"/>
    <cellStyle name="40% - Accent4 3 5 2 2 2 3" xfId="24431"/>
    <cellStyle name="40% - Accent4 3 5 2 2 2 3 2" xfId="24432"/>
    <cellStyle name="40% - Accent4 3 5 2 2 2 4" xfId="24433"/>
    <cellStyle name="40% - Accent4 3 5 2 2 3" xfId="24434"/>
    <cellStyle name="40% - Accent4 3 5 2 2 3 2" xfId="24435"/>
    <cellStyle name="40% - Accent4 3 5 2 2 3 2 2" xfId="24436"/>
    <cellStyle name="40% - Accent4 3 5 2 2 3 3" xfId="24437"/>
    <cellStyle name="40% - Accent4 3 5 2 2 4" xfId="24438"/>
    <cellStyle name="40% - Accent4 3 5 2 2 4 2" xfId="24439"/>
    <cellStyle name="40% - Accent4 3 5 2 2 5" xfId="24440"/>
    <cellStyle name="40% - Accent4 3 5 2 2 5 2" xfId="24441"/>
    <cellStyle name="40% - Accent4 3 5 2 2 6" xfId="24442"/>
    <cellStyle name="40% - Accent4 3 5 2 3" xfId="24443"/>
    <cellStyle name="40% - Accent4 3 5 2 3 2" xfId="24444"/>
    <cellStyle name="40% - Accent4 3 5 2 3 2 2" xfId="24445"/>
    <cellStyle name="40% - Accent4 3 5 2 3 2 2 2" xfId="24446"/>
    <cellStyle name="40% - Accent4 3 5 2 3 2 2 2 2" xfId="24447"/>
    <cellStyle name="40% - Accent4 3 5 2 3 2 2 3" xfId="24448"/>
    <cellStyle name="40% - Accent4 3 5 2 3 2 3" xfId="24449"/>
    <cellStyle name="40% - Accent4 3 5 2 3 2 3 2" xfId="24450"/>
    <cellStyle name="40% - Accent4 3 5 2 3 2 4" xfId="24451"/>
    <cellStyle name="40% - Accent4 3 5 2 3 3" xfId="24452"/>
    <cellStyle name="40% - Accent4 3 5 2 3 3 2" xfId="24453"/>
    <cellStyle name="40% - Accent4 3 5 2 3 3 2 2" xfId="24454"/>
    <cellStyle name="40% - Accent4 3 5 2 3 3 3" xfId="24455"/>
    <cellStyle name="40% - Accent4 3 5 2 3 4" xfId="24456"/>
    <cellStyle name="40% - Accent4 3 5 2 3 4 2" xfId="24457"/>
    <cellStyle name="40% - Accent4 3 5 2 3 5" xfId="24458"/>
    <cellStyle name="40% - Accent4 3 5 2 3 5 2" xfId="24459"/>
    <cellStyle name="40% - Accent4 3 5 2 3 6" xfId="24460"/>
    <cellStyle name="40% - Accent4 3 5 2 4" xfId="24461"/>
    <cellStyle name="40% - Accent4 3 5 2 4 2" xfId="24462"/>
    <cellStyle name="40% - Accent4 3 5 2 4 2 2" xfId="24463"/>
    <cellStyle name="40% - Accent4 3 5 2 4 2 2 2" xfId="24464"/>
    <cellStyle name="40% - Accent4 3 5 2 4 2 3" xfId="24465"/>
    <cellStyle name="40% - Accent4 3 5 2 4 3" xfId="24466"/>
    <cellStyle name="40% - Accent4 3 5 2 4 3 2" xfId="24467"/>
    <cellStyle name="40% - Accent4 3 5 2 4 4" xfId="24468"/>
    <cellStyle name="40% - Accent4 3 5 2 5" xfId="24469"/>
    <cellStyle name="40% - Accent4 3 5 2 5 2" xfId="24470"/>
    <cellStyle name="40% - Accent4 3 5 2 5 2 2" xfId="24471"/>
    <cellStyle name="40% - Accent4 3 5 2 5 3" xfId="24472"/>
    <cellStyle name="40% - Accent4 3 5 2 6" xfId="24473"/>
    <cellStyle name="40% - Accent4 3 5 2 6 2" xfId="24474"/>
    <cellStyle name="40% - Accent4 3 5 2 7" xfId="24475"/>
    <cellStyle name="40% - Accent4 3 5 2 7 2" xfId="24476"/>
    <cellStyle name="40% - Accent4 3 5 2 8" xfId="24477"/>
    <cellStyle name="40% - Accent4 3 5 3" xfId="24478"/>
    <cellStyle name="40% - Accent4 3 5 3 2" xfId="24479"/>
    <cellStyle name="40% - Accent4 3 5 3 2 2" xfId="24480"/>
    <cellStyle name="40% - Accent4 3 5 3 2 2 2" xfId="24481"/>
    <cellStyle name="40% - Accent4 3 5 3 2 2 2 2" xfId="24482"/>
    <cellStyle name="40% - Accent4 3 5 3 2 2 2 2 2" xfId="24483"/>
    <cellStyle name="40% - Accent4 3 5 3 2 2 2 3" xfId="24484"/>
    <cellStyle name="40% - Accent4 3 5 3 2 2 3" xfId="24485"/>
    <cellStyle name="40% - Accent4 3 5 3 2 2 3 2" xfId="24486"/>
    <cellStyle name="40% - Accent4 3 5 3 2 2 4" xfId="24487"/>
    <cellStyle name="40% - Accent4 3 5 3 2 3" xfId="24488"/>
    <cellStyle name="40% - Accent4 3 5 3 2 3 2" xfId="24489"/>
    <cellStyle name="40% - Accent4 3 5 3 2 3 2 2" xfId="24490"/>
    <cellStyle name="40% - Accent4 3 5 3 2 3 3" xfId="24491"/>
    <cellStyle name="40% - Accent4 3 5 3 2 4" xfId="24492"/>
    <cellStyle name="40% - Accent4 3 5 3 2 4 2" xfId="24493"/>
    <cellStyle name="40% - Accent4 3 5 3 2 5" xfId="24494"/>
    <cellStyle name="40% - Accent4 3 5 3 2 5 2" xfId="24495"/>
    <cellStyle name="40% - Accent4 3 5 3 2 6" xfId="24496"/>
    <cellStyle name="40% - Accent4 3 5 3 3" xfId="24497"/>
    <cellStyle name="40% - Accent4 3 5 3 3 2" xfId="24498"/>
    <cellStyle name="40% - Accent4 3 5 3 3 2 2" xfId="24499"/>
    <cellStyle name="40% - Accent4 3 5 3 3 2 2 2" xfId="24500"/>
    <cellStyle name="40% - Accent4 3 5 3 3 2 2 2 2" xfId="24501"/>
    <cellStyle name="40% - Accent4 3 5 3 3 2 2 3" xfId="24502"/>
    <cellStyle name="40% - Accent4 3 5 3 3 2 3" xfId="24503"/>
    <cellStyle name="40% - Accent4 3 5 3 3 2 3 2" xfId="24504"/>
    <cellStyle name="40% - Accent4 3 5 3 3 2 4" xfId="24505"/>
    <cellStyle name="40% - Accent4 3 5 3 3 3" xfId="24506"/>
    <cellStyle name="40% - Accent4 3 5 3 3 3 2" xfId="24507"/>
    <cellStyle name="40% - Accent4 3 5 3 3 3 2 2" xfId="24508"/>
    <cellStyle name="40% - Accent4 3 5 3 3 3 3" xfId="24509"/>
    <cellStyle name="40% - Accent4 3 5 3 3 4" xfId="24510"/>
    <cellStyle name="40% - Accent4 3 5 3 3 4 2" xfId="24511"/>
    <cellStyle name="40% - Accent4 3 5 3 3 5" xfId="24512"/>
    <cellStyle name="40% - Accent4 3 5 3 3 5 2" xfId="24513"/>
    <cellStyle name="40% - Accent4 3 5 3 3 6" xfId="24514"/>
    <cellStyle name="40% - Accent4 3 5 3 4" xfId="24515"/>
    <cellStyle name="40% - Accent4 3 5 3 4 2" xfId="24516"/>
    <cellStyle name="40% - Accent4 3 5 3 4 2 2" xfId="24517"/>
    <cellStyle name="40% - Accent4 3 5 3 4 2 2 2" xfId="24518"/>
    <cellStyle name="40% - Accent4 3 5 3 4 2 3" xfId="24519"/>
    <cellStyle name="40% - Accent4 3 5 3 4 3" xfId="24520"/>
    <cellStyle name="40% - Accent4 3 5 3 4 3 2" xfId="24521"/>
    <cellStyle name="40% - Accent4 3 5 3 4 4" xfId="24522"/>
    <cellStyle name="40% - Accent4 3 5 3 5" xfId="24523"/>
    <cellStyle name="40% - Accent4 3 5 3 5 2" xfId="24524"/>
    <cellStyle name="40% - Accent4 3 5 3 5 2 2" xfId="24525"/>
    <cellStyle name="40% - Accent4 3 5 3 5 3" xfId="24526"/>
    <cellStyle name="40% - Accent4 3 5 3 6" xfId="24527"/>
    <cellStyle name="40% - Accent4 3 5 3 6 2" xfId="24528"/>
    <cellStyle name="40% - Accent4 3 5 3 7" xfId="24529"/>
    <cellStyle name="40% - Accent4 3 5 3 7 2" xfId="24530"/>
    <cellStyle name="40% - Accent4 3 5 3 8" xfId="24531"/>
    <cellStyle name="40% - Accent4 3 5 4" xfId="24532"/>
    <cellStyle name="40% - Accent4 3 5 4 2" xfId="24533"/>
    <cellStyle name="40% - Accent4 3 5 4 2 2" xfId="24534"/>
    <cellStyle name="40% - Accent4 3 5 4 2 2 2" xfId="24535"/>
    <cellStyle name="40% - Accent4 3 5 4 2 2 2 2" xfId="24536"/>
    <cellStyle name="40% - Accent4 3 5 4 2 2 3" xfId="24537"/>
    <cellStyle name="40% - Accent4 3 5 4 2 3" xfId="24538"/>
    <cellStyle name="40% - Accent4 3 5 4 2 3 2" xfId="24539"/>
    <cellStyle name="40% - Accent4 3 5 4 2 4" xfId="24540"/>
    <cellStyle name="40% - Accent4 3 5 4 3" xfId="24541"/>
    <cellStyle name="40% - Accent4 3 5 4 3 2" xfId="24542"/>
    <cellStyle name="40% - Accent4 3 5 4 3 2 2" xfId="24543"/>
    <cellStyle name="40% - Accent4 3 5 4 3 3" xfId="24544"/>
    <cellStyle name="40% - Accent4 3 5 4 4" xfId="24545"/>
    <cellStyle name="40% - Accent4 3 5 4 4 2" xfId="24546"/>
    <cellStyle name="40% - Accent4 3 5 4 5" xfId="24547"/>
    <cellStyle name="40% - Accent4 3 5 4 5 2" xfId="24548"/>
    <cellStyle name="40% - Accent4 3 5 4 6" xfId="24549"/>
    <cellStyle name="40% - Accent4 3 5 5" xfId="24550"/>
    <cellStyle name="40% - Accent4 3 5 5 2" xfId="24551"/>
    <cellStyle name="40% - Accent4 3 5 5 2 2" xfId="24552"/>
    <cellStyle name="40% - Accent4 3 5 5 2 2 2" xfId="24553"/>
    <cellStyle name="40% - Accent4 3 5 5 2 2 2 2" xfId="24554"/>
    <cellStyle name="40% - Accent4 3 5 5 2 2 3" xfId="24555"/>
    <cellStyle name="40% - Accent4 3 5 5 2 3" xfId="24556"/>
    <cellStyle name="40% - Accent4 3 5 5 2 3 2" xfId="24557"/>
    <cellStyle name="40% - Accent4 3 5 5 2 4" xfId="24558"/>
    <cellStyle name="40% - Accent4 3 5 5 3" xfId="24559"/>
    <cellStyle name="40% - Accent4 3 5 5 3 2" xfId="24560"/>
    <cellStyle name="40% - Accent4 3 5 5 3 2 2" xfId="24561"/>
    <cellStyle name="40% - Accent4 3 5 5 3 3" xfId="24562"/>
    <cellStyle name="40% - Accent4 3 5 5 4" xfId="24563"/>
    <cellStyle name="40% - Accent4 3 5 5 4 2" xfId="24564"/>
    <cellStyle name="40% - Accent4 3 5 5 5" xfId="24565"/>
    <cellStyle name="40% - Accent4 3 5 5 5 2" xfId="24566"/>
    <cellStyle name="40% - Accent4 3 5 5 6" xfId="24567"/>
    <cellStyle name="40% - Accent4 3 5 6" xfId="24568"/>
    <cellStyle name="40% - Accent4 3 5 6 2" xfId="24569"/>
    <cellStyle name="40% - Accent4 3 5 6 2 2" xfId="24570"/>
    <cellStyle name="40% - Accent4 3 5 6 2 2 2" xfId="24571"/>
    <cellStyle name="40% - Accent4 3 5 6 2 2 2 2" xfId="24572"/>
    <cellStyle name="40% - Accent4 3 5 6 2 2 3" xfId="24573"/>
    <cellStyle name="40% - Accent4 3 5 6 2 3" xfId="24574"/>
    <cellStyle name="40% - Accent4 3 5 6 2 3 2" xfId="24575"/>
    <cellStyle name="40% - Accent4 3 5 6 2 4" xfId="24576"/>
    <cellStyle name="40% - Accent4 3 5 6 3" xfId="24577"/>
    <cellStyle name="40% - Accent4 3 5 6 3 2" xfId="24578"/>
    <cellStyle name="40% - Accent4 3 5 6 3 2 2" xfId="24579"/>
    <cellStyle name="40% - Accent4 3 5 6 3 3" xfId="24580"/>
    <cellStyle name="40% - Accent4 3 5 6 4" xfId="24581"/>
    <cellStyle name="40% - Accent4 3 5 6 4 2" xfId="24582"/>
    <cellStyle name="40% - Accent4 3 5 6 5" xfId="24583"/>
    <cellStyle name="40% - Accent4 3 5 6 5 2" xfId="24584"/>
    <cellStyle name="40% - Accent4 3 5 6 6" xfId="24585"/>
    <cellStyle name="40% - Accent4 3 5 7" xfId="24586"/>
    <cellStyle name="40% - Accent4 3 5 7 2" xfId="24587"/>
    <cellStyle name="40% - Accent4 3 5 7 2 2" xfId="24588"/>
    <cellStyle name="40% - Accent4 3 5 7 2 2 2" xfId="24589"/>
    <cellStyle name="40% - Accent4 3 5 7 2 3" xfId="24590"/>
    <cellStyle name="40% - Accent4 3 5 7 3" xfId="24591"/>
    <cellStyle name="40% - Accent4 3 5 7 3 2" xfId="24592"/>
    <cellStyle name="40% - Accent4 3 5 7 4" xfId="24593"/>
    <cellStyle name="40% - Accent4 3 5 8" xfId="24594"/>
    <cellStyle name="40% - Accent4 3 5 8 2" xfId="24595"/>
    <cellStyle name="40% - Accent4 3 5 8 2 2" xfId="24596"/>
    <cellStyle name="40% - Accent4 3 5 8 3" xfId="24597"/>
    <cellStyle name="40% - Accent4 3 5 9" xfId="24598"/>
    <cellStyle name="40% - Accent4 3 5 9 2" xfId="24599"/>
    <cellStyle name="40% - Accent4 3 6" xfId="24600"/>
    <cellStyle name="40% - Accent4 3 6 2" xfId="24601"/>
    <cellStyle name="40% - Accent4 3 6 2 2" xfId="24602"/>
    <cellStyle name="40% - Accent4 3 6 2 2 2" xfId="24603"/>
    <cellStyle name="40% - Accent4 3 6 2 2 2 2" xfId="24604"/>
    <cellStyle name="40% - Accent4 3 6 2 2 2 2 2" xfId="24605"/>
    <cellStyle name="40% - Accent4 3 6 2 2 2 3" xfId="24606"/>
    <cellStyle name="40% - Accent4 3 6 2 2 3" xfId="24607"/>
    <cellStyle name="40% - Accent4 3 6 2 2 3 2" xfId="24608"/>
    <cellStyle name="40% - Accent4 3 6 2 2 4" xfId="24609"/>
    <cellStyle name="40% - Accent4 3 6 2 3" xfId="24610"/>
    <cellStyle name="40% - Accent4 3 6 2 3 2" xfId="24611"/>
    <cellStyle name="40% - Accent4 3 6 2 3 2 2" xfId="24612"/>
    <cellStyle name="40% - Accent4 3 6 2 3 3" xfId="24613"/>
    <cellStyle name="40% - Accent4 3 6 2 4" xfId="24614"/>
    <cellStyle name="40% - Accent4 3 6 2 4 2" xfId="24615"/>
    <cellStyle name="40% - Accent4 3 6 2 5" xfId="24616"/>
    <cellStyle name="40% - Accent4 3 6 2 5 2" xfId="24617"/>
    <cellStyle name="40% - Accent4 3 6 2 6" xfId="24618"/>
    <cellStyle name="40% - Accent4 3 6 3" xfId="24619"/>
    <cellStyle name="40% - Accent4 3 6 3 2" xfId="24620"/>
    <cellStyle name="40% - Accent4 3 6 3 2 2" xfId="24621"/>
    <cellStyle name="40% - Accent4 3 6 3 2 2 2" xfId="24622"/>
    <cellStyle name="40% - Accent4 3 6 3 2 2 2 2" xfId="24623"/>
    <cellStyle name="40% - Accent4 3 6 3 2 2 3" xfId="24624"/>
    <cellStyle name="40% - Accent4 3 6 3 2 3" xfId="24625"/>
    <cellStyle name="40% - Accent4 3 6 3 2 3 2" xfId="24626"/>
    <cellStyle name="40% - Accent4 3 6 3 2 4" xfId="24627"/>
    <cellStyle name="40% - Accent4 3 6 3 3" xfId="24628"/>
    <cellStyle name="40% - Accent4 3 6 3 3 2" xfId="24629"/>
    <cellStyle name="40% - Accent4 3 6 3 3 2 2" xfId="24630"/>
    <cellStyle name="40% - Accent4 3 6 3 3 3" xfId="24631"/>
    <cellStyle name="40% - Accent4 3 6 3 4" xfId="24632"/>
    <cellStyle name="40% - Accent4 3 6 3 4 2" xfId="24633"/>
    <cellStyle name="40% - Accent4 3 6 3 5" xfId="24634"/>
    <cellStyle name="40% - Accent4 3 6 3 5 2" xfId="24635"/>
    <cellStyle name="40% - Accent4 3 6 3 6" xfId="24636"/>
    <cellStyle name="40% - Accent4 3 6 4" xfId="24637"/>
    <cellStyle name="40% - Accent4 3 6 4 2" xfId="24638"/>
    <cellStyle name="40% - Accent4 3 6 4 2 2" xfId="24639"/>
    <cellStyle name="40% - Accent4 3 6 4 2 2 2" xfId="24640"/>
    <cellStyle name="40% - Accent4 3 6 4 2 3" xfId="24641"/>
    <cellStyle name="40% - Accent4 3 6 4 3" xfId="24642"/>
    <cellStyle name="40% - Accent4 3 6 4 3 2" xfId="24643"/>
    <cellStyle name="40% - Accent4 3 6 4 4" xfId="24644"/>
    <cellStyle name="40% - Accent4 3 6 5" xfId="24645"/>
    <cellStyle name="40% - Accent4 3 6 5 2" xfId="24646"/>
    <cellStyle name="40% - Accent4 3 6 5 2 2" xfId="24647"/>
    <cellStyle name="40% - Accent4 3 6 5 3" xfId="24648"/>
    <cellStyle name="40% - Accent4 3 6 6" xfId="24649"/>
    <cellStyle name="40% - Accent4 3 6 6 2" xfId="24650"/>
    <cellStyle name="40% - Accent4 3 6 7" xfId="24651"/>
    <cellStyle name="40% - Accent4 3 6 7 2" xfId="24652"/>
    <cellStyle name="40% - Accent4 3 6 8" xfId="24653"/>
    <cellStyle name="40% - Accent4 3 7" xfId="24654"/>
    <cellStyle name="40% - Accent4 3 7 2" xfId="24655"/>
    <cellStyle name="40% - Accent4 3 7 2 2" xfId="24656"/>
    <cellStyle name="40% - Accent4 3 7 2 2 2" xfId="24657"/>
    <cellStyle name="40% - Accent4 3 7 2 2 2 2" xfId="24658"/>
    <cellStyle name="40% - Accent4 3 7 2 2 2 2 2" xfId="24659"/>
    <cellStyle name="40% - Accent4 3 7 2 2 2 3" xfId="24660"/>
    <cellStyle name="40% - Accent4 3 7 2 2 3" xfId="24661"/>
    <cellStyle name="40% - Accent4 3 7 2 2 3 2" xfId="24662"/>
    <cellStyle name="40% - Accent4 3 7 2 2 4" xfId="24663"/>
    <cellStyle name="40% - Accent4 3 7 2 3" xfId="24664"/>
    <cellStyle name="40% - Accent4 3 7 2 3 2" xfId="24665"/>
    <cellStyle name="40% - Accent4 3 7 2 3 2 2" xfId="24666"/>
    <cellStyle name="40% - Accent4 3 7 2 3 3" xfId="24667"/>
    <cellStyle name="40% - Accent4 3 7 2 4" xfId="24668"/>
    <cellStyle name="40% - Accent4 3 7 2 4 2" xfId="24669"/>
    <cellStyle name="40% - Accent4 3 7 2 5" xfId="24670"/>
    <cellStyle name="40% - Accent4 3 7 2 5 2" xfId="24671"/>
    <cellStyle name="40% - Accent4 3 7 2 6" xfId="24672"/>
    <cellStyle name="40% - Accent4 3 7 3" xfId="24673"/>
    <cellStyle name="40% - Accent4 3 7 3 2" xfId="24674"/>
    <cellStyle name="40% - Accent4 3 7 3 2 2" xfId="24675"/>
    <cellStyle name="40% - Accent4 3 7 3 2 2 2" xfId="24676"/>
    <cellStyle name="40% - Accent4 3 7 3 2 2 2 2" xfId="24677"/>
    <cellStyle name="40% - Accent4 3 7 3 2 2 3" xfId="24678"/>
    <cellStyle name="40% - Accent4 3 7 3 2 3" xfId="24679"/>
    <cellStyle name="40% - Accent4 3 7 3 2 3 2" xfId="24680"/>
    <cellStyle name="40% - Accent4 3 7 3 2 4" xfId="24681"/>
    <cellStyle name="40% - Accent4 3 7 3 3" xfId="24682"/>
    <cellStyle name="40% - Accent4 3 7 3 3 2" xfId="24683"/>
    <cellStyle name="40% - Accent4 3 7 3 3 2 2" xfId="24684"/>
    <cellStyle name="40% - Accent4 3 7 3 3 3" xfId="24685"/>
    <cellStyle name="40% - Accent4 3 7 3 4" xfId="24686"/>
    <cellStyle name="40% - Accent4 3 7 3 4 2" xfId="24687"/>
    <cellStyle name="40% - Accent4 3 7 3 5" xfId="24688"/>
    <cellStyle name="40% - Accent4 3 7 3 5 2" xfId="24689"/>
    <cellStyle name="40% - Accent4 3 7 3 6" xfId="24690"/>
    <cellStyle name="40% - Accent4 3 7 4" xfId="24691"/>
    <cellStyle name="40% - Accent4 3 7 4 2" xfId="24692"/>
    <cellStyle name="40% - Accent4 3 7 4 2 2" xfId="24693"/>
    <cellStyle name="40% - Accent4 3 7 4 2 2 2" xfId="24694"/>
    <cellStyle name="40% - Accent4 3 7 4 2 3" xfId="24695"/>
    <cellStyle name="40% - Accent4 3 7 4 3" xfId="24696"/>
    <cellStyle name="40% - Accent4 3 7 4 3 2" xfId="24697"/>
    <cellStyle name="40% - Accent4 3 7 4 4" xfId="24698"/>
    <cellStyle name="40% - Accent4 3 7 5" xfId="24699"/>
    <cellStyle name="40% - Accent4 3 7 5 2" xfId="24700"/>
    <cellStyle name="40% - Accent4 3 7 5 2 2" xfId="24701"/>
    <cellStyle name="40% - Accent4 3 7 5 3" xfId="24702"/>
    <cellStyle name="40% - Accent4 3 7 6" xfId="24703"/>
    <cellStyle name="40% - Accent4 3 7 6 2" xfId="24704"/>
    <cellStyle name="40% - Accent4 3 7 7" xfId="24705"/>
    <cellStyle name="40% - Accent4 3 7 7 2" xfId="24706"/>
    <cellStyle name="40% - Accent4 3 7 8" xfId="24707"/>
    <cellStyle name="40% - Accent4 3 8" xfId="24708"/>
    <cellStyle name="40% - Accent4 3 8 2" xfId="24709"/>
    <cellStyle name="40% - Accent4 3 8 2 2" xfId="24710"/>
    <cellStyle name="40% - Accent4 3 8 2 2 2" xfId="24711"/>
    <cellStyle name="40% - Accent4 3 8 2 2 2 2" xfId="24712"/>
    <cellStyle name="40% - Accent4 3 8 2 2 3" xfId="24713"/>
    <cellStyle name="40% - Accent4 3 8 2 3" xfId="24714"/>
    <cellStyle name="40% - Accent4 3 8 2 3 2" xfId="24715"/>
    <cellStyle name="40% - Accent4 3 8 2 4" xfId="24716"/>
    <cellStyle name="40% - Accent4 3 8 3" xfId="24717"/>
    <cellStyle name="40% - Accent4 3 8 3 2" xfId="24718"/>
    <cellStyle name="40% - Accent4 3 8 3 2 2" xfId="24719"/>
    <cellStyle name="40% - Accent4 3 8 3 3" xfId="24720"/>
    <cellStyle name="40% - Accent4 3 8 4" xfId="24721"/>
    <cellStyle name="40% - Accent4 3 8 4 2" xfId="24722"/>
    <cellStyle name="40% - Accent4 3 8 5" xfId="24723"/>
    <cellStyle name="40% - Accent4 3 8 5 2" xfId="24724"/>
    <cellStyle name="40% - Accent4 3 8 6" xfId="24725"/>
    <cellStyle name="40% - Accent4 3 9" xfId="24726"/>
    <cellStyle name="40% - Accent4 3 9 2" xfId="24727"/>
    <cellStyle name="40% - Accent4 3 9 2 2" xfId="24728"/>
    <cellStyle name="40% - Accent4 3 9 2 2 2" xfId="24729"/>
    <cellStyle name="40% - Accent4 3 9 2 2 2 2" xfId="24730"/>
    <cellStyle name="40% - Accent4 3 9 2 2 3" xfId="24731"/>
    <cellStyle name="40% - Accent4 3 9 2 3" xfId="24732"/>
    <cellStyle name="40% - Accent4 3 9 2 3 2" xfId="24733"/>
    <cellStyle name="40% - Accent4 3 9 2 4" xfId="24734"/>
    <cellStyle name="40% - Accent4 3 9 3" xfId="24735"/>
    <cellStyle name="40% - Accent4 3 9 3 2" xfId="24736"/>
    <cellStyle name="40% - Accent4 3 9 3 2 2" xfId="24737"/>
    <cellStyle name="40% - Accent4 3 9 3 3" xfId="24738"/>
    <cellStyle name="40% - Accent4 3 9 4" xfId="24739"/>
    <cellStyle name="40% - Accent4 3 9 4 2" xfId="24740"/>
    <cellStyle name="40% - Accent4 3 9 5" xfId="24741"/>
    <cellStyle name="40% - Accent4 3 9 5 2" xfId="24742"/>
    <cellStyle name="40% - Accent4 3 9 6" xfId="24743"/>
    <cellStyle name="40% - Accent4 4" xfId="24744"/>
    <cellStyle name="40% - Accent4 5" xfId="24745"/>
    <cellStyle name="40% - Accent4 5 10" xfId="24746"/>
    <cellStyle name="40% - Accent4 5 10 2" xfId="24747"/>
    <cellStyle name="40% - Accent4 5 11" xfId="24748"/>
    <cellStyle name="40% - Accent4 5 2" xfId="24749"/>
    <cellStyle name="40% - Accent4 5 2 2" xfId="24750"/>
    <cellStyle name="40% - Accent4 5 2 2 2" xfId="24751"/>
    <cellStyle name="40% - Accent4 5 2 2 2 2" xfId="24752"/>
    <cellStyle name="40% - Accent4 5 2 2 2 2 2" xfId="24753"/>
    <cellStyle name="40% - Accent4 5 2 2 2 2 2 2" xfId="24754"/>
    <cellStyle name="40% - Accent4 5 2 2 2 2 3" xfId="24755"/>
    <cellStyle name="40% - Accent4 5 2 2 2 3" xfId="24756"/>
    <cellStyle name="40% - Accent4 5 2 2 2 3 2" xfId="24757"/>
    <cellStyle name="40% - Accent4 5 2 2 2 4" xfId="24758"/>
    <cellStyle name="40% - Accent4 5 2 2 3" xfId="24759"/>
    <cellStyle name="40% - Accent4 5 2 2 3 2" xfId="24760"/>
    <cellStyle name="40% - Accent4 5 2 2 3 2 2" xfId="24761"/>
    <cellStyle name="40% - Accent4 5 2 2 3 3" xfId="24762"/>
    <cellStyle name="40% - Accent4 5 2 2 4" xfId="24763"/>
    <cellStyle name="40% - Accent4 5 2 2 4 2" xfId="24764"/>
    <cellStyle name="40% - Accent4 5 2 2 5" xfId="24765"/>
    <cellStyle name="40% - Accent4 5 2 2 5 2" xfId="24766"/>
    <cellStyle name="40% - Accent4 5 2 2 6" xfId="24767"/>
    <cellStyle name="40% - Accent4 5 2 3" xfId="24768"/>
    <cellStyle name="40% - Accent4 5 2 3 2" xfId="24769"/>
    <cellStyle name="40% - Accent4 5 2 3 2 2" xfId="24770"/>
    <cellStyle name="40% - Accent4 5 2 3 2 2 2" xfId="24771"/>
    <cellStyle name="40% - Accent4 5 2 3 2 2 2 2" xfId="24772"/>
    <cellStyle name="40% - Accent4 5 2 3 2 2 3" xfId="24773"/>
    <cellStyle name="40% - Accent4 5 2 3 2 3" xfId="24774"/>
    <cellStyle name="40% - Accent4 5 2 3 2 3 2" xfId="24775"/>
    <cellStyle name="40% - Accent4 5 2 3 2 4" xfId="24776"/>
    <cellStyle name="40% - Accent4 5 2 3 3" xfId="24777"/>
    <cellStyle name="40% - Accent4 5 2 3 3 2" xfId="24778"/>
    <cellStyle name="40% - Accent4 5 2 3 3 2 2" xfId="24779"/>
    <cellStyle name="40% - Accent4 5 2 3 3 3" xfId="24780"/>
    <cellStyle name="40% - Accent4 5 2 3 4" xfId="24781"/>
    <cellStyle name="40% - Accent4 5 2 3 4 2" xfId="24782"/>
    <cellStyle name="40% - Accent4 5 2 3 5" xfId="24783"/>
    <cellStyle name="40% - Accent4 5 2 3 5 2" xfId="24784"/>
    <cellStyle name="40% - Accent4 5 2 3 6" xfId="24785"/>
    <cellStyle name="40% - Accent4 5 2 4" xfId="24786"/>
    <cellStyle name="40% - Accent4 5 2 4 2" xfId="24787"/>
    <cellStyle name="40% - Accent4 5 2 4 2 2" xfId="24788"/>
    <cellStyle name="40% - Accent4 5 2 4 2 2 2" xfId="24789"/>
    <cellStyle name="40% - Accent4 5 2 4 2 3" xfId="24790"/>
    <cellStyle name="40% - Accent4 5 2 4 3" xfId="24791"/>
    <cellStyle name="40% - Accent4 5 2 4 3 2" xfId="24792"/>
    <cellStyle name="40% - Accent4 5 2 4 4" xfId="24793"/>
    <cellStyle name="40% - Accent4 5 2 5" xfId="24794"/>
    <cellStyle name="40% - Accent4 5 2 5 2" xfId="24795"/>
    <cellStyle name="40% - Accent4 5 2 5 2 2" xfId="24796"/>
    <cellStyle name="40% - Accent4 5 2 5 3" xfId="24797"/>
    <cellStyle name="40% - Accent4 5 2 6" xfId="24798"/>
    <cellStyle name="40% - Accent4 5 2 6 2" xfId="24799"/>
    <cellStyle name="40% - Accent4 5 2 7" xfId="24800"/>
    <cellStyle name="40% - Accent4 5 2 7 2" xfId="24801"/>
    <cellStyle name="40% - Accent4 5 2 8" xfId="24802"/>
    <cellStyle name="40% - Accent4 5 3" xfId="24803"/>
    <cellStyle name="40% - Accent4 5 3 2" xfId="24804"/>
    <cellStyle name="40% - Accent4 5 3 2 2" xfId="24805"/>
    <cellStyle name="40% - Accent4 5 3 2 2 2" xfId="24806"/>
    <cellStyle name="40% - Accent4 5 3 2 2 2 2" xfId="24807"/>
    <cellStyle name="40% - Accent4 5 3 2 2 2 2 2" xfId="24808"/>
    <cellStyle name="40% - Accent4 5 3 2 2 2 3" xfId="24809"/>
    <cellStyle name="40% - Accent4 5 3 2 2 3" xfId="24810"/>
    <cellStyle name="40% - Accent4 5 3 2 2 3 2" xfId="24811"/>
    <cellStyle name="40% - Accent4 5 3 2 2 4" xfId="24812"/>
    <cellStyle name="40% - Accent4 5 3 2 3" xfId="24813"/>
    <cellStyle name="40% - Accent4 5 3 2 3 2" xfId="24814"/>
    <cellStyle name="40% - Accent4 5 3 2 3 2 2" xfId="24815"/>
    <cellStyle name="40% - Accent4 5 3 2 3 3" xfId="24816"/>
    <cellStyle name="40% - Accent4 5 3 2 4" xfId="24817"/>
    <cellStyle name="40% - Accent4 5 3 2 4 2" xfId="24818"/>
    <cellStyle name="40% - Accent4 5 3 2 5" xfId="24819"/>
    <cellStyle name="40% - Accent4 5 3 2 5 2" xfId="24820"/>
    <cellStyle name="40% - Accent4 5 3 2 6" xfId="24821"/>
    <cellStyle name="40% - Accent4 5 3 3" xfId="24822"/>
    <cellStyle name="40% - Accent4 5 3 3 2" xfId="24823"/>
    <cellStyle name="40% - Accent4 5 3 3 2 2" xfId="24824"/>
    <cellStyle name="40% - Accent4 5 3 3 2 2 2" xfId="24825"/>
    <cellStyle name="40% - Accent4 5 3 3 2 2 2 2" xfId="24826"/>
    <cellStyle name="40% - Accent4 5 3 3 2 2 3" xfId="24827"/>
    <cellStyle name="40% - Accent4 5 3 3 2 3" xfId="24828"/>
    <cellStyle name="40% - Accent4 5 3 3 2 3 2" xfId="24829"/>
    <cellStyle name="40% - Accent4 5 3 3 2 4" xfId="24830"/>
    <cellStyle name="40% - Accent4 5 3 3 3" xfId="24831"/>
    <cellStyle name="40% - Accent4 5 3 3 3 2" xfId="24832"/>
    <cellStyle name="40% - Accent4 5 3 3 3 2 2" xfId="24833"/>
    <cellStyle name="40% - Accent4 5 3 3 3 3" xfId="24834"/>
    <cellStyle name="40% - Accent4 5 3 3 4" xfId="24835"/>
    <cellStyle name="40% - Accent4 5 3 3 4 2" xfId="24836"/>
    <cellStyle name="40% - Accent4 5 3 3 5" xfId="24837"/>
    <cellStyle name="40% - Accent4 5 3 3 5 2" xfId="24838"/>
    <cellStyle name="40% - Accent4 5 3 3 6" xfId="24839"/>
    <cellStyle name="40% - Accent4 5 3 4" xfId="24840"/>
    <cellStyle name="40% - Accent4 5 3 4 2" xfId="24841"/>
    <cellStyle name="40% - Accent4 5 3 4 2 2" xfId="24842"/>
    <cellStyle name="40% - Accent4 5 3 4 2 2 2" xfId="24843"/>
    <cellStyle name="40% - Accent4 5 3 4 2 3" xfId="24844"/>
    <cellStyle name="40% - Accent4 5 3 4 3" xfId="24845"/>
    <cellStyle name="40% - Accent4 5 3 4 3 2" xfId="24846"/>
    <cellStyle name="40% - Accent4 5 3 4 4" xfId="24847"/>
    <cellStyle name="40% - Accent4 5 3 5" xfId="24848"/>
    <cellStyle name="40% - Accent4 5 3 5 2" xfId="24849"/>
    <cellStyle name="40% - Accent4 5 3 5 2 2" xfId="24850"/>
    <cellStyle name="40% - Accent4 5 3 5 3" xfId="24851"/>
    <cellStyle name="40% - Accent4 5 3 6" xfId="24852"/>
    <cellStyle name="40% - Accent4 5 3 6 2" xfId="24853"/>
    <cellStyle name="40% - Accent4 5 3 7" xfId="24854"/>
    <cellStyle name="40% - Accent4 5 3 7 2" xfId="24855"/>
    <cellStyle name="40% - Accent4 5 3 8" xfId="24856"/>
    <cellStyle name="40% - Accent4 5 4" xfId="24857"/>
    <cellStyle name="40% - Accent4 5 4 2" xfId="24858"/>
    <cellStyle name="40% - Accent4 5 4 2 2" xfId="24859"/>
    <cellStyle name="40% - Accent4 5 4 2 2 2" xfId="24860"/>
    <cellStyle name="40% - Accent4 5 4 2 2 2 2" xfId="24861"/>
    <cellStyle name="40% - Accent4 5 4 2 2 3" xfId="24862"/>
    <cellStyle name="40% - Accent4 5 4 2 3" xfId="24863"/>
    <cellStyle name="40% - Accent4 5 4 2 3 2" xfId="24864"/>
    <cellStyle name="40% - Accent4 5 4 2 4" xfId="24865"/>
    <cellStyle name="40% - Accent4 5 4 3" xfId="24866"/>
    <cellStyle name="40% - Accent4 5 4 3 2" xfId="24867"/>
    <cellStyle name="40% - Accent4 5 4 3 2 2" xfId="24868"/>
    <cellStyle name="40% - Accent4 5 4 3 3" xfId="24869"/>
    <cellStyle name="40% - Accent4 5 4 4" xfId="24870"/>
    <cellStyle name="40% - Accent4 5 4 4 2" xfId="24871"/>
    <cellStyle name="40% - Accent4 5 4 5" xfId="24872"/>
    <cellStyle name="40% - Accent4 5 4 5 2" xfId="24873"/>
    <cellStyle name="40% - Accent4 5 4 6" xfId="24874"/>
    <cellStyle name="40% - Accent4 5 5" xfId="24875"/>
    <cellStyle name="40% - Accent4 5 5 2" xfId="24876"/>
    <cellStyle name="40% - Accent4 5 5 2 2" xfId="24877"/>
    <cellStyle name="40% - Accent4 5 5 2 2 2" xfId="24878"/>
    <cellStyle name="40% - Accent4 5 5 2 2 2 2" xfId="24879"/>
    <cellStyle name="40% - Accent4 5 5 2 2 3" xfId="24880"/>
    <cellStyle name="40% - Accent4 5 5 2 3" xfId="24881"/>
    <cellStyle name="40% - Accent4 5 5 2 3 2" xfId="24882"/>
    <cellStyle name="40% - Accent4 5 5 2 4" xfId="24883"/>
    <cellStyle name="40% - Accent4 5 5 3" xfId="24884"/>
    <cellStyle name="40% - Accent4 5 5 3 2" xfId="24885"/>
    <cellStyle name="40% - Accent4 5 5 3 2 2" xfId="24886"/>
    <cellStyle name="40% - Accent4 5 5 3 3" xfId="24887"/>
    <cellStyle name="40% - Accent4 5 5 4" xfId="24888"/>
    <cellStyle name="40% - Accent4 5 5 4 2" xfId="24889"/>
    <cellStyle name="40% - Accent4 5 5 5" xfId="24890"/>
    <cellStyle name="40% - Accent4 5 5 5 2" xfId="24891"/>
    <cellStyle name="40% - Accent4 5 5 6" xfId="24892"/>
    <cellStyle name="40% - Accent4 5 6" xfId="24893"/>
    <cellStyle name="40% - Accent4 5 6 2" xfId="24894"/>
    <cellStyle name="40% - Accent4 5 6 2 2" xfId="24895"/>
    <cellStyle name="40% - Accent4 5 6 2 2 2" xfId="24896"/>
    <cellStyle name="40% - Accent4 5 6 2 2 2 2" xfId="24897"/>
    <cellStyle name="40% - Accent4 5 6 2 2 3" xfId="24898"/>
    <cellStyle name="40% - Accent4 5 6 2 3" xfId="24899"/>
    <cellStyle name="40% - Accent4 5 6 2 3 2" xfId="24900"/>
    <cellStyle name="40% - Accent4 5 6 2 4" xfId="24901"/>
    <cellStyle name="40% - Accent4 5 6 3" xfId="24902"/>
    <cellStyle name="40% - Accent4 5 6 3 2" xfId="24903"/>
    <cellStyle name="40% - Accent4 5 6 3 2 2" xfId="24904"/>
    <cellStyle name="40% - Accent4 5 6 3 3" xfId="24905"/>
    <cellStyle name="40% - Accent4 5 6 4" xfId="24906"/>
    <cellStyle name="40% - Accent4 5 6 4 2" xfId="24907"/>
    <cellStyle name="40% - Accent4 5 6 5" xfId="24908"/>
    <cellStyle name="40% - Accent4 5 6 5 2" xfId="24909"/>
    <cellStyle name="40% - Accent4 5 6 6" xfId="24910"/>
    <cellStyle name="40% - Accent4 5 7" xfId="24911"/>
    <cellStyle name="40% - Accent4 5 7 2" xfId="24912"/>
    <cellStyle name="40% - Accent4 5 7 2 2" xfId="24913"/>
    <cellStyle name="40% - Accent4 5 7 2 2 2" xfId="24914"/>
    <cellStyle name="40% - Accent4 5 7 2 3" xfId="24915"/>
    <cellStyle name="40% - Accent4 5 7 3" xfId="24916"/>
    <cellStyle name="40% - Accent4 5 7 3 2" xfId="24917"/>
    <cellStyle name="40% - Accent4 5 7 4" xfId="24918"/>
    <cellStyle name="40% - Accent4 5 8" xfId="24919"/>
    <cellStyle name="40% - Accent4 5 8 2" xfId="24920"/>
    <cellStyle name="40% - Accent4 5 8 2 2" xfId="24921"/>
    <cellStyle name="40% - Accent4 5 8 3" xfId="24922"/>
    <cellStyle name="40% - Accent4 5 9" xfId="24923"/>
    <cellStyle name="40% - Accent4 5 9 2" xfId="24924"/>
    <cellStyle name="40% - Accent4 6" xfId="24925"/>
    <cellStyle name="40% - Accent4 6 10" xfId="24926"/>
    <cellStyle name="40% - Accent4 6 10 2" xfId="24927"/>
    <cellStyle name="40% - Accent4 6 11" xfId="24928"/>
    <cellStyle name="40% - Accent4 6 2" xfId="24929"/>
    <cellStyle name="40% - Accent4 6 2 2" xfId="24930"/>
    <cellStyle name="40% - Accent4 6 2 2 2" xfId="24931"/>
    <cellStyle name="40% - Accent4 6 2 2 2 2" xfId="24932"/>
    <cellStyle name="40% - Accent4 6 2 2 2 2 2" xfId="24933"/>
    <cellStyle name="40% - Accent4 6 2 2 2 2 2 2" xfId="24934"/>
    <cellStyle name="40% - Accent4 6 2 2 2 2 3" xfId="24935"/>
    <cellStyle name="40% - Accent4 6 2 2 2 3" xfId="24936"/>
    <cellStyle name="40% - Accent4 6 2 2 2 3 2" xfId="24937"/>
    <cellStyle name="40% - Accent4 6 2 2 2 4" xfId="24938"/>
    <cellStyle name="40% - Accent4 6 2 2 3" xfId="24939"/>
    <cellStyle name="40% - Accent4 6 2 2 3 2" xfId="24940"/>
    <cellStyle name="40% - Accent4 6 2 2 3 2 2" xfId="24941"/>
    <cellStyle name="40% - Accent4 6 2 2 3 3" xfId="24942"/>
    <cellStyle name="40% - Accent4 6 2 2 4" xfId="24943"/>
    <cellStyle name="40% - Accent4 6 2 2 4 2" xfId="24944"/>
    <cellStyle name="40% - Accent4 6 2 2 5" xfId="24945"/>
    <cellStyle name="40% - Accent4 6 2 2 5 2" xfId="24946"/>
    <cellStyle name="40% - Accent4 6 2 2 6" xfId="24947"/>
    <cellStyle name="40% - Accent4 6 2 3" xfId="24948"/>
    <cellStyle name="40% - Accent4 6 2 3 2" xfId="24949"/>
    <cellStyle name="40% - Accent4 6 2 3 2 2" xfId="24950"/>
    <cellStyle name="40% - Accent4 6 2 3 2 2 2" xfId="24951"/>
    <cellStyle name="40% - Accent4 6 2 3 2 2 2 2" xfId="24952"/>
    <cellStyle name="40% - Accent4 6 2 3 2 2 3" xfId="24953"/>
    <cellStyle name="40% - Accent4 6 2 3 2 3" xfId="24954"/>
    <cellStyle name="40% - Accent4 6 2 3 2 3 2" xfId="24955"/>
    <cellStyle name="40% - Accent4 6 2 3 2 4" xfId="24956"/>
    <cellStyle name="40% - Accent4 6 2 3 3" xfId="24957"/>
    <cellStyle name="40% - Accent4 6 2 3 3 2" xfId="24958"/>
    <cellStyle name="40% - Accent4 6 2 3 3 2 2" xfId="24959"/>
    <cellStyle name="40% - Accent4 6 2 3 3 3" xfId="24960"/>
    <cellStyle name="40% - Accent4 6 2 3 4" xfId="24961"/>
    <cellStyle name="40% - Accent4 6 2 3 4 2" xfId="24962"/>
    <cellStyle name="40% - Accent4 6 2 3 5" xfId="24963"/>
    <cellStyle name="40% - Accent4 6 2 3 5 2" xfId="24964"/>
    <cellStyle name="40% - Accent4 6 2 3 6" xfId="24965"/>
    <cellStyle name="40% - Accent4 6 2 4" xfId="24966"/>
    <cellStyle name="40% - Accent4 6 2 4 2" xfId="24967"/>
    <cellStyle name="40% - Accent4 6 2 4 2 2" xfId="24968"/>
    <cellStyle name="40% - Accent4 6 2 4 2 2 2" xfId="24969"/>
    <cellStyle name="40% - Accent4 6 2 4 2 3" xfId="24970"/>
    <cellStyle name="40% - Accent4 6 2 4 3" xfId="24971"/>
    <cellStyle name="40% - Accent4 6 2 4 3 2" xfId="24972"/>
    <cellStyle name="40% - Accent4 6 2 4 4" xfId="24973"/>
    <cellStyle name="40% - Accent4 6 2 5" xfId="24974"/>
    <cellStyle name="40% - Accent4 6 2 5 2" xfId="24975"/>
    <cellStyle name="40% - Accent4 6 2 5 2 2" xfId="24976"/>
    <cellStyle name="40% - Accent4 6 2 5 3" xfId="24977"/>
    <cellStyle name="40% - Accent4 6 2 6" xfId="24978"/>
    <cellStyle name="40% - Accent4 6 2 6 2" xfId="24979"/>
    <cellStyle name="40% - Accent4 6 2 7" xfId="24980"/>
    <cellStyle name="40% - Accent4 6 2 7 2" xfId="24981"/>
    <cellStyle name="40% - Accent4 6 2 8" xfId="24982"/>
    <cellStyle name="40% - Accent4 6 3" xfId="24983"/>
    <cellStyle name="40% - Accent4 6 3 2" xfId="24984"/>
    <cellStyle name="40% - Accent4 6 3 2 2" xfId="24985"/>
    <cellStyle name="40% - Accent4 6 3 2 2 2" xfId="24986"/>
    <cellStyle name="40% - Accent4 6 3 2 2 2 2" xfId="24987"/>
    <cellStyle name="40% - Accent4 6 3 2 2 2 2 2" xfId="24988"/>
    <cellStyle name="40% - Accent4 6 3 2 2 2 3" xfId="24989"/>
    <cellStyle name="40% - Accent4 6 3 2 2 3" xfId="24990"/>
    <cellStyle name="40% - Accent4 6 3 2 2 3 2" xfId="24991"/>
    <cellStyle name="40% - Accent4 6 3 2 2 4" xfId="24992"/>
    <cellStyle name="40% - Accent4 6 3 2 3" xfId="24993"/>
    <cellStyle name="40% - Accent4 6 3 2 3 2" xfId="24994"/>
    <cellStyle name="40% - Accent4 6 3 2 3 2 2" xfId="24995"/>
    <cellStyle name="40% - Accent4 6 3 2 3 3" xfId="24996"/>
    <cellStyle name="40% - Accent4 6 3 2 4" xfId="24997"/>
    <cellStyle name="40% - Accent4 6 3 2 4 2" xfId="24998"/>
    <cellStyle name="40% - Accent4 6 3 2 5" xfId="24999"/>
    <cellStyle name="40% - Accent4 6 3 2 5 2" xfId="25000"/>
    <cellStyle name="40% - Accent4 6 3 2 6" xfId="25001"/>
    <cellStyle name="40% - Accent4 6 3 3" xfId="25002"/>
    <cellStyle name="40% - Accent4 6 3 3 2" xfId="25003"/>
    <cellStyle name="40% - Accent4 6 3 3 2 2" xfId="25004"/>
    <cellStyle name="40% - Accent4 6 3 3 2 2 2" xfId="25005"/>
    <cellStyle name="40% - Accent4 6 3 3 2 2 2 2" xfId="25006"/>
    <cellStyle name="40% - Accent4 6 3 3 2 2 3" xfId="25007"/>
    <cellStyle name="40% - Accent4 6 3 3 2 3" xfId="25008"/>
    <cellStyle name="40% - Accent4 6 3 3 2 3 2" xfId="25009"/>
    <cellStyle name="40% - Accent4 6 3 3 2 4" xfId="25010"/>
    <cellStyle name="40% - Accent4 6 3 3 3" xfId="25011"/>
    <cellStyle name="40% - Accent4 6 3 3 3 2" xfId="25012"/>
    <cellStyle name="40% - Accent4 6 3 3 3 2 2" xfId="25013"/>
    <cellStyle name="40% - Accent4 6 3 3 3 3" xfId="25014"/>
    <cellStyle name="40% - Accent4 6 3 3 4" xfId="25015"/>
    <cellStyle name="40% - Accent4 6 3 3 4 2" xfId="25016"/>
    <cellStyle name="40% - Accent4 6 3 3 5" xfId="25017"/>
    <cellStyle name="40% - Accent4 6 3 3 5 2" xfId="25018"/>
    <cellStyle name="40% - Accent4 6 3 3 6" xfId="25019"/>
    <cellStyle name="40% - Accent4 6 3 4" xfId="25020"/>
    <cellStyle name="40% - Accent4 6 3 4 2" xfId="25021"/>
    <cellStyle name="40% - Accent4 6 3 4 2 2" xfId="25022"/>
    <cellStyle name="40% - Accent4 6 3 4 2 2 2" xfId="25023"/>
    <cellStyle name="40% - Accent4 6 3 4 2 3" xfId="25024"/>
    <cellStyle name="40% - Accent4 6 3 4 3" xfId="25025"/>
    <cellStyle name="40% - Accent4 6 3 4 3 2" xfId="25026"/>
    <cellStyle name="40% - Accent4 6 3 4 4" xfId="25027"/>
    <cellStyle name="40% - Accent4 6 3 5" xfId="25028"/>
    <cellStyle name="40% - Accent4 6 3 5 2" xfId="25029"/>
    <cellStyle name="40% - Accent4 6 3 5 2 2" xfId="25030"/>
    <cellStyle name="40% - Accent4 6 3 5 3" xfId="25031"/>
    <cellStyle name="40% - Accent4 6 3 6" xfId="25032"/>
    <cellStyle name="40% - Accent4 6 3 6 2" xfId="25033"/>
    <cellStyle name="40% - Accent4 6 3 7" xfId="25034"/>
    <cellStyle name="40% - Accent4 6 3 7 2" xfId="25035"/>
    <cellStyle name="40% - Accent4 6 3 8" xfId="25036"/>
    <cellStyle name="40% - Accent4 6 4" xfId="25037"/>
    <cellStyle name="40% - Accent4 6 4 2" xfId="25038"/>
    <cellStyle name="40% - Accent4 6 4 2 2" xfId="25039"/>
    <cellStyle name="40% - Accent4 6 4 2 2 2" xfId="25040"/>
    <cellStyle name="40% - Accent4 6 4 2 2 2 2" xfId="25041"/>
    <cellStyle name="40% - Accent4 6 4 2 2 3" xfId="25042"/>
    <cellStyle name="40% - Accent4 6 4 2 3" xfId="25043"/>
    <cellStyle name="40% - Accent4 6 4 2 3 2" xfId="25044"/>
    <cellStyle name="40% - Accent4 6 4 2 4" xfId="25045"/>
    <cellStyle name="40% - Accent4 6 4 3" xfId="25046"/>
    <cellStyle name="40% - Accent4 6 4 3 2" xfId="25047"/>
    <cellStyle name="40% - Accent4 6 4 3 2 2" xfId="25048"/>
    <cellStyle name="40% - Accent4 6 4 3 3" xfId="25049"/>
    <cellStyle name="40% - Accent4 6 4 4" xfId="25050"/>
    <cellStyle name="40% - Accent4 6 4 4 2" xfId="25051"/>
    <cellStyle name="40% - Accent4 6 4 5" xfId="25052"/>
    <cellStyle name="40% - Accent4 6 4 5 2" xfId="25053"/>
    <cellStyle name="40% - Accent4 6 4 6" xfId="25054"/>
    <cellStyle name="40% - Accent4 6 5" xfId="25055"/>
    <cellStyle name="40% - Accent4 6 5 2" xfId="25056"/>
    <cellStyle name="40% - Accent4 6 5 2 2" xfId="25057"/>
    <cellStyle name="40% - Accent4 6 5 2 2 2" xfId="25058"/>
    <cellStyle name="40% - Accent4 6 5 2 2 2 2" xfId="25059"/>
    <cellStyle name="40% - Accent4 6 5 2 2 3" xfId="25060"/>
    <cellStyle name="40% - Accent4 6 5 2 3" xfId="25061"/>
    <cellStyle name="40% - Accent4 6 5 2 3 2" xfId="25062"/>
    <cellStyle name="40% - Accent4 6 5 2 4" xfId="25063"/>
    <cellStyle name="40% - Accent4 6 5 3" xfId="25064"/>
    <cellStyle name="40% - Accent4 6 5 3 2" xfId="25065"/>
    <cellStyle name="40% - Accent4 6 5 3 2 2" xfId="25066"/>
    <cellStyle name="40% - Accent4 6 5 3 3" xfId="25067"/>
    <cellStyle name="40% - Accent4 6 5 4" xfId="25068"/>
    <cellStyle name="40% - Accent4 6 5 4 2" xfId="25069"/>
    <cellStyle name="40% - Accent4 6 5 5" xfId="25070"/>
    <cellStyle name="40% - Accent4 6 5 5 2" xfId="25071"/>
    <cellStyle name="40% - Accent4 6 5 6" xfId="25072"/>
    <cellStyle name="40% - Accent4 6 6" xfId="25073"/>
    <cellStyle name="40% - Accent4 6 6 2" xfId="25074"/>
    <cellStyle name="40% - Accent4 6 6 2 2" xfId="25075"/>
    <cellStyle name="40% - Accent4 6 6 2 2 2" xfId="25076"/>
    <cellStyle name="40% - Accent4 6 6 2 2 2 2" xfId="25077"/>
    <cellStyle name="40% - Accent4 6 6 2 2 3" xfId="25078"/>
    <cellStyle name="40% - Accent4 6 6 2 3" xfId="25079"/>
    <cellStyle name="40% - Accent4 6 6 2 3 2" xfId="25080"/>
    <cellStyle name="40% - Accent4 6 6 2 4" xfId="25081"/>
    <cellStyle name="40% - Accent4 6 6 3" xfId="25082"/>
    <cellStyle name="40% - Accent4 6 6 3 2" xfId="25083"/>
    <cellStyle name="40% - Accent4 6 6 3 2 2" xfId="25084"/>
    <cellStyle name="40% - Accent4 6 6 3 3" xfId="25085"/>
    <cellStyle name="40% - Accent4 6 6 4" xfId="25086"/>
    <cellStyle name="40% - Accent4 6 6 4 2" xfId="25087"/>
    <cellStyle name="40% - Accent4 6 6 5" xfId="25088"/>
    <cellStyle name="40% - Accent4 6 6 5 2" xfId="25089"/>
    <cellStyle name="40% - Accent4 6 6 6" xfId="25090"/>
    <cellStyle name="40% - Accent4 6 7" xfId="25091"/>
    <cellStyle name="40% - Accent4 6 7 2" xfId="25092"/>
    <cellStyle name="40% - Accent4 6 7 2 2" xfId="25093"/>
    <cellStyle name="40% - Accent4 6 7 2 2 2" xfId="25094"/>
    <cellStyle name="40% - Accent4 6 7 2 3" xfId="25095"/>
    <cellStyle name="40% - Accent4 6 7 3" xfId="25096"/>
    <cellStyle name="40% - Accent4 6 7 3 2" xfId="25097"/>
    <cellStyle name="40% - Accent4 6 7 4" xfId="25098"/>
    <cellStyle name="40% - Accent4 6 8" xfId="25099"/>
    <cellStyle name="40% - Accent4 6 8 2" xfId="25100"/>
    <cellStyle name="40% - Accent4 6 8 2 2" xfId="25101"/>
    <cellStyle name="40% - Accent4 6 8 3" xfId="25102"/>
    <cellStyle name="40% - Accent4 6 9" xfId="25103"/>
    <cellStyle name="40% - Accent4 6 9 2" xfId="25104"/>
    <cellStyle name="40% - Accent4 7" xfId="25105"/>
    <cellStyle name="40% - Accent4 7 10" xfId="25106"/>
    <cellStyle name="40% - Accent4 7 10 2" xfId="25107"/>
    <cellStyle name="40% - Accent4 7 11" xfId="25108"/>
    <cellStyle name="40% - Accent4 7 2" xfId="25109"/>
    <cellStyle name="40% - Accent4 7 2 2" xfId="25110"/>
    <cellStyle name="40% - Accent4 7 2 2 2" xfId="25111"/>
    <cellStyle name="40% - Accent4 7 2 2 2 2" xfId="25112"/>
    <cellStyle name="40% - Accent4 7 2 2 2 2 2" xfId="25113"/>
    <cellStyle name="40% - Accent4 7 2 2 2 2 2 2" xfId="25114"/>
    <cellStyle name="40% - Accent4 7 2 2 2 2 3" xfId="25115"/>
    <cellStyle name="40% - Accent4 7 2 2 2 3" xfId="25116"/>
    <cellStyle name="40% - Accent4 7 2 2 2 3 2" xfId="25117"/>
    <cellStyle name="40% - Accent4 7 2 2 2 4" xfId="25118"/>
    <cellStyle name="40% - Accent4 7 2 2 3" xfId="25119"/>
    <cellStyle name="40% - Accent4 7 2 2 3 2" xfId="25120"/>
    <cellStyle name="40% - Accent4 7 2 2 3 2 2" xfId="25121"/>
    <cellStyle name="40% - Accent4 7 2 2 3 3" xfId="25122"/>
    <cellStyle name="40% - Accent4 7 2 2 4" xfId="25123"/>
    <cellStyle name="40% - Accent4 7 2 2 4 2" xfId="25124"/>
    <cellStyle name="40% - Accent4 7 2 2 5" xfId="25125"/>
    <cellStyle name="40% - Accent4 7 2 2 5 2" xfId="25126"/>
    <cellStyle name="40% - Accent4 7 2 2 6" xfId="25127"/>
    <cellStyle name="40% - Accent4 7 2 3" xfId="25128"/>
    <cellStyle name="40% - Accent4 7 2 3 2" xfId="25129"/>
    <cellStyle name="40% - Accent4 7 2 3 2 2" xfId="25130"/>
    <cellStyle name="40% - Accent4 7 2 3 2 2 2" xfId="25131"/>
    <cellStyle name="40% - Accent4 7 2 3 2 2 2 2" xfId="25132"/>
    <cellStyle name="40% - Accent4 7 2 3 2 2 3" xfId="25133"/>
    <cellStyle name="40% - Accent4 7 2 3 2 3" xfId="25134"/>
    <cellStyle name="40% - Accent4 7 2 3 2 3 2" xfId="25135"/>
    <cellStyle name="40% - Accent4 7 2 3 2 4" xfId="25136"/>
    <cellStyle name="40% - Accent4 7 2 3 3" xfId="25137"/>
    <cellStyle name="40% - Accent4 7 2 3 3 2" xfId="25138"/>
    <cellStyle name="40% - Accent4 7 2 3 3 2 2" xfId="25139"/>
    <cellStyle name="40% - Accent4 7 2 3 3 3" xfId="25140"/>
    <cellStyle name="40% - Accent4 7 2 3 4" xfId="25141"/>
    <cellStyle name="40% - Accent4 7 2 3 4 2" xfId="25142"/>
    <cellStyle name="40% - Accent4 7 2 3 5" xfId="25143"/>
    <cellStyle name="40% - Accent4 7 2 3 5 2" xfId="25144"/>
    <cellStyle name="40% - Accent4 7 2 3 6" xfId="25145"/>
    <cellStyle name="40% - Accent4 7 2 4" xfId="25146"/>
    <cellStyle name="40% - Accent4 7 2 4 2" xfId="25147"/>
    <cellStyle name="40% - Accent4 7 2 4 2 2" xfId="25148"/>
    <cellStyle name="40% - Accent4 7 2 4 2 2 2" xfId="25149"/>
    <cellStyle name="40% - Accent4 7 2 4 2 3" xfId="25150"/>
    <cellStyle name="40% - Accent4 7 2 4 3" xfId="25151"/>
    <cellStyle name="40% - Accent4 7 2 4 3 2" xfId="25152"/>
    <cellStyle name="40% - Accent4 7 2 4 4" xfId="25153"/>
    <cellStyle name="40% - Accent4 7 2 5" xfId="25154"/>
    <cellStyle name="40% - Accent4 7 2 5 2" xfId="25155"/>
    <cellStyle name="40% - Accent4 7 2 5 2 2" xfId="25156"/>
    <cellStyle name="40% - Accent4 7 2 5 3" xfId="25157"/>
    <cellStyle name="40% - Accent4 7 2 6" xfId="25158"/>
    <cellStyle name="40% - Accent4 7 2 6 2" xfId="25159"/>
    <cellStyle name="40% - Accent4 7 2 7" xfId="25160"/>
    <cellStyle name="40% - Accent4 7 2 7 2" xfId="25161"/>
    <cellStyle name="40% - Accent4 7 2 8" xfId="25162"/>
    <cellStyle name="40% - Accent4 7 3" xfId="25163"/>
    <cellStyle name="40% - Accent4 7 3 2" xfId="25164"/>
    <cellStyle name="40% - Accent4 7 3 2 2" xfId="25165"/>
    <cellStyle name="40% - Accent4 7 3 2 2 2" xfId="25166"/>
    <cellStyle name="40% - Accent4 7 3 2 2 2 2" xfId="25167"/>
    <cellStyle name="40% - Accent4 7 3 2 2 2 2 2" xfId="25168"/>
    <cellStyle name="40% - Accent4 7 3 2 2 2 3" xfId="25169"/>
    <cellStyle name="40% - Accent4 7 3 2 2 3" xfId="25170"/>
    <cellStyle name="40% - Accent4 7 3 2 2 3 2" xfId="25171"/>
    <cellStyle name="40% - Accent4 7 3 2 2 4" xfId="25172"/>
    <cellStyle name="40% - Accent4 7 3 2 3" xfId="25173"/>
    <cellStyle name="40% - Accent4 7 3 2 3 2" xfId="25174"/>
    <cellStyle name="40% - Accent4 7 3 2 3 2 2" xfId="25175"/>
    <cellStyle name="40% - Accent4 7 3 2 3 3" xfId="25176"/>
    <cellStyle name="40% - Accent4 7 3 2 4" xfId="25177"/>
    <cellStyle name="40% - Accent4 7 3 2 4 2" xfId="25178"/>
    <cellStyle name="40% - Accent4 7 3 2 5" xfId="25179"/>
    <cellStyle name="40% - Accent4 7 3 2 5 2" xfId="25180"/>
    <cellStyle name="40% - Accent4 7 3 2 6" xfId="25181"/>
    <cellStyle name="40% - Accent4 7 3 3" xfId="25182"/>
    <cellStyle name="40% - Accent4 7 3 3 2" xfId="25183"/>
    <cellStyle name="40% - Accent4 7 3 3 2 2" xfId="25184"/>
    <cellStyle name="40% - Accent4 7 3 3 2 2 2" xfId="25185"/>
    <cellStyle name="40% - Accent4 7 3 3 2 2 2 2" xfId="25186"/>
    <cellStyle name="40% - Accent4 7 3 3 2 2 3" xfId="25187"/>
    <cellStyle name="40% - Accent4 7 3 3 2 3" xfId="25188"/>
    <cellStyle name="40% - Accent4 7 3 3 2 3 2" xfId="25189"/>
    <cellStyle name="40% - Accent4 7 3 3 2 4" xfId="25190"/>
    <cellStyle name="40% - Accent4 7 3 3 3" xfId="25191"/>
    <cellStyle name="40% - Accent4 7 3 3 3 2" xfId="25192"/>
    <cellStyle name="40% - Accent4 7 3 3 3 2 2" xfId="25193"/>
    <cellStyle name="40% - Accent4 7 3 3 3 3" xfId="25194"/>
    <cellStyle name="40% - Accent4 7 3 3 4" xfId="25195"/>
    <cellStyle name="40% - Accent4 7 3 3 4 2" xfId="25196"/>
    <cellStyle name="40% - Accent4 7 3 3 5" xfId="25197"/>
    <cellStyle name="40% - Accent4 7 3 3 5 2" xfId="25198"/>
    <cellStyle name="40% - Accent4 7 3 3 6" xfId="25199"/>
    <cellStyle name="40% - Accent4 7 3 4" xfId="25200"/>
    <cellStyle name="40% - Accent4 7 3 4 2" xfId="25201"/>
    <cellStyle name="40% - Accent4 7 3 4 2 2" xfId="25202"/>
    <cellStyle name="40% - Accent4 7 3 4 2 2 2" xfId="25203"/>
    <cellStyle name="40% - Accent4 7 3 4 2 3" xfId="25204"/>
    <cellStyle name="40% - Accent4 7 3 4 3" xfId="25205"/>
    <cellStyle name="40% - Accent4 7 3 4 3 2" xfId="25206"/>
    <cellStyle name="40% - Accent4 7 3 4 4" xfId="25207"/>
    <cellStyle name="40% - Accent4 7 3 5" xfId="25208"/>
    <cellStyle name="40% - Accent4 7 3 5 2" xfId="25209"/>
    <cellStyle name="40% - Accent4 7 3 5 2 2" xfId="25210"/>
    <cellStyle name="40% - Accent4 7 3 5 3" xfId="25211"/>
    <cellStyle name="40% - Accent4 7 3 6" xfId="25212"/>
    <cellStyle name="40% - Accent4 7 3 6 2" xfId="25213"/>
    <cellStyle name="40% - Accent4 7 3 7" xfId="25214"/>
    <cellStyle name="40% - Accent4 7 3 7 2" xfId="25215"/>
    <cellStyle name="40% - Accent4 7 3 8" xfId="25216"/>
    <cellStyle name="40% - Accent4 7 4" xfId="25217"/>
    <cellStyle name="40% - Accent4 7 4 2" xfId="25218"/>
    <cellStyle name="40% - Accent4 7 4 2 2" xfId="25219"/>
    <cellStyle name="40% - Accent4 7 4 2 2 2" xfId="25220"/>
    <cellStyle name="40% - Accent4 7 4 2 2 2 2" xfId="25221"/>
    <cellStyle name="40% - Accent4 7 4 2 2 3" xfId="25222"/>
    <cellStyle name="40% - Accent4 7 4 2 3" xfId="25223"/>
    <cellStyle name="40% - Accent4 7 4 2 3 2" xfId="25224"/>
    <cellStyle name="40% - Accent4 7 4 2 4" xfId="25225"/>
    <cellStyle name="40% - Accent4 7 4 3" xfId="25226"/>
    <cellStyle name="40% - Accent4 7 4 3 2" xfId="25227"/>
    <cellStyle name="40% - Accent4 7 4 3 2 2" xfId="25228"/>
    <cellStyle name="40% - Accent4 7 4 3 3" xfId="25229"/>
    <cellStyle name="40% - Accent4 7 4 4" xfId="25230"/>
    <cellStyle name="40% - Accent4 7 4 4 2" xfId="25231"/>
    <cellStyle name="40% - Accent4 7 4 5" xfId="25232"/>
    <cellStyle name="40% - Accent4 7 4 5 2" xfId="25233"/>
    <cellStyle name="40% - Accent4 7 4 6" xfId="25234"/>
    <cellStyle name="40% - Accent4 7 5" xfId="25235"/>
    <cellStyle name="40% - Accent4 7 5 2" xfId="25236"/>
    <cellStyle name="40% - Accent4 7 5 2 2" xfId="25237"/>
    <cellStyle name="40% - Accent4 7 5 2 2 2" xfId="25238"/>
    <cellStyle name="40% - Accent4 7 5 2 2 2 2" xfId="25239"/>
    <cellStyle name="40% - Accent4 7 5 2 2 3" xfId="25240"/>
    <cellStyle name="40% - Accent4 7 5 2 3" xfId="25241"/>
    <cellStyle name="40% - Accent4 7 5 2 3 2" xfId="25242"/>
    <cellStyle name="40% - Accent4 7 5 2 4" xfId="25243"/>
    <cellStyle name="40% - Accent4 7 5 3" xfId="25244"/>
    <cellStyle name="40% - Accent4 7 5 3 2" xfId="25245"/>
    <cellStyle name="40% - Accent4 7 5 3 2 2" xfId="25246"/>
    <cellStyle name="40% - Accent4 7 5 3 3" xfId="25247"/>
    <cellStyle name="40% - Accent4 7 5 4" xfId="25248"/>
    <cellStyle name="40% - Accent4 7 5 4 2" xfId="25249"/>
    <cellStyle name="40% - Accent4 7 5 5" xfId="25250"/>
    <cellStyle name="40% - Accent4 7 5 5 2" xfId="25251"/>
    <cellStyle name="40% - Accent4 7 5 6" xfId="25252"/>
    <cellStyle name="40% - Accent4 7 6" xfId="25253"/>
    <cellStyle name="40% - Accent4 7 6 2" xfId="25254"/>
    <cellStyle name="40% - Accent4 7 6 2 2" xfId="25255"/>
    <cellStyle name="40% - Accent4 7 6 2 2 2" xfId="25256"/>
    <cellStyle name="40% - Accent4 7 6 2 2 2 2" xfId="25257"/>
    <cellStyle name="40% - Accent4 7 6 2 2 3" xfId="25258"/>
    <cellStyle name="40% - Accent4 7 6 2 3" xfId="25259"/>
    <cellStyle name="40% - Accent4 7 6 2 3 2" xfId="25260"/>
    <cellStyle name="40% - Accent4 7 6 2 4" xfId="25261"/>
    <cellStyle name="40% - Accent4 7 6 3" xfId="25262"/>
    <cellStyle name="40% - Accent4 7 6 3 2" xfId="25263"/>
    <cellStyle name="40% - Accent4 7 6 3 2 2" xfId="25264"/>
    <cellStyle name="40% - Accent4 7 6 3 3" xfId="25265"/>
    <cellStyle name="40% - Accent4 7 6 4" xfId="25266"/>
    <cellStyle name="40% - Accent4 7 6 4 2" xfId="25267"/>
    <cellStyle name="40% - Accent4 7 6 5" xfId="25268"/>
    <cellStyle name="40% - Accent4 7 6 5 2" xfId="25269"/>
    <cellStyle name="40% - Accent4 7 6 6" xfId="25270"/>
    <cellStyle name="40% - Accent4 7 7" xfId="25271"/>
    <cellStyle name="40% - Accent4 7 7 2" xfId="25272"/>
    <cellStyle name="40% - Accent4 7 7 2 2" xfId="25273"/>
    <cellStyle name="40% - Accent4 7 7 2 2 2" xfId="25274"/>
    <cellStyle name="40% - Accent4 7 7 2 3" xfId="25275"/>
    <cellStyle name="40% - Accent4 7 7 3" xfId="25276"/>
    <cellStyle name="40% - Accent4 7 7 3 2" xfId="25277"/>
    <cellStyle name="40% - Accent4 7 7 4" xfId="25278"/>
    <cellStyle name="40% - Accent4 7 8" xfId="25279"/>
    <cellStyle name="40% - Accent4 7 8 2" xfId="25280"/>
    <cellStyle name="40% - Accent4 7 8 2 2" xfId="25281"/>
    <cellStyle name="40% - Accent4 7 8 3" xfId="25282"/>
    <cellStyle name="40% - Accent4 7 9" xfId="25283"/>
    <cellStyle name="40% - Accent4 7 9 2" xfId="25284"/>
    <cellStyle name="40% - Accent4 8" xfId="25285"/>
    <cellStyle name="40% - Accent4 8 2" xfId="25286"/>
    <cellStyle name="40% - Accent4 8 2 2" xfId="25287"/>
    <cellStyle name="40% - Accent4 8 2 2 2" xfId="25288"/>
    <cellStyle name="40% - Accent4 8 2 2 2 2" xfId="25289"/>
    <cellStyle name="40% - Accent4 8 2 2 2 2 2" xfId="25290"/>
    <cellStyle name="40% - Accent4 8 2 2 2 3" xfId="25291"/>
    <cellStyle name="40% - Accent4 8 2 2 3" xfId="25292"/>
    <cellStyle name="40% - Accent4 8 2 2 3 2" xfId="25293"/>
    <cellStyle name="40% - Accent4 8 2 2 4" xfId="25294"/>
    <cellStyle name="40% - Accent4 8 2 3" xfId="25295"/>
    <cellStyle name="40% - Accent4 8 2 3 2" xfId="25296"/>
    <cellStyle name="40% - Accent4 8 2 3 2 2" xfId="25297"/>
    <cellStyle name="40% - Accent4 8 2 3 3" xfId="25298"/>
    <cellStyle name="40% - Accent4 8 2 4" xfId="25299"/>
    <cellStyle name="40% - Accent4 8 2 4 2" xfId="25300"/>
    <cellStyle name="40% - Accent4 8 2 5" xfId="25301"/>
    <cellStyle name="40% - Accent4 8 2 5 2" xfId="25302"/>
    <cellStyle name="40% - Accent4 8 2 6" xfId="25303"/>
    <cellStyle name="40% - Accent4 8 3" xfId="25304"/>
    <cellStyle name="40% - Accent4 8 3 2" xfId="25305"/>
    <cellStyle name="40% - Accent4 8 3 2 2" xfId="25306"/>
    <cellStyle name="40% - Accent4 8 3 2 2 2" xfId="25307"/>
    <cellStyle name="40% - Accent4 8 3 2 2 2 2" xfId="25308"/>
    <cellStyle name="40% - Accent4 8 3 2 2 3" xfId="25309"/>
    <cellStyle name="40% - Accent4 8 3 2 3" xfId="25310"/>
    <cellStyle name="40% - Accent4 8 3 2 3 2" xfId="25311"/>
    <cellStyle name="40% - Accent4 8 3 2 4" xfId="25312"/>
    <cellStyle name="40% - Accent4 8 3 3" xfId="25313"/>
    <cellStyle name="40% - Accent4 8 3 3 2" xfId="25314"/>
    <cellStyle name="40% - Accent4 8 3 3 2 2" xfId="25315"/>
    <cellStyle name="40% - Accent4 8 3 3 3" xfId="25316"/>
    <cellStyle name="40% - Accent4 8 3 4" xfId="25317"/>
    <cellStyle name="40% - Accent4 8 3 4 2" xfId="25318"/>
    <cellStyle name="40% - Accent4 8 3 5" xfId="25319"/>
    <cellStyle name="40% - Accent4 8 3 5 2" xfId="25320"/>
    <cellStyle name="40% - Accent4 8 3 6" xfId="25321"/>
    <cellStyle name="40% - Accent4 8 4" xfId="25322"/>
    <cellStyle name="40% - Accent4 8 4 2" xfId="25323"/>
    <cellStyle name="40% - Accent4 8 4 2 2" xfId="25324"/>
    <cellStyle name="40% - Accent4 8 4 2 2 2" xfId="25325"/>
    <cellStyle name="40% - Accent4 8 4 2 3" xfId="25326"/>
    <cellStyle name="40% - Accent4 8 4 3" xfId="25327"/>
    <cellStyle name="40% - Accent4 8 4 3 2" xfId="25328"/>
    <cellStyle name="40% - Accent4 8 4 4" xfId="25329"/>
    <cellStyle name="40% - Accent4 8 5" xfId="25330"/>
    <cellStyle name="40% - Accent4 8 5 2" xfId="25331"/>
    <cellStyle name="40% - Accent4 8 5 2 2" xfId="25332"/>
    <cellStyle name="40% - Accent4 8 5 3" xfId="25333"/>
    <cellStyle name="40% - Accent4 8 6" xfId="25334"/>
    <cellStyle name="40% - Accent4 8 6 2" xfId="25335"/>
    <cellStyle name="40% - Accent4 8 7" xfId="25336"/>
    <cellStyle name="40% - Accent4 8 7 2" xfId="25337"/>
    <cellStyle name="40% - Accent4 8 8" xfId="25338"/>
    <cellStyle name="40% - Accent4 9" xfId="25339"/>
    <cellStyle name="40% - Accent4 9 2" xfId="25340"/>
    <cellStyle name="40% - Accent4 9 2 2" xfId="25341"/>
    <cellStyle name="40% - Accent4 9 2 2 2" xfId="25342"/>
    <cellStyle name="40% - Accent4 9 2 2 2 2" xfId="25343"/>
    <cellStyle name="40% - Accent4 9 2 2 2 2 2" xfId="25344"/>
    <cellStyle name="40% - Accent4 9 2 2 2 3" xfId="25345"/>
    <cellStyle name="40% - Accent4 9 2 2 3" xfId="25346"/>
    <cellStyle name="40% - Accent4 9 2 2 3 2" xfId="25347"/>
    <cellStyle name="40% - Accent4 9 2 2 4" xfId="25348"/>
    <cellStyle name="40% - Accent4 9 2 3" xfId="25349"/>
    <cellStyle name="40% - Accent4 9 2 3 2" xfId="25350"/>
    <cellStyle name="40% - Accent4 9 2 3 2 2" xfId="25351"/>
    <cellStyle name="40% - Accent4 9 2 3 3" xfId="25352"/>
    <cellStyle name="40% - Accent4 9 2 4" xfId="25353"/>
    <cellStyle name="40% - Accent4 9 2 4 2" xfId="25354"/>
    <cellStyle name="40% - Accent4 9 2 5" xfId="25355"/>
    <cellStyle name="40% - Accent4 9 2 5 2" xfId="25356"/>
    <cellStyle name="40% - Accent4 9 2 6" xfId="25357"/>
    <cellStyle name="40% - Accent4 9 3" xfId="25358"/>
    <cellStyle name="40% - Accent4 9 3 2" xfId="25359"/>
    <cellStyle name="40% - Accent4 9 3 2 2" xfId="25360"/>
    <cellStyle name="40% - Accent4 9 3 2 2 2" xfId="25361"/>
    <cellStyle name="40% - Accent4 9 3 2 2 2 2" xfId="25362"/>
    <cellStyle name="40% - Accent4 9 3 2 2 3" xfId="25363"/>
    <cellStyle name="40% - Accent4 9 3 2 3" xfId="25364"/>
    <cellStyle name="40% - Accent4 9 3 2 3 2" xfId="25365"/>
    <cellStyle name="40% - Accent4 9 3 2 4" xfId="25366"/>
    <cellStyle name="40% - Accent4 9 3 3" xfId="25367"/>
    <cellStyle name="40% - Accent4 9 3 3 2" xfId="25368"/>
    <cellStyle name="40% - Accent4 9 3 3 2 2" xfId="25369"/>
    <cellStyle name="40% - Accent4 9 3 3 3" xfId="25370"/>
    <cellStyle name="40% - Accent4 9 3 4" xfId="25371"/>
    <cellStyle name="40% - Accent4 9 3 4 2" xfId="25372"/>
    <cellStyle name="40% - Accent4 9 3 5" xfId="25373"/>
    <cellStyle name="40% - Accent4 9 3 5 2" xfId="25374"/>
    <cellStyle name="40% - Accent4 9 3 6" xfId="25375"/>
    <cellStyle name="40% - Accent4 9 4" xfId="25376"/>
    <cellStyle name="40% - Accent4 9 4 2" xfId="25377"/>
    <cellStyle name="40% - Accent4 9 4 2 2" xfId="25378"/>
    <cellStyle name="40% - Accent4 9 4 2 2 2" xfId="25379"/>
    <cellStyle name="40% - Accent4 9 4 2 3" xfId="25380"/>
    <cellStyle name="40% - Accent4 9 4 3" xfId="25381"/>
    <cellStyle name="40% - Accent4 9 4 3 2" xfId="25382"/>
    <cellStyle name="40% - Accent4 9 4 4" xfId="25383"/>
    <cellStyle name="40% - Accent4 9 5" xfId="25384"/>
    <cellStyle name="40% - Accent4 9 5 2" xfId="25385"/>
    <cellStyle name="40% - Accent4 9 5 2 2" xfId="25386"/>
    <cellStyle name="40% - Accent4 9 5 3" xfId="25387"/>
    <cellStyle name="40% - Accent4 9 6" xfId="25388"/>
    <cellStyle name="40% - Accent4 9 6 2" xfId="25389"/>
    <cellStyle name="40% - Accent4 9 7" xfId="25390"/>
    <cellStyle name="40% - Accent4 9 7 2" xfId="25391"/>
    <cellStyle name="40% - Accent4 9 8" xfId="25392"/>
    <cellStyle name="40% - Accent5 10" xfId="25393"/>
    <cellStyle name="40% - Accent5 10 2" xfId="25394"/>
    <cellStyle name="40% - Accent5 10 2 2" xfId="25395"/>
    <cellStyle name="40% - Accent5 10 2 2 2" xfId="25396"/>
    <cellStyle name="40% - Accent5 10 2 2 2 2" xfId="25397"/>
    <cellStyle name="40% - Accent5 10 2 2 3" xfId="25398"/>
    <cellStyle name="40% - Accent5 10 2 3" xfId="25399"/>
    <cellStyle name="40% - Accent5 10 2 3 2" xfId="25400"/>
    <cellStyle name="40% - Accent5 10 2 4" xfId="25401"/>
    <cellStyle name="40% - Accent5 10 3" xfId="25402"/>
    <cellStyle name="40% - Accent5 10 3 2" xfId="25403"/>
    <cellStyle name="40% - Accent5 10 3 2 2" xfId="25404"/>
    <cellStyle name="40% - Accent5 10 3 3" xfId="25405"/>
    <cellStyle name="40% - Accent5 10 4" xfId="25406"/>
    <cellStyle name="40% - Accent5 10 4 2" xfId="25407"/>
    <cellStyle name="40% - Accent5 10 5" xfId="25408"/>
    <cellStyle name="40% - Accent5 10 5 2" xfId="25409"/>
    <cellStyle name="40% - Accent5 10 6" xfId="25410"/>
    <cellStyle name="40% - Accent5 11" xfId="25411"/>
    <cellStyle name="40% - Accent5 11 2" xfId="25412"/>
    <cellStyle name="40% - Accent5 11 2 2" xfId="25413"/>
    <cellStyle name="40% - Accent5 11 2 2 2" xfId="25414"/>
    <cellStyle name="40% - Accent5 11 2 2 2 2" xfId="25415"/>
    <cellStyle name="40% - Accent5 11 2 2 3" xfId="25416"/>
    <cellStyle name="40% - Accent5 11 2 3" xfId="25417"/>
    <cellStyle name="40% - Accent5 11 2 3 2" xfId="25418"/>
    <cellStyle name="40% - Accent5 11 2 4" xfId="25419"/>
    <cellStyle name="40% - Accent5 11 3" xfId="25420"/>
    <cellStyle name="40% - Accent5 11 3 2" xfId="25421"/>
    <cellStyle name="40% - Accent5 11 3 2 2" xfId="25422"/>
    <cellStyle name="40% - Accent5 11 3 3" xfId="25423"/>
    <cellStyle name="40% - Accent5 11 4" xfId="25424"/>
    <cellStyle name="40% - Accent5 11 4 2" xfId="25425"/>
    <cellStyle name="40% - Accent5 11 5" xfId="25426"/>
    <cellStyle name="40% - Accent5 11 5 2" xfId="25427"/>
    <cellStyle name="40% - Accent5 11 6" xfId="25428"/>
    <cellStyle name="40% - Accent5 12" xfId="25429"/>
    <cellStyle name="40% - Accent5 12 2" xfId="25430"/>
    <cellStyle name="40% - Accent5 12 2 2" xfId="25431"/>
    <cellStyle name="40% - Accent5 12 2 2 2" xfId="25432"/>
    <cellStyle name="40% - Accent5 12 2 2 2 2" xfId="25433"/>
    <cellStyle name="40% - Accent5 12 2 2 3" xfId="25434"/>
    <cellStyle name="40% - Accent5 12 2 3" xfId="25435"/>
    <cellStyle name="40% - Accent5 12 2 3 2" xfId="25436"/>
    <cellStyle name="40% - Accent5 12 2 4" xfId="25437"/>
    <cellStyle name="40% - Accent5 12 3" xfId="25438"/>
    <cellStyle name="40% - Accent5 12 3 2" xfId="25439"/>
    <cellStyle name="40% - Accent5 12 3 2 2" xfId="25440"/>
    <cellStyle name="40% - Accent5 12 3 3" xfId="25441"/>
    <cellStyle name="40% - Accent5 12 4" xfId="25442"/>
    <cellStyle name="40% - Accent5 12 4 2" xfId="25443"/>
    <cellStyle name="40% - Accent5 12 5" xfId="25444"/>
    <cellStyle name="40% - Accent5 12 5 2" xfId="25445"/>
    <cellStyle name="40% - Accent5 12 6" xfId="25446"/>
    <cellStyle name="40% - Accent5 13" xfId="25447"/>
    <cellStyle name="40% - Accent5 13 2" xfId="25448"/>
    <cellStyle name="40% - Accent5 13 2 2" xfId="25449"/>
    <cellStyle name="40% - Accent5 13 2 2 2" xfId="25450"/>
    <cellStyle name="40% - Accent5 13 2 2 2 2" xfId="25451"/>
    <cellStyle name="40% - Accent5 13 2 2 3" xfId="25452"/>
    <cellStyle name="40% - Accent5 13 2 3" xfId="25453"/>
    <cellStyle name="40% - Accent5 13 2 3 2" xfId="25454"/>
    <cellStyle name="40% - Accent5 13 2 4" xfId="25455"/>
    <cellStyle name="40% - Accent5 13 3" xfId="25456"/>
    <cellStyle name="40% - Accent5 13 3 2" xfId="25457"/>
    <cellStyle name="40% - Accent5 13 3 2 2" xfId="25458"/>
    <cellStyle name="40% - Accent5 13 3 3" xfId="25459"/>
    <cellStyle name="40% - Accent5 13 4" xfId="25460"/>
    <cellStyle name="40% - Accent5 13 4 2" xfId="25461"/>
    <cellStyle name="40% - Accent5 13 5" xfId="25462"/>
    <cellStyle name="40% - Accent5 13 5 2" xfId="25463"/>
    <cellStyle name="40% - Accent5 13 6" xfId="25464"/>
    <cellStyle name="40% - Accent5 14" xfId="25465"/>
    <cellStyle name="40% - Accent5 14 2" xfId="25466"/>
    <cellStyle name="40% - Accent5 14 2 2" xfId="25467"/>
    <cellStyle name="40% - Accent5 14 2 2 2" xfId="25468"/>
    <cellStyle name="40% - Accent5 14 2 3" xfId="25469"/>
    <cellStyle name="40% - Accent5 14 3" xfId="25470"/>
    <cellStyle name="40% - Accent5 14 3 2" xfId="25471"/>
    <cellStyle name="40% - Accent5 14 4" xfId="25472"/>
    <cellStyle name="40% - Accent5 15" xfId="25473"/>
    <cellStyle name="40% - Accent5 15 2" xfId="25474"/>
    <cellStyle name="40% - Accent5 15 2 2" xfId="25475"/>
    <cellStyle name="40% - Accent5 15 3" xfId="25476"/>
    <cellStyle name="40% - Accent5 16" xfId="25477"/>
    <cellStyle name="40% - Accent5 16 2" xfId="25478"/>
    <cellStyle name="40% - Accent5 17" xfId="25479"/>
    <cellStyle name="40% - Accent5 17 2" xfId="25480"/>
    <cellStyle name="40% - Accent5 18" xfId="25481"/>
    <cellStyle name="40% - Accent5 2" xfId="25482"/>
    <cellStyle name="40% - Accent5 2 2" xfId="25483"/>
    <cellStyle name="40% - Accent5 3" xfId="25484"/>
    <cellStyle name="40% - Accent5 3 10" xfId="25485"/>
    <cellStyle name="40% - Accent5 3 10 2" xfId="25486"/>
    <cellStyle name="40% - Accent5 3 10 2 2" xfId="25487"/>
    <cellStyle name="40% - Accent5 3 10 2 2 2" xfId="25488"/>
    <cellStyle name="40% - Accent5 3 10 2 2 2 2" xfId="25489"/>
    <cellStyle name="40% - Accent5 3 10 2 2 3" xfId="25490"/>
    <cellStyle name="40% - Accent5 3 10 2 3" xfId="25491"/>
    <cellStyle name="40% - Accent5 3 10 2 3 2" xfId="25492"/>
    <cellStyle name="40% - Accent5 3 10 2 4" xfId="25493"/>
    <cellStyle name="40% - Accent5 3 10 3" xfId="25494"/>
    <cellStyle name="40% - Accent5 3 10 3 2" xfId="25495"/>
    <cellStyle name="40% - Accent5 3 10 3 2 2" xfId="25496"/>
    <cellStyle name="40% - Accent5 3 10 3 3" xfId="25497"/>
    <cellStyle name="40% - Accent5 3 10 4" xfId="25498"/>
    <cellStyle name="40% - Accent5 3 10 4 2" xfId="25499"/>
    <cellStyle name="40% - Accent5 3 10 5" xfId="25500"/>
    <cellStyle name="40% - Accent5 3 10 5 2" xfId="25501"/>
    <cellStyle name="40% - Accent5 3 10 6" xfId="25502"/>
    <cellStyle name="40% - Accent5 3 11" xfId="25503"/>
    <cellStyle name="40% - Accent5 3 11 2" xfId="25504"/>
    <cellStyle name="40% - Accent5 3 11 2 2" xfId="25505"/>
    <cellStyle name="40% - Accent5 3 11 2 2 2" xfId="25506"/>
    <cellStyle name="40% - Accent5 3 11 2 2 2 2" xfId="25507"/>
    <cellStyle name="40% - Accent5 3 11 2 2 3" xfId="25508"/>
    <cellStyle name="40% - Accent5 3 11 2 3" xfId="25509"/>
    <cellStyle name="40% - Accent5 3 11 2 3 2" xfId="25510"/>
    <cellStyle name="40% - Accent5 3 11 2 4" xfId="25511"/>
    <cellStyle name="40% - Accent5 3 11 3" xfId="25512"/>
    <cellStyle name="40% - Accent5 3 11 3 2" xfId="25513"/>
    <cellStyle name="40% - Accent5 3 11 3 2 2" xfId="25514"/>
    <cellStyle name="40% - Accent5 3 11 3 3" xfId="25515"/>
    <cellStyle name="40% - Accent5 3 11 4" xfId="25516"/>
    <cellStyle name="40% - Accent5 3 11 4 2" xfId="25517"/>
    <cellStyle name="40% - Accent5 3 11 5" xfId="25518"/>
    <cellStyle name="40% - Accent5 3 11 5 2" xfId="25519"/>
    <cellStyle name="40% - Accent5 3 11 6" xfId="25520"/>
    <cellStyle name="40% - Accent5 3 12" xfId="25521"/>
    <cellStyle name="40% - Accent5 3 12 2" xfId="25522"/>
    <cellStyle name="40% - Accent5 3 12 2 2" xfId="25523"/>
    <cellStyle name="40% - Accent5 3 12 2 2 2" xfId="25524"/>
    <cellStyle name="40% - Accent5 3 12 2 3" xfId="25525"/>
    <cellStyle name="40% - Accent5 3 12 3" xfId="25526"/>
    <cellStyle name="40% - Accent5 3 12 3 2" xfId="25527"/>
    <cellStyle name="40% - Accent5 3 12 4" xfId="25528"/>
    <cellStyle name="40% - Accent5 3 13" xfId="25529"/>
    <cellStyle name="40% - Accent5 3 13 2" xfId="25530"/>
    <cellStyle name="40% - Accent5 3 13 2 2" xfId="25531"/>
    <cellStyle name="40% - Accent5 3 13 3" xfId="25532"/>
    <cellStyle name="40% - Accent5 3 13 4" xfId="25533"/>
    <cellStyle name="40% - Accent5 3 14" xfId="25534"/>
    <cellStyle name="40% - Accent5 3 14 2" xfId="25535"/>
    <cellStyle name="40% - Accent5 3 15" xfId="25536"/>
    <cellStyle name="40% - Accent5 3 15 2" xfId="25537"/>
    <cellStyle name="40% - Accent5 3 16" xfId="25538"/>
    <cellStyle name="40% - Accent5 3 2" xfId="25539"/>
    <cellStyle name="40% - Accent5 3 2 10" xfId="25540"/>
    <cellStyle name="40% - Accent5 3 2 10 2" xfId="25541"/>
    <cellStyle name="40% - Accent5 3 2 10 2 2" xfId="25542"/>
    <cellStyle name="40% - Accent5 3 2 10 2 2 2" xfId="25543"/>
    <cellStyle name="40% - Accent5 3 2 10 2 2 2 2" xfId="25544"/>
    <cellStyle name="40% - Accent5 3 2 10 2 2 3" xfId="25545"/>
    <cellStyle name="40% - Accent5 3 2 10 2 3" xfId="25546"/>
    <cellStyle name="40% - Accent5 3 2 10 2 3 2" xfId="25547"/>
    <cellStyle name="40% - Accent5 3 2 10 2 4" xfId="25548"/>
    <cellStyle name="40% - Accent5 3 2 10 3" xfId="25549"/>
    <cellStyle name="40% - Accent5 3 2 10 3 2" xfId="25550"/>
    <cellStyle name="40% - Accent5 3 2 10 3 2 2" xfId="25551"/>
    <cellStyle name="40% - Accent5 3 2 10 3 3" xfId="25552"/>
    <cellStyle name="40% - Accent5 3 2 10 4" xfId="25553"/>
    <cellStyle name="40% - Accent5 3 2 10 4 2" xfId="25554"/>
    <cellStyle name="40% - Accent5 3 2 10 5" xfId="25555"/>
    <cellStyle name="40% - Accent5 3 2 10 5 2" xfId="25556"/>
    <cellStyle name="40% - Accent5 3 2 10 6" xfId="25557"/>
    <cellStyle name="40% - Accent5 3 2 11" xfId="25558"/>
    <cellStyle name="40% - Accent5 3 2 11 2" xfId="25559"/>
    <cellStyle name="40% - Accent5 3 2 11 2 2" xfId="25560"/>
    <cellStyle name="40% - Accent5 3 2 11 2 2 2" xfId="25561"/>
    <cellStyle name="40% - Accent5 3 2 11 2 3" xfId="25562"/>
    <cellStyle name="40% - Accent5 3 2 11 3" xfId="25563"/>
    <cellStyle name="40% - Accent5 3 2 11 3 2" xfId="25564"/>
    <cellStyle name="40% - Accent5 3 2 11 4" xfId="25565"/>
    <cellStyle name="40% - Accent5 3 2 12" xfId="25566"/>
    <cellStyle name="40% - Accent5 3 2 12 2" xfId="25567"/>
    <cellStyle name="40% - Accent5 3 2 12 2 2" xfId="25568"/>
    <cellStyle name="40% - Accent5 3 2 12 3" xfId="25569"/>
    <cellStyle name="40% - Accent5 3 2 13" xfId="25570"/>
    <cellStyle name="40% - Accent5 3 2 13 2" xfId="25571"/>
    <cellStyle name="40% - Accent5 3 2 14" xfId="25572"/>
    <cellStyle name="40% - Accent5 3 2 14 2" xfId="25573"/>
    <cellStyle name="40% - Accent5 3 2 15" xfId="25574"/>
    <cellStyle name="40% - Accent5 3 2 2" xfId="25575"/>
    <cellStyle name="40% - Accent5 3 2 2 10" xfId="25576"/>
    <cellStyle name="40% - Accent5 3 2 2 10 2" xfId="25577"/>
    <cellStyle name="40% - Accent5 3 2 2 11" xfId="25578"/>
    <cellStyle name="40% - Accent5 3 2 2 2" xfId="25579"/>
    <cellStyle name="40% - Accent5 3 2 2 2 2" xfId="25580"/>
    <cellStyle name="40% - Accent5 3 2 2 2 2 2" xfId="25581"/>
    <cellStyle name="40% - Accent5 3 2 2 2 2 2 2" xfId="25582"/>
    <cellStyle name="40% - Accent5 3 2 2 2 2 2 2 2" xfId="25583"/>
    <cellStyle name="40% - Accent5 3 2 2 2 2 2 2 2 2" xfId="25584"/>
    <cellStyle name="40% - Accent5 3 2 2 2 2 2 2 3" xfId="25585"/>
    <cellStyle name="40% - Accent5 3 2 2 2 2 2 3" xfId="25586"/>
    <cellStyle name="40% - Accent5 3 2 2 2 2 2 3 2" xfId="25587"/>
    <cellStyle name="40% - Accent5 3 2 2 2 2 2 4" xfId="25588"/>
    <cellStyle name="40% - Accent5 3 2 2 2 2 3" xfId="25589"/>
    <cellStyle name="40% - Accent5 3 2 2 2 2 3 2" xfId="25590"/>
    <cellStyle name="40% - Accent5 3 2 2 2 2 3 2 2" xfId="25591"/>
    <cellStyle name="40% - Accent5 3 2 2 2 2 3 3" xfId="25592"/>
    <cellStyle name="40% - Accent5 3 2 2 2 2 4" xfId="25593"/>
    <cellStyle name="40% - Accent5 3 2 2 2 2 4 2" xfId="25594"/>
    <cellStyle name="40% - Accent5 3 2 2 2 2 5" xfId="25595"/>
    <cellStyle name="40% - Accent5 3 2 2 2 2 5 2" xfId="25596"/>
    <cellStyle name="40% - Accent5 3 2 2 2 2 6" xfId="25597"/>
    <cellStyle name="40% - Accent5 3 2 2 2 3" xfId="25598"/>
    <cellStyle name="40% - Accent5 3 2 2 2 3 2" xfId="25599"/>
    <cellStyle name="40% - Accent5 3 2 2 2 3 2 2" xfId="25600"/>
    <cellStyle name="40% - Accent5 3 2 2 2 3 2 2 2" xfId="25601"/>
    <cellStyle name="40% - Accent5 3 2 2 2 3 2 2 2 2" xfId="25602"/>
    <cellStyle name="40% - Accent5 3 2 2 2 3 2 2 3" xfId="25603"/>
    <cellStyle name="40% - Accent5 3 2 2 2 3 2 3" xfId="25604"/>
    <cellStyle name="40% - Accent5 3 2 2 2 3 2 3 2" xfId="25605"/>
    <cellStyle name="40% - Accent5 3 2 2 2 3 2 4" xfId="25606"/>
    <cellStyle name="40% - Accent5 3 2 2 2 3 3" xfId="25607"/>
    <cellStyle name="40% - Accent5 3 2 2 2 3 3 2" xfId="25608"/>
    <cellStyle name="40% - Accent5 3 2 2 2 3 3 2 2" xfId="25609"/>
    <cellStyle name="40% - Accent5 3 2 2 2 3 3 3" xfId="25610"/>
    <cellStyle name="40% - Accent5 3 2 2 2 3 4" xfId="25611"/>
    <cellStyle name="40% - Accent5 3 2 2 2 3 4 2" xfId="25612"/>
    <cellStyle name="40% - Accent5 3 2 2 2 3 5" xfId="25613"/>
    <cellStyle name="40% - Accent5 3 2 2 2 3 5 2" xfId="25614"/>
    <cellStyle name="40% - Accent5 3 2 2 2 3 6" xfId="25615"/>
    <cellStyle name="40% - Accent5 3 2 2 2 4" xfId="25616"/>
    <cellStyle name="40% - Accent5 3 2 2 2 4 2" xfId="25617"/>
    <cellStyle name="40% - Accent5 3 2 2 2 4 2 2" xfId="25618"/>
    <cellStyle name="40% - Accent5 3 2 2 2 4 2 2 2" xfId="25619"/>
    <cellStyle name="40% - Accent5 3 2 2 2 4 2 3" xfId="25620"/>
    <cellStyle name="40% - Accent5 3 2 2 2 4 3" xfId="25621"/>
    <cellStyle name="40% - Accent5 3 2 2 2 4 3 2" xfId="25622"/>
    <cellStyle name="40% - Accent5 3 2 2 2 4 4" xfId="25623"/>
    <cellStyle name="40% - Accent5 3 2 2 2 5" xfId="25624"/>
    <cellStyle name="40% - Accent5 3 2 2 2 5 2" xfId="25625"/>
    <cellStyle name="40% - Accent5 3 2 2 2 5 2 2" xfId="25626"/>
    <cellStyle name="40% - Accent5 3 2 2 2 5 3" xfId="25627"/>
    <cellStyle name="40% - Accent5 3 2 2 2 6" xfId="25628"/>
    <cellStyle name="40% - Accent5 3 2 2 2 6 2" xfId="25629"/>
    <cellStyle name="40% - Accent5 3 2 2 2 7" xfId="25630"/>
    <cellStyle name="40% - Accent5 3 2 2 2 7 2" xfId="25631"/>
    <cellStyle name="40% - Accent5 3 2 2 2 8" xfId="25632"/>
    <cellStyle name="40% - Accent5 3 2 2 3" xfId="25633"/>
    <cellStyle name="40% - Accent5 3 2 2 3 2" xfId="25634"/>
    <cellStyle name="40% - Accent5 3 2 2 3 2 2" xfId="25635"/>
    <cellStyle name="40% - Accent5 3 2 2 3 2 2 2" xfId="25636"/>
    <cellStyle name="40% - Accent5 3 2 2 3 2 2 2 2" xfId="25637"/>
    <cellStyle name="40% - Accent5 3 2 2 3 2 2 2 2 2" xfId="25638"/>
    <cellStyle name="40% - Accent5 3 2 2 3 2 2 2 3" xfId="25639"/>
    <cellStyle name="40% - Accent5 3 2 2 3 2 2 3" xfId="25640"/>
    <cellStyle name="40% - Accent5 3 2 2 3 2 2 3 2" xfId="25641"/>
    <cellStyle name="40% - Accent5 3 2 2 3 2 2 4" xfId="25642"/>
    <cellStyle name="40% - Accent5 3 2 2 3 2 3" xfId="25643"/>
    <cellStyle name="40% - Accent5 3 2 2 3 2 3 2" xfId="25644"/>
    <cellStyle name="40% - Accent5 3 2 2 3 2 3 2 2" xfId="25645"/>
    <cellStyle name="40% - Accent5 3 2 2 3 2 3 3" xfId="25646"/>
    <cellStyle name="40% - Accent5 3 2 2 3 2 4" xfId="25647"/>
    <cellStyle name="40% - Accent5 3 2 2 3 2 4 2" xfId="25648"/>
    <cellStyle name="40% - Accent5 3 2 2 3 2 5" xfId="25649"/>
    <cellStyle name="40% - Accent5 3 2 2 3 2 5 2" xfId="25650"/>
    <cellStyle name="40% - Accent5 3 2 2 3 2 6" xfId="25651"/>
    <cellStyle name="40% - Accent5 3 2 2 3 3" xfId="25652"/>
    <cellStyle name="40% - Accent5 3 2 2 3 3 2" xfId="25653"/>
    <cellStyle name="40% - Accent5 3 2 2 3 3 2 2" xfId="25654"/>
    <cellStyle name="40% - Accent5 3 2 2 3 3 2 2 2" xfId="25655"/>
    <cellStyle name="40% - Accent5 3 2 2 3 3 2 2 2 2" xfId="25656"/>
    <cellStyle name="40% - Accent5 3 2 2 3 3 2 2 3" xfId="25657"/>
    <cellStyle name="40% - Accent5 3 2 2 3 3 2 3" xfId="25658"/>
    <cellStyle name="40% - Accent5 3 2 2 3 3 2 3 2" xfId="25659"/>
    <cellStyle name="40% - Accent5 3 2 2 3 3 2 4" xfId="25660"/>
    <cellStyle name="40% - Accent5 3 2 2 3 3 3" xfId="25661"/>
    <cellStyle name="40% - Accent5 3 2 2 3 3 3 2" xfId="25662"/>
    <cellStyle name="40% - Accent5 3 2 2 3 3 3 2 2" xfId="25663"/>
    <cellStyle name="40% - Accent5 3 2 2 3 3 3 3" xfId="25664"/>
    <cellStyle name="40% - Accent5 3 2 2 3 3 4" xfId="25665"/>
    <cellStyle name="40% - Accent5 3 2 2 3 3 4 2" xfId="25666"/>
    <cellStyle name="40% - Accent5 3 2 2 3 3 5" xfId="25667"/>
    <cellStyle name="40% - Accent5 3 2 2 3 3 5 2" xfId="25668"/>
    <cellStyle name="40% - Accent5 3 2 2 3 3 6" xfId="25669"/>
    <cellStyle name="40% - Accent5 3 2 2 3 4" xfId="25670"/>
    <cellStyle name="40% - Accent5 3 2 2 3 4 2" xfId="25671"/>
    <cellStyle name="40% - Accent5 3 2 2 3 4 2 2" xfId="25672"/>
    <cellStyle name="40% - Accent5 3 2 2 3 4 2 2 2" xfId="25673"/>
    <cellStyle name="40% - Accent5 3 2 2 3 4 2 3" xfId="25674"/>
    <cellStyle name="40% - Accent5 3 2 2 3 4 3" xfId="25675"/>
    <cellStyle name="40% - Accent5 3 2 2 3 4 3 2" xfId="25676"/>
    <cellStyle name="40% - Accent5 3 2 2 3 4 4" xfId="25677"/>
    <cellStyle name="40% - Accent5 3 2 2 3 5" xfId="25678"/>
    <cellStyle name="40% - Accent5 3 2 2 3 5 2" xfId="25679"/>
    <cellStyle name="40% - Accent5 3 2 2 3 5 2 2" xfId="25680"/>
    <cellStyle name="40% - Accent5 3 2 2 3 5 3" xfId="25681"/>
    <cellStyle name="40% - Accent5 3 2 2 3 6" xfId="25682"/>
    <cellStyle name="40% - Accent5 3 2 2 3 6 2" xfId="25683"/>
    <cellStyle name="40% - Accent5 3 2 2 3 7" xfId="25684"/>
    <cellStyle name="40% - Accent5 3 2 2 3 7 2" xfId="25685"/>
    <cellStyle name="40% - Accent5 3 2 2 3 8" xfId="25686"/>
    <cellStyle name="40% - Accent5 3 2 2 4" xfId="25687"/>
    <cellStyle name="40% - Accent5 3 2 2 4 2" xfId="25688"/>
    <cellStyle name="40% - Accent5 3 2 2 4 2 2" xfId="25689"/>
    <cellStyle name="40% - Accent5 3 2 2 4 2 2 2" xfId="25690"/>
    <cellStyle name="40% - Accent5 3 2 2 4 2 2 2 2" xfId="25691"/>
    <cellStyle name="40% - Accent5 3 2 2 4 2 2 3" xfId="25692"/>
    <cellStyle name="40% - Accent5 3 2 2 4 2 3" xfId="25693"/>
    <cellStyle name="40% - Accent5 3 2 2 4 2 3 2" xfId="25694"/>
    <cellStyle name="40% - Accent5 3 2 2 4 2 4" xfId="25695"/>
    <cellStyle name="40% - Accent5 3 2 2 4 3" xfId="25696"/>
    <cellStyle name="40% - Accent5 3 2 2 4 3 2" xfId="25697"/>
    <cellStyle name="40% - Accent5 3 2 2 4 3 2 2" xfId="25698"/>
    <cellStyle name="40% - Accent5 3 2 2 4 3 3" xfId="25699"/>
    <cellStyle name="40% - Accent5 3 2 2 4 4" xfId="25700"/>
    <cellStyle name="40% - Accent5 3 2 2 4 4 2" xfId="25701"/>
    <cellStyle name="40% - Accent5 3 2 2 4 5" xfId="25702"/>
    <cellStyle name="40% - Accent5 3 2 2 4 5 2" xfId="25703"/>
    <cellStyle name="40% - Accent5 3 2 2 4 6" xfId="25704"/>
    <cellStyle name="40% - Accent5 3 2 2 5" xfId="25705"/>
    <cellStyle name="40% - Accent5 3 2 2 5 2" xfId="25706"/>
    <cellStyle name="40% - Accent5 3 2 2 5 2 2" xfId="25707"/>
    <cellStyle name="40% - Accent5 3 2 2 5 2 2 2" xfId="25708"/>
    <cellStyle name="40% - Accent5 3 2 2 5 2 2 2 2" xfId="25709"/>
    <cellStyle name="40% - Accent5 3 2 2 5 2 2 3" xfId="25710"/>
    <cellStyle name="40% - Accent5 3 2 2 5 2 3" xfId="25711"/>
    <cellStyle name="40% - Accent5 3 2 2 5 2 3 2" xfId="25712"/>
    <cellStyle name="40% - Accent5 3 2 2 5 2 4" xfId="25713"/>
    <cellStyle name="40% - Accent5 3 2 2 5 3" xfId="25714"/>
    <cellStyle name="40% - Accent5 3 2 2 5 3 2" xfId="25715"/>
    <cellStyle name="40% - Accent5 3 2 2 5 3 2 2" xfId="25716"/>
    <cellStyle name="40% - Accent5 3 2 2 5 3 3" xfId="25717"/>
    <cellStyle name="40% - Accent5 3 2 2 5 4" xfId="25718"/>
    <cellStyle name="40% - Accent5 3 2 2 5 4 2" xfId="25719"/>
    <cellStyle name="40% - Accent5 3 2 2 5 5" xfId="25720"/>
    <cellStyle name="40% - Accent5 3 2 2 5 5 2" xfId="25721"/>
    <cellStyle name="40% - Accent5 3 2 2 5 6" xfId="25722"/>
    <cellStyle name="40% - Accent5 3 2 2 6" xfId="25723"/>
    <cellStyle name="40% - Accent5 3 2 2 6 2" xfId="25724"/>
    <cellStyle name="40% - Accent5 3 2 2 6 2 2" xfId="25725"/>
    <cellStyle name="40% - Accent5 3 2 2 6 2 2 2" xfId="25726"/>
    <cellStyle name="40% - Accent5 3 2 2 6 2 2 2 2" xfId="25727"/>
    <cellStyle name="40% - Accent5 3 2 2 6 2 2 3" xfId="25728"/>
    <cellStyle name="40% - Accent5 3 2 2 6 2 3" xfId="25729"/>
    <cellStyle name="40% - Accent5 3 2 2 6 2 3 2" xfId="25730"/>
    <cellStyle name="40% - Accent5 3 2 2 6 2 4" xfId="25731"/>
    <cellStyle name="40% - Accent5 3 2 2 6 3" xfId="25732"/>
    <cellStyle name="40% - Accent5 3 2 2 6 3 2" xfId="25733"/>
    <cellStyle name="40% - Accent5 3 2 2 6 3 2 2" xfId="25734"/>
    <cellStyle name="40% - Accent5 3 2 2 6 3 3" xfId="25735"/>
    <cellStyle name="40% - Accent5 3 2 2 6 4" xfId="25736"/>
    <cellStyle name="40% - Accent5 3 2 2 6 4 2" xfId="25737"/>
    <cellStyle name="40% - Accent5 3 2 2 6 5" xfId="25738"/>
    <cellStyle name="40% - Accent5 3 2 2 6 5 2" xfId="25739"/>
    <cellStyle name="40% - Accent5 3 2 2 6 6" xfId="25740"/>
    <cellStyle name="40% - Accent5 3 2 2 7" xfId="25741"/>
    <cellStyle name="40% - Accent5 3 2 2 7 2" xfId="25742"/>
    <cellStyle name="40% - Accent5 3 2 2 7 2 2" xfId="25743"/>
    <cellStyle name="40% - Accent5 3 2 2 7 2 2 2" xfId="25744"/>
    <cellStyle name="40% - Accent5 3 2 2 7 2 3" xfId="25745"/>
    <cellStyle name="40% - Accent5 3 2 2 7 3" xfId="25746"/>
    <cellStyle name="40% - Accent5 3 2 2 7 3 2" xfId="25747"/>
    <cellStyle name="40% - Accent5 3 2 2 7 4" xfId="25748"/>
    <cellStyle name="40% - Accent5 3 2 2 8" xfId="25749"/>
    <cellStyle name="40% - Accent5 3 2 2 8 2" xfId="25750"/>
    <cellStyle name="40% - Accent5 3 2 2 8 2 2" xfId="25751"/>
    <cellStyle name="40% - Accent5 3 2 2 8 3" xfId="25752"/>
    <cellStyle name="40% - Accent5 3 2 2 9" xfId="25753"/>
    <cellStyle name="40% - Accent5 3 2 2 9 2" xfId="25754"/>
    <cellStyle name="40% - Accent5 3 2 3" xfId="25755"/>
    <cellStyle name="40% - Accent5 3 2 3 10" xfId="25756"/>
    <cellStyle name="40% - Accent5 3 2 3 10 2" xfId="25757"/>
    <cellStyle name="40% - Accent5 3 2 3 11" xfId="25758"/>
    <cellStyle name="40% - Accent5 3 2 3 2" xfId="25759"/>
    <cellStyle name="40% - Accent5 3 2 3 2 2" xfId="25760"/>
    <cellStyle name="40% - Accent5 3 2 3 2 2 2" xfId="25761"/>
    <cellStyle name="40% - Accent5 3 2 3 2 2 2 2" xfId="25762"/>
    <cellStyle name="40% - Accent5 3 2 3 2 2 2 2 2" xfId="25763"/>
    <cellStyle name="40% - Accent5 3 2 3 2 2 2 2 2 2" xfId="25764"/>
    <cellStyle name="40% - Accent5 3 2 3 2 2 2 2 3" xfId="25765"/>
    <cellStyle name="40% - Accent5 3 2 3 2 2 2 3" xfId="25766"/>
    <cellStyle name="40% - Accent5 3 2 3 2 2 2 3 2" xfId="25767"/>
    <cellStyle name="40% - Accent5 3 2 3 2 2 2 4" xfId="25768"/>
    <cellStyle name="40% - Accent5 3 2 3 2 2 3" xfId="25769"/>
    <cellStyle name="40% - Accent5 3 2 3 2 2 3 2" xfId="25770"/>
    <cellStyle name="40% - Accent5 3 2 3 2 2 3 2 2" xfId="25771"/>
    <cellStyle name="40% - Accent5 3 2 3 2 2 3 3" xfId="25772"/>
    <cellStyle name="40% - Accent5 3 2 3 2 2 4" xfId="25773"/>
    <cellStyle name="40% - Accent5 3 2 3 2 2 4 2" xfId="25774"/>
    <cellStyle name="40% - Accent5 3 2 3 2 2 5" xfId="25775"/>
    <cellStyle name="40% - Accent5 3 2 3 2 2 5 2" xfId="25776"/>
    <cellStyle name="40% - Accent5 3 2 3 2 2 6" xfId="25777"/>
    <cellStyle name="40% - Accent5 3 2 3 2 3" xfId="25778"/>
    <cellStyle name="40% - Accent5 3 2 3 2 3 2" xfId="25779"/>
    <cellStyle name="40% - Accent5 3 2 3 2 3 2 2" xfId="25780"/>
    <cellStyle name="40% - Accent5 3 2 3 2 3 2 2 2" xfId="25781"/>
    <cellStyle name="40% - Accent5 3 2 3 2 3 2 2 2 2" xfId="25782"/>
    <cellStyle name="40% - Accent5 3 2 3 2 3 2 2 3" xfId="25783"/>
    <cellStyle name="40% - Accent5 3 2 3 2 3 2 3" xfId="25784"/>
    <cellStyle name="40% - Accent5 3 2 3 2 3 2 3 2" xfId="25785"/>
    <cellStyle name="40% - Accent5 3 2 3 2 3 2 4" xfId="25786"/>
    <cellStyle name="40% - Accent5 3 2 3 2 3 3" xfId="25787"/>
    <cellStyle name="40% - Accent5 3 2 3 2 3 3 2" xfId="25788"/>
    <cellStyle name="40% - Accent5 3 2 3 2 3 3 2 2" xfId="25789"/>
    <cellStyle name="40% - Accent5 3 2 3 2 3 3 3" xfId="25790"/>
    <cellStyle name="40% - Accent5 3 2 3 2 3 4" xfId="25791"/>
    <cellStyle name="40% - Accent5 3 2 3 2 3 4 2" xfId="25792"/>
    <cellStyle name="40% - Accent5 3 2 3 2 3 5" xfId="25793"/>
    <cellStyle name="40% - Accent5 3 2 3 2 3 5 2" xfId="25794"/>
    <cellStyle name="40% - Accent5 3 2 3 2 3 6" xfId="25795"/>
    <cellStyle name="40% - Accent5 3 2 3 2 4" xfId="25796"/>
    <cellStyle name="40% - Accent5 3 2 3 2 4 2" xfId="25797"/>
    <cellStyle name="40% - Accent5 3 2 3 2 4 2 2" xfId="25798"/>
    <cellStyle name="40% - Accent5 3 2 3 2 4 2 2 2" xfId="25799"/>
    <cellStyle name="40% - Accent5 3 2 3 2 4 2 3" xfId="25800"/>
    <cellStyle name="40% - Accent5 3 2 3 2 4 3" xfId="25801"/>
    <cellStyle name="40% - Accent5 3 2 3 2 4 3 2" xfId="25802"/>
    <cellStyle name="40% - Accent5 3 2 3 2 4 4" xfId="25803"/>
    <cellStyle name="40% - Accent5 3 2 3 2 5" xfId="25804"/>
    <cellStyle name="40% - Accent5 3 2 3 2 5 2" xfId="25805"/>
    <cellStyle name="40% - Accent5 3 2 3 2 5 2 2" xfId="25806"/>
    <cellStyle name="40% - Accent5 3 2 3 2 5 3" xfId="25807"/>
    <cellStyle name="40% - Accent5 3 2 3 2 6" xfId="25808"/>
    <cellStyle name="40% - Accent5 3 2 3 2 6 2" xfId="25809"/>
    <cellStyle name="40% - Accent5 3 2 3 2 7" xfId="25810"/>
    <cellStyle name="40% - Accent5 3 2 3 2 7 2" xfId="25811"/>
    <cellStyle name="40% - Accent5 3 2 3 2 8" xfId="25812"/>
    <cellStyle name="40% - Accent5 3 2 3 3" xfId="25813"/>
    <cellStyle name="40% - Accent5 3 2 3 3 2" xfId="25814"/>
    <cellStyle name="40% - Accent5 3 2 3 3 2 2" xfId="25815"/>
    <cellStyle name="40% - Accent5 3 2 3 3 2 2 2" xfId="25816"/>
    <cellStyle name="40% - Accent5 3 2 3 3 2 2 2 2" xfId="25817"/>
    <cellStyle name="40% - Accent5 3 2 3 3 2 2 2 2 2" xfId="25818"/>
    <cellStyle name="40% - Accent5 3 2 3 3 2 2 2 3" xfId="25819"/>
    <cellStyle name="40% - Accent5 3 2 3 3 2 2 3" xfId="25820"/>
    <cellStyle name="40% - Accent5 3 2 3 3 2 2 3 2" xfId="25821"/>
    <cellStyle name="40% - Accent5 3 2 3 3 2 2 4" xfId="25822"/>
    <cellStyle name="40% - Accent5 3 2 3 3 2 3" xfId="25823"/>
    <cellStyle name="40% - Accent5 3 2 3 3 2 3 2" xfId="25824"/>
    <cellStyle name="40% - Accent5 3 2 3 3 2 3 2 2" xfId="25825"/>
    <cellStyle name="40% - Accent5 3 2 3 3 2 3 3" xfId="25826"/>
    <cellStyle name="40% - Accent5 3 2 3 3 2 4" xfId="25827"/>
    <cellStyle name="40% - Accent5 3 2 3 3 2 4 2" xfId="25828"/>
    <cellStyle name="40% - Accent5 3 2 3 3 2 5" xfId="25829"/>
    <cellStyle name="40% - Accent5 3 2 3 3 2 5 2" xfId="25830"/>
    <cellStyle name="40% - Accent5 3 2 3 3 2 6" xfId="25831"/>
    <cellStyle name="40% - Accent5 3 2 3 3 3" xfId="25832"/>
    <cellStyle name="40% - Accent5 3 2 3 3 3 2" xfId="25833"/>
    <cellStyle name="40% - Accent5 3 2 3 3 3 2 2" xfId="25834"/>
    <cellStyle name="40% - Accent5 3 2 3 3 3 2 2 2" xfId="25835"/>
    <cellStyle name="40% - Accent5 3 2 3 3 3 2 2 2 2" xfId="25836"/>
    <cellStyle name="40% - Accent5 3 2 3 3 3 2 2 3" xfId="25837"/>
    <cellStyle name="40% - Accent5 3 2 3 3 3 2 3" xfId="25838"/>
    <cellStyle name="40% - Accent5 3 2 3 3 3 2 3 2" xfId="25839"/>
    <cellStyle name="40% - Accent5 3 2 3 3 3 2 4" xfId="25840"/>
    <cellStyle name="40% - Accent5 3 2 3 3 3 3" xfId="25841"/>
    <cellStyle name="40% - Accent5 3 2 3 3 3 3 2" xfId="25842"/>
    <cellStyle name="40% - Accent5 3 2 3 3 3 3 2 2" xfId="25843"/>
    <cellStyle name="40% - Accent5 3 2 3 3 3 3 3" xfId="25844"/>
    <cellStyle name="40% - Accent5 3 2 3 3 3 4" xfId="25845"/>
    <cellStyle name="40% - Accent5 3 2 3 3 3 4 2" xfId="25846"/>
    <cellStyle name="40% - Accent5 3 2 3 3 3 5" xfId="25847"/>
    <cellStyle name="40% - Accent5 3 2 3 3 3 5 2" xfId="25848"/>
    <cellStyle name="40% - Accent5 3 2 3 3 3 6" xfId="25849"/>
    <cellStyle name="40% - Accent5 3 2 3 3 4" xfId="25850"/>
    <cellStyle name="40% - Accent5 3 2 3 3 4 2" xfId="25851"/>
    <cellStyle name="40% - Accent5 3 2 3 3 4 2 2" xfId="25852"/>
    <cellStyle name="40% - Accent5 3 2 3 3 4 2 2 2" xfId="25853"/>
    <cellStyle name="40% - Accent5 3 2 3 3 4 2 3" xfId="25854"/>
    <cellStyle name="40% - Accent5 3 2 3 3 4 3" xfId="25855"/>
    <cellStyle name="40% - Accent5 3 2 3 3 4 3 2" xfId="25856"/>
    <cellStyle name="40% - Accent5 3 2 3 3 4 4" xfId="25857"/>
    <cellStyle name="40% - Accent5 3 2 3 3 5" xfId="25858"/>
    <cellStyle name="40% - Accent5 3 2 3 3 5 2" xfId="25859"/>
    <cellStyle name="40% - Accent5 3 2 3 3 5 2 2" xfId="25860"/>
    <cellStyle name="40% - Accent5 3 2 3 3 5 3" xfId="25861"/>
    <cellStyle name="40% - Accent5 3 2 3 3 6" xfId="25862"/>
    <cellStyle name="40% - Accent5 3 2 3 3 6 2" xfId="25863"/>
    <cellStyle name="40% - Accent5 3 2 3 3 7" xfId="25864"/>
    <cellStyle name="40% - Accent5 3 2 3 3 7 2" xfId="25865"/>
    <cellStyle name="40% - Accent5 3 2 3 3 8" xfId="25866"/>
    <cellStyle name="40% - Accent5 3 2 3 4" xfId="25867"/>
    <cellStyle name="40% - Accent5 3 2 3 4 2" xfId="25868"/>
    <cellStyle name="40% - Accent5 3 2 3 4 2 2" xfId="25869"/>
    <cellStyle name="40% - Accent5 3 2 3 4 2 2 2" xfId="25870"/>
    <cellStyle name="40% - Accent5 3 2 3 4 2 2 2 2" xfId="25871"/>
    <cellStyle name="40% - Accent5 3 2 3 4 2 2 3" xfId="25872"/>
    <cellStyle name="40% - Accent5 3 2 3 4 2 3" xfId="25873"/>
    <cellStyle name="40% - Accent5 3 2 3 4 2 3 2" xfId="25874"/>
    <cellStyle name="40% - Accent5 3 2 3 4 2 4" xfId="25875"/>
    <cellStyle name="40% - Accent5 3 2 3 4 3" xfId="25876"/>
    <cellStyle name="40% - Accent5 3 2 3 4 3 2" xfId="25877"/>
    <cellStyle name="40% - Accent5 3 2 3 4 3 2 2" xfId="25878"/>
    <cellStyle name="40% - Accent5 3 2 3 4 3 3" xfId="25879"/>
    <cellStyle name="40% - Accent5 3 2 3 4 4" xfId="25880"/>
    <cellStyle name="40% - Accent5 3 2 3 4 4 2" xfId="25881"/>
    <cellStyle name="40% - Accent5 3 2 3 4 5" xfId="25882"/>
    <cellStyle name="40% - Accent5 3 2 3 4 5 2" xfId="25883"/>
    <cellStyle name="40% - Accent5 3 2 3 4 6" xfId="25884"/>
    <cellStyle name="40% - Accent5 3 2 3 5" xfId="25885"/>
    <cellStyle name="40% - Accent5 3 2 3 5 2" xfId="25886"/>
    <cellStyle name="40% - Accent5 3 2 3 5 2 2" xfId="25887"/>
    <cellStyle name="40% - Accent5 3 2 3 5 2 2 2" xfId="25888"/>
    <cellStyle name="40% - Accent5 3 2 3 5 2 2 2 2" xfId="25889"/>
    <cellStyle name="40% - Accent5 3 2 3 5 2 2 3" xfId="25890"/>
    <cellStyle name="40% - Accent5 3 2 3 5 2 3" xfId="25891"/>
    <cellStyle name="40% - Accent5 3 2 3 5 2 3 2" xfId="25892"/>
    <cellStyle name="40% - Accent5 3 2 3 5 2 4" xfId="25893"/>
    <cellStyle name="40% - Accent5 3 2 3 5 3" xfId="25894"/>
    <cellStyle name="40% - Accent5 3 2 3 5 3 2" xfId="25895"/>
    <cellStyle name="40% - Accent5 3 2 3 5 3 2 2" xfId="25896"/>
    <cellStyle name="40% - Accent5 3 2 3 5 3 3" xfId="25897"/>
    <cellStyle name="40% - Accent5 3 2 3 5 4" xfId="25898"/>
    <cellStyle name="40% - Accent5 3 2 3 5 4 2" xfId="25899"/>
    <cellStyle name="40% - Accent5 3 2 3 5 5" xfId="25900"/>
    <cellStyle name="40% - Accent5 3 2 3 5 5 2" xfId="25901"/>
    <cellStyle name="40% - Accent5 3 2 3 5 6" xfId="25902"/>
    <cellStyle name="40% - Accent5 3 2 3 6" xfId="25903"/>
    <cellStyle name="40% - Accent5 3 2 3 6 2" xfId="25904"/>
    <cellStyle name="40% - Accent5 3 2 3 6 2 2" xfId="25905"/>
    <cellStyle name="40% - Accent5 3 2 3 6 2 2 2" xfId="25906"/>
    <cellStyle name="40% - Accent5 3 2 3 6 2 2 2 2" xfId="25907"/>
    <cellStyle name="40% - Accent5 3 2 3 6 2 2 3" xfId="25908"/>
    <cellStyle name="40% - Accent5 3 2 3 6 2 3" xfId="25909"/>
    <cellStyle name="40% - Accent5 3 2 3 6 2 3 2" xfId="25910"/>
    <cellStyle name="40% - Accent5 3 2 3 6 2 4" xfId="25911"/>
    <cellStyle name="40% - Accent5 3 2 3 6 3" xfId="25912"/>
    <cellStyle name="40% - Accent5 3 2 3 6 3 2" xfId="25913"/>
    <cellStyle name="40% - Accent5 3 2 3 6 3 2 2" xfId="25914"/>
    <cellStyle name="40% - Accent5 3 2 3 6 3 3" xfId="25915"/>
    <cellStyle name="40% - Accent5 3 2 3 6 4" xfId="25916"/>
    <cellStyle name="40% - Accent5 3 2 3 6 4 2" xfId="25917"/>
    <cellStyle name="40% - Accent5 3 2 3 6 5" xfId="25918"/>
    <cellStyle name="40% - Accent5 3 2 3 6 5 2" xfId="25919"/>
    <cellStyle name="40% - Accent5 3 2 3 6 6" xfId="25920"/>
    <cellStyle name="40% - Accent5 3 2 3 7" xfId="25921"/>
    <cellStyle name="40% - Accent5 3 2 3 7 2" xfId="25922"/>
    <cellStyle name="40% - Accent5 3 2 3 7 2 2" xfId="25923"/>
    <cellStyle name="40% - Accent5 3 2 3 7 2 2 2" xfId="25924"/>
    <cellStyle name="40% - Accent5 3 2 3 7 2 3" xfId="25925"/>
    <cellStyle name="40% - Accent5 3 2 3 7 3" xfId="25926"/>
    <cellStyle name="40% - Accent5 3 2 3 7 3 2" xfId="25927"/>
    <cellStyle name="40% - Accent5 3 2 3 7 4" xfId="25928"/>
    <cellStyle name="40% - Accent5 3 2 3 8" xfId="25929"/>
    <cellStyle name="40% - Accent5 3 2 3 8 2" xfId="25930"/>
    <cellStyle name="40% - Accent5 3 2 3 8 2 2" xfId="25931"/>
    <cellStyle name="40% - Accent5 3 2 3 8 3" xfId="25932"/>
    <cellStyle name="40% - Accent5 3 2 3 9" xfId="25933"/>
    <cellStyle name="40% - Accent5 3 2 3 9 2" xfId="25934"/>
    <cellStyle name="40% - Accent5 3 2 4" xfId="25935"/>
    <cellStyle name="40% - Accent5 3 2 4 10" xfId="25936"/>
    <cellStyle name="40% - Accent5 3 2 4 10 2" xfId="25937"/>
    <cellStyle name="40% - Accent5 3 2 4 11" xfId="25938"/>
    <cellStyle name="40% - Accent5 3 2 4 2" xfId="25939"/>
    <cellStyle name="40% - Accent5 3 2 4 2 2" xfId="25940"/>
    <cellStyle name="40% - Accent5 3 2 4 2 2 2" xfId="25941"/>
    <cellStyle name="40% - Accent5 3 2 4 2 2 2 2" xfId="25942"/>
    <cellStyle name="40% - Accent5 3 2 4 2 2 2 2 2" xfId="25943"/>
    <cellStyle name="40% - Accent5 3 2 4 2 2 2 2 2 2" xfId="25944"/>
    <cellStyle name="40% - Accent5 3 2 4 2 2 2 2 3" xfId="25945"/>
    <cellStyle name="40% - Accent5 3 2 4 2 2 2 3" xfId="25946"/>
    <cellStyle name="40% - Accent5 3 2 4 2 2 2 3 2" xfId="25947"/>
    <cellStyle name="40% - Accent5 3 2 4 2 2 2 4" xfId="25948"/>
    <cellStyle name="40% - Accent5 3 2 4 2 2 3" xfId="25949"/>
    <cellStyle name="40% - Accent5 3 2 4 2 2 3 2" xfId="25950"/>
    <cellStyle name="40% - Accent5 3 2 4 2 2 3 2 2" xfId="25951"/>
    <cellStyle name="40% - Accent5 3 2 4 2 2 3 3" xfId="25952"/>
    <cellStyle name="40% - Accent5 3 2 4 2 2 4" xfId="25953"/>
    <cellStyle name="40% - Accent5 3 2 4 2 2 4 2" xfId="25954"/>
    <cellStyle name="40% - Accent5 3 2 4 2 2 5" xfId="25955"/>
    <cellStyle name="40% - Accent5 3 2 4 2 2 5 2" xfId="25956"/>
    <cellStyle name="40% - Accent5 3 2 4 2 2 6" xfId="25957"/>
    <cellStyle name="40% - Accent5 3 2 4 2 3" xfId="25958"/>
    <cellStyle name="40% - Accent5 3 2 4 2 3 2" xfId="25959"/>
    <cellStyle name="40% - Accent5 3 2 4 2 3 2 2" xfId="25960"/>
    <cellStyle name="40% - Accent5 3 2 4 2 3 2 2 2" xfId="25961"/>
    <cellStyle name="40% - Accent5 3 2 4 2 3 2 2 2 2" xfId="25962"/>
    <cellStyle name="40% - Accent5 3 2 4 2 3 2 2 3" xfId="25963"/>
    <cellStyle name="40% - Accent5 3 2 4 2 3 2 3" xfId="25964"/>
    <cellStyle name="40% - Accent5 3 2 4 2 3 2 3 2" xfId="25965"/>
    <cellStyle name="40% - Accent5 3 2 4 2 3 2 4" xfId="25966"/>
    <cellStyle name="40% - Accent5 3 2 4 2 3 3" xfId="25967"/>
    <cellStyle name="40% - Accent5 3 2 4 2 3 3 2" xfId="25968"/>
    <cellStyle name="40% - Accent5 3 2 4 2 3 3 2 2" xfId="25969"/>
    <cellStyle name="40% - Accent5 3 2 4 2 3 3 3" xfId="25970"/>
    <cellStyle name="40% - Accent5 3 2 4 2 3 4" xfId="25971"/>
    <cellStyle name="40% - Accent5 3 2 4 2 3 4 2" xfId="25972"/>
    <cellStyle name="40% - Accent5 3 2 4 2 3 5" xfId="25973"/>
    <cellStyle name="40% - Accent5 3 2 4 2 3 5 2" xfId="25974"/>
    <cellStyle name="40% - Accent5 3 2 4 2 3 6" xfId="25975"/>
    <cellStyle name="40% - Accent5 3 2 4 2 4" xfId="25976"/>
    <cellStyle name="40% - Accent5 3 2 4 2 4 2" xfId="25977"/>
    <cellStyle name="40% - Accent5 3 2 4 2 4 2 2" xfId="25978"/>
    <cellStyle name="40% - Accent5 3 2 4 2 4 2 2 2" xfId="25979"/>
    <cellStyle name="40% - Accent5 3 2 4 2 4 2 3" xfId="25980"/>
    <cellStyle name="40% - Accent5 3 2 4 2 4 3" xfId="25981"/>
    <cellStyle name="40% - Accent5 3 2 4 2 4 3 2" xfId="25982"/>
    <cellStyle name="40% - Accent5 3 2 4 2 4 4" xfId="25983"/>
    <cellStyle name="40% - Accent5 3 2 4 2 5" xfId="25984"/>
    <cellStyle name="40% - Accent5 3 2 4 2 5 2" xfId="25985"/>
    <cellStyle name="40% - Accent5 3 2 4 2 5 2 2" xfId="25986"/>
    <cellStyle name="40% - Accent5 3 2 4 2 5 3" xfId="25987"/>
    <cellStyle name="40% - Accent5 3 2 4 2 6" xfId="25988"/>
    <cellStyle name="40% - Accent5 3 2 4 2 6 2" xfId="25989"/>
    <cellStyle name="40% - Accent5 3 2 4 2 7" xfId="25990"/>
    <cellStyle name="40% - Accent5 3 2 4 2 7 2" xfId="25991"/>
    <cellStyle name="40% - Accent5 3 2 4 2 8" xfId="25992"/>
    <cellStyle name="40% - Accent5 3 2 4 3" xfId="25993"/>
    <cellStyle name="40% - Accent5 3 2 4 3 2" xfId="25994"/>
    <cellStyle name="40% - Accent5 3 2 4 3 2 2" xfId="25995"/>
    <cellStyle name="40% - Accent5 3 2 4 3 2 2 2" xfId="25996"/>
    <cellStyle name="40% - Accent5 3 2 4 3 2 2 2 2" xfId="25997"/>
    <cellStyle name="40% - Accent5 3 2 4 3 2 2 2 2 2" xfId="25998"/>
    <cellStyle name="40% - Accent5 3 2 4 3 2 2 2 3" xfId="25999"/>
    <cellStyle name="40% - Accent5 3 2 4 3 2 2 3" xfId="26000"/>
    <cellStyle name="40% - Accent5 3 2 4 3 2 2 3 2" xfId="26001"/>
    <cellStyle name="40% - Accent5 3 2 4 3 2 2 4" xfId="26002"/>
    <cellStyle name="40% - Accent5 3 2 4 3 2 3" xfId="26003"/>
    <cellStyle name="40% - Accent5 3 2 4 3 2 3 2" xfId="26004"/>
    <cellStyle name="40% - Accent5 3 2 4 3 2 3 2 2" xfId="26005"/>
    <cellStyle name="40% - Accent5 3 2 4 3 2 3 3" xfId="26006"/>
    <cellStyle name="40% - Accent5 3 2 4 3 2 4" xfId="26007"/>
    <cellStyle name="40% - Accent5 3 2 4 3 2 4 2" xfId="26008"/>
    <cellStyle name="40% - Accent5 3 2 4 3 2 5" xfId="26009"/>
    <cellStyle name="40% - Accent5 3 2 4 3 2 5 2" xfId="26010"/>
    <cellStyle name="40% - Accent5 3 2 4 3 2 6" xfId="26011"/>
    <cellStyle name="40% - Accent5 3 2 4 3 3" xfId="26012"/>
    <cellStyle name="40% - Accent5 3 2 4 3 3 2" xfId="26013"/>
    <cellStyle name="40% - Accent5 3 2 4 3 3 2 2" xfId="26014"/>
    <cellStyle name="40% - Accent5 3 2 4 3 3 2 2 2" xfId="26015"/>
    <cellStyle name="40% - Accent5 3 2 4 3 3 2 2 2 2" xfId="26016"/>
    <cellStyle name="40% - Accent5 3 2 4 3 3 2 2 3" xfId="26017"/>
    <cellStyle name="40% - Accent5 3 2 4 3 3 2 3" xfId="26018"/>
    <cellStyle name="40% - Accent5 3 2 4 3 3 2 3 2" xfId="26019"/>
    <cellStyle name="40% - Accent5 3 2 4 3 3 2 4" xfId="26020"/>
    <cellStyle name="40% - Accent5 3 2 4 3 3 3" xfId="26021"/>
    <cellStyle name="40% - Accent5 3 2 4 3 3 3 2" xfId="26022"/>
    <cellStyle name="40% - Accent5 3 2 4 3 3 3 2 2" xfId="26023"/>
    <cellStyle name="40% - Accent5 3 2 4 3 3 3 3" xfId="26024"/>
    <cellStyle name="40% - Accent5 3 2 4 3 3 4" xfId="26025"/>
    <cellStyle name="40% - Accent5 3 2 4 3 3 4 2" xfId="26026"/>
    <cellStyle name="40% - Accent5 3 2 4 3 3 5" xfId="26027"/>
    <cellStyle name="40% - Accent5 3 2 4 3 3 5 2" xfId="26028"/>
    <cellStyle name="40% - Accent5 3 2 4 3 3 6" xfId="26029"/>
    <cellStyle name="40% - Accent5 3 2 4 3 4" xfId="26030"/>
    <cellStyle name="40% - Accent5 3 2 4 3 4 2" xfId="26031"/>
    <cellStyle name="40% - Accent5 3 2 4 3 4 2 2" xfId="26032"/>
    <cellStyle name="40% - Accent5 3 2 4 3 4 2 2 2" xfId="26033"/>
    <cellStyle name="40% - Accent5 3 2 4 3 4 2 3" xfId="26034"/>
    <cellStyle name="40% - Accent5 3 2 4 3 4 3" xfId="26035"/>
    <cellStyle name="40% - Accent5 3 2 4 3 4 3 2" xfId="26036"/>
    <cellStyle name="40% - Accent5 3 2 4 3 4 4" xfId="26037"/>
    <cellStyle name="40% - Accent5 3 2 4 3 5" xfId="26038"/>
    <cellStyle name="40% - Accent5 3 2 4 3 5 2" xfId="26039"/>
    <cellStyle name="40% - Accent5 3 2 4 3 5 2 2" xfId="26040"/>
    <cellStyle name="40% - Accent5 3 2 4 3 5 3" xfId="26041"/>
    <cellStyle name="40% - Accent5 3 2 4 3 6" xfId="26042"/>
    <cellStyle name="40% - Accent5 3 2 4 3 6 2" xfId="26043"/>
    <cellStyle name="40% - Accent5 3 2 4 3 7" xfId="26044"/>
    <cellStyle name="40% - Accent5 3 2 4 3 7 2" xfId="26045"/>
    <cellStyle name="40% - Accent5 3 2 4 3 8" xfId="26046"/>
    <cellStyle name="40% - Accent5 3 2 4 4" xfId="26047"/>
    <cellStyle name="40% - Accent5 3 2 4 4 2" xfId="26048"/>
    <cellStyle name="40% - Accent5 3 2 4 4 2 2" xfId="26049"/>
    <cellStyle name="40% - Accent5 3 2 4 4 2 2 2" xfId="26050"/>
    <cellStyle name="40% - Accent5 3 2 4 4 2 2 2 2" xfId="26051"/>
    <cellStyle name="40% - Accent5 3 2 4 4 2 2 3" xfId="26052"/>
    <cellStyle name="40% - Accent5 3 2 4 4 2 3" xfId="26053"/>
    <cellStyle name="40% - Accent5 3 2 4 4 2 3 2" xfId="26054"/>
    <cellStyle name="40% - Accent5 3 2 4 4 2 4" xfId="26055"/>
    <cellStyle name="40% - Accent5 3 2 4 4 3" xfId="26056"/>
    <cellStyle name="40% - Accent5 3 2 4 4 3 2" xfId="26057"/>
    <cellStyle name="40% - Accent5 3 2 4 4 3 2 2" xfId="26058"/>
    <cellStyle name="40% - Accent5 3 2 4 4 3 3" xfId="26059"/>
    <cellStyle name="40% - Accent5 3 2 4 4 4" xfId="26060"/>
    <cellStyle name="40% - Accent5 3 2 4 4 4 2" xfId="26061"/>
    <cellStyle name="40% - Accent5 3 2 4 4 5" xfId="26062"/>
    <cellStyle name="40% - Accent5 3 2 4 4 5 2" xfId="26063"/>
    <cellStyle name="40% - Accent5 3 2 4 4 6" xfId="26064"/>
    <cellStyle name="40% - Accent5 3 2 4 5" xfId="26065"/>
    <cellStyle name="40% - Accent5 3 2 4 5 2" xfId="26066"/>
    <cellStyle name="40% - Accent5 3 2 4 5 2 2" xfId="26067"/>
    <cellStyle name="40% - Accent5 3 2 4 5 2 2 2" xfId="26068"/>
    <cellStyle name="40% - Accent5 3 2 4 5 2 2 2 2" xfId="26069"/>
    <cellStyle name="40% - Accent5 3 2 4 5 2 2 3" xfId="26070"/>
    <cellStyle name="40% - Accent5 3 2 4 5 2 3" xfId="26071"/>
    <cellStyle name="40% - Accent5 3 2 4 5 2 3 2" xfId="26072"/>
    <cellStyle name="40% - Accent5 3 2 4 5 2 4" xfId="26073"/>
    <cellStyle name="40% - Accent5 3 2 4 5 3" xfId="26074"/>
    <cellStyle name="40% - Accent5 3 2 4 5 3 2" xfId="26075"/>
    <cellStyle name="40% - Accent5 3 2 4 5 3 2 2" xfId="26076"/>
    <cellStyle name="40% - Accent5 3 2 4 5 3 3" xfId="26077"/>
    <cellStyle name="40% - Accent5 3 2 4 5 4" xfId="26078"/>
    <cellStyle name="40% - Accent5 3 2 4 5 4 2" xfId="26079"/>
    <cellStyle name="40% - Accent5 3 2 4 5 5" xfId="26080"/>
    <cellStyle name="40% - Accent5 3 2 4 5 5 2" xfId="26081"/>
    <cellStyle name="40% - Accent5 3 2 4 5 6" xfId="26082"/>
    <cellStyle name="40% - Accent5 3 2 4 6" xfId="26083"/>
    <cellStyle name="40% - Accent5 3 2 4 6 2" xfId="26084"/>
    <cellStyle name="40% - Accent5 3 2 4 6 2 2" xfId="26085"/>
    <cellStyle name="40% - Accent5 3 2 4 6 2 2 2" xfId="26086"/>
    <cellStyle name="40% - Accent5 3 2 4 6 2 2 2 2" xfId="26087"/>
    <cellStyle name="40% - Accent5 3 2 4 6 2 2 3" xfId="26088"/>
    <cellStyle name="40% - Accent5 3 2 4 6 2 3" xfId="26089"/>
    <cellStyle name="40% - Accent5 3 2 4 6 2 3 2" xfId="26090"/>
    <cellStyle name="40% - Accent5 3 2 4 6 2 4" xfId="26091"/>
    <cellStyle name="40% - Accent5 3 2 4 6 3" xfId="26092"/>
    <cellStyle name="40% - Accent5 3 2 4 6 3 2" xfId="26093"/>
    <cellStyle name="40% - Accent5 3 2 4 6 3 2 2" xfId="26094"/>
    <cellStyle name="40% - Accent5 3 2 4 6 3 3" xfId="26095"/>
    <cellStyle name="40% - Accent5 3 2 4 6 4" xfId="26096"/>
    <cellStyle name="40% - Accent5 3 2 4 6 4 2" xfId="26097"/>
    <cellStyle name="40% - Accent5 3 2 4 6 5" xfId="26098"/>
    <cellStyle name="40% - Accent5 3 2 4 6 5 2" xfId="26099"/>
    <cellStyle name="40% - Accent5 3 2 4 6 6" xfId="26100"/>
    <cellStyle name="40% - Accent5 3 2 4 7" xfId="26101"/>
    <cellStyle name="40% - Accent5 3 2 4 7 2" xfId="26102"/>
    <cellStyle name="40% - Accent5 3 2 4 7 2 2" xfId="26103"/>
    <cellStyle name="40% - Accent5 3 2 4 7 2 2 2" xfId="26104"/>
    <cellStyle name="40% - Accent5 3 2 4 7 2 3" xfId="26105"/>
    <cellStyle name="40% - Accent5 3 2 4 7 3" xfId="26106"/>
    <cellStyle name="40% - Accent5 3 2 4 7 3 2" xfId="26107"/>
    <cellStyle name="40% - Accent5 3 2 4 7 4" xfId="26108"/>
    <cellStyle name="40% - Accent5 3 2 4 8" xfId="26109"/>
    <cellStyle name="40% - Accent5 3 2 4 8 2" xfId="26110"/>
    <cellStyle name="40% - Accent5 3 2 4 8 2 2" xfId="26111"/>
    <cellStyle name="40% - Accent5 3 2 4 8 3" xfId="26112"/>
    <cellStyle name="40% - Accent5 3 2 4 9" xfId="26113"/>
    <cellStyle name="40% - Accent5 3 2 4 9 2" xfId="26114"/>
    <cellStyle name="40% - Accent5 3 2 5" xfId="26115"/>
    <cellStyle name="40% - Accent5 3 2 5 2" xfId="26116"/>
    <cellStyle name="40% - Accent5 3 2 5 2 2" xfId="26117"/>
    <cellStyle name="40% - Accent5 3 2 5 2 2 2" xfId="26118"/>
    <cellStyle name="40% - Accent5 3 2 5 2 2 2 2" xfId="26119"/>
    <cellStyle name="40% - Accent5 3 2 5 2 2 2 2 2" xfId="26120"/>
    <cellStyle name="40% - Accent5 3 2 5 2 2 2 3" xfId="26121"/>
    <cellStyle name="40% - Accent5 3 2 5 2 2 3" xfId="26122"/>
    <cellStyle name="40% - Accent5 3 2 5 2 2 3 2" xfId="26123"/>
    <cellStyle name="40% - Accent5 3 2 5 2 2 4" xfId="26124"/>
    <cellStyle name="40% - Accent5 3 2 5 2 3" xfId="26125"/>
    <cellStyle name="40% - Accent5 3 2 5 2 3 2" xfId="26126"/>
    <cellStyle name="40% - Accent5 3 2 5 2 3 2 2" xfId="26127"/>
    <cellStyle name="40% - Accent5 3 2 5 2 3 3" xfId="26128"/>
    <cellStyle name="40% - Accent5 3 2 5 2 4" xfId="26129"/>
    <cellStyle name="40% - Accent5 3 2 5 2 4 2" xfId="26130"/>
    <cellStyle name="40% - Accent5 3 2 5 2 5" xfId="26131"/>
    <cellStyle name="40% - Accent5 3 2 5 2 5 2" xfId="26132"/>
    <cellStyle name="40% - Accent5 3 2 5 2 6" xfId="26133"/>
    <cellStyle name="40% - Accent5 3 2 5 3" xfId="26134"/>
    <cellStyle name="40% - Accent5 3 2 5 3 2" xfId="26135"/>
    <cellStyle name="40% - Accent5 3 2 5 3 2 2" xfId="26136"/>
    <cellStyle name="40% - Accent5 3 2 5 3 2 2 2" xfId="26137"/>
    <cellStyle name="40% - Accent5 3 2 5 3 2 2 2 2" xfId="26138"/>
    <cellStyle name="40% - Accent5 3 2 5 3 2 2 3" xfId="26139"/>
    <cellStyle name="40% - Accent5 3 2 5 3 2 3" xfId="26140"/>
    <cellStyle name="40% - Accent5 3 2 5 3 2 3 2" xfId="26141"/>
    <cellStyle name="40% - Accent5 3 2 5 3 2 4" xfId="26142"/>
    <cellStyle name="40% - Accent5 3 2 5 3 3" xfId="26143"/>
    <cellStyle name="40% - Accent5 3 2 5 3 3 2" xfId="26144"/>
    <cellStyle name="40% - Accent5 3 2 5 3 3 2 2" xfId="26145"/>
    <cellStyle name="40% - Accent5 3 2 5 3 3 3" xfId="26146"/>
    <cellStyle name="40% - Accent5 3 2 5 3 4" xfId="26147"/>
    <cellStyle name="40% - Accent5 3 2 5 3 4 2" xfId="26148"/>
    <cellStyle name="40% - Accent5 3 2 5 3 5" xfId="26149"/>
    <cellStyle name="40% - Accent5 3 2 5 3 5 2" xfId="26150"/>
    <cellStyle name="40% - Accent5 3 2 5 3 6" xfId="26151"/>
    <cellStyle name="40% - Accent5 3 2 5 4" xfId="26152"/>
    <cellStyle name="40% - Accent5 3 2 5 4 2" xfId="26153"/>
    <cellStyle name="40% - Accent5 3 2 5 4 2 2" xfId="26154"/>
    <cellStyle name="40% - Accent5 3 2 5 4 2 2 2" xfId="26155"/>
    <cellStyle name="40% - Accent5 3 2 5 4 2 3" xfId="26156"/>
    <cellStyle name="40% - Accent5 3 2 5 4 3" xfId="26157"/>
    <cellStyle name="40% - Accent5 3 2 5 4 3 2" xfId="26158"/>
    <cellStyle name="40% - Accent5 3 2 5 4 4" xfId="26159"/>
    <cellStyle name="40% - Accent5 3 2 5 5" xfId="26160"/>
    <cellStyle name="40% - Accent5 3 2 5 5 2" xfId="26161"/>
    <cellStyle name="40% - Accent5 3 2 5 5 2 2" xfId="26162"/>
    <cellStyle name="40% - Accent5 3 2 5 5 3" xfId="26163"/>
    <cellStyle name="40% - Accent5 3 2 5 6" xfId="26164"/>
    <cellStyle name="40% - Accent5 3 2 5 6 2" xfId="26165"/>
    <cellStyle name="40% - Accent5 3 2 5 7" xfId="26166"/>
    <cellStyle name="40% - Accent5 3 2 5 7 2" xfId="26167"/>
    <cellStyle name="40% - Accent5 3 2 5 8" xfId="26168"/>
    <cellStyle name="40% - Accent5 3 2 6" xfId="26169"/>
    <cellStyle name="40% - Accent5 3 2 6 2" xfId="26170"/>
    <cellStyle name="40% - Accent5 3 2 6 2 2" xfId="26171"/>
    <cellStyle name="40% - Accent5 3 2 6 2 2 2" xfId="26172"/>
    <cellStyle name="40% - Accent5 3 2 6 2 2 2 2" xfId="26173"/>
    <cellStyle name="40% - Accent5 3 2 6 2 2 2 2 2" xfId="26174"/>
    <cellStyle name="40% - Accent5 3 2 6 2 2 2 3" xfId="26175"/>
    <cellStyle name="40% - Accent5 3 2 6 2 2 3" xfId="26176"/>
    <cellStyle name="40% - Accent5 3 2 6 2 2 3 2" xfId="26177"/>
    <cellStyle name="40% - Accent5 3 2 6 2 2 4" xfId="26178"/>
    <cellStyle name="40% - Accent5 3 2 6 2 3" xfId="26179"/>
    <cellStyle name="40% - Accent5 3 2 6 2 3 2" xfId="26180"/>
    <cellStyle name="40% - Accent5 3 2 6 2 3 2 2" xfId="26181"/>
    <cellStyle name="40% - Accent5 3 2 6 2 3 3" xfId="26182"/>
    <cellStyle name="40% - Accent5 3 2 6 2 4" xfId="26183"/>
    <cellStyle name="40% - Accent5 3 2 6 2 4 2" xfId="26184"/>
    <cellStyle name="40% - Accent5 3 2 6 2 5" xfId="26185"/>
    <cellStyle name="40% - Accent5 3 2 6 2 5 2" xfId="26186"/>
    <cellStyle name="40% - Accent5 3 2 6 2 6" xfId="26187"/>
    <cellStyle name="40% - Accent5 3 2 6 3" xfId="26188"/>
    <cellStyle name="40% - Accent5 3 2 6 3 2" xfId="26189"/>
    <cellStyle name="40% - Accent5 3 2 6 3 2 2" xfId="26190"/>
    <cellStyle name="40% - Accent5 3 2 6 3 2 2 2" xfId="26191"/>
    <cellStyle name="40% - Accent5 3 2 6 3 2 2 2 2" xfId="26192"/>
    <cellStyle name="40% - Accent5 3 2 6 3 2 2 3" xfId="26193"/>
    <cellStyle name="40% - Accent5 3 2 6 3 2 3" xfId="26194"/>
    <cellStyle name="40% - Accent5 3 2 6 3 2 3 2" xfId="26195"/>
    <cellStyle name="40% - Accent5 3 2 6 3 2 4" xfId="26196"/>
    <cellStyle name="40% - Accent5 3 2 6 3 3" xfId="26197"/>
    <cellStyle name="40% - Accent5 3 2 6 3 3 2" xfId="26198"/>
    <cellStyle name="40% - Accent5 3 2 6 3 3 2 2" xfId="26199"/>
    <cellStyle name="40% - Accent5 3 2 6 3 3 3" xfId="26200"/>
    <cellStyle name="40% - Accent5 3 2 6 3 4" xfId="26201"/>
    <cellStyle name="40% - Accent5 3 2 6 3 4 2" xfId="26202"/>
    <cellStyle name="40% - Accent5 3 2 6 3 5" xfId="26203"/>
    <cellStyle name="40% - Accent5 3 2 6 3 5 2" xfId="26204"/>
    <cellStyle name="40% - Accent5 3 2 6 3 6" xfId="26205"/>
    <cellStyle name="40% - Accent5 3 2 6 4" xfId="26206"/>
    <cellStyle name="40% - Accent5 3 2 6 4 2" xfId="26207"/>
    <cellStyle name="40% - Accent5 3 2 6 4 2 2" xfId="26208"/>
    <cellStyle name="40% - Accent5 3 2 6 4 2 2 2" xfId="26209"/>
    <cellStyle name="40% - Accent5 3 2 6 4 2 3" xfId="26210"/>
    <cellStyle name="40% - Accent5 3 2 6 4 3" xfId="26211"/>
    <cellStyle name="40% - Accent5 3 2 6 4 3 2" xfId="26212"/>
    <cellStyle name="40% - Accent5 3 2 6 4 4" xfId="26213"/>
    <cellStyle name="40% - Accent5 3 2 6 5" xfId="26214"/>
    <cellStyle name="40% - Accent5 3 2 6 5 2" xfId="26215"/>
    <cellStyle name="40% - Accent5 3 2 6 5 2 2" xfId="26216"/>
    <cellStyle name="40% - Accent5 3 2 6 5 3" xfId="26217"/>
    <cellStyle name="40% - Accent5 3 2 6 6" xfId="26218"/>
    <cellStyle name="40% - Accent5 3 2 6 6 2" xfId="26219"/>
    <cellStyle name="40% - Accent5 3 2 6 7" xfId="26220"/>
    <cellStyle name="40% - Accent5 3 2 6 7 2" xfId="26221"/>
    <cellStyle name="40% - Accent5 3 2 6 8" xfId="26222"/>
    <cellStyle name="40% - Accent5 3 2 7" xfId="26223"/>
    <cellStyle name="40% - Accent5 3 2 7 2" xfId="26224"/>
    <cellStyle name="40% - Accent5 3 2 7 2 2" xfId="26225"/>
    <cellStyle name="40% - Accent5 3 2 7 2 2 2" xfId="26226"/>
    <cellStyle name="40% - Accent5 3 2 7 2 2 2 2" xfId="26227"/>
    <cellStyle name="40% - Accent5 3 2 7 2 2 3" xfId="26228"/>
    <cellStyle name="40% - Accent5 3 2 7 2 3" xfId="26229"/>
    <cellStyle name="40% - Accent5 3 2 7 2 3 2" xfId="26230"/>
    <cellStyle name="40% - Accent5 3 2 7 2 4" xfId="26231"/>
    <cellStyle name="40% - Accent5 3 2 7 3" xfId="26232"/>
    <cellStyle name="40% - Accent5 3 2 7 3 2" xfId="26233"/>
    <cellStyle name="40% - Accent5 3 2 7 3 2 2" xfId="26234"/>
    <cellStyle name="40% - Accent5 3 2 7 3 3" xfId="26235"/>
    <cellStyle name="40% - Accent5 3 2 7 4" xfId="26236"/>
    <cellStyle name="40% - Accent5 3 2 7 4 2" xfId="26237"/>
    <cellStyle name="40% - Accent5 3 2 7 5" xfId="26238"/>
    <cellStyle name="40% - Accent5 3 2 7 5 2" xfId="26239"/>
    <cellStyle name="40% - Accent5 3 2 7 6" xfId="26240"/>
    <cellStyle name="40% - Accent5 3 2 8" xfId="26241"/>
    <cellStyle name="40% - Accent5 3 2 8 2" xfId="26242"/>
    <cellStyle name="40% - Accent5 3 2 8 2 2" xfId="26243"/>
    <cellStyle name="40% - Accent5 3 2 8 2 2 2" xfId="26244"/>
    <cellStyle name="40% - Accent5 3 2 8 2 2 2 2" xfId="26245"/>
    <cellStyle name="40% - Accent5 3 2 8 2 2 3" xfId="26246"/>
    <cellStyle name="40% - Accent5 3 2 8 2 3" xfId="26247"/>
    <cellStyle name="40% - Accent5 3 2 8 2 3 2" xfId="26248"/>
    <cellStyle name="40% - Accent5 3 2 8 2 4" xfId="26249"/>
    <cellStyle name="40% - Accent5 3 2 8 3" xfId="26250"/>
    <cellStyle name="40% - Accent5 3 2 8 3 2" xfId="26251"/>
    <cellStyle name="40% - Accent5 3 2 8 3 2 2" xfId="26252"/>
    <cellStyle name="40% - Accent5 3 2 8 3 3" xfId="26253"/>
    <cellStyle name="40% - Accent5 3 2 8 4" xfId="26254"/>
    <cellStyle name="40% - Accent5 3 2 8 4 2" xfId="26255"/>
    <cellStyle name="40% - Accent5 3 2 8 5" xfId="26256"/>
    <cellStyle name="40% - Accent5 3 2 8 5 2" xfId="26257"/>
    <cellStyle name="40% - Accent5 3 2 8 6" xfId="26258"/>
    <cellStyle name="40% - Accent5 3 2 9" xfId="26259"/>
    <cellStyle name="40% - Accent5 3 2 9 2" xfId="26260"/>
    <cellStyle name="40% - Accent5 3 2 9 2 2" xfId="26261"/>
    <cellStyle name="40% - Accent5 3 2 9 2 2 2" xfId="26262"/>
    <cellStyle name="40% - Accent5 3 2 9 2 2 2 2" xfId="26263"/>
    <cellStyle name="40% - Accent5 3 2 9 2 2 3" xfId="26264"/>
    <cellStyle name="40% - Accent5 3 2 9 2 3" xfId="26265"/>
    <cellStyle name="40% - Accent5 3 2 9 2 3 2" xfId="26266"/>
    <cellStyle name="40% - Accent5 3 2 9 2 4" xfId="26267"/>
    <cellStyle name="40% - Accent5 3 2 9 3" xfId="26268"/>
    <cellStyle name="40% - Accent5 3 2 9 3 2" xfId="26269"/>
    <cellStyle name="40% - Accent5 3 2 9 3 2 2" xfId="26270"/>
    <cellStyle name="40% - Accent5 3 2 9 3 3" xfId="26271"/>
    <cellStyle name="40% - Accent5 3 2 9 4" xfId="26272"/>
    <cellStyle name="40% - Accent5 3 2 9 4 2" xfId="26273"/>
    <cellStyle name="40% - Accent5 3 2 9 5" xfId="26274"/>
    <cellStyle name="40% - Accent5 3 2 9 5 2" xfId="26275"/>
    <cellStyle name="40% - Accent5 3 2 9 6" xfId="26276"/>
    <cellStyle name="40% - Accent5 3 3" xfId="26277"/>
    <cellStyle name="40% - Accent5 3 3 10" xfId="26278"/>
    <cellStyle name="40% - Accent5 3 3 10 2" xfId="26279"/>
    <cellStyle name="40% - Accent5 3 3 11" xfId="26280"/>
    <cellStyle name="40% - Accent5 3 3 2" xfId="26281"/>
    <cellStyle name="40% - Accent5 3 3 2 2" xfId="26282"/>
    <cellStyle name="40% - Accent5 3 3 2 2 2" xfId="26283"/>
    <cellStyle name="40% - Accent5 3 3 2 2 2 2" xfId="26284"/>
    <cellStyle name="40% - Accent5 3 3 2 2 2 2 2" xfId="26285"/>
    <cellStyle name="40% - Accent5 3 3 2 2 2 2 2 2" xfId="26286"/>
    <cellStyle name="40% - Accent5 3 3 2 2 2 2 3" xfId="26287"/>
    <cellStyle name="40% - Accent5 3 3 2 2 2 3" xfId="26288"/>
    <cellStyle name="40% - Accent5 3 3 2 2 2 3 2" xfId="26289"/>
    <cellStyle name="40% - Accent5 3 3 2 2 2 4" xfId="26290"/>
    <cellStyle name="40% - Accent5 3 3 2 2 3" xfId="26291"/>
    <cellStyle name="40% - Accent5 3 3 2 2 3 2" xfId="26292"/>
    <cellStyle name="40% - Accent5 3 3 2 2 3 2 2" xfId="26293"/>
    <cellStyle name="40% - Accent5 3 3 2 2 3 3" xfId="26294"/>
    <cellStyle name="40% - Accent5 3 3 2 2 4" xfId="26295"/>
    <cellStyle name="40% - Accent5 3 3 2 2 4 2" xfId="26296"/>
    <cellStyle name="40% - Accent5 3 3 2 2 5" xfId="26297"/>
    <cellStyle name="40% - Accent5 3 3 2 2 5 2" xfId="26298"/>
    <cellStyle name="40% - Accent5 3 3 2 2 6" xfId="26299"/>
    <cellStyle name="40% - Accent5 3 3 2 3" xfId="26300"/>
    <cellStyle name="40% - Accent5 3 3 2 3 2" xfId="26301"/>
    <cellStyle name="40% - Accent5 3 3 2 3 2 2" xfId="26302"/>
    <cellStyle name="40% - Accent5 3 3 2 3 2 2 2" xfId="26303"/>
    <cellStyle name="40% - Accent5 3 3 2 3 2 2 2 2" xfId="26304"/>
    <cellStyle name="40% - Accent5 3 3 2 3 2 2 3" xfId="26305"/>
    <cellStyle name="40% - Accent5 3 3 2 3 2 3" xfId="26306"/>
    <cellStyle name="40% - Accent5 3 3 2 3 2 3 2" xfId="26307"/>
    <cellStyle name="40% - Accent5 3 3 2 3 2 4" xfId="26308"/>
    <cellStyle name="40% - Accent5 3 3 2 3 3" xfId="26309"/>
    <cellStyle name="40% - Accent5 3 3 2 3 3 2" xfId="26310"/>
    <cellStyle name="40% - Accent5 3 3 2 3 3 2 2" xfId="26311"/>
    <cellStyle name="40% - Accent5 3 3 2 3 3 3" xfId="26312"/>
    <cellStyle name="40% - Accent5 3 3 2 3 4" xfId="26313"/>
    <cellStyle name="40% - Accent5 3 3 2 3 4 2" xfId="26314"/>
    <cellStyle name="40% - Accent5 3 3 2 3 5" xfId="26315"/>
    <cellStyle name="40% - Accent5 3 3 2 3 5 2" xfId="26316"/>
    <cellStyle name="40% - Accent5 3 3 2 3 6" xfId="26317"/>
    <cellStyle name="40% - Accent5 3 3 2 4" xfId="26318"/>
    <cellStyle name="40% - Accent5 3 3 2 4 2" xfId="26319"/>
    <cellStyle name="40% - Accent5 3 3 2 4 2 2" xfId="26320"/>
    <cellStyle name="40% - Accent5 3 3 2 4 2 2 2" xfId="26321"/>
    <cellStyle name="40% - Accent5 3 3 2 4 2 3" xfId="26322"/>
    <cellStyle name="40% - Accent5 3 3 2 4 3" xfId="26323"/>
    <cellStyle name="40% - Accent5 3 3 2 4 3 2" xfId="26324"/>
    <cellStyle name="40% - Accent5 3 3 2 4 4" xfId="26325"/>
    <cellStyle name="40% - Accent5 3 3 2 5" xfId="26326"/>
    <cellStyle name="40% - Accent5 3 3 2 5 2" xfId="26327"/>
    <cellStyle name="40% - Accent5 3 3 2 5 2 2" xfId="26328"/>
    <cellStyle name="40% - Accent5 3 3 2 5 3" xfId="26329"/>
    <cellStyle name="40% - Accent5 3 3 2 6" xfId="26330"/>
    <cellStyle name="40% - Accent5 3 3 2 6 2" xfId="26331"/>
    <cellStyle name="40% - Accent5 3 3 2 7" xfId="26332"/>
    <cellStyle name="40% - Accent5 3 3 2 7 2" xfId="26333"/>
    <cellStyle name="40% - Accent5 3 3 2 8" xfId="26334"/>
    <cellStyle name="40% - Accent5 3 3 3" xfId="26335"/>
    <cellStyle name="40% - Accent5 3 3 3 2" xfId="26336"/>
    <cellStyle name="40% - Accent5 3 3 3 2 2" xfId="26337"/>
    <cellStyle name="40% - Accent5 3 3 3 2 2 2" xfId="26338"/>
    <cellStyle name="40% - Accent5 3 3 3 2 2 2 2" xfId="26339"/>
    <cellStyle name="40% - Accent5 3 3 3 2 2 2 2 2" xfId="26340"/>
    <cellStyle name="40% - Accent5 3 3 3 2 2 2 3" xfId="26341"/>
    <cellStyle name="40% - Accent5 3 3 3 2 2 3" xfId="26342"/>
    <cellStyle name="40% - Accent5 3 3 3 2 2 3 2" xfId="26343"/>
    <cellStyle name="40% - Accent5 3 3 3 2 2 4" xfId="26344"/>
    <cellStyle name="40% - Accent5 3 3 3 2 3" xfId="26345"/>
    <cellStyle name="40% - Accent5 3 3 3 2 3 2" xfId="26346"/>
    <cellStyle name="40% - Accent5 3 3 3 2 3 2 2" xfId="26347"/>
    <cellStyle name="40% - Accent5 3 3 3 2 3 3" xfId="26348"/>
    <cellStyle name="40% - Accent5 3 3 3 2 4" xfId="26349"/>
    <cellStyle name="40% - Accent5 3 3 3 2 4 2" xfId="26350"/>
    <cellStyle name="40% - Accent5 3 3 3 2 5" xfId="26351"/>
    <cellStyle name="40% - Accent5 3 3 3 2 5 2" xfId="26352"/>
    <cellStyle name="40% - Accent5 3 3 3 2 6" xfId="26353"/>
    <cellStyle name="40% - Accent5 3 3 3 3" xfId="26354"/>
    <cellStyle name="40% - Accent5 3 3 3 3 2" xfId="26355"/>
    <cellStyle name="40% - Accent5 3 3 3 3 2 2" xfId="26356"/>
    <cellStyle name="40% - Accent5 3 3 3 3 2 2 2" xfId="26357"/>
    <cellStyle name="40% - Accent5 3 3 3 3 2 2 2 2" xfId="26358"/>
    <cellStyle name="40% - Accent5 3 3 3 3 2 2 3" xfId="26359"/>
    <cellStyle name="40% - Accent5 3 3 3 3 2 3" xfId="26360"/>
    <cellStyle name="40% - Accent5 3 3 3 3 2 3 2" xfId="26361"/>
    <cellStyle name="40% - Accent5 3 3 3 3 2 4" xfId="26362"/>
    <cellStyle name="40% - Accent5 3 3 3 3 3" xfId="26363"/>
    <cellStyle name="40% - Accent5 3 3 3 3 3 2" xfId="26364"/>
    <cellStyle name="40% - Accent5 3 3 3 3 3 2 2" xfId="26365"/>
    <cellStyle name="40% - Accent5 3 3 3 3 3 3" xfId="26366"/>
    <cellStyle name="40% - Accent5 3 3 3 3 4" xfId="26367"/>
    <cellStyle name="40% - Accent5 3 3 3 3 4 2" xfId="26368"/>
    <cellStyle name="40% - Accent5 3 3 3 3 5" xfId="26369"/>
    <cellStyle name="40% - Accent5 3 3 3 3 5 2" xfId="26370"/>
    <cellStyle name="40% - Accent5 3 3 3 3 6" xfId="26371"/>
    <cellStyle name="40% - Accent5 3 3 3 4" xfId="26372"/>
    <cellStyle name="40% - Accent5 3 3 3 4 2" xfId="26373"/>
    <cellStyle name="40% - Accent5 3 3 3 4 2 2" xfId="26374"/>
    <cellStyle name="40% - Accent5 3 3 3 4 2 2 2" xfId="26375"/>
    <cellStyle name="40% - Accent5 3 3 3 4 2 3" xfId="26376"/>
    <cellStyle name="40% - Accent5 3 3 3 4 3" xfId="26377"/>
    <cellStyle name="40% - Accent5 3 3 3 4 3 2" xfId="26378"/>
    <cellStyle name="40% - Accent5 3 3 3 4 4" xfId="26379"/>
    <cellStyle name="40% - Accent5 3 3 3 5" xfId="26380"/>
    <cellStyle name="40% - Accent5 3 3 3 5 2" xfId="26381"/>
    <cellStyle name="40% - Accent5 3 3 3 5 2 2" xfId="26382"/>
    <cellStyle name="40% - Accent5 3 3 3 5 3" xfId="26383"/>
    <cellStyle name="40% - Accent5 3 3 3 6" xfId="26384"/>
    <cellStyle name="40% - Accent5 3 3 3 6 2" xfId="26385"/>
    <cellStyle name="40% - Accent5 3 3 3 7" xfId="26386"/>
    <cellStyle name="40% - Accent5 3 3 3 7 2" xfId="26387"/>
    <cellStyle name="40% - Accent5 3 3 3 8" xfId="26388"/>
    <cellStyle name="40% - Accent5 3 3 4" xfId="26389"/>
    <cellStyle name="40% - Accent5 3 3 4 2" xfId="26390"/>
    <cellStyle name="40% - Accent5 3 3 4 2 2" xfId="26391"/>
    <cellStyle name="40% - Accent5 3 3 4 2 2 2" xfId="26392"/>
    <cellStyle name="40% - Accent5 3 3 4 2 2 2 2" xfId="26393"/>
    <cellStyle name="40% - Accent5 3 3 4 2 2 3" xfId="26394"/>
    <cellStyle name="40% - Accent5 3 3 4 2 3" xfId="26395"/>
    <cellStyle name="40% - Accent5 3 3 4 2 3 2" xfId="26396"/>
    <cellStyle name="40% - Accent5 3 3 4 2 4" xfId="26397"/>
    <cellStyle name="40% - Accent5 3 3 4 3" xfId="26398"/>
    <cellStyle name="40% - Accent5 3 3 4 3 2" xfId="26399"/>
    <cellStyle name="40% - Accent5 3 3 4 3 2 2" xfId="26400"/>
    <cellStyle name="40% - Accent5 3 3 4 3 3" xfId="26401"/>
    <cellStyle name="40% - Accent5 3 3 4 4" xfId="26402"/>
    <cellStyle name="40% - Accent5 3 3 4 4 2" xfId="26403"/>
    <cellStyle name="40% - Accent5 3 3 4 5" xfId="26404"/>
    <cellStyle name="40% - Accent5 3 3 4 5 2" xfId="26405"/>
    <cellStyle name="40% - Accent5 3 3 4 6" xfId="26406"/>
    <cellStyle name="40% - Accent5 3 3 5" xfId="26407"/>
    <cellStyle name="40% - Accent5 3 3 5 2" xfId="26408"/>
    <cellStyle name="40% - Accent5 3 3 5 2 2" xfId="26409"/>
    <cellStyle name="40% - Accent5 3 3 5 2 2 2" xfId="26410"/>
    <cellStyle name="40% - Accent5 3 3 5 2 2 2 2" xfId="26411"/>
    <cellStyle name="40% - Accent5 3 3 5 2 2 3" xfId="26412"/>
    <cellStyle name="40% - Accent5 3 3 5 2 3" xfId="26413"/>
    <cellStyle name="40% - Accent5 3 3 5 2 3 2" xfId="26414"/>
    <cellStyle name="40% - Accent5 3 3 5 2 4" xfId="26415"/>
    <cellStyle name="40% - Accent5 3 3 5 3" xfId="26416"/>
    <cellStyle name="40% - Accent5 3 3 5 3 2" xfId="26417"/>
    <cellStyle name="40% - Accent5 3 3 5 3 2 2" xfId="26418"/>
    <cellStyle name="40% - Accent5 3 3 5 3 3" xfId="26419"/>
    <cellStyle name="40% - Accent5 3 3 5 4" xfId="26420"/>
    <cellStyle name="40% - Accent5 3 3 5 4 2" xfId="26421"/>
    <cellStyle name="40% - Accent5 3 3 5 5" xfId="26422"/>
    <cellStyle name="40% - Accent5 3 3 5 5 2" xfId="26423"/>
    <cellStyle name="40% - Accent5 3 3 5 6" xfId="26424"/>
    <cellStyle name="40% - Accent5 3 3 6" xfId="26425"/>
    <cellStyle name="40% - Accent5 3 3 6 2" xfId="26426"/>
    <cellStyle name="40% - Accent5 3 3 6 2 2" xfId="26427"/>
    <cellStyle name="40% - Accent5 3 3 6 2 2 2" xfId="26428"/>
    <cellStyle name="40% - Accent5 3 3 6 2 2 2 2" xfId="26429"/>
    <cellStyle name="40% - Accent5 3 3 6 2 2 3" xfId="26430"/>
    <cellStyle name="40% - Accent5 3 3 6 2 3" xfId="26431"/>
    <cellStyle name="40% - Accent5 3 3 6 2 3 2" xfId="26432"/>
    <cellStyle name="40% - Accent5 3 3 6 2 4" xfId="26433"/>
    <cellStyle name="40% - Accent5 3 3 6 3" xfId="26434"/>
    <cellStyle name="40% - Accent5 3 3 6 3 2" xfId="26435"/>
    <cellStyle name="40% - Accent5 3 3 6 3 2 2" xfId="26436"/>
    <cellStyle name="40% - Accent5 3 3 6 3 3" xfId="26437"/>
    <cellStyle name="40% - Accent5 3 3 6 4" xfId="26438"/>
    <cellStyle name="40% - Accent5 3 3 6 4 2" xfId="26439"/>
    <cellStyle name="40% - Accent5 3 3 6 5" xfId="26440"/>
    <cellStyle name="40% - Accent5 3 3 6 5 2" xfId="26441"/>
    <cellStyle name="40% - Accent5 3 3 6 6" xfId="26442"/>
    <cellStyle name="40% - Accent5 3 3 7" xfId="26443"/>
    <cellStyle name="40% - Accent5 3 3 7 2" xfId="26444"/>
    <cellStyle name="40% - Accent5 3 3 7 2 2" xfId="26445"/>
    <cellStyle name="40% - Accent5 3 3 7 2 2 2" xfId="26446"/>
    <cellStyle name="40% - Accent5 3 3 7 2 3" xfId="26447"/>
    <cellStyle name="40% - Accent5 3 3 7 3" xfId="26448"/>
    <cellStyle name="40% - Accent5 3 3 7 3 2" xfId="26449"/>
    <cellStyle name="40% - Accent5 3 3 7 4" xfId="26450"/>
    <cellStyle name="40% - Accent5 3 3 8" xfId="26451"/>
    <cellStyle name="40% - Accent5 3 3 8 2" xfId="26452"/>
    <cellStyle name="40% - Accent5 3 3 8 2 2" xfId="26453"/>
    <cellStyle name="40% - Accent5 3 3 8 3" xfId="26454"/>
    <cellStyle name="40% - Accent5 3 3 9" xfId="26455"/>
    <cellStyle name="40% - Accent5 3 3 9 2" xfId="26456"/>
    <cellStyle name="40% - Accent5 3 4" xfId="26457"/>
    <cellStyle name="40% - Accent5 3 4 10" xfId="26458"/>
    <cellStyle name="40% - Accent5 3 4 10 2" xfId="26459"/>
    <cellStyle name="40% - Accent5 3 4 11" xfId="26460"/>
    <cellStyle name="40% - Accent5 3 4 2" xfId="26461"/>
    <cellStyle name="40% - Accent5 3 4 2 2" xfId="26462"/>
    <cellStyle name="40% - Accent5 3 4 2 2 2" xfId="26463"/>
    <cellStyle name="40% - Accent5 3 4 2 2 2 2" xfId="26464"/>
    <cellStyle name="40% - Accent5 3 4 2 2 2 2 2" xfId="26465"/>
    <cellStyle name="40% - Accent5 3 4 2 2 2 2 2 2" xfId="26466"/>
    <cellStyle name="40% - Accent5 3 4 2 2 2 2 3" xfId="26467"/>
    <cellStyle name="40% - Accent5 3 4 2 2 2 3" xfId="26468"/>
    <cellStyle name="40% - Accent5 3 4 2 2 2 3 2" xfId="26469"/>
    <cellStyle name="40% - Accent5 3 4 2 2 2 4" xfId="26470"/>
    <cellStyle name="40% - Accent5 3 4 2 2 3" xfId="26471"/>
    <cellStyle name="40% - Accent5 3 4 2 2 3 2" xfId="26472"/>
    <cellStyle name="40% - Accent5 3 4 2 2 3 2 2" xfId="26473"/>
    <cellStyle name="40% - Accent5 3 4 2 2 3 3" xfId="26474"/>
    <cellStyle name="40% - Accent5 3 4 2 2 4" xfId="26475"/>
    <cellStyle name="40% - Accent5 3 4 2 2 4 2" xfId="26476"/>
    <cellStyle name="40% - Accent5 3 4 2 2 5" xfId="26477"/>
    <cellStyle name="40% - Accent5 3 4 2 2 5 2" xfId="26478"/>
    <cellStyle name="40% - Accent5 3 4 2 2 6" xfId="26479"/>
    <cellStyle name="40% - Accent5 3 4 2 3" xfId="26480"/>
    <cellStyle name="40% - Accent5 3 4 2 3 2" xfId="26481"/>
    <cellStyle name="40% - Accent5 3 4 2 3 2 2" xfId="26482"/>
    <cellStyle name="40% - Accent5 3 4 2 3 2 2 2" xfId="26483"/>
    <cellStyle name="40% - Accent5 3 4 2 3 2 2 2 2" xfId="26484"/>
    <cellStyle name="40% - Accent5 3 4 2 3 2 2 3" xfId="26485"/>
    <cellStyle name="40% - Accent5 3 4 2 3 2 3" xfId="26486"/>
    <cellStyle name="40% - Accent5 3 4 2 3 2 3 2" xfId="26487"/>
    <cellStyle name="40% - Accent5 3 4 2 3 2 4" xfId="26488"/>
    <cellStyle name="40% - Accent5 3 4 2 3 3" xfId="26489"/>
    <cellStyle name="40% - Accent5 3 4 2 3 3 2" xfId="26490"/>
    <cellStyle name="40% - Accent5 3 4 2 3 3 2 2" xfId="26491"/>
    <cellStyle name="40% - Accent5 3 4 2 3 3 3" xfId="26492"/>
    <cellStyle name="40% - Accent5 3 4 2 3 4" xfId="26493"/>
    <cellStyle name="40% - Accent5 3 4 2 3 4 2" xfId="26494"/>
    <cellStyle name="40% - Accent5 3 4 2 3 5" xfId="26495"/>
    <cellStyle name="40% - Accent5 3 4 2 3 5 2" xfId="26496"/>
    <cellStyle name="40% - Accent5 3 4 2 3 6" xfId="26497"/>
    <cellStyle name="40% - Accent5 3 4 2 4" xfId="26498"/>
    <cellStyle name="40% - Accent5 3 4 2 4 2" xfId="26499"/>
    <cellStyle name="40% - Accent5 3 4 2 4 2 2" xfId="26500"/>
    <cellStyle name="40% - Accent5 3 4 2 4 2 2 2" xfId="26501"/>
    <cellStyle name="40% - Accent5 3 4 2 4 2 3" xfId="26502"/>
    <cellStyle name="40% - Accent5 3 4 2 4 3" xfId="26503"/>
    <cellStyle name="40% - Accent5 3 4 2 4 3 2" xfId="26504"/>
    <cellStyle name="40% - Accent5 3 4 2 4 4" xfId="26505"/>
    <cellStyle name="40% - Accent5 3 4 2 5" xfId="26506"/>
    <cellStyle name="40% - Accent5 3 4 2 5 2" xfId="26507"/>
    <cellStyle name="40% - Accent5 3 4 2 5 2 2" xfId="26508"/>
    <cellStyle name="40% - Accent5 3 4 2 5 3" xfId="26509"/>
    <cellStyle name="40% - Accent5 3 4 2 6" xfId="26510"/>
    <cellStyle name="40% - Accent5 3 4 2 6 2" xfId="26511"/>
    <cellStyle name="40% - Accent5 3 4 2 7" xfId="26512"/>
    <cellStyle name="40% - Accent5 3 4 2 7 2" xfId="26513"/>
    <cellStyle name="40% - Accent5 3 4 2 8" xfId="26514"/>
    <cellStyle name="40% - Accent5 3 4 3" xfId="26515"/>
    <cellStyle name="40% - Accent5 3 4 3 2" xfId="26516"/>
    <cellStyle name="40% - Accent5 3 4 3 2 2" xfId="26517"/>
    <cellStyle name="40% - Accent5 3 4 3 2 2 2" xfId="26518"/>
    <cellStyle name="40% - Accent5 3 4 3 2 2 2 2" xfId="26519"/>
    <cellStyle name="40% - Accent5 3 4 3 2 2 2 2 2" xfId="26520"/>
    <cellStyle name="40% - Accent5 3 4 3 2 2 2 3" xfId="26521"/>
    <cellStyle name="40% - Accent5 3 4 3 2 2 3" xfId="26522"/>
    <cellStyle name="40% - Accent5 3 4 3 2 2 3 2" xfId="26523"/>
    <cellStyle name="40% - Accent5 3 4 3 2 2 4" xfId="26524"/>
    <cellStyle name="40% - Accent5 3 4 3 2 3" xfId="26525"/>
    <cellStyle name="40% - Accent5 3 4 3 2 3 2" xfId="26526"/>
    <cellStyle name="40% - Accent5 3 4 3 2 3 2 2" xfId="26527"/>
    <cellStyle name="40% - Accent5 3 4 3 2 3 3" xfId="26528"/>
    <cellStyle name="40% - Accent5 3 4 3 2 4" xfId="26529"/>
    <cellStyle name="40% - Accent5 3 4 3 2 4 2" xfId="26530"/>
    <cellStyle name="40% - Accent5 3 4 3 2 5" xfId="26531"/>
    <cellStyle name="40% - Accent5 3 4 3 2 5 2" xfId="26532"/>
    <cellStyle name="40% - Accent5 3 4 3 2 6" xfId="26533"/>
    <cellStyle name="40% - Accent5 3 4 3 3" xfId="26534"/>
    <cellStyle name="40% - Accent5 3 4 3 3 2" xfId="26535"/>
    <cellStyle name="40% - Accent5 3 4 3 3 2 2" xfId="26536"/>
    <cellStyle name="40% - Accent5 3 4 3 3 2 2 2" xfId="26537"/>
    <cellStyle name="40% - Accent5 3 4 3 3 2 2 2 2" xfId="26538"/>
    <cellStyle name="40% - Accent5 3 4 3 3 2 2 3" xfId="26539"/>
    <cellStyle name="40% - Accent5 3 4 3 3 2 3" xfId="26540"/>
    <cellStyle name="40% - Accent5 3 4 3 3 2 3 2" xfId="26541"/>
    <cellStyle name="40% - Accent5 3 4 3 3 2 4" xfId="26542"/>
    <cellStyle name="40% - Accent5 3 4 3 3 3" xfId="26543"/>
    <cellStyle name="40% - Accent5 3 4 3 3 3 2" xfId="26544"/>
    <cellStyle name="40% - Accent5 3 4 3 3 3 2 2" xfId="26545"/>
    <cellStyle name="40% - Accent5 3 4 3 3 3 3" xfId="26546"/>
    <cellStyle name="40% - Accent5 3 4 3 3 4" xfId="26547"/>
    <cellStyle name="40% - Accent5 3 4 3 3 4 2" xfId="26548"/>
    <cellStyle name="40% - Accent5 3 4 3 3 5" xfId="26549"/>
    <cellStyle name="40% - Accent5 3 4 3 3 5 2" xfId="26550"/>
    <cellStyle name="40% - Accent5 3 4 3 3 6" xfId="26551"/>
    <cellStyle name="40% - Accent5 3 4 3 4" xfId="26552"/>
    <cellStyle name="40% - Accent5 3 4 3 4 2" xfId="26553"/>
    <cellStyle name="40% - Accent5 3 4 3 4 2 2" xfId="26554"/>
    <cellStyle name="40% - Accent5 3 4 3 4 2 2 2" xfId="26555"/>
    <cellStyle name="40% - Accent5 3 4 3 4 2 3" xfId="26556"/>
    <cellStyle name="40% - Accent5 3 4 3 4 3" xfId="26557"/>
    <cellStyle name="40% - Accent5 3 4 3 4 3 2" xfId="26558"/>
    <cellStyle name="40% - Accent5 3 4 3 4 4" xfId="26559"/>
    <cellStyle name="40% - Accent5 3 4 3 5" xfId="26560"/>
    <cellStyle name="40% - Accent5 3 4 3 5 2" xfId="26561"/>
    <cellStyle name="40% - Accent5 3 4 3 5 2 2" xfId="26562"/>
    <cellStyle name="40% - Accent5 3 4 3 5 3" xfId="26563"/>
    <cellStyle name="40% - Accent5 3 4 3 6" xfId="26564"/>
    <cellStyle name="40% - Accent5 3 4 3 6 2" xfId="26565"/>
    <cellStyle name="40% - Accent5 3 4 3 7" xfId="26566"/>
    <cellStyle name="40% - Accent5 3 4 3 7 2" xfId="26567"/>
    <cellStyle name="40% - Accent5 3 4 3 8" xfId="26568"/>
    <cellStyle name="40% - Accent5 3 4 4" xfId="26569"/>
    <cellStyle name="40% - Accent5 3 4 4 2" xfId="26570"/>
    <cellStyle name="40% - Accent5 3 4 4 2 2" xfId="26571"/>
    <cellStyle name="40% - Accent5 3 4 4 2 2 2" xfId="26572"/>
    <cellStyle name="40% - Accent5 3 4 4 2 2 2 2" xfId="26573"/>
    <cellStyle name="40% - Accent5 3 4 4 2 2 3" xfId="26574"/>
    <cellStyle name="40% - Accent5 3 4 4 2 3" xfId="26575"/>
    <cellStyle name="40% - Accent5 3 4 4 2 3 2" xfId="26576"/>
    <cellStyle name="40% - Accent5 3 4 4 2 4" xfId="26577"/>
    <cellStyle name="40% - Accent5 3 4 4 3" xfId="26578"/>
    <cellStyle name="40% - Accent5 3 4 4 3 2" xfId="26579"/>
    <cellStyle name="40% - Accent5 3 4 4 3 2 2" xfId="26580"/>
    <cellStyle name="40% - Accent5 3 4 4 3 3" xfId="26581"/>
    <cellStyle name="40% - Accent5 3 4 4 4" xfId="26582"/>
    <cellStyle name="40% - Accent5 3 4 4 4 2" xfId="26583"/>
    <cellStyle name="40% - Accent5 3 4 4 5" xfId="26584"/>
    <cellStyle name="40% - Accent5 3 4 4 5 2" xfId="26585"/>
    <cellStyle name="40% - Accent5 3 4 4 6" xfId="26586"/>
    <cellStyle name="40% - Accent5 3 4 5" xfId="26587"/>
    <cellStyle name="40% - Accent5 3 4 5 2" xfId="26588"/>
    <cellStyle name="40% - Accent5 3 4 5 2 2" xfId="26589"/>
    <cellStyle name="40% - Accent5 3 4 5 2 2 2" xfId="26590"/>
    <cellStyle name="40% - Accent5 3 4 5 2 2 2 2" xfId="26591"/>
    <cellStyle name="40% - Accent5 3 4 5 2 2 3" xfId="26592"/>
    <cellStyle name="40% - Accent5 3 4 5 2 3" xfId="26593"/>
    <cellStyle name="40% - Accent5 3 4 5 2 3 2" xfId="26594"/>
    <cellStyle name="40% - Accent5 3 4 5 2 4" xfId="26595"/>
    <cellStyle name="40% - Accent5 3 4 5 3" xfId="26596"/>
    <cellStyle name="40% - Accent5 3 4 5 3 2" xfId="26597"/>
    <cellStyle name="40% - Accent5 3 4 5 3 2 2" xfId="26598"/>
    <cellStyle name="40% - Accent5 3 4 5 3 3" xfId="26599"/>
    <cellStyle name="40% - Accent5 3 4 5 4" xfId="26600"/>
    <cellStyle name="40% - Accent5 3 4 5 4 2" xfId="26601"/>
    <cellStyle name="40% - Accent5 3 4 5 5" xfId="26602"/>
    <cellStyle name="40% - Accent5 3 4 5 5 2" xfId="26603"/>
    <cellStyle name="40% - Accent5 3 4 5 6" xfId="26604"/>
    <cellStyle name="40% - Accent5 3 4 6" xfId="26605"/>
    <cellStyle name="40% - Accent5 3 4 6 2" xfId="26606"/>
    <cellStyle name="40% - Accent5 3 4 6 2 2" xfId="26607"/>
    <cellStyle name="40% - Accent5 3 4 6 2 2 2" xfId="26608"/>
    <cellStyle name="40% - Accent5 3 4 6 2 2 2 2" xfId="26609"/>
    <cellStyle name="40% - Accent5 3 4 6 2 2 3" xfId="26610"/>
    <cellStyle name="40% - Accent5 3 4 6 2 3" xfId="26611"/>
    <cellStyle name="40% - Accent5 3 4 6 2 3 2" xfId="26612"/>
    <cellStyle name="40% - Accent5 3 4 6 2 4" xfId="26613"/>
    <cellStyle name="40% - Accent5 3 4 6 3" xfId="26614"/>
    <cellStyle name="40% - Accent5 3 4 6 3 2" xfId="26615"/>
    <cellStyle name="40% - Accent5 3 4 6 3 2 2" xfId="26616"/>
    <cellStyle name="40% - Accent5 3 4 6 3 3" xfId="26617"/>
    <cellStyle name="40% - Accent5 3 4 6 4" xfId="26618"/>
    <cellStyle name="40% - Accent5 3 4 6 4 2" xfId="26619"/>
    <cellStyle name="40% - Accent5 3 4 6 5" xfId="26620"/>
    <cellStyle name="40% - Accent5 3 4 6 5 2" xfId="26621"/>
    <cellStyle name="40% - Accent5 3 4 6 6" xfId="26622"/>
    <cellStyle name="40% - Accent5 3 4 7" xfId="26623"/>
    <cellStyle name="40% - Accent5 3 4 7 2" xfId="26624"/>
    <cellStyle name="40% - Accent5 3 4 7 2 2" xfId="26625"/>
    <cellStyle name="40% - Accent5 3 4 7 2 2 2" xfId="26626"/>
    <cellStyle name="40% - Accent5 3 4 7 2 3" xfId="26627"/>
    <cellStyle name="40% - Accent5 3 4 7 3" xfId="26628"/>
    <cellStyle name="40% - Accent5 3 4 7 3 2" xfId="26629"/>
    <cellStyle name="40% - Accent5 3 4 7 4" xfId="26630"/>
    <cellStyle name="40% - Accent5 3 4 8" xfId="26631"/>
    <cellStyle name="40% - Accent5 3 4 8 2" xfId="26632"/>
    <cellStyle name="40% - Accent5 3 4 8 2 2" xfId="26633"/>
    <cellStyle name="40% - Accent5 3 4 8 3" xfId="26634"/>
    <cellStyle name="40% - Accent5 3 4 9" xfId="26635"/>
    <cellStyle name="40% - Accent5 3 4 9 2" xfId="26636"/>
    <cellStyle name="40% - Accent5 3 5" xfId="26637"/>
    <cellStyle name="40% - Accent5 3 5 10" xfId="26638"/>
    <cellStyle name="40% - Accent5 3 5 10 2" xfId="26639"/>
    <cellStyle name="40% - Accent5 3 5 11" xfId="26640"/>
    <cellStyle name="40% - Accent5 3 5 2" xfId="26641"/>
    <cellStyle name="40% - Accent5 3 5 2 2" xfId="26642"/>
    <cellStyle name="40% - Accent5 3 5 2 2 2" xfId="26643"/>
    <cellStyle name="40% - Accent5 3 5 2 2 2 2" xfId="26644"/>
    <cellStyle name="40% - Accent5 3 5 2 2 2 2 2" xfId="26645"/>
    <cellStyle name="40% - Accent5 3 5 2 2 2 2 2 2" xfId="26646"/>
    <cellStyle name="40% - Accent5 3 5 2 2 2 2 3" xfId="26647"/>
    <cellStyle name="40% - Accent5 3 5 2 2 2 3" xfId="26648"/>
    <cellStyle name="40% - Accent5 3 5 2 2 2 3 2" xfId="26649"/>
    <cellStyle name="40% - Accent5 3 5 2 2 2 4" xfId="26650"/>
    <cellStyle name="40% - Accent5 3 5 2 2 3" xfId="26651"/>
    <cellStyle name="40% - Accent5 3 5 2 2 3 2" xfId="26652"/>
    <cellStyle name="40% - Accent5 3 5 2 2 3 2 2" xfId="26653"/>
    <cellStyle name="40% - Accent5 3 5 2 2 3 3" xfId="26654"/>
    <cellStyle name="40% - Accent5 3 5 2 2 4" xfId="26655"/>
    <cellStyle name="40% - Accent5 3 5 2 2 4 2" xfId="26656"/>
    <cellStyle name="40% - Accent5 3 5 2 2 5" xfId="26657"/>
    <cellStyle name="40% - Accent5 3 5 2 2 5 2" xfId="26658"/>
    <cellStyle name="40% - Accent5 3 5 2 2 6" xfId="26659"/>
    <cellStyle name="40% - Accent5 3 5 2 3" xfId="26660"/>
    <cellStyle name="40% - Accent5 3 5 2 3 2" xfId="26661"/>
    <cellStyle name="40% - Accent5 3 5 2 3 2 2" xfId="26662"/>
    <cellStyle name="40% - Accent5 3 5 2 3 2 2 2" xfId="26663"/>
    <cellStyle name="40% - Accent5 3 5 2 3 2 2 2 2" xfId="26664"/>
    <cellStyle name="40% - Accent5 3 5 2 3 2 2 3" xfId="26665"/>
    <cellStyle name="40% - Accent5 3 5 2 3 2 3" xfId="26666"/>
    <cellStyle name="40% - Accent5 3 5 2 3 2 3 2" xfId="26667"/>
    <cellStyle name="40% - Accent5 3 5 2 3 2 4" xfId="26668"/>
    <cellStyle name="40% - Accent5 3 5 2 3 3" xfId="26669"/>
    <cellStyle name="40% - Accent5 3 5 2 3 3 2" xfId="26670"/>
    <cellStyle name="40% - Accent5 3 5 2 3 3 2 2" xfId="26671"/>
    <cellStyle name="40% - Accent5 3 5 2 3 3 3" xfId="26672"/>
    <cellStyle name="40% - Accent5 3 5 2 3 4" xfId="26673"/>
    <cellStyle name="40% - Accent5 3 5 2 3 4 2" xfId="26674"/>
    <cellStyle name="40% - Accent5 3 5 2 3 5" xfId="26675"/>
    <cellStyle name="40% - Accent5 3 5 2 3 5 2" xfId="26676"/>
    <cellStyle name="40% - Accent5 3 5 2 3 6" xfId="26677"/>
    <cellStyle name="40% - Accent5 3 5 2 4" xfId="26678"/>
    <cellStyle name="40% - Accent5 3 5 2 4 2" xfId="26679"/>
    <cellStyle name="40% - Accent5 3 5 2 4 2 2" xfId="26680"/>
    <cellStyle name="40% - Accent5 3 5 2 4 2 2 2" xfId="26681"/>
    <cellStyle name="40% - Accent5 3 5 2 4 2 3" xfId="26682"/>
    <cellStyle name="40% - Accent5 3 5 2 4 3" xfId="26683"/>
    <cellStyle name="40% - Accent5 3 5 2 4 3 2" xfId="26684"/>
    <cellStyle name="40% - Accent5 3 5 2 4 4" xfId="26685"/>
    <cellStyle name="40% - Accent5 3 5 2 5" xfId="26686"/>
    <cellStyle name="40% - Accent5 3 5 2 5 2" xfId="26687"/>
    <cellStyle name="40% - Accent5 3 5 2 5 2 2" xfId="26688"/>
    <cellStyle name="40% - Accent5 3 5 2 5 3" xfId="26689"/>
    <cellStyle name="40% - Accent5 3 5 2 6" xfId="26690"/>
    <cellStyle name="40% - Accent5 3 5 2 6 2" xfId="26691"/>
    <cellStyle name="40% - Accent5 3 5 2 7" xfId="26692"/>
    <cellStyle name="40% - Accent5 3 5 2 7 2" xfId="26693"/>
    <cellStyle name="40% - Accent5 3 5 2 8" xfId="26694"/>
    <cellStyle name="40% - Accent5 3 5 3" xfId="26695"/>
    <cellStyle name="40% - Accent5 3 5 3 2" xfId="26696"/>
    <cellStyle name="40% - Accent5 3 5 3 2 2" xfId="26697"/>
    <cellStyle name="40% - Accent5 3 5 3 2 2 2" xfId="26698"/>
    <cellStyle name="40% - Accent5 3 5 3 2 2 2 2" xfId="26699"/>
    <cellStyle name="40% - Accent5 3 5 3 2 2 2 2 2" xfId="26700"/>
    <cellStyle name="40% - Accent5 3 5 3 2 2 2 3" xfId="26701"/>
    <cellStyle name="40% - Accent5 3 5 3 2 2 3" xfId="26702"/>
    <cellStyle name="40% - Accent5 3 5 3 2 2 3 2" xfId="26703"/>
    <cellStyle name="40% - Accent5 3 5 3 2 2 4" xfId="26704"/>
    <cellStyle name="40% - Accent5 3 5 3 2 3" xfId="26705"/>
    <cellStyle name="40% - Accent5 3 5 3 2 3 2" xfId="26706"/>
    <cellStyle name="40% - Accent5 3 5 3 2 3 2 2" xfId="26707"/>
    <cellStyle name="40% - Accent5 3 5 3 2 3 3" xfId="26708"/>
    <cellStyle name="40% - Accent5 3 5 3 2 4" xfId="26709"/>
    <cellStyle name="40% - Accent5 3 5 3 2 4 2" xfId="26710"/>
    <cellStyle name="40% - Accent5 3 5 3 2 5" xfId="26711"/>
    <cellStyle name="40% - Accent5 3 5 3 2 5 2" xfId="26712"/>
    <cellStyle name="40% - Accent5 3 5 3 2 6" xfId="26713"/>
    <cellStyle name="40% - Accent5 3 5 3 3" xfId="26714"/>
    <cellStyle name="40% - Accent5 3 5 3 3 2" xfId="26715"/>
    <cellStyle name="40% - Accent5 3 5 3 3 2 2" xfId="26716"/>
    <cellStyle name="40% - Accent5 3 5 3 3 2 2 2" xfId="26717"/>
    <cellStyle name="40% - Accent5 3 5 3 3 2 2 2 2" xfId="26718"/>
    <cellStyle name="40% - Accent5 3 5 3 3 2 2 3" xfId="26719"/>
    <cellStyle name="40% - Accent5 3 5 3 3 2 3" xfId="26720"/>
    <cellStyle name="40% - Accent5 3 5 3 3 2 3 2" xfId="26721"/>
    <cellStyle name="40% - Accent5 3 5 3 3 2 4" xfId="26722"/>
    <cellStyle name="40% - Accent5 3 5 3 3 3" xfId="26723"/>
    <cellStyle name="40% - Accent5 3 5 3 3 3 2" xfId="26724"/>
    <cellStyle name="40% - Accent5 3 5 3 3 3 2 2" xfId="26725"/>
    <cellStyle name="40% - Accent5 3 5 3 3 3 3" xfId="26726"/>
    <cellStyle name="40% - Accent5 3 5 3 3 4" xfId="26727"/>
    <cellStyle name="40% - Accent5 3 5 3 3 4 2" xfId="26728"/>
    <cellStyle name="40% - Accent5 3 5 3 3 5" xfId="26729"/>
    <cellStyle name="40% - Accent5 3 5 3 3 5 2" xfId="26730"/>
    <cellStyle name="40% - Accent5 3 5 3 3 6" xfId="26731"/>
    <cellStyle name="40% - Accent5 3 5 3 4" xfId="26732"/>
    <cellStyle name="40% - Accent5 3 5 3 4 2" xfId="26733"/>
    <cellStyle name="40% - Accent5 3 5 3 4 2 2" xfId="26734"/>
    <cellStyle name="40% - Accent5 3 5 3 4 2 2 2" xfId="26735"/>
    <cellStyle name="40% - Accent5 3 5 3 4 2 3" xfId="26736"/>
    <cellStyle name="40% - Accent5 3 5 3 4 3" xfId="26737"/>
    <cellStyle name="40% - Accent5 3 5 3 4 3 2" xfId="26738"/>
    <cellStyle name="40% - Accent5 3 5 3 4 4" xfId="26739"/>
    <cellStyle name="40% - Accent5 3 5 3 5" xfId="26740"/>
    <cellStyle name="40% - Accent5 3 5 3 5 2" xfId="26741"/>
    <cellStyle name="40% - Accent5 3 5 3 5 2 2" xfId="26742"/>
    <cellStyle name="40% - Accent5 3 5 3 5 3" xfId="26743"/>
    <cellStyle name="40% - Accent5 3 5 3 6" xfId="26744"/>
    <cellStyle name="40% - Accent5 3 5 3 6 2" xfId="26745"/>
    <cellStyle name="40% - Accent5 3 5 3 7" xfId="26746"/>
    <cellStyle name="40% - Accent5 3 5 3 7 2" xfId="26747"/>
    <cellStyle name="40% - Accent5 3 5 3 8" xfId="26748"/>
    <cellStyle name="40% - Accent5 3 5 4" xfId="26749"/>
    <cellStyle name="40% - Accent5 3 5 4 2" xfId="26750"/>
    <cellStyle name="40% - Accent5 3 5 4 2 2" xfId="26751"/>
    <cellStyle name="40% - Accent5 3 5 4 2 2 2" xfId="26752"/>
    <cellStyle name="40% - Accent5 3 5 4 2 2 2 2" xfId="26753"/>
    <cellStyle name="40% - Accent5 3 5 4 2 2 3" xfId="26754"/>
    <cellStyle name="40% - Accent5 3 5 4 2 3" xfId="26755"/>
    <cellStyle name="40% - Accent5 3 5 4 2 3 2" xfId="26756"/>
    <cellStyle name="40% - Accent5 3 5 4 2 4" xfId="26757"/>
    <cellStyle name="40% - Accent5 3 5 4 3" xfId="26758"/>
    <cellStyle name="40% - Accent5 3 5 4 3 2" xfId="26759"/>
    <cellStyle name="40% - Accent5 3 5 4 3 2 2" xfId="26760"/>
    <cellStyle name="40% - Accent5 3 5 4 3 3" xfId="26761"/>
    <cellStyle name="40% - Accent5 3 5 4 4" xfId="26762"/>
    <cellStyle name="40% - Accent5 3 5 4 4 2" xfId="26763"/>
    <cellStyle name="40% - Accent5 3 5 4 5" xfId="26764"/>
    <cellStyle name="40% - Accent5 3 5 4 5 2" xfId="26765"/>
    <cellStyle name="40% - Accent5 3 5 4 6" xfId="26766"/>
    <cellStyle name="40% - Accent5 3 5 5" xfId="26767"/>
    <cellStyle name="40% - Accent5 3 5 5 2" xfId="26768"/>
    <cellStyle name="40% - Accent5 3 5 5 2 2" xfId="26769"/>
    <cellStyle name="40% - Accent5 3 5 5 2 2 2" xfId="26770"/>
    <cellStyle name="40% - Accent5 3 5 5 2 2 2 2" xfId="26771"/>
    <cellStyle name="40% - Accent5 3 5 5 2 2 3" xfId="26772"/>
    <cellStyle name="40% - Accent5 3 5 5 2 3" xfId="26773"/>
    <cellStyle name="40% - Accent5 3 5 5 2 3 2" xfId="26774"/>
    <cellStyle name="40% - Accent5 3 5 5 2 4" xfId="26775"/>
    <cellStyle name="40% - Accent5 3 5 5 3" xfId="26776"/>
    <cellStyle name="40% - Accent5 3 5 5 3 2" xfId="26777"/>
    <cellStyle name="40% - Accent5 3 5 5 3 2 2" xfId="26778"/>
    <cellStyle name="40% - Accent5 3 5 5 3 3" xfId="26779"/>
    <cellStyle name="40% - Accent5 3 5 5 4" xfId="26780"/>
    <cellStyle name="40% - Accent5 3 5 5 4 2" xfId="26781"/>
    <cellStyle name="40% - Accent5 3 5 5 5" xfId="26782"/>
    <cellStyle name="40% - Accent5 3 5 5 5 2" xfId="26783"/>
    <cellStyle name="40% - Accent5 3 5 5 6" xfId="26784"/>
    <cellStyle name="40% - Accent5 3 5 6" xfId="26785"/>
    <cellStyle name="40% - Accent5 3 5 6 2" xfId="26786"/>
    <cellStyle name="40% - Accent5 3 5 6 2 2" xfId="26787"/>
    <cellStyle name="40% - Accent5 3 5 6 2 2 2" xfId="26788"/>
    <cellStyle name="40% - Accent5 3 5 6 2 2 2 2" xfId="26789"/>
    <cellStyle name="40% - Accent5 3 5 6 2 2 3" xfId="26790"/>
    <cellStyle name="40% - Accent5 3 5 6 2 3" xfId="26791"/>
    <cellStyle name="40% - Accent5 3 5 6 2 3 2" xfId="26792"/>
    <cellStyle name="40% - Accent5 3 5 6 2 4" xfId="26793"/>
    <cellStyle name="40% - Accent5 3 5 6 3" xfId="26794"/>
    <cellStyle name="40% - Accent5 3 5 6 3 2" xfId="26795"/>
    <cellStyle name="40% - Accent5 3 5 6 3 2 2" xfId="26796"/>
    <cellStyle name="40% - Accent5 3 5 6 3 3" xfId="26797"/>
    <cellStyle name="40% - Accent5 3 5 6 4" xfId="26798"/>
    <cellStyle name="40% - Accent5 3 5 6 4 2" xfId="26799"/>
    <cellStyle name="40% - Accent5 3 5 6 5" xfId="26800"/>
    <cellStyle name="40% - Accent5 3 5 6 5 2" xfId="26801"/>
    <cellStyle name="40% - Accent5 3 5 6 6" xfId="26802"/>
    <cellStyle name="40% - Accent5 3 5 7" xfId="26803"/>
    <cellStyle name="40% - Accent5 3 5 7 2" xfId="26804"/>
    <cellStyle name="40% - Accent5 3 5 7 2 2" xfId="26805"/>
    <cellStyle name="40% - Accent5 3 5 7 2 2 2" xfId="26806"/>
    <cellStyle name="40% - Accent5 3 5 7 2 3" xfId="26807"/>
    <cellStyle name="40% - Accent5 3 5 7 3" xfId="26808"/>
    <cellStyle name="40% - Accent5 3 5 7 3 2" xfId="26809"/>
    <cellStyle name="40% - Accent5 3 5 7 4" xfId="26810"/>
    <cellStyle name="40% - Accent5 3 5 8" xfId="26811"/>
    <cellStyle name="40% - Accent5 3 5 8 2" xfId="26812"/>
    <cellStyle name="40% - Accent5 3 5 8 2 2" xfId="26813"/>
    <cellStyle name="40% - Accent5 3 5 8 3" xfId="26814"/>
    <cellStyle name="40% - Accent5 3 5 9" xfId="26815"/>
    <cellStyle name="40% - Accent5 3 5 9 2" xfId="26816"/>
    <cellStyle name="40% - Accent5 3 6" xfId="26817"/>
    <cellStyle name="40% - Accent5 3 6 2" xfId="26818"/>
    <cellStyle name="40% - Accent5 3 6 2 2" xfId="26819"/>
    <cellStyle name="40% - Accent5 3 6 2 2 2" xfId="26820"/>
    <cellStyle name="40% - Accent5 3 6 2 2 2 2" xfId="26821"/>
    <cellStyle name="40% - Accent5 3 6 2 2 2 2 2" xfId="26822"/>
    <cellStyle name="40% - Accent5 3 6 2 2 2 3" xfId="26823"/>
    <cellStyle name="40% - Accent5 3 6 2 2 3" xfId="26824"/>
    <cellStyle name="40% - Accent5 3 6 2 2 3 2" xfId="26825"/>
    <cellStyle name="40% - Accent5 3 6 2 2 4" xfId="26826"/>
    <cellStyle name="40% - Accent5 3 6 2 3" xfId="26827"/>
    <cellStyle name="40% - Accent5 3 6 2 3 2" xfId="26828"/>
    <cellStyle name="40% - Accent5 3 6 2 3 2 2" xfId="26829"/>
    <cellStyle name="40% - Accent5 3 6 2 3 3" xfId="26830"/>
    <cellStyle name="40% - Accent5 3 6 2 4" xfId="26831"/>
    <cellStyle name="40% - Accent5 3 6 2 4 2" xfId="26832"/>
    <cellStyle name="40% - Accent5 3 6 2 5" xfId="26833"/>
    <cellStyle name="40% - Accent5 3 6 2 5 2" xfId="26834"/>
    <cellStyle name="40% - Accent5 3 6 2 6" xfId="26835"/>
    <cellStyle name="40% - Accent5 3 6 3" xfId="26836"/>
    <cellStyle name="40% - Accent5 3 6 3 2" xfId="26837"/>
    <cellStyle name="40% - Accent5 3 6 3 2 2" xfId="26838"/>
    <cellStyle name="40% - Accent5 3 6 3 2 2 2" xfId="26839"/>
    <cellStyle name="40% - Accent5 3 6 3 2 2 2 2" xfId="26840"/>
    <cellStyle name="40% - Accent5 3 6 3 2 2 3" xfId="26841"/>
    <cellStyle name="40% - Accent5 3 6 3 2 3" xfId="26842"/>
    <cellStyle name="40% - Accent5 3 6 3 2 3 2" xfId="26843"/>
    <cellStyle name="40% - Accent5 3 6 3 2 4" xfId="26844"/>
    <cellStyle name="40% - Accent5 3 6 3 3" xfId="26845"/>
    <cellStyle name="40% - Accent5 3 6 3 3 2" xfId="26846"/>
    <cellStyle name="40% - Accent5 3 6 3 3 2 2" xfId="26847"/>
    <cellStyle name="40% - Accent5 3 6 3 3 3" xfId="26848"/>
    <cellStyle name="40% - Accent5 3 6 3 4" xfId="26849"/>
    <cellStyle name="40% - Accent5 3 6 3 4 2" xfId="26850"/>
    <cellStyle name="40% - Accent5 3 6 3 5" xfId="26851"/>
    <cellStyle name="40% - Accent5 3 6 3 5 2" xfId="26852"/>
    <cellStyle name="40% - Accent5 3 6 3 6" xfId="26853"/>
    <cellStyle name="40% - Accent5 3 6 4" xfId="26854"/>
    <cellStyle name="40% - Accent5 3 6 4 2" xfId="26855"/>
    <cellStyle name="40% - Accent5 3 6 4 2 2" xfId="26856"/>
    <cellStyle name="40% - Accent5 3 6 4 2 2 2" xfId="26857"/>
    <cellStyle name="40% - Accent5 3 6 4 2 3" xfId="26858"/>
    <cellStyle name="40% - Accent5 3 6 4 3" xfId="26859"/>
    <cellStyle name="40% - Accent5 3 6 4 3 2" xfId="26860"/>
    <cellStyle name="40% - Accent5 3 6 4 4" xfId="26861"/>
    <cellStyle name="40% - Accent5 3 6 5" xfId="26862"/>
    <cellStyle name="40% - Accent5 3 6 5 2" xfId="26863"/>
    <cellStyle name="40% - Accent5 3 6 5 2 2" xfId="26864"/>
    <cellStyle name="40% - Accent5 3 6 5 3" xfId="26865"/>
    <cellStyle name="40% - Accent5 3 6 6" xfId="26866"/>
    <cellStyle name="40% - Accent5 3 6 6 2" xfId="26867"/>
    <cellStyle name="40% - Accent5 3 6 7" xfId="26868"/>
    <cellStyle name="40% - Accent5 3 6 7 2" xfId="26869"/>
    <cellStyle name="40% - Accent5 3 6 8" xfId="26870"/>
    <cellStyle name="40% - Accent5 3 7" xfId="26871"/>
    <cellStyle name="40% - Accent5 3 7 2" xfId="26872"/>
    <cellStyle name="40% - Accent5 3 7 2 2" xfId="26873"/>
    <cellStyle name="40% - Accent5 3 7 2 2 2" xfId="26874"/>
    <cellStyle name="40% - Accent5 3 7 2 2 2 2" xfId="26875"/>
    <cellStyle name="40% - Accent5 3 7 2 2 2 2 2" xfId="26876"/>
    <cellStyle name="40% - Accent5 3 7 2 2 2 3" xfId="26877"/>
    <cellStyle name="40% - Accent5 3 7 2 2 3" xfId="26878"/>
    <cellStyle name="40% - Accent5 3 7 2 2 3 2" xfId="26879"/>
    <cellStyle name="40% - Accent5 3 7 2 2 4" xfId="26880"/>
    <cellStyle name="40% - Accent5 3 7 2 3" xfId="26881"/>
    <cellStyle name="40% - Accent5 3 7 2 3 2" xfId="26882"/>
    <cellStyle name="40% - Accent5 3 7 2 3 2 2" xfId="26883"/>
    <cellStyle name="40% - Accent5 3 7 2 3 3" xfId="26884"/>
    <cellStyle name="40% - Accent5 3 7 2 4" xfId="26885"/>
    <cellStyle name="40% - Accent5 3 7 2 4 2" xfId="26886"/>
    <cellStyle name="40% - Accent5 3 7 2 5" xfId="26887"/>
    <cellStyle name="40% - Accent5 3 7 2 5 2" xfId="26888"/>
    <cellStyle name="40% - Accent5 3 7 2 6" xfId="26889"/>
    <cellStyle name="40% - Accent5 3 7 3" xfId="26890"/>
    <cellStyle name="40% - Accent5 3 7 3 2" xfId="26891"/>
    <cellStyle name="40% - Accent5 3 7 3 2 2" xfId="26892"/>
    <cellStyle name="40% - Accent5 3 7 3 2 2 2" xfId="26893"/>
    <cellStyle name="40% - Accent5 3 7 3 2 2 2 2" xfId="26894"/>
    <cellStyle name="40% - Accent5 3 7 3 2 2 3" xfId="26895"/>
    <cellStyle name="40% - Accent5 3 7 3 2 3" xfId="26896"/>
    <cellStyle name="40% - Accent5 3 7 3 2 3 2" xfId="26897"/>
    <cellStyle name="40% - Accent5 3 7 3 2 4" xfId="26898"/>
    <cellStyle name="40% - Accent5 3 7 3 3" xfId="26899"/>
    <cellStyle name="40% - Accent5 3 7 3 3 2" xfId="26900"/>
    <cellStyle name="40% - Accent5 3 7 3 3 2 2" xfId="26901"/>
    <cellStyle name="40% - Accent5 3 7 3 3 3" xfId="26902"/>
    <cellStyle name="40% - Accent5 3 7 3 4" xfId="26903"/>
    <cellStyle name="40% - Accent5 3 7 3 4 2" xfId="26904"/>
    <cellStyle name="40% - Accent5 3 7 3 5" xfId="26905"/>
    <cellStyle name="40% - Accent5 3 7 3 5 2" xfId="26906"/>
    <cellStyle name="40% - Accent5 3 7 3 6" xfId="26907"/>
    <cellStyle name="40% - Accent5 3 7 4" xfId="26908"/>
    <cellStyle name="40% - Accent5 3 7 4 2" xfId="26909"/>
    <cellStyle name="40% - Accent5 3 7 4 2 2" xfId="26910"/>
    <cellStyle name="40% - Accent5 3 7 4 2 2 2" xfId="26911"/>
    <cellStyle name="40% - Accent5 3 7 4 2 3" xfId="26912"/>
    <cellStyle name="40% - Accent5 3 7 4 3" xfId="26913"/>
    <cellStyle name="40% - Accent5 3 7 4 3 2" xfId="26914"/>
    <cellStyle name="40% - Accent5 3 7 4 4" xfId="26915"/>
    <cellStyle name="40% - Accent5 3 7 5" xfId="26916"/>
    <cellStyle name="40% - Accent5 3 7 5 2" xfId="26917"/>
    <cellStyle name="40% - Accent5 3 7 5 2 2" xfId="26918"/>
    <cellStyle name="40% - Accent5 3 7 5 3" xfId="26919"/>
    <cellStyle name="40% - Accent5 3 7 6" xfId="26920"/>
    <cellStyle name="40% - Accent5 3 7 6 2" xfId="26921"/>
    <cellStyle name="40% - Accent5 3 7 7" xfId="26922"/>
    <cellStyle name="40% - Accent5 3 7 7 2" xfId="26923"/>
    <cellStyle name="40% - Accent5 3 7 8" xfId="26924"/>
    <cellStyle name="40% - Accent5 3 8" xfId="26925"/>
    <cellStyle name="40% - Accent5 3 8 2" xfId="26926"/>
    <cellStyle name="40% - Accent5 3 8 2 2" xfId="26927"/>
    <cellStyle name="40% - Accent5 3 8 2 2 2" xfId="26928"/>
    <cellStyle name="40% - Accent5 3 8 2 2 2 2" xfId="26929"/>
    <cellStyle name="40% - Accent5 3 8 2 2 3" xfId="26930"/>
    <cellStyle name="40% - Accent5 3 8 2 3" xfId="26931"/>
    <cellStyle name="40% - Accent5 3 8 2 3 2" xfId="26932"/>
    <cellStyle name="40% - Accent5 3 8 2 4" xfId="26933"/>
    <cellStyle name="40% - Accent5 3 8 3" xfId="26934"/>
    <cellStyle name="40% - Accent5 3 8 3 2" xfId="26935"/>
    <cellStyle name="40% - Accent5 3 8 3 2 2" xfId="26936"/>
    <cellStyle name="40% - Accent5 3 8 3 3" xfId="26937"/>
    <cellStyle name="40% - Accent5 3 8 4" xfId="26938"/>
    <cellStyle name="40% - Accent5 3 8 4 2" xfId="26939"/>
    <cellStyle name="40% - Accent5 3 8 5" xfId="26940"/>
    <cellStyle name="40% - Accent5 3 8 5 2" xfId="26941"/>
    <cellStyle name="40% - Accent5 3 8 6" xfId="26942"/>
    <cellStyle name="40% - Accent5 3 9" xfId="26943"/>
    <cellStyle name="40% - Accent5 3 9 2" xfId="26944"/>
    <cellStyle name="40% - Accent5 3 9 2 2" xfId="26945"/>
    <cellStyle name="40% - Accent5 3 9 2 2 2" xfId="26946"/>
    <cellStyle name="40% - Accent5 3 9 2 2 2 2" xfId="26947"/>
    <cellStyle name="40% - Accent5 3 9 2 2 3" xfId="26948"/>
    <cellStyle name="40% - Accent5 3 9 2 3" xfId="26949"/>
    <cellStyle name="40% - Accent5 3 9 2 3 2" xfId="26950"/>
    <cellStyle name="40% - Accent5 3 9 2 4" xfId="26951"/>
    <cellStyle name="40% - Accent5 3 9 3" xfId="26952"/>
    <cellStyle name="40% - Accent5 3 9 3 2" xfId="26953"/>
    <cellStyle name="40% - Accent5 3 9 3 2 2" xfId="26954"/>
    <cellStyle name="40% - Accent5 3 9 3 3" xfId="26955"/>
    <cellStyle name="40% - Accent5 3 9 4" xfId="26956"/>
    <cellStyle name="40% - Accent5 3 9 4 2" xfId="26957"/>
    <cellStyle name="40% - Accent5 3 9 5" xfId="26958"/>
    <cellStyle name="40% - Accent5 3 9 5 2" xfId="26959"/>
    <cellStyle name="40% - Accent5 3 9 6" xfId="26960"/>
    <cellStyle name="40% - Accent5 4" xfId="26961"/>
    <cellStyle name="40% - Accent5 5" xfId="26962"/>
    <cellStyle name="40% - Accent5 5 10" xfId="26963"/>
    <cellStyle name="40% - Accent5 5 10 2" xfId="26964"/>
    <cellStyle name="40% - Accent5 5 11" xfId="26965"/>
    <cellStyle name="40% - Accent5 5 2" xfId="26966"/>
    <cellStyle name="40% - Accent5 5 2 2" xfId="26967"/>
    <cellStyle name="40% - Accent5 5 2 2 2" xfId="26968"/>
    <cellStyle name="40% - Accent5 5 2 2 2 2" xfId="26969"/>
    <cellStyle name="40% - Accent5 5 2 2 2 2 2" xfId="26970"/>
    <cellStyle name="40% - Accent5 5 2 2 2 2 2 2" xfId="26971"/>
    <cellStyle name="40% - Accent5 5 2 2 2 2 3" xfId="26972"/>
    <cellStyle name="40% - Accent5 5 2 2 2 3" xfId="26973"/>
    <cellStyle name="40% - Accent5 5 2 2 2 3 2" xfId="26974"/>
    <cellStyle name="40% - Accent5 5 2 2 2 4" xfId="26975"/>
    <cellStyle name="40% - Accent5 5 2 2 3" xfId="26976"/>
    <cellStyle name="40% - Accent5 5 2 2 3 2" xfId="26977"/>
    <cellStyle name="40% - Accent5 5 2 2 3 2 2" xfId="26978"/>
    <cellStyle name="40% - Accent5 5 2 2 3 3" xfId="26979"/>
    <cellStyle name="40% - Accent5 5 2 2 4" xfId="26980"/>
    <cellStyle name="40% - Accent5 5 2 2 4 2" xfId="26981"/>
    <cellStyle name="40% - Accent5 5 2 2 5" xfId="26982"/>
    <cellStyle name="40% - Accent5 5 2 2 5 2" xfId="26983"/>
    <cellStyle name="40% - Accent5 5 2 2 6" xfId="26984"/>
    <cellStyle name="40% - Accent5 5 2 3" xfId="26985"/>
    <cellStyle name="40% - Accent5 5 2 3 2" xfId="26986"/>
    <cellStyle name="40% - Accent5 5 2 3 2 2" xfId="26987"/>
    <cellStyle name="40% - Accent5 5 2 3 2 2 2" xfId="26988"/>
    <cellStyle name="40% - Accent5 5 2 3 2 2 2 2" xfId="26989"/>
    <cellStyle name="40% - Accent5 5 2 3 2 2 3" xfId="26990"/>
    <cellStyle name="40% - Accent5 5 2 3 2 3" xfId="26991"/>
    <cellStyle name="40% - Accent5 5 2 3 2 3 2" xfId="26992"/>
    <cellStyle name="40% - Accent5 5 2 3 2 4" xfId="26993"/>
    <cellStyle name="40% - Accent5 5 2 3 3" xfId="26994"/>
    <cellStyle name="40% - Accent5 5 2 3 3 2" xfId="26995"/>
    <cellStyle name="40% - Accent5 5 2 3 3 2 2" xfId="26996"/>
    <cellStyle name="40% - Accent5 5 2 3 3 3" xfId="26997"/>
    <cellStyle name="40% - Accent5 5 2 3 4" xfId="26998"/>
    <cellStyle name="40% - Accent5 5 2 3 4 2" xfId="26999"/>
    <cellStyle name="40% - Accent5 5 2 3 5" xfId="27000"/>
    <cellStyle name="40% - Accent5 5 2 3 5 2" xfId="27001"/>
    <cellStyle name="40% - Accent5 5 2 3 6" xfId="27002"/>
    <cellStyle name="40% - Accent5 5 2 4" xfId="27003"/>
    <cellStyle name="40% - Accent5 5 2 4 2" xfId="27004"/>
    <cellStyle name="40% - Accent5 5 2 4 2 2" xfId="27005"/>
    <cellStyle name="40% - Accent5 5 2 4 2 2 2" xfId="27006"/>
    <cellStyle name="40% - Accent5 5 2 4 2 3" xfId="27007"/>
    <cellStyle name="40% - Accent5 5 2 4 3" xfId="27008"/>
    <cellStyle name="40% - Accent5 5 2 4 3 2" xfId="27009"/>
    <cellStyle name="40% - Accent5 5 2 4 4" xfId="27010"/>
    <cellStyle name="40% - Accent5 5 2 5" xfId="27011"/>
    <cellStyle name="40% - Accent5 5 2 5 2" xfId="27012"/>
    <cellStyle name="40% - Accent5 5 2 5 2 2" xfId="27013"/>
    <cellStyle name="40% - Accent5 5 2 5 3" xfId="27014"/>
    <cellStyle name="40% - Accent5 5 2 6" xfId="27015"/>
    <cellStyle name="40% - Accent5 5 2 6 2" xfId="27016"/>
    <cellStyle name="40% - Accent5 5 2 7" xfId="27017"/>
    <cellStyle name="40% - Accent5 5 2 7 2" xfId="27018"/>
    <cellStyle name="40% - Accent5 5 2 8" xfId="27019"/>
    <cellStyle name="40% - Accent5 5 3" xfId="27020"/>
    <cellStyle name="40% - Accent5 5 3 2" xfId="27021"/>
    <cellStyle name="40% - Accent5 5 3 2 2" xfId="27022"/>
    <cellStyle name="40% - Accent5 5 3 2 2 2" xfId="27023"/>
    <cellStyle name="40% - Accent5 5 3 2 2 2 2" xfId="27024"/>
    <cellStyle name="40% - Accent5 5 3 2 2 2 2 2" xfId="27025"/>
    <cellStyle name="40% - Accent5 5 3 2 2 2 3" xfId="27026"/>
    <cellStyle name="40% - Accent5 5 3 2 2 3" xfId="27027"/>
    <cellStyle name="40% - Accent5 5 3 2 2 3 2" xfId="27028"/>
    <cellStyle name="40% - Accent5 5 3 2 2 4" xfId="27029"/>
    <cellStyle name="40% - Accent5 5 3 2 3" xfId="27030"/>
    <cellStyle name="40% - Accent5 5 3 2 3 2" xfId="27031"/>
    <cellStyle name="40% - Accent5 5 3 2 3 2 2" xfId="27032"/>
    <cellStyle name="40% - Accent5 5 3 2 3 3" xfId="27033"/>
    <cellStyle name="40% - Accent5 5 3 2 4" xfId="27034"/>
    <cellStyle name="40% - Accent5 5 3 2 4 2" xfId="27035"/>
    <cellStyle name="40% - Accent5 5 3 2 5" xfId="27036"/>
    <cellStyle name="40% - Accent5 5 3 2 5 2" xfId="27037"/>
    <cellStyle name="40% - Accent5 5 3 2 6" xfId="27038"/>
    <cellStyle name="40% - Accent5 5 3 3" xfId="27039"/>
    <cellStyle name="40% - Accent5 5 3 3 2" xfId="27040"/>
    <cellStyle name="40% - Accent5 5 3 3 2 2" xfId="27041"/>
    <cellStyle name="40% - Accent5 5 3 3 2 2 2" xfId="27042"/>
    <cellStyle name="40% - Accent5 5 3 3 2 2 2 2" xfId="27043"/>
    <cellStyle name="40% - Accent5 5 3 3 2 2 3" xfId="27044"/>
    <cellStyle name="40% - Accent5 5 3 3 2 3" xfId="27045"/>
    <cellStyle name="40% - Accent5 5 3 3 2 3 2" xfId="27046"/>
    <cellStyle name="40% - Accent5 5 3 3 2 4" xfId="27047"/>
    <cellStyle name="40% - Accent5 5 3 3 3" xfId="27048"/>
    <cellStyle name="40% - Accent5 5 3 3 3 2" xfId="27049"/>
    <cellStyle name="40% - Accent5 5 3 3 3 2 2" xfId="27050"/>
    <cellStyle name="40% - Accent5 5 3 3 3 3" xfId="27051"/>
    <cellStyle name="40% - Accent5 5 3 3 4" xfId="27052"/>
    <cellStyle name="40% - Accent5 5 3 3 4 2" xfId="27053"/>
    <cellStyle name="40% - Accent5 5 3 3 5" xfId="27054"/>
    <cellStyle name="40% - Accent5 5 3 3 5 2" xfId="27055"/>
    <cellStyle name="40% - Accent5 5 3 3 6" xfId="27056"/>
    <cellStyle name="40% - Accent5 5 3 4" xfId="27057"/>
    <cellStyle name="40% - Accent5 5 3 4 2" xfId="27058"/>
    <cellStyle name="40% - Accent5 5 3 4 2 2" xfId="27059"/>
    <cellStyle name="40% - Accent5 5 3 4 2 2 2" xfId="27060"/>
    <cellStyle name="40% - Accent5 5 3 4 2 3" xfId="27061"/>
    <cellStyle name="40% - Accent5 5 3 4 3" xfId="27062"/>
    <cellStyle name="40% - Accent5 5 3 4 3 2" xfId="27063"/>
    <cellStyle name="40% - Accent5 5 3 4 4" xfId="27064"/>
    <cellStyle name="40% - Accent5 5 3 5" xfId="27065"/>
    <cellStyle name="40% - Accent5 5 3 5 2" xfId="27066"/>
    <cellStyle name="40% - Accent5 5 3 5 2 2" xfId="27067"/>
    <cellStyle name="40% - Accent5 5 3 5 3" xfId="27068"/>
    <cellStyle name="40% - Accent5 5 3 6" xfId="27069"/>
    <cellStyle name="40% - Accent5 5 3 6 2" xfId="27070"/>
    <cellStyle name="40% - Accent5 5 3 7" xfId="27071"/>
    <cellStyle name="40% - Accent5 5 3 7 2" xfId="27072"/>
    <cellStyle name="40% - Accent5 5 3 8" xfId="27073"/>
    <cellStyle name="40% - Accent5 5 4" xfId="27074"/>
    <cellStyle name="40% - Accent5 5 4 2" xfId="27075"/>
    <cellStyle name="40% - Accent5 5 4 2 2" xfId="27076"/>
    <cellStyle name="40% - Accent5 5 4 2 2 2" xfId="27077"/>
    <cellStyle name="40% - Accent5 5 4 2 2 2 2" xfId="27078"/>
    <cellStyle name="40% - Accent5 5 4 2 2 3" xfId="27079"/>
    <cellStyle name="40% - Accent5 5 4 2 3" xfId="27080"/>
    <cellStyle name="40% - Accent5 5 4 2 3 2" xfId="27081"/>
    <cellStyle name="40% - Accent5 5 4 2 4" xfId="27082"/>
    <cellStyle name="40% - Accent5 5 4 3" xfId="27083"/>
    <cellStyle name="40% - Accent5 5 4 3 2" xfId="27084"/>
    <cellStyle name="40% - Accent5 5 4 3 2 2" xfId="27085"/>
    <cellStyle name="40% - Accent5 5 4 3 3" xfId="27086"/>
    <cellStyle name="40% - Accent5 5 4 4" xfId="27087"/>
    <cellStyle name="40% - Accent5 5 4 4 2" xfId="27088"/>
    <cellStyle name="40% - Accent5 5 4 5" xfId="27089"/>
    <cellStyle name="40% - Accent5 5 4 5 2" xfId="27090"/>
    <cellStyle name="40% - Accent5 5 4 6" xfId="27091"/>
    <cellStyle name="40% - Accent5 5 5" xfId="27092"/>
    <cellStyle name="40% - Accent5 5 5 2" xfId="27093"/>
    <cellStyle name="40% - Accent5 5 5 2 2" xfId="27094"/>
    <cellStyle name="40% - Accent5 5 5 2 2 2" xfId="27095"/>
    <cellStyle name="40% - Accent5 5 5 2 2 2 2" xfId="27096"/>
    <cellStyle name="40% - Accent5 5 5 2 2 3" xfId="27097"/>
    <cellStyle name="40% - Accent5 5 5 2 3" xfId="27098"/>
    <cellStyle name="40% - Accent5 5 5 2 3 2" xfId="27099"/>
    <cellStyle name="40% - Accent5 5 5 2 4" xfId="27100"/>
    <cellStyle name="40% - Accent5 5 5 3" xfId="27101"/>
    <cellStyle name="40% - Accent5 5 5 3 2" xfId="27102"/>
    <cellStyle name="40% - Accent5 5 5 3 2 2" xfId="27103"/>
    <cellStyle name="40% - Accent5 5 5 3 3" xfId="27104"/>
    <cellStyle name="40% - Accent5 5 5 4" xfId="27105"/>
    <cellStyle name="40% - Accent5 5 5 4 2" xfId="27106"/>
    <cellStyle name="40% - Accent5 5 5 5" xfId="27107"/>
    <cellStyle name="40% - Accent5 5 5 5 2" xfId="27108"/>
    <cellStyle name="40% - Accent5 5 5 6" xfId="27109"/>
    <cellStyle name="40% - Accent5 5 6" xfId="27110"/>
    <cellStyle name="40% - Accent5 5 6 2" xfId="27111"/>
    <cellStyle name="40% - Accent5 5 6 2 2" xfId="27112"/>
    <cellStyle name="40% - Accent5 5 6 2 2 2" xfId="27113"/>
    <cellStyle name="40% - Accent5 5 6 2 2 2 2" xfId="27114"/>
    <cellStyle name="40% - Accent5 5 6 2 2 3" xfId="27115"/>
    <cellStyle name="40% - Accent5 5 6 2 3" xfId="27116"/>
    <cellStyle name="40% - Accent5 5 6 2 3 2" xfId="27117"/>
    <cellStyle name="40% - Accent5 5 6 2 4" xfId="27118"/>
    <cellStyle name="40% - Accent5 5 6 3" xfId="27119"/>
    <cellStyle name="40% - Accent5 5 6 3 2" xfId="27120"/>
    <cellStyle name="40% - Accent5 5 6 3 2 2" xfId="27121"/>
    <cellStyle name="40% - Accent5 5 6 3 3" xfId="27122"/>
    <cellStyle name="40% - Accent5 5 6 4" xfId="27123"/>
    <cellStyle name="40% - Accent5 5 6 4 2" xfId="27124"/>
    <cellStyle name="40% - Accent5 5 6 5" xfId="27125"/>
    <cellStyle name="40% - Accent5 5 6 5 2" xfId="27126"/>
    <cellStyle name="40% - Accent5 5 6 6" xfId="27127"/>
    <cellStyle name="40% - Accent5 5 7" xfId="27128"/>
    <cellStyle name="40% - Accent5 5 7 2" xfId="27129"/>
    <cellStyle name="40% - Accent5 5 7 2 2" xfId="27130"/>
    <cellStyle name="40% - Accent5 5 7 2 2 2" xfId="27131"/>
    <cellStyle name="40% - Accent5 5 7 2 3" xfId="27132"/>
    <cellStyle name="40% - Accent5 5 7 3" xfId="27133"/>
    <cellStyle name="40% - Accent5 5 7 3 2" xfId="27134"/>
    <cellStyle name="40% - Accent5 5 7 4" xfId="27135"/>
    <cellStyle name="40% - Accent5 5 8" xfId="27136"/>
    <cellStyle name="40% - Accent5 5 8 2" xfId="27137"/>
    <cellStyle name="40% - Accent5 5 8 2 2" xfId="27138"/>
    <cellStyle name="40% - Accent5 5 8 3" xfId="27139"/>
    <cellStyle name="40% - Accent5 5 9" xfId="27140"/>
    <cellStyle name="40% - Accent5 5 9 2" xfId="27141"/>
    <cellStyle name="40% - Accent5 6" xfId="27142"/>
    <cellStyle name="40% - Accent5 6 10" xfId="27143"/>
    <cellStyle name="40% - Accent5 6 10 2" xfId="27144"/>
    <cellStyle name="40% - Accent5 6 11" xfId="27145"/>
    <cellStyle name="40% - Accent5 6 2" xfId="27146"/>
    <cellStyle name="40% - Accent5 6 2 2" xfId="27147"/>
    <cellStyle name="40% - Accent5 6 2 2 2" xfId="27148"/>
    <cellStyle name="40% - Accent5 6 2 2 2 2" xfId="27149"/>
    <cellStyle name="40% - Accent5 6 2 2 2 2 2" xfId="27150"/>
    <cellStyle name="40% - Accent5 6 2 2 2 2 2 2" xfId="27151"/>
    <cellStyle name="40% - Accent5 6 2 2 2 2 3" xfId="27152"/>
    <cellStyle name="40% - Accent5 6 2 2 2 3" xfId="27153"/>
    <cellStyle name="40% - Accent5 6 2 2 2 3 2" xfId="27154"/>
    <cellStyle name="40% - Accent5 6 2 2 2 4" xfId="27155"/>
    <cellStyle name="40% - Accent5 6 2 2 3" xfId="27156"/>
    <cellStyle name="40% - Accent5 6 2 2 3 2" xfId="27157"/>
    <cellStyle name="40% - Accent5 6 2 2 3 2 2" xfId="27158"/>
    <cellStyle name="40% - Accent5 6 2 2 3 3" xfId="27159"/>
    <cellStyle name="40% - Accent5 6 2 2 4" xfId="27160"/>
    <cellStyle name="40% - Accent5 6 2 2 4 2" xfId="27161"/>
    <cellStyle name="40% - Accent5 6 2 2 5" xfId="27162"/>
    <cellStyle name="40% - Accent5 6 2 2 5 2" xfId="27163"/>
    <cellStyle name="40% - Accent5 6 2 2 6" xfId="27164"/>
    <cellStyle name="40% - Accent5 6 2 3" xfId="27165"/>
    <cellStyle name="40% - Accent5 6 2 3 2" xfId="27166"/>
    <cellStyle name="40% - Accent5 6 2 3 2 2" xfId="27167"/>
    <cellStyle name="40% - Accent5 6 2 3 2 2 2" xfId="27168"/>
    <cellStyle name="40% - Accent5 6 2 3 2 2 2 2" xfId="27169"/>
    <cellStyle name="40% - Accent5 6 2 3 2 2 3" xfId="27170"/>
    <cellStyle name="40% - Accent5 6 2 3 2 3" xfId="27171"/>
    <cellStyle name="40% - Accent5 6 2 3 2 3 2" xfId="27172"/>
    <cellStyle name="40% - Accent5 6 2 3 2 4" xfId="27173"/>
    <cellStyle name="40% - Accent5 6 2 3 3" xfId="27174"/>
    <cellStyle name="40% - Accent5 6 2 3 3 2" xfId="27175"/>
    <cellStyle name="40% - Accent5 6 2 3 3 2 2" xfId="27176"/>
    <cellStyle name="40% - Accent5 6 2 3 3 3" xfId="27177"/>
    <cellStyle name="40% - Accent5 6 2 3 4" xfId="27178"/>
    <cellStyle name="40% - Accent5 6 2 3 4 2" xfId="27179"/>
    <cellStyle name="40% - Accent5 6 2 3 5" xfId="27180"/>
    <cellStyle name="40% - Accent5 6 2 3 5 2" xfId="27181"/>
    <cellStyle name="40% - Accent5 6 2 3 6" xfId="27182"/>
    <cellStyle name="40% - Accent5 6 2 4" xfId="27183"/>
    <cellStyle name="40% - Accent5 6 2 4 2" xfId="27184"/>
    <cellStyle name="40% - Accent5 6 2 4 2 2" xfId="27185"/>
    <cellStyle name="40% - Accent5 6 2 4 2 2 2" xfId="27186"/>
    <cellStyle name="40% - Accent5 6 2 4 2 3" xfId="27187"/>
    <cellStyle name="40% - Accent5 6 2 4 3" xfId="27188"/>
    <cellStyle name="40% - Accent5 6 2 4 3 2" xfId="27189"/>
    <cellStyle name="40% - Accent5 6 2 4 4" xfId="27190"/>
    <cellStyle name="40% - Accent5 6 2 5" xfId="27191"/>
    <cellStyle name="40% - Accent5 6 2 5 2" xfId="27192"/>
    <cellStyle name="40% - Accent5 6 2 5 2 2" xfId="27193"/>
    <cellStyle name="40% - Accent5 6 2 5 3" xfId="27194"/>
    <cellStyle name="40% - Accent5 6 2 6" xfId="27195"/>
    <cellStyle name="40% - Accent5 6 2 6 2" xfId="27196"/>
    <cellStyle name="40% - Accent5 6 2 7" xfId="27197"/>
    <cellStyle name="40% - Accent5 6 2 7 2" xfId="27198"/>
    <cellStyle name="40% - Accent5 6 2 8" xfId="27199"/>
    <cellStyle name="40% - Accent5 6 3" xfId="27200"/>
    <cellStyle name="40% - Accent5 6 3 2" xfId="27201"/>
    <cellStyle name="40% - Accent5 6 3 2 2" xfId="27202"/>
    <cellStyle name="40% - Accent5 6 3 2 2 2" xfId="27203"/>
    <cellStyle name="40% - Accent5 6 3 2 2 2 2" xfId="27204"/>
    <cellStyle name="40% - Accent5 6 3 2 2 2 2 2" xfId="27205"/>
    <cellStyle name="40% - Accent5 6 3 2 2 2 3" xfId="27206"/>
    <cellStyle name="40% - Accent5 6 3 2 2 3" xfId="27207"/>
    <cellStyle name="40% - Accent5 6 3 2 2 3 2" xfId="27208"/>
    <cellStyle name="40% - Accent5 6 3 2 2 4" xfId="27209"/>
    <cellStyle name="40% - Accent5 6 3 2 3" xfId="27210"/>
    <cellStyle name="40% - Accent5 6 3 2 3 2" xfId="27211"/>
    <cellStyle name="40% - Accent5 6 3 2 3 2 2" xfId="27212"/>
    <cellStyle name="40% - Accent5 6 3 2 3 3" xfId="27213"/>
    <cellStyle name="40% - Accent5 6 3 2 4" xfId="27214"/>
    <cellStyle name="40% - Accent5 6 3 2 4 2" xfId="27215"/>
    <cellStyle name="40% - Accent5 6 3 2 5" xfId="27216"/>
    <cellStyle name="40% - Accent5 6 3 2 5 2" xfId="27217"/>
    <cellStyle name="40% - Accent5 6 3 2 6" xfId="27218"/>
    <cellStyle name="40% - Accent5 6 3 3" xfId="27219"/>
    <cellStyle name="40% - Accent5 6 3 3 2" xfId="27220"/>
    <cellStyle name="40% - Accent5 6 3 3 2 2" xfId="27221"/>
    <cellStyle name="40% - Accent5 6 3 3 2 2 2" xfId="27222"/>
    <cellStyle name="40% - Accent5 6 3 3 2 2 2 2" xfId="27223"/>
    <cellStyle name="40% - Accent5 6 3 3 2 2 3" xfId="27224"/>
    <cellStyle name="40% - Accent5 6 3 3 2 3" xfId="27225"/>
    <cellStyle name="40% - Accent5 6 3 3 2 3 2" xfId="27226"/>
    <cellStyle name="40% - Accent5 6 3 3 2 4" xfId="27227"/>
    <cellStyle name="40% - Accent5 6 3 3 3" xfId="27228"/>
    <cellStyle name="40% - Accent5 6 3 3 3 2" xfId="27229"/>
    <cellStyle name="40% - Accent5 6 3 3 3 2 2" xfId="27230"/>
    <cellStyle name="40% - Accent5 6 3 3 3 3" xfId="27231"/>
    <cellStyle name="40% - Accent5 6 3 3 4" xfId="27232"/>
    <cellStyle name="40% - Accent5 6 3 3 4 2" xfId="27233"/>
    <cellStyle name="40% - Accent5 6 3 3 5" xfId="27234"/>
    <cellStyle name="40% - Accent5 6 3 3 5 2" xfId="27235"/>
    <cellStyle name="40% - Accent5 6 3 3 6" xfId="27236"/>
    <cellStyle name="40% - Accent5 6 3 4" xfId="27237"/>
    <cellStyle name="40% - Accent5 6 3 4 2" xfId="27238"/>
    <cellStyle name="40% - Accent5 6 3 4 2 2" xfId="27239"/>
    <cellStyle name="40% - Accent5 6 3 4 2 2 2" xfId="27240"/>
    <cellStyle name="40% - Accent5 6 3 4 2 3" xfId="27241"/>
    <cellStyle name="40% - Accent5 6 3 4 3" xfId="27242"/>
    <cellStyle name="40% - Accent5 6 3 4 3 2" xfId="27243"/>
    <cellStyle name="40% - Accent5 6 3 4 4" xfId="27244"/>
    <cellStyle name="40% - Accent5 6 3 5" xfId="27245"/>
    <cellStyle name="40% - Accent5 6 3 5 2" xfId="27246"/>
    <cellStyle name="40% - Accent5 6 3 5 2 2" xfId="27247"/>
    <cellStyle name="40% - Accent5 6 3 5 3" xfId="27248"/>
    <cellStyle name="40% - Accent5 6 3 6" xfId="27249"/>
    <cellStyle name="40% - Accent5 6 3 6 2" xfId="27250"/>
    <cellStyle name="40% - Accent5 6 3 7" xfId="27251"/>
    <cellStyle name="40% - Accent5 6 3 7 2" xfId="27252"/>
    <cellStyle name="40% - Accent5 6 3 8" xfId="27253"/>
    <cellStyle name="40% - Accent5 6 4" xfId="27254"/>
    <cellStyle name="40% - Accent5 6 4 2" xfId="27255"/>
    <cellStyle name="40% - Accent5 6 4 2 2" xfId="27256"/>
    <cellStyle name="40% - Accent5 6 4 2 2 2" xfId="27257"/>
    <cellStyle name="40% - Accent5 6 4 2 2 2 2" xfId="27258"/>
    <cellStyle name="40% - Accent5 6 4 2 2 3" xfId="27259"/>
    <cellStyle name="40% - Accent5 6 4 2 3" xfId="27260"/>
    <cellStyle name="40% - Accent5 6 4 2 3 2" xfId="27261"/>
    <cellStyle name="40% - Accent5 6 4 2 4" xfId="27262"/>
    <cellStyle name="40% - Accent5 6 4 3" xfId="27263"/>
    <cellStyle name="40% - Accent5 6 4 3 2" xfId="27264"/>
    <cellStyle name="40% - Accent5 6 4 3 2 2" xfId="27265"/>
    <cellStyle name="40% - Accent5 6 4 3 3" xfId="27266"/>
    <cellStyle name="40% - Accent5 6 4 4" xfId="27267"/>
    <cellStyle name="40% - Accent5 6 4 4 2" xfId="27268"/>
    <cellStyle name="40% - Accent5 6 4 5" xfId="27269"/>
    <cellStyle name="40% - Accent5 6 4 5 2" xfId="27270"/>
    <cellStyle name="40% - Accent5 6 4 6" xfId="27271"/>
    <cellStyle name="40% - Accent5 6 5" xfId="27272"/>
    <cellStyle name="40% - Accent5 6 5 2" xfId="27273"/>
    <cellStyle name="40% - Accent5 6 5 2 2" xfId="27274"/>
    <cellStyle name="40% - Accent5 6 5 2 2 2" xfId="27275"/>
    <cellStyle name="40% - Accent5 6 5 2 2 2 2" xfId="27276"/>
    <cellStyle name="40% - Accent5 6 5 2 2 3" xfId="27277"/>
    <cellStyle name="40% - Accent5 6 5 2 3" xfId="27278"/>
    <cellStyle name="40% - Accent5 6 5 2 3 2" xfId="27279"/>
    <cellStyle name="40% - Accent5 6 5 2 4" xfId="27280"/>
    <cellStyle name="40% - Accent5 6 5 3" xfId="27281"/>
    <cellStyle name="40% - Accent5 6 5 3 2" xfId="27282"/>
    <cellStyle name="40% - Accent5 6 5 3 2 2" xfId="27283"/>
    <cellStyle name="40% - Accent5 6 5 3 3" xfId="27284"/>
    <cellStyle name="40% - Accent5 6 5 4" xfId="27285"/>
    <cellStyle name="40% - Accent5 6 5 4 2" xfId="27286"/>
    <cellStyle name="40% - Accent5 6 5 5" xfId="27287"/>
    <cellStyle name="40% - Accent5 6 5 5 2" xfId="27288"/>
    <cellStyle name="40% - Accent5 6 5 6" xfId="27289"/>
    <cellStyle name="40% - Accent5 6 6" xfId="27290"/>
    <cellStyle name="40% - Accent5 6 6 2" xfId="27291"/>
    <cellStyle name="40% - Accent5 6 6 2 2" xfId="27292"/>
    <cellStyle name="40% - Accent5 6 6 2 2 2" xfId="27293"/>
    <cellStyle name="40% - Accent5 6 6 2 2 2 2" xfId="27294"/>
    <cellStyle name="40% - Accent5 6 6 2 2 3" xfId="27295"/>
    <cellStyle name="40% - Accent5 6 6 2 3" xfId="27296"/>
    <cellStyle name="40% - Accent5 6 6 2 3 2" xfId="27297"/>
    <cellStyle name="40% - Accent5 6 6 2 4" xfId="27298"/>
    <cellStyle name="40% - Accent5 6 6 3" xfId="27299"/>
    <cellStyle name="40% - Accent5 6 6 3 2" xfId="27300"/>
    <cellStyle name="40% - Accent5 6 6 3 2 2" xfId="27301"/>
    <cellStyle name="40% - Accent5 6 6 3 3" xfId="27302"/>
    <cellStyle name="40% - Accent5 6 6 4" xfId="27303"/>
    <cellStyle name="40% - Accent5 6 6 4 2" xfId="27304"/>
    <cellStyle name="40% - Accent5 6 6 5" xfId="27305"/>
    <cellStyle name="40% - Accent5 6 6 5 2" xfId="27306"/>
    <cellStyle name="40% - Accent5 6 6 6" xfId="27307"/>
    <cellStyle name="40% - Accent5 6 7" xfId="27308"/>
    <cellStyle name="40% - Accent5 6 7 2" xfId="27309"/>
    <cellStyle name="40% - Accent5 6 7 2 2" xfId="27310"/>
    <cellStyle name="40% - Accent5 6 7 2 2 2" xfId="27311"/>
    <cellStyle name="40% - Accent5 6 7 2 3" xfId="27312"/>
    <cellStyle name="40% - Accent5 6 7 3" xfId="27313"/>
    <cellStyle name="40% - Accent5 6 7 3 2" xfId="27314"/>
    <cellStyle name="40% - Accent5 6 7 4" xfId="27315"/>
    <cellStyle name="40% - Accent5 6 8" xfId="27316"/>
    <cellStyle name="40% - Accent5 6 8 2" xfId="27317"/>
    <cellStyle name="40% - Accent5 6 8 2 2" xfId="27318"/>
    <cellStyle name="40% - Accent5 6 8 3" xfId="27319"/>
    <cellStyle name="40% - Accent5 6 9" xfId="27320"/>
    <cellStyle name="40% - Accent5 6 9 2" xfId="27321"/>
    <cellStyle name="40% - Accent5 7" xfId="27322"/>
    <cellStyle name="40% - Accent5 7 10" xfId="27323"/>
    <cellStyle name="40% - Accent5 7 10 2" xfId="27324"/>
    <cellStyle name="40% - Accent5 7 11" xfId="27325"/>
    <cellStyle name="40% - Accent5 7 2" xfId="27326"/>
    <cellStyle name="40% - Accent5 7 2 2" xfId="27327"/>
    <cellStyle name="40% - Accent5 7 2 2 2" xfId="27328"/>
    <cellStyle name="40% - Accent5 7 2 2 2 2" xfId="27329"/>
    <cellStyle name="40% - Accent5 7 2 2 2 2 2" xfId="27330"/>
    <cellStyle name="40% - Accent5 7 2 2 2 2 2 2" xfId="27331"/>
    <cellStyle name="40% - Accent5 7 2 2 2 2 3" xfId="27332"/>
    <cellStyle name="40% - Accent5 7 2 2 2 3" xfId="27333"/>
    <cellStyle name="40% - Accent5 7 2 2 2 3 2" xfId="27334"/>
    <cellStyle name="40% - Accent5 7 2 2 2 4" xfId="27335"/>
    <cellStyle name="40% - Accent5 7 2 2 3" xfId="27336"/>
    <cellStyle name="40% - Accent5 7 2 2 3 2" xfId="27337"/>
    <cellStyle name="40% - Accent5 7 2 2 3 2 2" xfId="27338"/>
    <cellStyle name="40% - Accent5 7 2 2 3 3" xfId="27339"/>
    <cellStyle name="40% - Accent5 7 2 2 4" xfId="27340"/>
    <cellStyle name="40% - Accent5 7 2 2 4 2" xfId="27341"/>
    <cellStyle name="40% - Accent5 7 2 2 5" xfId="27342"/>
    <cellStyle name="40% - Accent5 7 2 2 5 2" xfId="27343"/>
    <cellStyle name="40% - Accent5 7 2 2 6" xfId="27344"/>
    <cellStyle name="40% - Accent5 7 2 3" xfId="27345"/>
    <cellStyle name="40% - Accent5 7 2 3 2" xfId="27346"/>
    <cellStyle name="40% - Accent5 7 2 3 2 2" xfId="27347"/>
    <cellStyle name="40% - Accent5 7 2 3 2 2 2" xfId="27348"/>
    <cellStyle name="40% - Accent5 7 2 3 2 2 2 2" xfId="27349"/>
    <cellStyle name="40% - Accent5 7 2 3 2 2 3" xfId="27350"/>
    <cellStyle name="40% - Accent5 7 2 3 2 3" xfId="27351"/>
    <cellStyle name="40% - Accent5 7 2 3 2 3 2" xfId="27352"/>
    <cellStyle name="40% - Accent5 7 2 3 2 4" xfId="27353"/>
    <cellStyle name="40% - Accent5 7 2 3 3" xfId="27354"/>
    <cellStyle name="40% - Accent5 7 2 3 3 2" xfId="27355"/>
    <cellStyle name="40% - Accent5 7 2 3 3 2 2" xfId="27356"/>
    <cellStyle name="40% - Accent5 7 2 3 3 3" xfId="27357"/>
    <cellStyle name="40% - Accent5 7 2 3 4" xfId="27358"/>
    <cellStyle name="40% - Accent5 7 2 3 4 2" xfId="27359"/>
    <cellStyle name="40% - Accent5 7 2 3 5" xfId="27360"/>
    <cellStyle name="40% - Accent5 7 2 3 5 2" xfId="27361"/>
    <cellStyle name="40% - Accent5 7 2 3 6" xfId="27362"/>
    <cellStyle name="40% - Accent5 7 2 4" xfId="27363"/>
    <cellStyle name="40% - Accent5 7 2 4 2" xfId="27364"/>
    <cellStyle name="40% - Accent5 7 2 4 2 2" xfId="27365"/>
    <cellStyle name="40% - Accent5 7 2 4 2 2 2" xfId="27366"/>
    <cellStyle name="40% - Accent5 7 2 4 2 3" xfId="27367"/>
    <cellStyle name="40% - Accent5 7 2 4 3" xfId="27368"/>
    <cellStyle name="40% - Accent5 7 2 4 3 2" xfId="27369"/>
    <cellStyle name="40% - Accent5 7 2 4 4" xfId="27370"/>
    <cellStyle name="40% - Accent5 7 2 5" xfId="27371"/>
    <cellStyle name="40% - Accent5 7 2 5 2" xfId="27372"/>
    <cellStyle name="40% - Accent5 7 2 5 2 2" xfId="27373"/>
    <cellStyle name="40% - Accent5 7 2 5 3" xfId="27374"/>
    <cellStyle name="40% - Accent5 7 2 6" xfId="27375"/>
    <cellStyle name="40% - Accent5 7 2 6 2" xfId="27376"/>
    <cellStyle name="40% - Accent5 7 2 7" xfId="27377"/>
    <cellStyle name="40% - Accent5 7 2 7 2" xfId="27378"/>
    <cellStyle name="40% - Accent5 7 2 8" xfId="27379"/>
    <cellStyle name="40% - Accent5 7 3" xfId="27380"/>
    <cellStyle name="40% - Accent5 7 3 2" xfId="27381"/>
    <cellStyle name="40% - Accent5 7 3 2 2" xfId="27382"/>
    <cellStyle name="40% - Accent5 7 3 2 2 2" xfId="27383"/>
    <cellStyle name="40% - Accent5 7 3 2 2 2 2" xfId="27384"/>
    <cellStyle name="40% - Accent5 7 3 2 2 2 2 2" xfId="27385"/>
    <cellStyle name="40% - Accent5 7 3 2 2 2 3" xfId="27386"/>
    <cellStyle name="40% - Accent5 7 3 2 2 3" xfId="27387"/>
    <cellStyle name="40% - Accent5 7 3 2 2 3 2" xfId="27388"/>
    <cellStyle name="40% - Accent5 7 3 2 2 4" xfId="27389"/>
    <cellStyle name="40% - Accent5 7 3 2 3" xfId="27390"/>
    <cellStyle name="40% - Accent5 7 3 2 3 2" xfId="27391"/>
    <cellStyle name="40% - Accent5 7 3 2 3 2 2" xfId="27392"/>
    <cellStyle name="40% - Accent5 7 3 2 3 3" xfId="27393"/>
    <cellStyle name="40% - Accent5 7 3 2 4" xfId="27394"/>
    <cellStyle name="40% - Accent5 7 3 2 4 2" xfId="27395"/>
    <cellStyle name="40% - Accent5 7 3 2 5" xfId="27396"/>
    <cellStyle name="40% - Accent5 7 3 2 5 2" xfId="27397"/>
    <cellStyle name="40% - Accent5 7 3 2 6" xfId="27398"/>
    <cellStyle name="40% - Accent5 7 3 3" xfId="27399"/>
    <cellStyle name="40% - Accent5 7 3 3 2" xfId="27400"/>
    <cellStyle name="40% - Accent5 7 3 3 2 2" xfId="27401"/>
    <cellStyle name="40% - Accent5 7 3 3 2 2 2" xfId="27402"/>
    <cellStyle name="40% - Accent5 7 3 3 2 2 2 2" xfId="27403"/>
    <cellStyle name="40% - Accent5 7 3 3 2 2 3" xfId="27404"/>
    <cellStyle name="40% - Accent5 7 3 3 2 3" xfId="27405"/>
    <cellStyle name="40% - Accent5 7 3 3 2 3 2" xfId="27406"/>
    <cellStyle name="40% - Accent5 7 3 3 2 4" xfId="27407"/>
    <cellStyle name="40% - Accent5 7 3 3 3" xfId="27408"/>
    <cellStyle name="40% - Accent5 7 3 3 3 2" xfId="27409"/>
    <cellStyle name="40% - Accent5 7 3 3 3 2 2" xfId="27410"/>
    <cellStyle name="40% - Accent5 7 3 3 3 3" xfId="27411"/>
    <cellStyle name="40% - Accent5 7 3 3 4" xfId="27412"/>
    <cellStyle name="40% - Accent5 7 3 3 4 2" xfId="27413"/>
    <cellStyle name="40% - Accent5 7 3 3 5" xfId="27414"/>
    <cellStyle name="40% - Accent5 7 3 3 5 2" xfId="27415"/>
    <cellStyle name="40% - Accent5 7 3 3 6" xfId="27416"/>
    <cellStyle name="40% - Accent5 7 3 4" xfId="27417"/>
    <cellStyle name="40% - Accent5 7 3 4 2" xfId="27418"/>
    <cellStyle name="40% - Accent5 7 3 4 2 2" xfId="27419"/>
    <cellStyle name="40% - Accent5 7 3 4 2 2 2" xfId="27420"/>
    <cellStyle name="40% - Accent5 7 3 4 2 3" xfId="27421"/>
    <cellStyle name="40% - Accent5 7 3 4 3" xfId="27422"/>
    <cellStyle name="40% - Accent5 7 3 4 3 2" xfId="27423"/>
    <cellStyle name="40% - Accent5 7 3 4 4" xfId="27424"/>
    <cellStyle name="40% - Accent5 7 3 5" xfId="27425"/>
    <cellStyle name="40% - Accent5 7 3 5 2" xfId="27426"/>
    <cellStyle name="40% - Accent5 7 3 5 2 2" xfId="27427"/>
    <cellStyle name="40% - Accent5 7 3 5 3" xfId="27428"/>
    <cellStyle name="40% - Accent5 7 3 6" xfId="27429"/>
    <cellStyle name="40% - Accent5 7 3 6 2" xfId="27430"/>
    <cellStyle name="40% - Accent5 7 3 7" xfId="27431"/>
    <cellStyle name="40% - Accent5 7 3 7 2" xfId="27432"/>
    <cellStyle name="40% - Accent5 7 3 8" xfId="27433"/>
    <cellStyle name="40% - Accent5 7 4" xfId="27434"/>
    <cellStyle name="40% - Accent5 7 4 2" xfId="27435"/>
    <cellStyle name="40% - Accent5 7 4 2 2" xfId="27436"/>
    <cellStyle name="40% - Accent5 7 4 2 2 2" xfId="27437"/>
    <cellStyle name="40% - Accent5 7 4 2 2 2 2" xfId="27438"/>
    <cellStyle name="40% - Accent5 7 4 2 2 3" xfId="27439"/>
    <cellStyle name="40% - Accent5 7 4 2 3" xfId="27440"/>
    <cellStyle name="40% - Accent5 7 4 2 3 2" xfId="27441"/>
    <cellStyle name="40% - Accent5 7 4 2 4" xfId="27442"/>
    <cellStyle name="40% - Accent5 7 4 3" xfId="27443"/>
    <cellStyle name="40% - Accent5 7 4 3 2" xfId="27444"/>
    <cellStyle name="40% - Accent5 7 4 3 2 2" xfId="27445"/>
    <cellStyle name="40% - Accent5 7 4 3 3" xfId="27446"/>
    <cellStyle name="40% - Accent5 7 4 4" xfId="27447"/>
    <cellStyle name="40% - Accent5 7 4 4 2" xfId="27448"/>
    <cellStyle name="40% - Accent5 7 4 5" xfId="27449"/>
    <cellStyle name="40% - Accent5 7 4 5 2" xfId="27450"/>
    <cellStyle name="40% - Accent5 7 4 6" xfId="27451"/>
    <cellStyle name="40% - Accent5 7 5" xfId="27452"/>
    <cellStyle name="40% - Accent5 7 5 2" xfId="27453"/>
    <cellStyle name="40% - Accent5 7 5 2 2" xfId="27454"/>
    <cellStyle name="40% - Accent5 7 5 2 2 2" xfId="27455"/>
    <cellStyle name="40% - Accent5 7 5 2 2 2 2" xfId="27456"/>
    <cellStyle name="40% - Accent5 7 5 2 2 3" xfId="27457"/>
    <cellStyle name="40% - Accent5 7 5 2 3" xfId="27458"/>
    <cellStyle name="40% - Accent5 7 5 2 3 2" xfId="27459"/>
    <cellStyle name="40% - Accent5 7 5 2 4" xfId="27460"/>
    <cellStyle name="40% - Accent5 7 5 3" xfId="27461"/>
    <cellStyle name="40% - Accent5 7 5 3 2" xfId="27462"/>
    <cellStyle name="40% - Accent5 7 5 3 2 2" xfId="27463"/>
    <cellStyle name="40% - Accent5 7 5 3 3" xfId="27464"/>
    <cellStyle name="40% - Accent5 7 5 4" xfId="27465"/>
    <cellStyle name="40% - Accent5 7 5 4 2" xfId="27466"/>
    <cellStyle name="40% - Accent5 7 5 5" xfId="27467"/>
    <cellStyle name="40% - Accent5 7 5 5 2" xfId="27468"/>
    <cellStyle name="40% - Accent5 7 5 6" xfId="27469"/>
    <cellStyle name="40% - Accent5 7 6" xfId="27470"/>
    <cellStyle name="40% - Accent5 7 6 2" xfId="27471"/>
    <cellStyle name="40% - Accent5 7 6 2 2" xfId="27472"/>
    <cellStyle name="40% - Accent5 7 6 2 2 2" xfId="27473"/>
    <cellStyle name="40% - Accent5 7 6 2 2 2 2" xfId="27474"/>
    <cellStyle name="40% - Accent5 7 6 2 2 3" xfId="27475"/>
    <cellStyle name="40% - Accent5 7 6 2 3" xfId="27476"/>
    <cellStyle name="40% - Accent5 7 6 2 3 2" xfId="27477"/>
    <cellStyle name="40% - Accent5 7 6 2 4" xfId="27478"/>
    <cellStyle name="40% - Accent5 7 6 3" xfId="27479"/>
    <cellStyle name="40% - Accent5 7 6 3 2" xfId="27480"/>
    <cellStyle name="40% - Accent5 7 6 3 2 2" xfId="27481"/>
    <cellStyle name="40% - Accent5 7 6 3 3" xfId="27482"/>
    <cellStyle name="40% - Accent5 7 6 4" xfId="27483"/>
    <cellStyle name="40% - Accent5 7 6 4 2" xfId="27484"/>
    <cellStyle name="40% - Accent5 7 6 5" xfId="27485"/>
    <cellStyle name="40% - Accent5 7 6 5 2" xfId="27486"/>
    <cellStyle name="40% - Accent5 7 6 6" xfId="27487"/>
    <cellStyle name="40% - Accent5 7 7" xfId="27488"/>
    <cellStyle name="40% - Accent5 7 7 2" xfId="27489"/>
    <cellStyle name="40% - Accent5 7 7 2 2" xfId="27490"/>
    <cellStyle name="40% - Accent5 7 7 2 2 2" xfId="27491"/>
    <cellStyle name="40% - Accent5 7 7 2 3" xfId="27492"/>
    <cellStyle name="40% - Accent5 7 7 3" xfId="27493"/>
    <cellStyle name="40% - Accent5 7 7 3 2" xfId="27494"/>
    <cellStyle name="40% - Accent5 7 7 4" xfId="27495"/>
    <cellStyle name="40% - Accent5 7 8" xfId="27496"/>
    <cellStyle name="40% - Accent5 7 8 2" xfId="27497"/>
    <cellStyle name="40% - Accent5 7 8 2 2" xfId="27498"/>
    <cellStyle name="40% - Accent5 7 8 3" xfId="27499"/>
    <cellStyle name="40% - Accent5 7 9" xfId="27500"/>
    <cellStyle name="40% - Accent5 7 9 2" xfId="27501"/>
    <cellStyle name="40% - Accent5 8" xfId="27502"/>
    <cellStyle name="40% - Accent5 8 2" xfId="27503"/>
    <cellStyle name="40% - Accent5 8 2 2" xfId="27504"/>
    <cellStyle name="40% - Accent5 8 2 2 2" xfId="27505"/>
    <cellStyle name="40% - Accent5 8 2 2 2 2" xfId="27506"/>
    <cellStyle name="40% - Accent5 8 2 2 2 2 2" xfId="27507"/>
    <cellStyle name="40% - Accent5 8 2 2 2 3" xfId="27508"/>
    <cellStyle name="40% - Accent5 8 2 2 3" xfId="27509"/>
    <cellStyle name="40% - Accent5 8 2 2 3 2" xfId="27510"/>
    <cellStyle name="40% - Accent5 8 2 2 4" xfId="27511"/>
    <cellStyle name="40% - Accent5 8 2 3" xfId="27512"/>
    <cellStyle name="40% - Accent5 8 2 3 2" xfId="27513"/>
    <cellStyle name="40% - Accent5 8 2 3 2 2" xfId="27514"/>
    <cellStyle name="40% - Accent5 8 2 3 3" xfId="27515"/>
    <cellStyle name="40% - Accent5 8 2 4" xfId="27516"/>
    <cellStyle name="40% - Accent5 8 2 4 2" xfId="27517"/>
    <cellStyle name="40% - Accent5 8 2 5" xfId="27518"/>
    <cellStyle name="40% - Accent5 8 2 5 2" xfId="27519"/>
    <cellStyle name="40% - Accent5 8 2 6" xfId="27520"/>
    <cellStyle name="40% - Accent5 8 3" xfId="27521"/>
    <cellStyle name="40% - Accent5 8 3 2" xfId="27522"/>
    <cellStyle name="40% - Accent5 8 3 2 2" xfId="27523"/>
    <cellStyle name="40% - Accent5 8 3 2 2 2" xfId="27524"/>
    <cellStyle name="40% - Accent5 8 3 2 2 2 2" xfId="27525"/>
    <cellStyle name="40% - Accent5 8 3 2 2 3" xfId="27526"/>
    <cellStyle name="40% - Accent5 8 3 2 3" xfId="27527"/>
    <cellStyle name="40% - Accent5 8 3 2 3 2" xfId="27528"/>
    <cellStyle name="40% - Accent5 8 3 2 4" xfId="27529"/>
    <cellStyle name="40% - Accent5 8 3 3" xfId="27530"/>
    <cellStyle name="40% - Accent5 8 3 3 2" xfId="27531"/>
    <cellStyle name="40% - Accent5 8 3 3 2 2" xfId="27532"/>
    <cellStyle name="40% - Accent5 8 3 3 3" xfId="27533"/>
    <cellStyle name="40% - Accent5 8 3 4" xfId="27534"/>
    <cellStyle name="40% - Accent5 8 3 4 2" xfId="27535"/>
    <cellStyle name="40% - Accent5 8 3 5" xfId="27536"/>
    <cellStyle name="40% - Accent5 8 3 5 2" xfId="27537"/>
    <cellStyle name="40% - Accent5 8 3 6" xfId="27538"/>
    <cellStyle name="40% - Accent5 8 4" xfId="27539"/>
    <cellStyle name="40% - Accent5 8 4 2" xfId="27540"/>
    <cellStyle name="40% - Accent5 8 4 2 2" xfId="27541"/>
    <cellStyle name="40% - Accent5 8 4 2 2 2" xfId="27542"/>
    <cellStyle name="40% - Accent5 8 4 2 3" xfId="27543"/>
    <cellStyle name="40% - Accent5 8 4 3" xfId="27544"/>
    <cellStyle name="40% - Accent5 8 4 3 2" xfId="27545"/>
    <cellStyle name="40% - Accent5 8 4 4" xfId="27546"/>
    <cellStyle name="40% - Accent5 8 5" xfId="27547"/>
    <cellStyle name="40% - Accent5 8 5 2" xfId="27548"/>
    <cellStyle name="40% - Accent5 8 5 2 2" xfId="27549"/>
    <cellStyle name="40% - Accent5 8 5 3" xfId="27550"/>
    <cellStyle name="40% - Accent5 8 6" xfId="27551"/>
    <cellStyle name="40% - Accent5 8 6 2" xfId="27552"/>
    <cellStyle name="40% - Accent5 8 7" xfId="27553"/>
    <cellStyle name="40% - Accent5 8 7 2" xfId="27554"/>
    <cellStyle name="40% - Accent5 8 8" xfId="27555"/>
    <cellStyle name="40% - Accent5 9" xfId="27556"/>
    <cellStyle name="40% - Accent5 9 2" xfId="27557"/>
    <cellStyle name="40% - Accent5 9 2 2" xfId="27558"/>
    <cellStyle name="40% - Accent5 9 2 2 2" xfId="27559"/>
    <cellStyle name="40% - Accent5 9 2 2 2 2" xfId="27560"/>
    <cellStyle name="40% - Accent5 9 2 2 2 2 2" xfId="27561"/>
    <cellStyle name="40% - Accent5 9 2 2 2 3" xfId="27562"/>
    <cellStyle name="40% - Accent5 9 2 2 3" xfId="27563"/>
    <cellStyle name="40% - Accent5 9 2 2 3 2" xfId="27564"/>
    <cellStyle name="40% - Accent5 9 2 2 4" xfId="27565"/>
    <cellStyle name="40% - Accent5 9 2 3" xfId="27566"/>
    <cellStyle name="40% - Accent5 9 2 3 2" xfId="27567"/>
    <cellStyle name="40% - Accent5 9 2 3 2 2" xfId="27568"/>
    <cellStyle name="40% - Accent5 9 2 3 3" xfId="27569"/>
    <cellStyle name="40% - Accent5 9 2 4" xfId="27570"/>
    <cellStyle name="40% - Accent5 9 2 4 2" xfId="27571"/>
    <cellStyle name="40% - Accent5 9 2 5" xfId="27572"/>
    <cellStyle name="40% - Accent5 9 2 5 2" xfId="27573"/>
    <cellStyle name="40% - Accent5 9 2 6" xfId="27574"/>
    <cellStyle name="40% - Accent5 9 3" xfId="27575"/>
    <cellStyle name="40% - Accent5 9 3 2" xfId="27576"/>
    <cellStyle name="40% - Accent5 9 3 2 2" xfId="27577"/>
    <cellStyle name="40% - Accent5 9 3 2 2 2" xfId="27578"/>
    <cellStyle name="40% - Accent5 9 3 2 2 2 2" xfId="27579"/>
    <cellStyle name="40% - Accent5 9 3 2 2 3" xfId="27580"/>
    <cellStyle name="40% - Accent5 9 3 2 3" xfId="27581"/>
    <cellStyle name="40% - Accent5 9 3 2 3 2" xfId="27582"/>
    <cellStyle name="40% - Accent5 9 3 2 4" xfId="27583"/>
    <cellStyle name="40% - Accent5 9 3 3" xfId="27584"/>
    <cellStyle name="40% - Accent5 9 3 3 2" xfId="27585"/>
    <cellStyle name="40% - Accent5 9 3 3 2 2" xfId="27586"/>
    <cellStyle name="40% - Accent5 9 3 3 3" xfId="27587"/>
    <cellStyle name="40% - Accent5 9 3 4" xfId="27588"/>
    <cellStyle name="40% - Accent5 9 3 4 2" xfId="27589"/>
    <cellStyle name="40% - Accent5 9 3 5" xfId="27590"/>
    <cellStyle name="40% - Accent5 9 3 5 2" xfId="27591"/>
    <cellStyle name="40% - Accent5 9 3 6" xfId="27592"/>
    <cellStyle name="40% - Accent5 9 4" xfId="27593"/>
    <cellStyle name="40% - Accent5 9 4 2" xfId="27594"/>
    <cellStyle name="40% - Accent5 9 4 2 2" xfId="27595"/>
    <cellStyle name="40% - Accent5 9 4 2 2 2" xfId="27596"/>
    <cellStyle name="40% - Accent5 9 4 2 3" xfId="27597"/>
    <cellStyle name="40% - Accent5 9 4 3" xfId="27598"/>
    <cellStyle name="40% - Accent5 9 4 3 2" xfId="27599"/>
    <cellStyle name="40% - Accent5 9 4 4" xfId="27600"/>
    <cellStyle name="40% - Accent5 9 5" xfId="27601"/>
    <cellStyle name="40% - Accent5 9 5 2" xfId="27602"/>
    <cellStyle name="40% - Accent5 9 5 2 2" xfId="27603"/>
    <cellStyle name="40% - Accent5 9 5 3" xfId="27604"/>
    <cellStyle name="40% - Accent5 9 6" xfId="27605"/>
    <cellStyle name="40% - Accent5 9 6 2" xfId="27606"/>
    <cellStyle name="40% - Accent5 9 7" xfId="27607"/>
    <cellStyle name="40% - Accent5 9 7 2" xfId="27608"/>
    <cellStyle name="40% - Accent5 9 8" xfId="27609"/>
    <cellStyle name="40% - Accent6 10" xfId="27610"/>
    <cellStyle name="40% - Accent6 10 2" xfId="27611"/>
    <cellStyle name="40% - Accent6 10 2 2" xfId="27612"/>
    <cellStyle name="40% - Accent6 10 2 2 2" xfId="27613"/>
    <cellStyle name="40% - Accent6 10 2 2 2 2" xfId="27614"/>
    <cellStyle name="40% - Accent6 10 2 2 3" xfId="27615"/>
    <cellStyle name="40% - Accent6 10 2 3" xfId="27616"/>
    <cellStyle name="40% - Accent6 10 2 3 2" xfId="27617"/>
    <cellStyle name="40% - Accent6 10 2 4" xfId="27618"/>
    <cellStyle name="40% - Accent6 10 3" xfId="27619"/>
    <cellStyle name="40% - Accent6 10 3 2" xfId="27620"/>
    <cellStyle name="40% - Accent6 10 3 2 2" xfId="27621"/>
    <cellStyle name="40% - Accent6 10 3 3" xfId="27622"/>
    <cellStyle name="40% - Accent6 10 4" xfId="27623"/>
    <cellStyle name="40% - Accent6 10 4 2" xfId="27624"/>
    <cellStyle name="40% - Accent6 10 5" xfId="27625"/>
    <cellStyle name="40% - Accent6 10 5 2" xfId="27626"/>
    <cellStyle name="40% - Accent6 10 6" xfId="27627"/>
    <cellStyle name="40% - Accent6 11" xfId="27628"/>
    <cellStyle name="40% - Accent6 11 2" xfId="27629"/>
    <cellStyle name="40% - Accent6 11 2 2" xfId="27630"/>
    <cellStyle name="40% - Accent6 11 2 2 2" xfId="27631"/>
    <cellStyle name="40% - Accent6 11 2 2 2 2" xfId="27632"/>
    <cellStyle name="40% - Accent6 11 2 2 3" xfId="27633"/>
    <cellStyle name="40% - Accent6 11 2 3" xfId="27634"/>
    <cellStyle name="40% - Accent6 11 2 3 2" xfId="27635"/>
    <cellStyle name="40% - Accent6 11 2 4" xfId="27636"/>
    <cellStyle name="40% - Accent6 11 3" xfId="27637"/>
    <cellStyle name="40% - Accent6 11 3 2" xfId="27638"/>
    <cellStyle name="40% - Accent6 11 3 2 2" xfId="27639"/>
    <cellStyle name="40% - Accent6 11 3 3" xfId="27640"/>
    <cellStyle name="40% - Accent6 11 4" xfId="27641"/>
    <cellStyle name="40% - Accent6 11 4 2" xfId="27642"/>
    <cellStyle name="40% - Accent6 11 5" xfId="27643"/>
    <cellStyle name="40% - Accent6 11 5 2" xfId="27644"/>
    <cellStyle name="40% - Accent6 11 6" xfId="27645"/>
    <cellStyle name="40% - Accent6 12" xfId="27646"/>
    <cellStyle name="40% - Accent6 12 2" xfId="27647"/>
    <cellStyle name="40% - Accent6 12 2 2" xfId="27648"/>
    <cellStyle name="40% - Accent6 12 2 2 2" xfId="27649"/>
    <cellStyle name="40% - Accent6 12 2 2 2 2" xfId="27650"/>
    <cellStyle name="40% - Accent6 12 2 2 3" xfId="27651"/>
    <cellStyle name="40% - Accent6 12 2 3" xfId="27652"/>
    <cellStyle name="40% - Accent6 12 2 3 2" xfId="27653"/>
    <cellStyle name="40% - Accent6 12 2 4" xfId="27654"/>
    <cellStyle name="40% - Accent6 12 3" xfId="27655"/>
    <cellStyle name="40% - Accent6 12 3 2" xfId="27656"/>
    <cellStyle name="40% - Accent6 12 3 2 2" xfId="27657"/>
    <cellStyle name="40% - Accent6 12 3 3" xfId="27658"/>
    <cellStyle name="40% - Accent6 12 4" xfId="27659"/>
    <cellStyle name="40% - Accent6 12 4 2" xfId="27660"/>
    <cellStyle name="40% - Accent6 12 5" xfId="27661"/>
    <cellStyle name="40% - Accent6 12 5 2" xfId="27662"/>
    <cellStyle name="40% - Accent6 12 6" xfId="27663"/>
    <cellStyle name="40% - Accent6 13" xfId="27664"/>
    <cellStyle name="40% - Accent6 13 2" xfId="27665"/>
    <cellStyle name="40% - Accent6 13 2 2" xfId="27666"/>
    <cellStyle name="40% - Accent6 13 2 2 2" xfId="27667"/>
    <cellStyle name="40% - Accent6 13 2 2 2 2" xfId="27668"/>
    <cellStyle name="40% - Accent6 13 2 2 3" xfId="27669"/>
    <cellStyle name="40% - Accent6 13 2 3" xfId="27670"/>
    <cellStyle name="40% - Accent6 13 2 3 2" xfId="27671"/>
    <cellStyle name="40% - Accent6 13 2 4" xfId="27672"/>
    <cellStyle name="40% - Accent6 13 3" xfId="27673"/>
    <cellStyle name="40% - Accent6 13 3 2" xfId="27674"/>
    <cellStyle name="40% - Accent6 13 3 2 2" xfId="27675"/>
    <cellStyle name="40% - Accent6 13 3 3" xfId="27676"/>
    <cellStyle name="40% - Accent6 13 4" xfId="27677"/>
    <cellStyle name="40% - Accent6 13 4 2" xfId="27678"/>
    <cellStyle name="40% - Accent6 13 5" xfId="27679"/>
    <cellStyle name="40% - Accent6 13 5 2" xfId="27680"/>
    <cellStyle name="40% - Accent6 13 6" xfId="27681"/>
    <cellStyle name="40% - Accent6 14" xfId="27682"/>
    <cellStyle name="40% - Accent6 14 2" xfId="27683"/>
    <cellStyle name="40% - Accent6 14 2 2" xfId="27684"/>
    <cellStyle name="40% - Accent6 14 2 2 2" xfId="27685"/>
    <cellStyle name="40% - Accent6 14 2 3" xfId="27686"/>
    <cellStyle name="40% - Accent6 14 3" xfId="27687"/>
    <cellStyle name="40% - Accent6 14 3 2" xfId="27688"/>
    <cellStyle name="40% - Accent6 14 4" xfId="27689"/>
    <cellStyle name="40% - Accent6 15" xfId="27690"/>
    <cellStyle name="40% - Accent6 15 2" xfId="27691"/>
    <cellStyle name="40% - Accent6 15 2 2" xfId="27692"/>
    <cellStyle name="40% - Accent6 15 3" xfId="27693"/>
    <cellStyle name="40% - Accent6 16" xfId="27694"/>
    <cellStyle name="40% - Accent6 16 2" xfId="27695"/>
    <cellStyle name="40% - Accent6 17" xfId="27696"/>
    <cellStyle name="40% - Accent6 17 2" xfId="27697"/>
    <cellStyle name="40% - Accent6 18" xfId="27698"/>
    <cellStyle name="40% - Accent6 2" xfId="27699"/>
    <cellStyle name="40% - Accent6 2 2" xfId="27700"/>
    <cellStyle name="40% - Accent6 3" xfId="27701"/>
    <cellStyle name="40% - Accent6 3 10" xfId="27702"/>
    <cellStyle name="40% - Accent6 3 10 2" xfId="27703"/>
    <cellStyle name="40% - Accent6 3 10 2 2" xfId="27704"/>
    <cellStyle name="40% - Accent6 3 10 2 2 2" xfId="27705"/>
    <cellStyle name="40% - Accent6 3 10 2 2 2 2" xfId="27706"/>
    <cellStyle name="40% - Accent6 3 10 2 2 3" xfId="27707"/>
    <cellStyle name="40% - Accent6 3 10 2 3" xfId="27708"/>
    <cellStyle name="40% - Accent6 3 10 2 3 2" xfId="27709"/>
    <cellStyle name="40% - Accent6 3 10 2 4" xfId="27710"/>
    <cellStyle name="40% - Accent6 3 10 3" xfId="27711"/>
    <cellStyle name="40% - Accent6 3 10 3 2" xfId="27712"/>
    <cellStyle name="40% - Accent6 3 10 3 2 2" xfId="27713"/>
    <cellStyle name="40% - Accent6 3 10 3 3" xfId="27714"/>
    <cellStyle name="40% - Accent6 3 10 4" xfId="27715"/>
    <cellStyle name="40% - Accent6 3 10 4 2" xfId="27716"/>
    <cellStyle name="40% - Accent6 3 10 5" xfId="27717"/>
    <cellStyle name="40% - Accent6 3 10 5 2" xfId="27718"/>
    <cellStyle name="40% - Accent6 3 10 6" xfId="27719"/>
    <cellStyle name="40% - Accent6 3 11" xfId="27720"/>
    <cellStyle name="40% - Accent6 3 11 2" xfId="27721"/>
    <cellStyle name="40% - Accent6 3 11 2 2" xfId="27722"/>
    <cellStyle name="40% - Accent6 3 11 2 2 2" xfId="27723"/>
    <cellStyle name="40% - Accent6 3 11 2 2 2 2" xfId="27724"/>
    <cellStyle name="40% - Accent6 3 11 2 2 3" xfId="27725"/>
    <cellStyle name="40% - Accent6 3 11 2 3" xfId="27726"/>
    <cellStyle name="40% - Accent6 3 11 2 3 2" xfId="27727"/>
    <cellStyle name="40% - Accent6 3 11 2 4" xfId="27728"/>
    <cellStyle name="40% - Accent6 3 11 3" xfId="27729"/>
    <cellStyle name="40% - Accent6 3 11 3 2" xfId="27730"/>
    <cellStyle name="40% - Accent6 3 11 3 2 2" xfId="27731"/>
    <cellStyle name="40% - Accent6 3 11 3 3" xfId="27732"/>
    <cellStyle name="40% - Accent6 3 11 4" xfId="27733"/>
    <cellStyle name="40% - Accent6 3 11 4 2" xfId="27734"/>
    <cellStyle name="40% - Accent6 3 11 5" xfId="27735"/>
    <cellStyle name="40% - Accent6 3 11 5 2" xfId="27736"/>
    <cellStyle name="40% - Accent6 3 11 6" xfId="27737"/>
    <cellStyle name="40% - Accent6 3 12" xfId="27738"/>
    <cellStyle name="40% - Accent6 3 12 2" xfId="27739"/>
    <cellStyle name="40% - Accent6 3 12 2 2" xfId="27740"/>
    <cellStyle name="40% - Accent6 3 12 2 2 2" xfId="27741"/>
    <cellStyle name="40% - Accent6 3 12 2 3" xfId="27742"/>
    <cellStyle name="40% - Accent6 3 12 3" xfId="27743"/>
    <cellStyle name="40% - Accent6 3 12 3 2" xfId="27744"/>
    <cellStyle name="40% - Accent6 3 12 4" xfId="27745"/>
    <cellStyle name="40% - Accent6 3 13" xfId="27746"/>
    <cellStyle name="40% - Accent6 3 13 2" xfId="27747"/>
    <cellStyle name="40% - Accent6 3 13 2 2" xfId="27748"/>
    <cellStyle name="40% - Accent6 3 13 3" xfId="27749"/>
    <cellStyle name="40% - Accent6 3 13 4" xfId="27750"/>
    <cellStyle name="40% - Accent6 3 14" xfId="27751"/>
    <cellStyle name="40% - Accent6 3 14 2" xfId="27752"/>
    <cellStyle name="40% - Accent6 3 15" xfId="27753"/>
    <cellStyle name="40% - Accent6 3 15 2" xfId="27754"/>
    <cellStyle name="40% - Accent6 3 16" xfId="27755"/>
    <cellStyle name="40% - Accent6 3 2" xfId="27756"/>
    <cellStyle name="40% - Accent6 3 2 10" xfId="27757"/>
    <cellStyle name="40% - Accent6 3 2 10 2" xfId="27758"/>
    <cellStyle name="40% - Accent6 3 2 10 2 2" xfId="27759"/>
    <cellStyle name="40% - Accent6 3 2 10 2 2 2" xfId="27760"/>
    <cellStyle name="40% - Accent6 3 2 10 2 2 2 2" xfId="27761"/>
    <cellStyle name="40% - Accent6 3 2 10 2 2 3" xfId="27762"/>
    <cellStyle name="40% - Accent6 3 2 10 2 3" xfId="27763"/>
    <cellStyle name="40% - Accent6 3 2 10 2 3 2" xfId="27764"/>
    <cellStyle name="40% - Accent6 3 2 10 2 4" xfId="27765"/>
    <cellStyle name="40% - Accent6 3 2 10 3" xfId="27766"/>
    <cellStyle name="40% - Accent6 3 2 10 3 2" xfId="27767"/>
    <cellStyle name="40% - Accent6 3 2 10 3 2 2" xfId="27768"/>
    <cellStyle name="40% - Accent6 3 2 10 3 3" xfId="27769"/>
    <cellStyle name="40% - Accent6 3 2 10 4" xfId="27770"/>
    <cellStyle name="40% - Accent6 3 2 10 4 2" xfId="27771"/>
    <cellStyle name="40% - Accent6 3 2 10 5" xfId="27772"/>
    <cellStyle name="40% - Accent6 3 2 10 5 2" xfId="27773"/>
    <cellStyle name="40% - Accent6 3 2 10 6" xfId="27774"/>
    <cellStyle name="40% - Accent6 3 2 11" xfId="27775"/>
    <cellStyle name="40% - Accent6 3 2 11 2" xfId="27776"/>
    <cellStyle name="40% - Accent6 3 2 11 2 2" xfId="27777"/>
    <cellStyle name="40% - Accent6 3 2 11 2 2 2" xfId="27778"/>
    <cellStyle name="40% - Accent6 3 2 11 2 3" xfId="27779"/>
    <cellStyle name="40% - Accent6 3 2 11 3" xfId="27780"/>
    <cellStyle name="40% - Accent6 3 2 11 3 2" xfId="27781"/>
    <cellStyle name="40% - Accent6 3 2 11 4" xfId="27782"/>
    <cellStyle name="40% - Accent6 3 2 12" xfId="27783"/>
    <cellStyle name="40% - Accent6 3 2 12 2" xfId="27784"/>
    <cellStyle name="40% - Accent6 3 2 12 2 2" xfId="27785"/>
    <cellStyle name="40% - Accent6 3 2 12 3" xfId="27786"/>
    <cellStyle name="40% - Accent6 3 2 13" xfId="27787"/>
    <cellStyle name="40% - Accent6 3 2 13 2" xfId="27788"/>
    <cellStyle name="40% - Accent6 3 2 14" xfId="27789"/>
    <cellStyle name="40% - Accent6 3 2 14 2" xfId="27790"/>
    <cellStyle name="40% - Accent6 3 2 15" xfId="27791"/>
    <cellStyle name="40% - Accent6 3 2 2" xfId="27792"/>
    <cellStyle name="40% - Accent6 3 2 2 10" xfId="27793"/>
    <cellStyle name="40% - Accent6 3 2 2 10 2" xfId="27794"/>
    <cellStyle name="40% - Accent6 3 2 2 11" xfId="27795"/>
    <cellStyle name="40% - Accent6 3 2 2 2" xfId="27796"/>
    <cellStyle name="40% - Accent6 3 2 2 2 2" xfId="27797"/>
    <cellStyle name="40% - Accent6 3 2 2 2 2 2" xfId="27798"/>
    <cellStyle name="40% - Accent6 3 2 2 2 2 2 2" xfId="27799"/>
    <cellStyle name="40% - Accent6 3 2 2 2 2 2 2 2" xfId="27800"/>
    <cellStyle name="40% - Accent6 3 2 2 2 2 2 2 2 2" xfId="27801"/>
    <cellStyle name="40% - Accent6 3 2 2 2 2 2 2 3" xfId="27802"/>
    <cellStyle name="40% - Accent6 3 2 2 2 2 2 3" xfId="27803"/>
    <cellStyle name="40% - Accent6 3 2 2 2 2 2 3 2" xfId="27804"/>
    <cellStyle name="40% - Accent6 3 2 2 2 2 2 4" xfId="27805"/>
    <cellStyle name="40% - Accent6 3 2 2 2 2 3" xfId="27806"/>
    <cellStyle name="40% - Accent6 3 2 2 2 2 3 2" xfId="27807"/>
    <cellStyle name="40% - Accent6 3 2 2 2 2 3 2 2" xfId="27808"/>
    <cellStyle name="40% - Accent6 3 2 2 2 2 3 3" xfId="27809"/>
    <cellStyle name="40% - Accent6 3 2 2 2 2 4" xfId="27810"/>
    <cellStyle name="40% - Accent6 3 2 2 2 2 4 2" xfId="27811"/>
    <cellStyle name="40% - Accent6 3 2 2 2 2 5" xfId="27812"/>
    <cellStyle name="40% - Accent6 3 2 2 2 2 5 2" xfId="27813"/>
    <cellStyle name="40% - Accent6 3 2 2 2 2 6" xfId="27814"/>
    <cellStyle name="40% - Accent6 3 2 2 2 3" xfId="27815"/>
    <cellStyle name="40% - Accent6 3 2 2 2 3 2" xfId="27816"/>
    <cellStyle name="40% - Accent6 3 2 2 2 3 2 2" xfId="27817"/>
    <cellStyle name="40% - Accent6 3 2 2 2 3 2 2 2" xfId="27818"/>
    <cellStyle name="40% - Accent6 3 2 2 2 3 2 2 2 2" xfId="27819"/>
    <cellStyle name="40% - Accent6 3 2 2 2 3 2 2 3" xfId="27820"/>
    <cellStyle name="40% - Accent6 3 2 2 2 3 2 3" xfId="27821"/>
    <cellStyle name="40% - Accent6 3 2 2 2 3 2 3 2" xfId="27822"/>
    <cellStyle name="40% - Accent6 3 2 2 2 3 2 4" xfId="27823"/>
    <cellStyle name="40% - Accent6 3 2 2 2 3 3" xfId="27824"/>
    <cellStyle name="40% - Accent6 3 2 2 2 3 3 2" xfId="27825"/>
    <cellStyle name="40% - Accent6 3 2 2 2 3 3 2 2" xfId="27826"/>
    <cellStyle name="40% - Accent6 3 2 2 2 3 3 3" xfId="27827"/>
    <cellStyle name="40% - Accent6 3 2 2 2 3 4" xfId="27828"/>
    <cellStyle name="40% - Accent6 3 2 2 2 3 4 2" xfId="27829"/>
    <cellStyle name="40% - Accent6 3 2 2 2 3 5" xfId="27830"/>
    <cellStyle name="40% - Accent6 3 2 2 2 3 5 2" xfId="27831"/>
    <cellStyle name="40% - Accent6 3 2 2 2 3 6" xfId="27832"/>
    <cellStyle name="40% - Accent6 3 2 2 2 4" xfId="27833"/>
    <cellStyle name="40% - Accent6 3 2 2 2 4 2" xfId="27834"/>
    <cellStyle name="40% - Accent6 3 2 2 2 4 2 2" xfId="27835"/>
    <cellStyle name="40% - Accent6 3 2 2 2 4 2 2 2" xfId="27836"/>
    <cellStyle name="40% - Accent6 3 2 2 2 4 2 3" xfId="27837"/>
    <cellStyle name="40% - Accent6 3 2 2 2 4 3" xfId="27838"/>
    <cellStyle name="40% - Accent6 3 2 2 2 4 3 2" xfId="27839"/>
    <cellStyle name="40% - Accent6 3 2 2 2 4 4" xfId="27840"/>
    <cellStyle name="40% - Accent6 3 2 2 2 5" xfId="27841"/>
    <cellStyle name="40% - Accent6 3 2 2 2 5 2" xfId="27842"/>
    <cellStyle name="40% - Accent6 3 2 2 2 5 2 2" xfId="27843"/>
    <cellStyle name="40% - Accent6 3 2 2 2 5 3" xfId="27844"/>
    <cellStyle name="40% - Accent6 3 2 2 2 6" xfId="27845"/>
    <cellStyle name="40% - Accent6 3 2 2 2 6 2" xfId="27846"/>
    <cellStyle name="40% - Accent6 3 2 2 2 7" xfId="27847"/>
    <cellStyle name="40% - Accent6 3 2 2 2 7 2" xfId="27848"/>
    <cellStyle name="40% - Accent6 3 2 2 2 8" xfId="27849"/>
    <cellStyle name="40% - Accent6 3 2 2 3" xfId="27850"/>
    <cellStyle name="40% - Accent6 3 2 2 3 2" xfId="27851"/>
    <cellStyle name="40% - Accent6 3 2 2 3 2 2" xfId="27852"/>
    <cellStyle name="40% - Accent6 3 2 2 3 2 2 2" xfId="27853"/>
    <cellStyle name="40% - Accent6 3 2 2 3 2 2 2 2" xfId="27854"/>
    <cellStyle name="40% - Accent6 3 2 2 3 2 2 2 2 2" xfId="27855"/>
    <cellStyle name="40% - Accent6 3 2 2 3 2 2 2 3" xfId="27856"/>
    <cellStyle name="40% - Accent6 3 2 2 3 2 2 3" xfId="27857"/>
    <cellStyle name="40% - Accent6 3 2 2 3 2 2 3 2" xfId="27858"/>
    <cellStyle name="40% - Accent6 3 2 2 3 2 2 4" xfId="27859"/>
    <cellStyle name="40% - Accent6 3 2 2 3 2 3" xfId="27860"/>
    <cellStyle name="40% - Accent6 3 2 2 3 2 3 2" xfId="27861"/>
    <cellStyle name="40% - Accent6 3 2 2 3 2 3 2 2" xfId="27862"/>
    <cellStyle name="40% - Accent6 3 2 2 3 2 3 3" xfId="27863"/>
    <cellStyle name="40% - Accent6 3 2 2 3 2 4" xfId="27864"/>
    <cellStyle name="40% - Accent6 3 2 2 3 2 4 2" xfId="27865"/>
    <cellStyle name="40% - Accent6 3 2 2 3 2 5" xfId="27866"/>
    <cellStyle name="40% - Accent6 3 2 2 3 2 5 2" xfId="27867"/>
    <cellStyle name="40% - Accent6 3 2 2 3 2 6" xfId="27868"/>
    <cellStyle name="40% - Accent6 3 2 2 3 3" xfId="27869"/>
    <cellStyle name="40% - Accent6 3 2 2 3 3 2" xfId="27870"/>
    <cellStyle name="40% - Accent6 3 2 2 3 3 2 2" xfId="27871"/>
    <cellStyle name="40% - Accent6 3 2 2 3 3 2 2 2" xfId="27872"/>
    <cellStyle name="40% - Accent6 3 2 2 3 3 2 2 2 2" xfId="27873"/>
    <cellStyle name="40% - Accent6 3 2 2 3 3 2 2 3" xfId="27874"/>
    <cellStyle name="40% - Accent6 3 2 2 3 3 2 3" xfId="27875"/>
    <cellStyle name="40% - Accent6 3 2 2 3 3 2 3 2" xfId="27876"/>
    <cellStyle name="40% - Accent6 3 2 2 3 3 2 4" xfId="27877"/>
    <cellStyle name="40% - Accent6 3 2 2 3 3 3" xfId="27878"/>
    <cellStyle name="40% - Accent6 3 2 2 3 3 3 2" xfId="27879"/>
    <cellStyle name="40% - Accent6 3 2 2 3 3 3 2 2" xfId="27880"/>
    <cellStyle name="40% - Accent6 3 2 2 3 3 3 3" xfId="27881"/>
    <cellStyle name="40% - Accent6 3 2 2 3 3 4" xfId="27882"/>
    <cellStyle name="40% - Accent6 3 2 2 3 3 4 2" xfId="27883"/>
    <cellStyle name="40% - Accent6 3 2 2 3 3 5" xfId="27884"/>
    <cellStyle name="40% - Accent6 3 2 2 3 3 5 2" xfId="27885"/>
    <cellStyle name="40% - Accent6 3 2 2 3 3 6" xfId="27886"/>
    <cellStyle name="40% - Accent6 3 2 2 3 4" xfId="27887"/>
    <cellStyle name="40% - Accent6 3 2 2 3 4 2" xfId="27888"/>
    <cellStyle name="40% - Accent6 3 2 2 3 4 2 2" xfId="27889"/>
    <cellStyle name="40% - Accent6 3 2 2 3 4 2 2 2" xfId="27890"/>
    <cellStyle name="40% - Accent6 3 2 2 3 4 2 3" xfId="27891"/>
    <cellStyle name="40% - Accent6 3 2 2 3 4 3" xfId="27892"/>
    <cellStyle name="40% - Accent6 3 2 2 3 4 3 2" xfId="27893"/>
    <cellStyle name="40% - Accent6 3 2 2 3 4 4" xfId="27894"/>
    <cellStyle name="40% - Accent6 3 2 2 3 5" xfId="27895"/>
    <cellStyle name="40% - Accent6 3 2 2 3 5 2" xfId="27896"/>
    <cellStyle name="40% - Accent6 3 2 2 3 5 2 2" xfId="27897"/>
    <cellStyle name="40% - Accent6 3 2 2 3 5 3" xfId="27898"/>
    <cellStyle name="40% - Accent6 3 2 2 3 6" xfId="27899"/>
    <cellStyle name="40% - Accent6 3 2 2 3 6 2" xfId="27900"/>
    <cellStyle name="40% - Accent6 3 2 2 3 7" xfId="27901"/>
    <cellStyle name="40% - Accent6 3 2 2 3 7 2" xfId="27902"/>
    <cellStyle name="40% - Accent6 3 2 2 3 8" xfId="27903"/>
    <cellStyle name="40% - Accent6 3 2 2 4" xfId="27904"/>
    <cellStyle name="40% - Accent6 3 2 2 4 2" xfId="27905"/>
    <cellStyle name="40% - Accent6 3 2 2 4 2 2" xfId="27906"/>
    <cellStyle name="40% - Accent6 3 2 2 4 2 2 2" xfId="27907"/>
    <cellStyle name="40% - Accent6 3 2 2 4 2 2 2 2" xfId="27908"/>
    <cellStyle name="40% - Accent6 3 2 2 4 2 2 3" xfId="27909"/>
    <cellStyle name="40% - Accent6 3 2 2 4 2 3" xfId="27910"/>
    <cellStyle name="40% - Accent6 3 2 2 4 2 3 2" xfId="27911"/>
    <cellStyle name="40% - Accent6 3 2 2 4 2 4" xfId="27912"/>
    <cellStyle name="40% - Accent6 3 2 2 4 3" xfId="27913"/>
    <cellStyle name="40% - Accent6 3 2 2 4 3 2" xfId="27914"/>
    <cellStyle name="40% - Accent6 3 2 2 4 3 2 2" xfId="27915"/>
    <cellStyle name="40% - Accent6 3 2 2 4 3 3" xfId="27916"/>
    <cellStyle name="40% - Accent6 3 2 2 4 4" xfId="27917"/>
    <cellStyle name="40% - Accent6 3 2 2 4 4 2" xfId="27918"/>
    <cellStyle name="40% - Accent6 3 2 2 4 5" xfId="27919"/>
    <cellStyle name="40% - Accent6 3 2 2 4 5 2" xfId="27920"/>
    <cellStyle name="40% - Accent6 3 2 2 4 6" xfId="27921"/>
    <cellStyle name="40% - Accent6 3 2 2 5" xfId="27922"/>
    <cellStyle name="40% - Accent6 3 2 2 5 2" xfId="27923"/>
    <cellStyle name="40% - Accent6 3 2 2 5 2 2" xfId="27924"/>
    <cellStyle name="40% - Accent6 3 2 2 5 2 2 2" xfId="27925"/>
    <cellStyle name="40% - Accent6 3 2 2 5 2 2 2 2" xfId="27926"/>
    <cellStyle name="40% - Accent6 3 2 2 5 2 2 3" xfId="27927"/>
    <cellStyle name="40% - Accent6 3 2 2 5 2 3" xfId="27928"/>
    <cellStyle name="40% - Accent6 3 2 2 5 2 3 2" xfId="27929"/>
    <cellStyle name="40% - Accent6 3 2 2 5 2 4" xfId="27930"/>
    <cellStyle name="40% - Accent6 3 2 2 5 3" xfId="27931"/>
    <cellStyle name="40% - Accent6 3 2 2 5 3 2" xfId="27932"/>
    <cellStyle name="40% - Accent6 3 2 2 5 3 2 2" xfId="27933"/>
    <cellStyle name="40% - Accent6 3 2 2 5 3 3" xfId="27934"/>
    <cellStyle name="40% - Accent6 3 2 2 5 4" xfId="27935"/>
    <cellStyle name="40% - Accent6 3 2 2 5 4 2" xfId="27936"/>
    <cellStyle name="40% - Accent6 3 2 2 5 5" xfId="27937"/>
    <cellStyle name="40% - Accent6 3 2 2 5 5 2" xfId="27938"/>
    <cellStyle name="40% - Accent6 3 2 2 5 6" xfId="27939"/>
    <cellStyle name="40% - Accent6 3 2 2 6" xfId="27940"/>
    <cellStyle name="40% - Accent6 3 2 2 6 2" xfId="27941"/>
    <cellStyle name="40% - Accent6 3 2 2 6 2 2" xfId="27942"/>
    <cellStyle name="40% - Accent6 3 2 2 6 2 2 2" xfId="27943"/>
    <cellStyle name="40% - Accent6 3 2 2 6 2 2 2 2" xfId="27944"/>
    <cellStyle name="40% - Accent6 3 2 2 6 2 2 3" xfId="27945"/>
    <cellStyle name="40% - Accent6 3 2 2 6 2 3" xfId="27946"/>
    <cellStyle name="40% - Accent6 3 2 2 6 2 3 2" xfId="27947"/>
    <cellStyle name="40% - Accent6 3 2 2 6 2 4" xfId="27948"/>
    <cellStyle name="40% - Accent6 3 2 2 6 3" xfId="27949"/>
    <cellStyle name="40% - Accent6 3 2 2 6 3 2" xfId="27950"/>
    <cellStyle name="40% - Accent6 3 2 2 6 3 2 2" xfId="27951"/>
    <cellStyle name="40% - Accent6 3 2 2 6 3 3" xfId="27952"/>
    <cellStyle name="40% - Accent6 3 2 2 6 4" xfId="27953"/>
    <cellStyle name="40% - Accent6 3 2 2 6 4 2" xfId="27954"/>
    <cellStyle name="40% - Accent6 3 2 2 6 5" xfId="27955"/>
    <cellStyle name="40% - Accent6 3 2 2 6 5 2" xfId="27956"/>
    <cellStyle name="40% - Accent6 3 2 2 6 6" xfId="27957"/>
    <cellStyle name="40% - Accent6 3 2 2 7" xfId="27958"/>
    <cellStyle name="40% - Accent6 3 2 2 7 2" xfId="27959"/>
    <cellStyle name="40% - Accent6 3 2 2 7 2 2" xfId="27960"/>
    <cellStyle name="40% - Accent6 3 2 2 7 2 2 2" xfId="27961"/>
    <cellStyle name="40% - Accent6 3 2 2 7 2 3" xfId="27962"/>
    <cellStyle name="40% - Accent6 3 2 2 7 3" xfId="27963"/>
    <cellStyle name="40% - Accent6 3 2 2 7 3 2" xfId="27964"/>
    <cellStyle name="40% - Accent6 3 2 2 7 4" xfId="27965"/>
    <cellStyle name="40% - Accent6 3 2 2 8" xfId="27966"/>
    <cellStyle name="40% - Accent6 3 2 2 8 2" xfId="27967"/>
    <cellStyle name="40% - Accent6 3 2 2 8 2 2" xfId="27968"/>
    <cellStyle name="40% - Accent6 3 2 2 8 3" xfId="27969"/>
    <cellStyle name="40% - Accent6 3 2 2 9" xfId="27970"/>
    <cellStyle name="40% - Accent6 3 2 2 9 2" xfId="27971"/>
    <cellStyle name="40% - Accent6 3 2 3" xfId="27972"/>
    <cellStyle name="40% - Accent6 3 2 3 10" xfId="27973"/>
    <cellStyle name="40% - Accent6 3 2 3 10 2" xfId="27974"/>
    <cellStyle name="40% - Accent6 3 2 3 11" xfId="27975"/>
    <cellStyle name="40% - Accent6 3 2 3 2" xfId="27976"/>
    <cellStyle name="40% - Accent6 3 2 3 2 2" xfId="27977"/>
    <cellStyle name="40% - Accent6 3 2 3 2 2 2" xfId="27978"/>
    <cellStyle name="40% - Accent6 3 2 3 2 2 2 2" xfId="27979"/>
    <cellStyle name="40% - Accent6 3 2 3 2 2 2 2 2" xfId="27980"/>
    <cellStyle name="40% - Accent6 3 2 3 2 2 2 2 2 2" xfId="27981"/>
    <cellStyle name="40% - Accent6 3 2 3 2 2 2 2 3" xfId="27982"/>
    <cellStyle name="40% - Accent6 3 2 3 2 2 2 3" xfId="27983"/>
    <cellStyle name="40% - Accent6 3 2 3 2 2 2 3 2" xfId="27984"/>
    <cellStyle name="40% - Accent6 3 2 3 2 2 2 4" xfId="27985"/>
    <cellStyle name="40% - Accent6 3 2 3 2 2 3" xfId="27986"/>
    <cellStyle name="40% - Accent6 3 2 3 2 2 3 2" xfId="27987"/>
    <cellStyle name="40% - Accent6 3 2 3 2 2 3 2 2" xfId="27988"/>
    <cellStyle name="40% - Accent6 3 2 3 2 2 3 3" xfId="27989"/>
    <cellStyle name="40% - Accent6 3 2 3 2 2 4" xfId="27990"/>
    <cellStyle name="40% - Accent6 3 2 3 2 2 4 2" xfId="27991"/>
    <cellStyle name="40% - Accent6 3 2 3 2 2 5" xfId="27992"/>
    <cellStyle name="40% - Accent6 3 2 3 2 2 5 2" xfId="27993"/>
    <cellStyle name="40% - Accent6 3 2 3 2 2 6" xfId="27994"/>
    <cellStyle name="40% - Accent6 3 2 3 2 3" xfId="27995"/>
    <cellStyle name="40% - Accent6 3 2 3 2 3 2" xfId="27996"/>
    <cellStyle name="40% - Accent6 3 2 3 2 3 2 2" xfId="27997"/>
    <cellStyle name="40% - Accent6 3 2 3 2 3 2 2 2" xfId="27998"/>
    <cellStyle name="40% - Accent6 3 2 3 2 3 2 2 2 2" xfId="27999"/>
    <cellStyle name="40% - Accent6 3 2 3 2 3 2 2 3" xfId="28000"/>
    <cellStyle name="40% - Accent6 3 2 3 2 3 2 3" xfId="28001"/>
    <cellStyle name="40% - Accent6 3 2 3 2 3 2 3 2" xfId="28002"/>
    <cellStyle name="40% - Accent6 3 2 3 2 3 2 4" xfId="28003"/>
    <cellStyle name="40% - Accent6 3 2 3 2 3 3" xfId="28004"/>
    <cellStyle name="40% - Accent6 3 2 3 2 3 3 2" xfId="28005"/>
    <cellStyle name="40% - Accent6 3 2 3 2 3 3 2 2" xfId="28006"/>
    <cellStyle name="40% - Accent6 3 2 3 2 3 3 3" xfId="28007"/>
    <cellStyle name="40% - Accent6 3 2 3 2 3 4" xfId="28008"/>
    <cellStyle name="40% - Accent6 3 2 3 2 3 4 2" xfId="28009"/>
    <cellStyle name="40% - Accent6 3 2 3 2 3 5" xfId="28010"/>
    <cellStyle name="40% - Accent6 3 2 3 2 3 5 2" xfId="28011"/>
    <cellStyle name="40% - Accent6 3 2 3 2 3 6" xfId="28012"/>
    <cellStyle name="40% - Accent6 3 2 3 2 4" xfId="28013"/>
    <cellStyle name="40% - Accent6 3 2 3 2 4 2" xfId="28014"/>
    <cellStyle name="40% - Accent6 3 2 3 2 4 2 2" xfId="28015"/>
    <cellStyle name="40% - Accent6 3 2 3 2 4 2 2 2" xfId="28016"/>
    <cellStyle name="40% - Accent6 3 2 3 2 4 2 3" xfId="28017"/>
    <cellStyle name="40% - Accent6 3 2 3 2 4 3" xfId="28018"/>
    <cellStyle name="40% - Accent6 3 2 3 2 4 3 2" xfId="28019"/>
    <cellStyle name="40% - Accent6 3 2 3 2 4 4" xfId="28020"/>
    <cellStyle name="40% - Accent6 3 2 3 2 5" xfId="28021"/>
    <cellStyle name="40% - Accent6 3 2 3 2 5 2" xfId="28022"/>
    <cellStyle name="40% - Accent6 3 2 3 2 5 2 2" xfId="28023"/>
    <cellStyle name="40% - Accent6 3 2 3 2 5 3" xfId="28024"/>
    <cellStyle name="40% - Accent6 3 2 3 2 6" xfId="28025"/>
    <cellStyle name="40% - Accent6 3 2 3 2 6 2" xfId="28026"/>
    <cellStyle name="40% - Accent6 3 2 3 2 7" xfId="28027"/>
    <cellStyle name="40% - Accent6 3 2 3 2 7 2" xfId="28028"/>
    <cellStyle name="40% - Accent6 3 2 3 2 8" xfId="28029"/>
    <cellStyle name="40% - Accent6 3 2 3 3" xfId="28030"/>
    <cellStyle name="40% - Accent6 3 2 3 3 2" xfId="28031"/>
    <cellStyle name="40% - Accent6 3 2 3 3 2 2" xfId="28032"/>
    <cellStyle name="40% - Accent6 3 2 3 3 2 2 2" xfId="28033"/>
    <cellStyle name="40% - Accent6 3 2 3 3 2 2 2 2" xfId="28034"/>
    <cellStyle name="40% - Accent6 3 2 3 3 2 2 2 2 2" xfId="28035"/>
    <cellStyle name="40% - Accent6 3 2 3 3 2 2 2 3" xfId="28036"/>
    <cellStyle name="40% - Accent6 3 2 3 3 2 2 3" xfId="28037"/>
    <cellStyle name="40% - Accent6 3 2 3 3 2 2 3 2" xfId="28038"/>
    <cellStyle name="40% - Accent6 3 2 3 3 2 2 4" xfId="28039"/>
    <cellStyle name="40% - Accent6 3 2 3 3 2 3" xfId="28040"/>
    <cellStyle name="40% - Accent6 3 2 3 3 2 3 2" xfId="28041"/>
    <cellStyle name="40% - Accent6 3 2 3 3 2 3 2 2" xfId="28042"/>
    <cellStyle name="40% - Accent6 3 2 3 3 2 3 3" xfId="28043"/>
    <cellStyle name="40% - Accent6 3 2 3 3 2 4" xfId="28044"/>
    <cellStyle name="40% - Accent6 3 2 3 3 2 4 2" xfId="28045"/>
    <cellStyle name="40% - Accent6 3 2 3 3 2 5" xfId="28046"/>
    <cellStyle name="40% - Accent6 3 2 3 3 2 5 2" xfId="28047"/>
    <cellStyle name="40% - Accent6 3 2 3 3 2 6" xfId="28048"/>
    <cellStyle name="40% - Accent6 3 2 3 3 3" xfId="28049"/>
    <cellStyle name="40% - Accent6 3 2 3 3 3 2" xfId="28050"/>
    <cellStyle name="40% - Accent6 3 2 3 3 3 2 2" xfId="28051"/>
    <cellStyle name="40% - Accent6 3 2 3 3 3 2 2 2" xfId="28052"/>
    <cellStyle name="40% - Accent6 3 2 3 3 3 2 2 2 2" xfId="28053"/>
    <cellStyle name="40% - Accent6 3 2 3 3 3 2 2 3" xfId="28054"/>
    <cellStyle name="40% - Accent6 3 2 3 3 3 2 3" xfId="28055"/>
    <cellStyle name="40% - Accent6 3 2 3 3 3 2 3 2" xfId="28056"/>
    <cellStyle name="40% - Accent6 3 2 3 3 3 2 4" xfId="28057"/>
    <cellStyle name="40% - Accent6 3 2 3 3 3 3" xfId="28058"/>
    <cellStyle name="40% - Accent6 3 2 3 3 3 3 2" xfId="28059"/>
    <cellStyle name="40% - Accent6 3 2 3 3 3 3 2 2" xfId="28060"/>
    <cellStyle name="40% - Accent6 3 2 3 3 3 3 3" xfId="28061"/>
    <cellStyle name="40% - Accent6 3 2 3 3 3 4" xfId="28062"/>
    <cellStyle name="40% - Accent6 3 2 3 3 3 4 2" xfId="28063"/>
    <cellStyle name="40% - Accent6 3 2 3 3 3 5" xfId="28064"/>
    <cellStyle name="40% - Accent6 3 2 3 3 3 5 2" xfId="28065"/>
    <cellStyle name="40% - Accent6 3 2 3 3 3 6" xfId="28066"/>
    <cellStyle name="40% - Accent6 3 2 3 3 4" xfId="28067"/>
    <cellStyle name="40% - Accent6 3 2 3 3 4 2" xfId="28068"/>
    <cellStyle name="40% - Accent6 3 2 3 3 4 2 2" xfId="28069"/>
    <cellStyle name="40% - Accent6 3 2 3 3 4 2 2 2" xfId="28070"/>
    <cellStyle name="40% - Accent6 3 2 3 3 4 2 3" xfId="28071"/>
    <cellStyle name="40% - Accent6 3 2 3 3 4 3" xfId="28072"/>
    <cellStyle name="40% - Accent6 3 2 3 3 4 3 2" xfId="28073"/>
    <cellStyle name="40% - Accent6 3 2 3 3 4 4" xfId="28074"/>
    <cellStyle name="40% - Accent6 3 2 3 3 5" xfId="28075"/>
    <cellStyle name="40% - Accent6 3 2 3 3 5 2" xfId="28076"/>
    <cellStyle name="40% - Accent6 3 2 3 3 5 2 2" xfId="28077"/>
    <cellStyle name="40% - Accent6 3 2 3 3 5 3" xfId="28078"/>
    <cellStyle name="40% - Accent6 3 2 3 3 6" xfId="28079"/>
    <cellStyle name="40% - Accent6 3 2 3 3 6 2" xfId="28080"/>
    <cellStyle name="40% - Accent6 3 2 3 3 7" xfId="28081"/>
    <cellStyle name="40% - Accent6 3 2 3 3 7 2" xfId="28082"/>
    <cellStyle name="40% - Accent6 3 2 3 3 8" xfId="28083"/>
    <cellStyle name="40% - Accent6 3 2 3 4" xfId="28084"/>
    <cellStyle name="40% - Accent6 3 2 3 4 2" xfId="28085"/>
    <cellStyle name="40% - Accent6 3 2 3 4 2 2" xfId="28086"/>
    <cellStyle name="40% - Accent6 3 2 3 4 2 2 2" xfId="28087"/>
    <cellStyle name="40% - Accent6 3 2 3 4 2 2 2 2" xfId="28088"/>
    <cellStyle name="40% - Accent6 3 2 3 4 2 2 3" xfId="28089"/>
    <cellStyle name="40% - Accent6 3 2 3 4 2 3" xfId="28090"/>
    <cellStyle name="40% - Accent6 3 2 3 4 2 3 2" xfId="28091"/>
    <cellStyle name="40% - Accent6 3 2 3 4 2 4" xfId="28092"/>
    <cellStyle name="40% - Accent6 3 2 3 4 3" xfId="28093"/>
    <cellStyle name="40% - Accent6 3 2 3 4 3 2" xfId="28094"/>
    <cellStyle name="40% - Accent6 3 2 3 4 3 2 2" xfId="28095"/>
    <cellStyle name="40% - Accent6 3 2 3 4 3 3" xfId="28096"/>
    <cellStyle name="40% - Accent6 3 2 3 4 4" xfId="28097"/>
    <cellStyle name="40% - Accent6 3 2 3 4 4 2" xfId="28098"/>
    <cellStyle name="40% - Accent6 3 2 3 4 5" xfId="28099"/>
    <cellStyle name="40% - Accent6 3 2 3 4 5 2" xfId="28100"/>
    <cellStyle name="40% - Accent6 3 2 3 4 6" xfId="28101"/>
    <cellStyle name="40% - Accent6 3 2 3 5" xfId="28102"/>
    <cellStyle name="40% - Accent6 3 2 3 5 2" xfId="28103"/>
    <cellStyle name="40% - Accent6 3 2 3 5 2 2" xfId="28104"/>
    <cellStyle name="40% - Accent6 3 2 3 5 2 2 2" xfId="28105"/>
    <cellStyle name="40% - Accent6 3 2 3 5 2 2 2 2" xfId="28106"/>
    <cellStyle name="40% - Accent6 3 2 3 5 2 2 3" xfId="28107"/>
    <cellStyle name="40% - Accent6 3 2 3 5 2 3" xfId="28108"/>
    <cellStyle name="40% - Accent6 3 2 3 5 2 3 2" xfId="28109"/>
    <cellStyle name="40% - Accent6 3 2 3 5 2 4" xfId="28110"/>
    <cellStyle name="40% - Accent6 3 2 3 5 3" xfId="28111"/>
    <cellStyle name="40% - Accent6 3 2 3 5 3 2" xfId="28112"/>
    <cellStyle name="40% - Accent6 3 2 3 5 3 2 2" xfId="28113"/>
    <cellStyle name="40% - Accent6 3 2 3 5 3 3" xfId="28114"/>
    <cellStyle name="40% - Accent6 3 2 3 5 4" xfId="28115"/>
    <cellStyle name="40% - Accent6 3 2 3 5 4 2" xfId="28116"/>
    <cellStyle name="40% - Accent6 3 2 3 5 5" xfId="28117"/>
    <cellStyle name="40% - Accent6 3 2 3 5 5 2" xfId="28118"/>
    <cellStyle name="40% - Accent6 3 2 3 5 6" xfId="28119"/>
    <cellStyle name="40% - Accent6 3 2 3 6" xfId="28120"/>
    <cellStyle name="40% - Accent6 3 2 3 6 2" xfId="28121"/>
    <cellStyle name="40% - Accent6 3 2 3 6 2 2" xfId="28122"/>
    <cellStyle name="40% - Accent6 3 2 3 6 2 2 2" xfId="28123"/>
    <cellStyle name="40% - Accent6 3 2 3 6 2 2 2 2" xfId="28124"/>
    <cellStyle name="40% - Accent6 3 2 3 6 2 2 3" xfId="28125"/>
    <cellStyle name="40% - Accent6 3 2 3 6 2 3" xfId="28126"/>
    <cellStyle name="40% - Accent6 3 2 3 6 2 3 2" xfId="28127"/>
    <cellStyle name="40% - Accent6 3 2 3 6 2 4" xfId="28128"/>
    <cellStyle name="40% - Accent6 3 2 3 6 3" xfId="28129"/>
    <cellStyle name="40% - Accent6 3 2 3 6 3 2" xfId="28130"/>
    <cellStyle name="40% - Accent6 3 2 3 6 3 2 2" xfId="28131"/>
    <cellStyle name="40% - Accent6 3 2 3 6 3 3" xfId="28132"/>
    <cellStyle name="40% - Accent6 3 2 3 6 4" xfId="28133"/>
    <cellStyle name="40% - Accent6 3 2 3 6 4 2" xfId="28134"/>
    <cellStyle name="40% - Accent6 3 2 3 6 5" xfId="28135"/>
    <cellStyle name="40% - Accent6 3 2 3 6 5 2" xfId="28136"/>
    <cellStyle name="40% - Accent6 3 2 3 6 6" xfId="28137"/>
    <cellStyle name="40% - Accent6 3 2 3 7" xfId="28138"/>
    <cellStyle name="40% - Accent6 3 2 3 7 2" xfId="28139"/>
    <cellStyle name="40% - Accent6 3 2 3 7 2 2" xfId="28140"/>
    <cellStyle name="40% - Accent6 3 2 3 7 2 2 2" xfId="28141"/>
    <cellStyle name="40% - Accent6 3 2 3 7 2 3" xfId="28142"/>
    <cellStyle name="40% - Accent6 3 2 3 7 3" xfId="28143"/>
    <cellStyle name="40% - Accent6 3 2 3 7 3 2" xfId="28144"/>
    <cellStyle name="40% - Accent6 3 2 3 7 4" xfId="28145"/>
    <cellStyle name="40% - Accent6 3 2 3 8" xfId="28146"/>
    <cellStyle name="40% - Accent6 3 2 3 8 2" xfId="28147"/>
    <cellStyle name="40% - Accent6 3 2 3 8 2 2" xfId="28148"/>
    <cellStyle name="40% - Accent6 3 2 3 8 3" xfId="28149"/>
    <cellStyle name="40% - Accent6 3 2 3 9" xfId="28150"/>
    <cellStyle name="40% - Accent6 3 2 3 9 2" xfId="28151"/>
    <cellStyle name="40% - Accent6 3 2 4" xfId="28152"/>
    <cellStyle name="40% - Accent6 3 2 4 10" xfId="28153"/>
    <cellStyle name="40% - Accent6 3 2 4 10 2" xfId="28154"/>
    <cellStyle name="40% - Accent6 3 2 4 11" xfId="28155"/>
    <cellStyle name="40% - Accent6 3 2 4 2" xfId="28156"/>
    <cellStyle name="40% - Accent6 3 2 4 2 2" xfId="28157"/>
    <cellStyle name="40% - Accent6 3 2 4 2 2 2" xfId="28158"/>
    <cellStyle name="40% - Accent6 3 2 4 2 2 2 2" xfId="28159"/>
    <cellStyle name="40% - Accent6 3 2 4 2 2 2 2 2" xfId="28160"/>
    <cellStyle name="40% - Accent6 3 2 4 2 2 2 2 2 2" xfId="28161"/>
    <cellStyle name="40% - Accent6 3 2 4 2 2 2 2 3" xfId="28162"/>
    <cellStyle name="40% - Accent6 3 2 4 2 2 2 3" xfId="28163"/>
    <cellStyle name="40% - Accent6 3 2 4 2 2 2 3 2" xfId="28164"/>
    <cellStyle name="40% - Accent6 3 2 4 2 2 2 4" xfId="28165"/>
    <cellStyle name="40% - Accent6 3 2 4 2 2 3" xfId="28166"/>
    <cellStyle name="40% - Accent6 3 2 4 2 2 3 2" xfId="28167"/>
    <cellStyle name="40% - Accent6 3 2 4 2 2 3 2 2" xfId="28168"/>
    <cellStyle name="40% - Accent6 3 2 4 2 2 3 3" xfId="28169"/>
    <cellStyle name="40% - Accent6 3 2 4 2 2 4" xfId="28170"/>
    <cellStyle name="40% - Accent6 3 2 4 2 2 4 2" xfId="28171"/>
    <cellStyle name="40% - Accent6 3 2 4 2 2 5" xfId="28172"/>
    <cellStyle name="40% - Accent6 3 2 4 2 2 5 2" xfId="28173"/>
    <cellStyle name="40% - Accent6 3 2 4 2 2 6" xfId="28174"/>
    <cellStyle name="40% - Accent6 3 2 4 2 3" xfId="28175"/>
    <cellStyle name="40% - Accent6 3 2 4 2 3 2" xfId="28176"/>
    <cellStyle name="40% - Accent6 3 2 4 2 3 2 2" xfId="28177"/>
    <cellStyle name="40% - Accent6 3 2 4 2 3 2 2 2" xfId="28178"/>
    <cellStyle name="40% - Accent6 3 2 4 2 3 2 2 2 2" xfId="28179"/>
    <cellStyle name="40% - Accent6 3 2 4 2 3 2 2 3" xfId="28180"/>
    <cellStyle name="40% - Accent6 3 2 4 2 3 2 3" xfId="28181"/>
    <cellStyle name="40% - Accent6 3 2 4 2 3 2 3 2" xfId="28182"/>
    <cellStyle name="40% - Accent6 3 2 4 2 3 2 4" xfId="28183"/>
    <cellStyle name="40% - Accent6 3 2 4 2 3 3" xfId="28184"/>
    <cellStyle name="40% - Accent6 3 2 4 2 3 3 2" xfId="28185"/>
    <cellStyle name="40% - Accent6 3 2 4 2 3 3 2 2" xfId="28186"/>
    <cellStyle name="40% - Accent6 3 2 4 2 3 3 3" xfId="28187"/>
    <cellStyle name="40% - Accent6 3 2 4 2 3 4" xfId="28188"/>
    <cellStyle name="40% - Accent6 3 2 4 2 3 4 2" xfId="28189"/>
    <cellStyle name="40% - Accent6 3 2 4 2 3 5" xfId="28190"/>
    <cellStyle name="40% - Accent6 3 2 4 2 3 5 2" xfId="28191"/>
    <cellStyle name="40% - Accent6 3 2 4 2 3 6" xfId="28192"/>
    <cellStyle name="40% - Accent6 3 2 4 2 4" xfId="28193"/>
    <cellStyle name="40% - Accent6 3 2 4 2 4 2" xfId="28194"/>
    <cellStyle name="40% - Accent6 3 2 4 2 4 2 2" xfId="28195"/>
    <cellStyle name="40% - Accent6 3 2 4 2 4 2 2 2" xfId="28196"/>
    <cellStyle name="40% - Accent6 3 2 4 2 4 2 3" xfId="28197"/>
    <cellStyle name="40% - Accent6 3 2 4 2 4 3" xfId="28198"/>
    <cellStyle name="40% - Accent6 3 2 4 2 4 3 2" xfId="28199"/>
    <cellStyle name="40% - Accent6 3 2 4 2 4 4" xfId="28200"/>
    <cellStyle name="40% - Accent6 3 2 4 2 5" xfId="28201"/>
    <cellStyle name="40% - Accent6 3 2 4 2 5 2" xfId="28202"/>
    <cellStyle name="40% - Accent6 3 2 4 2 5 2 2" xfId="28203"/>
    <cellStyle name="40% - Accent6 3 2 4 2 5 3" xfId="28204"/>
    <cellStyle name="40% - Accent6 3 2 4 2 6" xfId="28205"/>
    <cellStyle name="40% - Accent6 3 2 4 2 6 2" xfId="28206"/>
    <cellStyle name="40% - Accent6 3 2 4 2 7" xfId="28207"/>
    <cellStyle name="40% - Accent6 3 2 4 2 7 2" xfId="28208"/>
    <cellStyle name="40% - Accent6 3 2 4 2 8" xfId="28209"/>
    <cellStyle name="40% - Accent6 3 2 4 3" xfId="28210"/>
    <cellStyle name="40% - Accent6 3 2 4 3 2" xfId="28211"/>
    <cellStyle name="40% - Accent6 3 2 4 3 2 2" xfId="28212"/>
    <cellStyle name="40% - Accent6 3 2 4 3 2 2 2" xfId="28213"/>
    <cellStyle name="40% - Accent6 3 2 4 3 2 2 2 2" xfId="28214"/>
    <cellStyle name="40% - Accent6 3 2 4 3 2 2 2 2 2" xfId="28215"/>
    <cellStyle name="40% - Accent6 3 2 4 3 2 2 2 3" xfId="28216"/>
    <cellStyle name="40% - Accent6 3 2 4 3 2 2 3" xfId="28217"/>
    <cellStyle name="40% - Accent6 3 2 4 3 2 2 3 2" xfId="28218"/>
    <cellStyle name="40% - Accent6 3 2 4 3 2 2 4" xfId="28219"/>
    <cellStyle name="40% - Accent6 3 2 4 3 2 3" xfId="28220"/>
    <cellStyle name="40% - Accent6 3 2 4 3 2 3 2" xfId="28221"/>
    <cellStyle name="40% - Accent6 3 2 4 3 2 3 2 2" xfId="28222"/>
    <cellStyle name="40% - Accent6 3 2 4 3 2 3 3" xfId="28223"/>
    <cellStyle name="40% - Accent6 3 2 4 3 2 4" xfId="28224"/>
    <cellStyle name="40% - Accent6 3 2 4 3 2 4 2" xfId="28225"/>
    <cellStyle name="40% - Accent6 3 2 4 3 2 5" xfId="28226"/>
    <cellStyle name="40% - Accent6 3 2 4 3 2 5 2" xfId="28227"/>
    <cellStyle name="40% - Accent6 3 2 4 3 2 6" xfId="28228"/>
    <cellStyle name="40% - Accent6 3 2 4 3 3" xfId="28229"/>
    <cellStyle name="40% - Accent6 3 2 4 3 3 2" xfId="28230"/>
    <cellStyle name="40% - Accent6 3 2 4 3 3 2 2" xfId="28231"/>
    <cellStyle name="40% - Accent6 3 2 4 3 3 2 2 2" xfId="28232"/>
    <cellStyle name="40% - Accent6 3 2 4 3 3 2 2 2 2" xfId="28233"/>
    <cellStyle name="40% - Accent6 3 2 4 3 3 2 2 3" xfId="28234"/>
    <cellStyle name="40% - Accent6 3 2 4 3 3 2 3" xfId="28235"/>
    <cellStyle name="40% - Accent6 3 2 4 3 3 2 3 2" xfId="28236"/>
    <cellStyle name="40% - Accent6 3 2 4 3 3 2 4" xfId="28237"/>
    <cellStyle name="40% - Accent6 3 2 4 3 3 3" xfId="28238"/>
    <cellStyle name="40% - Accent6 3 2 4 3 3 3 2" xfId="28239"/>
    <cellStyle name="40% - Accent6 3 2 4 3 3 3 2 2" xfId="28240"/>
    <cellStyle name="40% - Accent6 3 2 4 3 3 3 3" xfId="28241"/>
    <cellStyle name="40% - Accent6 3 2 4 3 3 4" xfId="28242"/>
    <cellStyle name="40% - Accent6 3 2 4 3 3 4 2" xfId="28243"/>
    <cellStyle name="40% - Accent6 3 2 4 3 3 5" xfId="28244"/>
    <cellStyle name="40% - Accent6 3 2 4 3 3 5 2" xfId="28245"/>
    <cellStyle name="40% - Accent6 3 2 4 3 3 6" xfId="28246"/>
    <cellStyle name="40% - Accent6 3 2 4 3 4" xfId="28247"/>
    <cellStyle name="40% - Accent6 3 2 4 3 4 2" xfId="28248"/>
    <cellStyle name="40% - Accent6 3 2 4 3 4 2 2" xfId="28249"/>
    <cellStyle name="40% - Accent6 3 2 4 3 4 2 2 2" xfId="28250"/>
    <cellStyle name="40% - Accent6 3 2 4 3 4 2 3" xfId="28251"/>
    <cellStyle name="40% - Accent6 3 2 4 3 4 3" xfId="28252"/>
    <cellStyle name="40% - Accent6 3 2 4 3 4 3 2" xfId="28253"/>
    <cellStyle name="40% - Accent6 3 2 4 3 4 4" xfId="28254"/>
    <cellStyle name="40% - Accent6 3 2 4 3 5" xfId="28255"/>
    <cellStyle name="40% - Accent6 3 2 4 3 5 2" xfId="28256"/>
    <cellStyle name="40% - Accent6 3 2 4 3 5 2 2" xfId="28257"/>
    <cellStyle name="40% - Accent6 3 2 4 3 5 3" xfId="28258"/>
    <cellStyle name="40% - Accent6 3 2 4 3 6" xfId="28259"/>
    <cellStyle name="40% - Accent6 3 2 4 3 6 2" xfId="28260"/>
    <cellStyle name="40% - Accent6 3 2 4 3 7" xfId="28261"/>
    <cellStyle name="40% - Accent6 3 2 4 3 7 2" xfId="28262"/>
    <cellStyle name="40% - Accent6 3 2 4 3 8" xfId="28263"/>
    <cellStyle name="40% - Accent6 3 2 4 4" xfId="28264"/>
    <cellStyle name="40% - Accent6 3 2 4 4 2" xfId="28265"/>
    <cellStyle name="40% - Accent6 3 2 4 4 2 2" xfId="28266"/>
    <cellStyle name="40% - Accent6 3 2 4 4 2 2 2" xfId="28267"/>
    <cellStyle name="40% - Accent6 3 2 4 4 2 2 2 2" xfId="28268"/>
    <cellStyle name="40% - Accent6 3 2 4 4 2 2 3" xfId="28269"/>
    <cellStyle name="40% - Accent6 3 2 4 4 2 3" xfId="28270"/>
    <cellStyle name="40% - Accent6 3 2 4 4 2 3 2" xfId="28271"/>
    <cellStyle name="40% - Accent6 3 2 4 4 2 4" xfId="28272"/>
    <cellStyle name="40% - Accent6 3 2 4 4 3" xfId="28273"/>
    <cellStyle name="40% - Accent6 3 2 4 4 3 2" xfId="28274"/>
    <cellStyle name="40% - Accent6 3 2 4 4 3 2 2" xfId="28275"/>
    <cellStyle name="40% - Accent6 3 2 4 4 3 3" xfId="28276"/>
    <cellStyle name="40% - Accent6 3 2 4 4 4" xfId="28277"/>
    <cellStyle name="40% - Accent6 3 2 4 4 4 2" xfId="28278"/>
    <cellStyle name="40% - Accent6 3 2 4 4 5" xfId="28279"/>
    <cellStyle name="40% - Accent6 3 2 4 4 5 2" xfId="28280"/>
    <cellStyle name="40% - Accent6 3 2 4 4 6" xfId="28281"/>
    <cellStyle name="40% - Accent6 3 2 4 5" xfId="28282"/>
    <cellStyle name="40% - Accent6 3 2 4 5 2" xfId="28283"/>
    <cellStyle name="40% - Accent6 3 2 4 5 2 2" xfId="28284"/>
    <cellStyle name="40% - Accent6 3 2 4 5 2 2 2" xfId="28285"/>
    <cellStyle name="40% - Accent6 3 2 4 5 2 2 2 2" xfId="28286"/>
    <cellStyle name="40% - Accent6 3 2 4 5 2 2 3" xfId="28287"/>
    <cellStyle name="40% - Accent6 3 2 4 5 2 3" xfId="28288"/>
    <cellStyle name="40% - Accent6 3 2 4 5 2 3 2" xfId="28289"/>
    <cellStyle name="40% - Accent6 3 2 4 5 2 4" xfId="28290"/>
    <cellStyle name="40% - Accent6 3 2 4 5 3" xfId="28291"/>
    <cellStyle name="40% - Accent6 3 2 4 5 3 2" xfId="28292"/>
    <cellStyle name="40% - Accent6 3 2 4 5 3 2 2" xfId="28293"/>
    <cellStyle name="40% - Accent6 3 2 4 5 3 3" xfId="28294"/>
    <cellStyle name="40% - Accent6 3 2 4 5 4" xfId="28295"/>
    <cellStyle name="40% - Accent6 3 2 4 5 4 2" xfId="28296"/>
    <cellStyle name="40% - Accent6 3 2 4 5 5" xfId="28297"/>
    <cellStyle name="40% - Accent6 3 2 4 5 5 2" xfId="28298"/>
    <cellStyle name="40% - Accent6 3 2 4 5 6" xfId="28299"/>
    <cellStyle name="40% - Accent6 3 2 4 6" xfId="28300"/>
    <cellStyle name="40% - Accent6 3 2 4 6 2" xfId="28301"/>
    <cellStyle name="40% - Accent6 3 2 4 6 2 2" xfId="28302"/>
    <cellStyle name="40% - Accent6 3 2 4 6 2 2 2" xfId="28303"/>
    <cellStyle name="40% - Accent6 3 2 4 6 2 2 2 2" xfId="28304"/>
    <cellStyle name="40% - Accent6 3 2 4 6 2 2 3" xfId="28305"/>
    <cellStyle name="40% - Accent6 3 2 4 6 2 3" xfId="28306"/>
    <cellStyle name="40% - Accent6 3 2 4 6 2 3 2" xfId="28307"/>
    <cellStyle name="40% - Accent6 3 2 4 6 2 4" xfId="28308"/>
    <cellStyle name="40% - Accent6 3 2 4 6 3" xfId="28309"/>
    <cellStyle name="40% - Accent6 3 2 4 6 3 2" xfId="28310"/>
    <cellStyle name="40% - Accent6 3 2 4 6 3 2 2" xfId="28311"/>
    <cellStyle name="40% - Accent6 3 2 4 6 3 3" xfId="28312"/>
    <cellStyle name="40% - Accent6 3 2 4 6 4" xfId="28313"/>
    <cellStyle name="40% - Accent6 3 2 4 6 4 2" xfId="28314"/>
    <cellStyle name="40% - Accent6 3 2 4 6 5" xfId="28315"/>
    <cellStyle name="40% - Accent6 3 2 4 6 5 2" xfId="28316"/>
    <cellStyle name="40% - Accent6 3 2 4 6 6" xfId="28317"/>
    <cellStyle name="40% - Accent6 3 2 4 7" xfId="28318"/>
    <cellStyle name="40% - Accent6 3 2 4 7 2" xfId="28319"/>
    <cellStyle name="40% - Accent6 3 2 4 7 2 2" xfId="28320"/>
    <cellStyle name="40% - Accent6 3 2 4 7 2 2 2" xfId="28321"/>
    <cellStyle name="40% - Accent6 3 2 4 7 2 3" xfId="28322"/>
    <cellStyle name="40% - Accent6 3 2 4 7 3" xfId="28323"/>
    <cellStyle name="40% - Accent6 3 2 4 7 3 2" xfId="28324"/>
    <cellStyle name="40% - Accent6 3 2 4 7 4" xfId="28325"/>
    <cellStyle name="40% - Accent6 3 2 4 8" xfId="28326"/>
    <cellStyle name="40% - Accent6 3 2 4 8 2" xfId="28327"/>
    <cellStyle name="40% - Accent6 3 2 4 8 2 2" xfId="28328"/>
    <cellStyle name="40% - Accent6 3 2 4 8 3" xfId="28329"/>
    <cellStyle name="40% - Accent6 3 2 4 9" xfId="28330"/>
    <cellStyle name="40% - Accent6 3 2 4 9 2" xfId="28331"/>
    <cellStyle name="40% - Accent6 3 2 5" xfId="28332"/>
    <cellStyle name="40% - Accent6 3 2 5 2" xfId="28333"/>
    <cellStyle name="40% - Accent6 3 2 5 2 2" xfId="28334"/>
    <cellStyle name="40% - Accent6 3 2 5 2 2 2" xfId="28335"/>
    <cellStyle name="40% - Accent6 3 2 5 2 2 2 2" xfId="28336"/>
    <cellStyle name="40% - Accent6 3 2 5 2 2 2 2 2" xfId="28337"/>
    <cellStyle name="40% - Accent6 3 2 5 2 2 2 3" xfId="28338"/>
    <cellStyle name="40% - Accent6 3 2 5 2 2 3" xfId="28339"/>
    <cellStyle name="40% - Accent6 3 2 5 2 2 3 2" xfId="28340"/>
    <cellStyle name="40% - Accent6 3 2 5 2 2 4" xfId="28341"/>
    <cellStyle name="40% - Accent6 3 2 5 2 3" xfId="28342"/>
    <cellStyle name="40% - Accent6 3 2 5 2 3 2" xfId="28343"/>
    <cellStyle name="40% - Accent6 3 2 5 2 3 2 2" xfId="28344"/>
    <cellStyle name="40% - Accent6 3 2 5 2 3 3" xfId="28345"/>
    <cellStyle name="40% - Accent6 3 2 5 2 4" xfId="28346"/>
    <cellStyle name="40% - Accent6 3 2 5 2 4 2" xfId="28347"/>
    <cellStyle name="40% - Accent6 3 2 5 2 5" xfId="28348"/>
    <cellStyle name="40% - Accent6 3 2 5 2 5 2" xfId="28349"/>
    <cellStyle name="40% - Accent6 3 2 5 2 6" xfId="28350"/>
    <cellStyle name="40% - Accent6 3 2 5 3" xfId="28351"/>
    <cellStyle name="40% - Accent6 3 2 5 3 2" xfId="28352"/>
    <cellStyle name="40% - Accent6 3 2 5 3 2 2" xfId="28353"/>
    <cellStyle name="40% - Accent6 3 2 5 3 2 2 2" xfId="28354"/>
    <cellStyle name="40% - Accent6 3 2 5 3 2 2 2 2" xfId="28355"/>
    <cellStyle name="40% - Accent6 3 2 5 3 2 2 3" xfId="28356"/>
    <cellStyle name="40% - Accent6 3 2 5 3 2 3" xfId="28357"/>
    <cellStyle name="40% - Accent6 3 2 5 3 2 3 2" xfId="28358"/>
    <cellStyle name="40% - Accent6 3 2 5 3 2 4" xfId="28359"/>
    <cellStyle name="40% - Accent6 3 2 5 3 3" xfId="28360"/>
    <cellStyle name="40% - Accent6 3 2 5 3 3 2" xfId="28361"/>
    <cellStyle name="40% - Accent6 3 2 5 3 3 2 2" xfId="28362"/>
    <cellStyle name="40% - Accent6 3 2 5 3 3 3" xfId="28363"/>
    <cellStyle name="40% - Accent6 3 2 5 3 4" xfId="28364"/>
    <cellStyle name="40% - Accent6 3 2 5 3 4 2" xfId="28365"/>
    <cellStyle name="40% - Accent6 3 2 5 3 5" xfId="28366"/>
    <cellStyle name="40% - Accent6 3 2 5 3 5 2" xfId="28367"/>
    <cellStyle name="40% - Accent6 3 2 5 3 6" xfId="28368"/>
    <cellStyle name="40% - Accent6 3 2 5 4" xfId="28369"/>
    <cellStyle name="40% - Accent6 3 2 5 4 2" xfId="28370"/>
    <cellStyle name="40% - Accent6 3 2 5 4 2 2" xfId="28371"/>
    <cellStyle name="40% - Accent6 3 2 5 4 2 2 2" xfId="28372"/>
    <cellStyle name="40% - Accent6 3 2 5 4 2 3" xfId="28373"/>
    <cellStyle name="40% - Accent6 3 2 5 4 3" xfId="28374"/>
    <cellStyle name="40% - Accent6 3 2 5 4 3 2" xfId="28375"/>
    <cellStyle name="40% - Accent6 3 2 5 4 4" xfId="28376"/>
    <cellStyle name="40% - Accent6 3 2 5 5" xfId="28377"/>
    <cellStyle name="40% - Accent6 3 2 5 5 2" xfId="28378"/>
    <cellStyle name="40% - Accent6 3 2 5 5 2 2" xfId="28379"/>
    <cellStyle name="40% - Accent6 3 2 5 5 3" xfId="28380"/>
    <cellStyle name="40% - Accent6 3 2 5 6" xfId="28381"/>
    <cellStyle name="40% - Accent6 3 2 5 6 2" xfId="28382"/>
    <cellStyle name="40% - Accent6 3 2 5 7" xfId="28383"/>
    <cellStyle name="40% - Accent6 3 2 5 7 2" xfId="28384"/>
    <cellStyle name="40% - Accent6 3 2 5 8" xfId="28385"/>
    <cellStyle name="40% - Accent6 3 2 6" xfId="28386"/>
    <cellStyle name="40% - Accent6 3 2 6 2" xfId="28387"/>
    <cellStyle name="40% - Accent6 3 2 6 2 2" xfId="28388"/>
    <cellStyle name="40% - Accent6 3 2 6 2 2 2" xfId="28389"/>
    <cellStyle name="40% - Accent6 3 2 6 2 2 2 2" xfId="28390"/>
    <cellStyle name="40% - Accent6 3 2 6 2 2 2 2 2" xfId="28391"/>
    <cellStyle name="40% - Accent6 3 2 6 2 2 2 3" xfId="28392"/>
    <cellStyle name="40% - Accent6 3 2 6 2 2 3" xfId="28393"/>
    <cellStyle name="40% - Accent6 3 2 6 2 2 3 2" xfId="28394"/>
    <cellStyle name="40% - Accent6 3 2 6 2 2 4" xfId="28395"/>
    <cellStyle name="40% - Accent6 3 2 6 2 3" xfId="28396"/>
    <cellStyle name="40% - Accent6 3 2 6 2 3 2" xfId="28397"/>
    <cellStyle name="40% - Accent6 3 2 6 2 3 2 2" xfId="28398"/>
    <cellStyle name="40% - Accent6 3 2 6 2 3 3" xfId="28399"/>
    <cellStyle name="40% - Accent6 3 2 6 2 4" xfId="28400"/>
    <cellStyle name="40% - Accent6 3 2 6 2 4 2" xfId="28401"/>
    <cellStyle name="40% - Accent6 3 2 6 2 5" xfId="28402"/>
    <cellStyle name="40% - Accent6 3 2 6 2 5 2" xfId="28403"/>
    <cellStyle name="40% - Accent6 3 2 6 2 6" xfId="28404"/>
    <cellStyle name="40% - Accent6 3 2 6 3" xfId="28405"/>
    <cellStyle name="40% - Accent6 3 2 6 3 2" xfId="28406"/>
    <cellStyle name="40% - Accent6 3 2 6 3 2 2" xfId="28407"/>
    <cellStyle name="40% - Accent6 3 2 6 3 2 2 2" xfId="28408"/>
    <cellStyle name="40% - Accent6 3 2 6 3 2 2 2 2" xfId="28409"/>
    <cellStyle name="40% - Accent6 3 2 6 3 2 2 3" xfId="28410"/>
    <cellStyle name="40% - Accent6 3 2 6 3 2 3" xfId="28411"/>
    <cellStyle name="40% - Accent6 3 2 6 3 2 3 2" xfId="28412"/>
    <cellStyle name="40% - Accent6 3 2 6 3 2 4" xfId="28413"/>
    <cellStyle name="40% - Accent6 3 2 6 3 3" xfId="28414"/>
    <cellStyle name="40% - Accent6 3 2 6 3 3 2" xfId="28415"/>
    <cellStyle name="40% - Accent6 3 2 6 3 3 2 2" xfId="28416"/>
    <cellStyle name="40% - Accent6 3 2 6 3 3 3" xfId="28417"/>
    <cellStyle name="40% - Accent6 3 2 6 3 4" xfId="28418"/>
    <cellStyle name="40% - Accent6 3 2 6 3 4 2" xfId="28419"/>
    <cellStyle name="40% - Accent6 3 2 6 3 5" xfId="28420"/>
    <cellStyle name="40% - Accent6 3 2 6 3 5 2" xfId="28421"/>
    <cellStyle name="40% - Accent6 3 2 6 3 6" xfId="28422"/>
    <cellStyle name="40% - Accent6 3 2 6 4" xfId="28423"/>
    <cellStyle name="40% - Accent6 3 2 6 4 2" xfId="28424"/>
    <cellStyle name="40% - Accent6 3 2 6 4 2 2" xfId="28425"/>
    <cellStyle name="40% - Accent6 3 2 6 4 2 2 2" xfId="28426"/>
    <cellStyle name="40% - Accent6 3 2 6 4 2 3" xfId="28427"/>
    <cellStyle name="40% - Accent6 3 2 6 4 3" xfId="28428"/>
    <cellStyle name="40% - Accent6 3 2 6 4 3 2" xfId="28429"/>
    <cellStyle name="40% - Accent6 3 2 6 4 4" xfId="28430"/>
    <cellStyle name="40% - Accent6 3 2 6 5" xfId="28431"/>
    <cellStyle name="40% - Accent6 3 2 6 5 2" xfId="28432"/>
    <cellStyle name="40% - Accent6 3 2 6 5 2 2" xfId="28433"/>
    <cellStyle name="40% - Accent6 3 2 6 5 3" xfId="28434"/>
    <cellStyle name="40% - Accent6 3 2 6 6" xfId="28435"/>
    <cellStyle name="40% - Accent6 3 2 6 6 2" xfId="28436"/>
    <cellStyle name="40% - Accent6 3 2 6 7" xfId="28437"/>
    <cellStyle name="40% - Accent6 3 2 6 7 2" xfId="28438"/>
    <cellStyle name="40% - Accent6 3 2 6 8" xfId="28439"/>
    <cellStyle name="40% - Accent6 3 2 7" xfId="28440"/>
    <cellStyle name="40% - Accent6 3 2 7 2" xfId="28441"/>
    <cellStyle name="40% - Accent6 3 2 7 2 2" xfId="28442"/>
    <cellStyle name="40% - Accent6 3 2 7 2 2 2" xfId="28443"/>
    <cellStyle name="40% - Accent6 3 2 7 2 2 2 2" xfId="28444"/>
    <cellStyle name="40% - Accent6 3 2 7 2 2 3" xfId="28445"/>
    <cellStyle name="40% - Accent6 3 2 7 2 3" xfId="28446"/>
    <cellStyle name="40% - Accent6 3 2 7 2 3 2" xfId="28447"/>
    <cellStyle name="40% - Accent6 3 2 7 2 4" xfId="28448"/>
    <cellStyle name="40% - Accent6 3 2 7 3" xfId="28449"/>
    <cellStyle name="40% - Accent6 3 2 7 3 2" xfId="28450"/>
    <cellStyle name="40% - Accent6 3 2 7 3 2 2" xfId="28451"/>
    <cellStyle name="40% - Accent6 3 2 7 3 3" xfId="28452"/>
    <cellStyle name="40% - Accent6 3 2 7 4" xfId="28453"/>
    <cellStyle name="40% - Accent6 3 2 7 4 2" xfId="28454"/>
    <cellStyle name="40% - Accent6 3 2 7 5" xfId="28455"/>
    <cellStyle name="40% - Accent6 3 2 7 5 2" xfId="28456"/>
    <cellStyle name="40% - Accent6 3 2 7 6" xfId="28457"/>
    <cellStyle name="40% - Accent6 3 2 8" xfId="28458"/>
    <cellStyle name="40% - Accent6 3 2 8 2" xfId="28459"/>
    <cellStyle name="40% - Accent6 3 2 8 2 2" xfId="28460"/>
    <cellStyle name="40% - Accent6 3 2 8 2 2 2" xfId="28461"/>
    <cellStyle name="40% - Accent6 3 2 8 2 2 2 2" xfId="28462"/>
    <cellStyle name="40% - Accent6 3 2 8 2 2 3" xfId="28463"/>
    <cellStyle name="40% - Accent6 3 2 8 2 3" xfId="28464"/>
    <cellStyle name="40% - Accent6 3 2 8 2 3 2" xfId="28465"/>
    <cellStyle name="40% - Accent6 3 2 8 2 4" xfId="28466"/>
    <cellStyle name="40% - Accent6 3 2 8 3" xfId="28467"/>
    <cellStyle name="40% - Accent6 3 2 8 3 2" xfId="28468"/>
    <cellStyle name="40% - Accent6 3 2 8 3 2 2" xfId="28469"/>
    <cellStyle name="40% - Accent6 3 2 8 3 3" xfId="28470"/>
    <cellStyle name="40% - Accent6 3 2 8 4" xfId="28471"/>
    <cellStyle name="40% - Accent6 3 2 8 4 2" xfId="28472"/>
    <cellStyle name="40% - Accent6 3 2 8 5" xfId="28473"/>
    <cellStyle name="40% - Accent6 3 2 8 5 2" xfId="28474"/>
    <cellStyle name="40% - Accent6 3 2 8 6" xfId="28475"/>
    <cellStyle name="40% - Accent6 3 2 9" xfId="28476"/>
    <cellStyle name="40% - Accent6 3 2 9 2" xfId="28477"/>
    <cellStyle name="40% - Accent6 3 2 9 2 2" xfId="28478"/>
    <cellStyle name="40% - Accent6 3 2 9 2 2 2" xfId="28479"/>
    <cellStyle name="40% - Accent6 3 2 9 2 2 2 2" xfId="28480"/>
    <cellStyle name="40% - Accent6 3 2 9 2 2 3" xfId="28481"/>
    <cellStyle name="40% - Accent6 3 2 9 2 3" xfId="28482"/>
    <cellStyle name="40% - Accent6 3 2 9 2 3 2" xfId="28483"/>
    <cellStyle name="40% - Accent6 3 2 9 2 4" xfId="28484"/>
    <cellStyle name="40% - Accent6 3 2 9 3" xfId="28485"/>
    <cellStyle name="40% - Accent6 3 2 9 3 2" xfId="28486"/>
    <cellStyle name="40% - Accent6 3 2 9 3 2 2" xfId="28487"/>
    <cellStyle name="40% - Accent6 3 2 9 3 3" xfId="28488"/>
    <cellStyle name="40% - Accent6 3 2 9 4" xfId="28489"/>
    <cellStyle name="40% - Accent6 3 2 9 4 2" xfId="28490"/>
    <cellStyle name="40% - Accent6 3 2 9 5" xfId="28491"/>
    <cellStyle name="40% - Accent6 3 2 9 5 2" xfId="28492"/>
    <cellStyle name="40% - Accent6 3 2 9 6" xfId="28493"/>
    <cellStyle name="40% - Accent6 3 3" xfId="28494"/>
    <cellStyle name="40% - Accent6 3 3 10" xfId="28495"/>
    <cellStyle name="40% - Accent6 3 3 10 2" xfId="28496"/>
    <cellStyle name="40% - Accent6 3 3 11" xfId="28497"/>
    <cellStyle name="40% - Accent6 3 3 2" xfId="28498"/>
    <cellStyle name="40% - Accent6 3 3 2 2" xfId="28499"/>
    <cellStyle name="40% - Accent6 3 3 2 2 2" xfId="28500"/>
    <cellStyle name="40% - Accent6 3 3 2 2 2 2" xfId="28501"/>
    <cellStyle name="40% - Accent6 3 3 2 2 2 2 2" xfId="28502"/>
    <cellStyle name="40% - Accent6 3 3 2 2 2 2 2 2" xfId="28503"/>
    <cellStyle name="40% - Accent6 3 3 2 2 2 2 3" xfId="28504"/>
    <cellStyle name="40% - Accent6 3 3 2 2 2 3" xfId="28505"/>
    <cellStyle name="40% - Accent6 3 3 2 2 2 3 2" xfId="28506"/>
    <cellStyle name="40% - Accent6 3 3 2 2 2 4" xfId="28507"/>
    <cellStyle name="40% - Accent6 3 3 2 2 3" xfId="28508"/>
    <cellStyle name="40% - Accent6 3 3 2 2 3 2" xfId="28509"/>
    <cellStyle name="40% - Accent6 3 3 2 2 3 2 2" xfId="28510"/>
    <cellStyle name="40% - Accent6 3 3 2 2 3 3" xfId="28511"/>
    <cellStyle name="40% - Accent6 3 3 2 2 4" xfId="28512"/>
    <cellStyle name="40% - Accent6 3 3 2 2 4 2" xfId="28513"/>
    <cellStyle name="40% - Accent6 3 3 2 2 5" xfId="28514"/>
    <cellStyle name="40% - Accent6 3 3 2 2 5 2" xfId="28515"/>
    <cellStyle name="40% - Accent6 3 3 2 2 6" xfId="28516"/>
    <cellStyle name="40% - Accent6 3 3 2 3" xfId="28517"/>
    <cellStyle name="40% - Accent6 3 3 2 3 2" xfId="28518"/>
    <cellStyle name="40% - Accent6 3 3 2 3 2 2" xfId="28519"/>
    <cellStyle name="40% - Accent6 3 3 2 3 2 2 2" xfId="28520"/>
    <cellStyle name="40% - Accent6 3 3 2 3 2 2 2 2" xfId="28521"/>
    <cellStyle name="40% - Accent6 3 3 2 3 2 2 3" xfId="28522"/>
    <cellStyle name="40% - Accent6 3 3 2 3 2 3" xfId="28523"/>
    <cellStyle name="40% - Accent6 3 3 2 3 2 3 2" xfId="28524"/>
    <cellStyle name="40% - Accent6 3 3 2 3 2 4" xfId="28525"/>
    <cellStyle name="40% - Accent6 3 3 2 3 3" xfId="28526"/>
    <cellStyle name="40% - Accent6 3 3 2 3 3 2" xfId="28527"/>
    <cellStyle name="40% - Accent6 3 3 2 3 3 2 2" xfId="28528"/>
    <cellStyle name="40% - Accent6 3 3 2 3 3 3" xfId="28529"/>
    <cellStyle name="40% - Accent6 3 3 2 3 4" xfId="28530"/>
    <cellStyle name="40% - Accent6 3 3 2 3 4 2" xfId="28531"/>
    <cellStyle name="40% - Accent6 3 3 2 3 5" xfId="28532"/>
    <cellStyle name="40% - Accent6 3 3 2 3 5 2" xfId="28533"/>
    <cellStyle name="40% - Accent6 3 3 2 3 6" xfId="28534"/>
    <cellStyle name="40% - Accent6 3 3 2 4" xfId="28535"/>
    <cellStyle name="40% - Accent6 3 3 2 4 2" xfId="28536"/>
    <cellStyle name="40% - Accent6 3 3 2 4 2 2" xfId="28537"/>
    <cellStyle name="40% - Accent6 3 3 2 4 2 2 2" xfId="28538"/>
    <cellStyle name="40% - Accent6 3 3 2 4 2 3" xfId="28539"/>
    <cellStyle name="40% - Accent6 3 3 2 4 3" xfId="28540"/>
    <cellStyle name="40% - Accent6 3 3 2 4 3 2" xfId="28541"/>
    <cellStyle name="40% - Accent6 3 3 2 4 4" xfId="28542"/>
    <cellStyle name="40% - Accent6 3 3 2 5" xfId="28543"/>
    <cellStyle name="40% - Accent6 3 3 2 5 2" xfId="28544"/>
    <cellStyle name="40% - Accent6 3 3 2 5 2 2" xfId="28545"/>
    <cellStyle name="40% - Accent6 3 3 2 5 3" xfId="28546"/>
    <cellStyle name="40% - Accent6 3 3 2 6" xfId="28547"/>
    <cellStyle name="40% - Accent6 3 3 2 6 2" xfId="28548"/>
    <cellStyle name="40% - Accent6 3 3 2 7" xfId="28549"/>
    <cellStyle name="40% - Accent6 3 3 2 7 2" xfId="28550"/>
    <cellStyle name="40% - Accent6 3 3 2 8" xfId="28551"/>
    <cellStyle name="40% - Accent6 3 3 3" xfId="28552"/>
    <cellStyle name="40% - Accent6 3 3 3 2" xfId="28553"/>
    <cellStyle name="40% - Accent6 3 3 3 2 2" xfId="28554"/>
    <cellStyle name="40% - Accent6 3 3 3 2 2 2" xfId="28555"/>
    <cellStyle name="40% - Accent6 3 3 3 2 2 2 2" xfId="28556"/>
    <cellStyle name="40% - Accent6 3 3 3 2 2 2 2 2" xfId="28557"/>
    <cellStyle name="40% - Accent6 3 3 3 2 2 2 3" xfId="28558"/>
    <cellStyle name="40% - Accent6 3 3 3 2 2 3" xfId="28559"/>
    <cellStyle name="40% - Accent6 3 3 3 2 2 3 2" xfId="28560"/>
    <cellStyle name="40% - Accent6 3 3 3 2 2 4" xfId="28561"/>
    <cellStyle name="40% - Accent6 3 3 3 2 3" xfId="28562"/>
    <cellStyle name="40% - Accent6 3 3 3 2 3 2" xfId="28563"/>
    <cellStyle name="40% - Accent6 3 3 3 2 3 2 2" xfId="28564"/>
    <cellStyle name="40% - Accent6 3 3 3 2 3 3" xfId="28565"/>
    <cellStyle name="40% - Accent6 3 3 3 2 4" xfId="28566"/>
    <cellStyle name="40% - Accent6 3 3 3 2 4 2" xfId="28567"/>
    <cellStyle name="40% - Accent6 3 3 3 2 5" xfId="28568"/>
    <cellStyle name="40% - Accent6 3 3 3 2 5 2" xfId="28569"/>
    <cellStyle name="40% - Accent6 3 3 3 2 6" xfId="28570"/>
    <cellStyle name="40% - Accent6 3 3 3 3" xfId="28571"/>
    <cellStyle name="40% - Accent6 3 3 3 3 2" xfId="28572"/>
    <cellStyle name="40% - Accent6 3 3 3 3 2 2" xfId="28573"/>
    <cellStyle name="40% - Accent6 3 3 3 3 2 2 2" xfId="28574"/>
    <cellStyle name="40% - Accent6 3 3 3 3 2 2 2 2" xfId="28575"/>
    <cellStyle name="40% - Accent6 3 3 3 3 2 2 3" xfId="28576"/>
    <cellStyle name="40% - Accent6 3 3 3 3 2 3" xfId="28577"/>
    <cellStyle name="40% - Accent6 3 3 3 3 2 3 2" xfId="28578"/>
    <cellStyle name="40% - Accent6 3 3 3 3 2 4" xfId="28579"/>
    <cellStyle name="40% - Accent6 3 3 3 3 3" xfId="28580"/>
    <cellStyle name="40% - Accent6 3 3 3 3 3 2" xfId="28581"/>
    <cellStyle name="40% - Accent6 3 3 3 3 3 2 2" xfId="28582"/>
    <cellStyle name="40% - Accent6 3 3 3 3 3 3" xfId="28583"/>
    <cellStyle name="40% - Accent6 3 3 3 3 4" xfId="28584"/>
    <cellStyle name="40% - Accent6 3 3 3 3 4 2" xfId="28585"/>
    <cellStyle name="40% - Accent6 3 3 3 3 5" xfId="28586"/>
    <cellStyle name="40% - Accent6 3 3 3 3 5 2" xfId="28587"/>
    <cellStyle name="40% - Accent6 3 3 3 3 6" xfId="28588"/>
    <cellStyle name="40% - Accent6 3 3 3 4" xfId="28589"/>
    <cellStyle name="40% - Accent6 3 3 3 4 2" xfId="28590"/>
    <cellStyle name="40% - Accent6 3 3 3 4 2 2" xfId="28591"/>
    <cellStyle name="40% - Accent6 3 3 3 4 2 2 2" xfId="28592"/>
    <cellStyle name="40% - Accent6 3 3 3 4 2 3" xfId="28593"/>
    <cellStyle name="40% - Accent6 3 3 3 4 3" xfId="28594"/>
    <cellStyle name="40% - Accent6 3 3 3 4 3 2" xfId="28595"/>
    <cellStyle name="40% - Accent6 3 3 3 4 4" xfId="28596"/>
    <cellStyle name="40% - Accent6 3 3 3 5" xfId="28597"/>
    <cellStyle name="40% - Accent6 3 3 3 5 2" xfId="28598"/>
    <cellStyle name="40% - Accent6 3 3 3 5 2 2" xfId="28599"/>
    <cellStyle name="40% - Accent6 3 3 3 5 3" xfId="28600"/>
    <cellStyle name="40% - Accent6 3 3 3 6" xfId="28601"/>
    <cellStyle name="40% - Accent6 3 3 3 6 2" xfId="28602"/>
    <cellStyle name="40% - Accent6 3 3 3 7" xfId="28603"/>
    <cellStyle name="40% - Accent6 3 3 3 7 2" xfId="28604"/>
    <cellStyle name="40% - Accent6 3 3 3 8" xfId="28605"/>
    <cellStyle name="40% - Accent6 3 3 4" xfId="28606"/>
    <cellStyle name="40% - Accent6 3 3 4 2" xfId="28607"/>
    <cellStyle name="40% - Accent6 3 3 4 2 2" xfId="28608"/>
    <cellStyle name="40% - Accent6 3 3 4 2 2 2" xfId="28609"/>
    <cellStyle name="40% - Accent6 3 3 4 2 2 2 2" xfId="28610"/>
    <cellStyle name="40% - Accent6 3 3 4 2 2 3" xfId="28611"/>
    <cellStyle name="40% - Accent6 3 3 4 2 3" xfId="28612"/>
    <cellStyle name="40% - Accent6 3 3 4 2 3 2" xfId="28613"/>
    <cellStyle name="40% - Accent6 3 3 4 2 4" xfId="28614"/>
    <cellStyle name="40% - Accent6 3 3 4 3" xfId="28615"/>
    <cellStyle name="40% - Accent6 3 3 4 3 2" xfId="28616"/>
    <cellStyle name="40% - Accent6 3 3 4 3 2 2" xfId="28617"/>
    <cellStyle name="40% - Accent6 3 3 4 3 3" xfId="28618"/>
    <cellStyle name="40% - Accent6 3 3 4 4" xfId="28619"/>
    <cellStyle name="40% - Accent6 3 3 4 4 2" xfId="28620"/>
    <cellStyle name="40% - Accent6 3 3 4 5" xfId="28621"/>
    <cellStyle name="40% - Accent6 3 3 4 5 2" xfId="28622"/>
    <cellStyle name="40% - Accent6 3 3 4 6" xfId="28623"/>
    <cellStyle name="40% - Accent6 3 3 5" xfId="28624"/>
    <cellStyle name="40% - Accent6 3 3 5 2" xfId="28625"/>
    <cellStyle name="40% - Accent6 3 3 5 2 2" xfId="28626"/>
    <cellStyle name="40% - Accent6 3 3 5 2 2 2" xfId="28627"/>
    <cellStyle name="40% - Accent6 3 3 5 2 2 2 2" xfId="28628"/>
    <cellStyle name="40% - Accent6 3 3 5 2 2 3" xfId="28629"/>
    <cellStyle name="40% - Accent6 3 3 5 2 3" xfId="28630"/>
    <cellStyle name="40% - Accent6 3 3 5 2 3 2" xfId="28631"/>
    <cellStyle name="40% - Accent6 3 3 5 2 4" xfId="28632"/>
    <cellStyle name="40% - Accent6 3 3 5 3" xfId="28633"/>
    <cellStyle name="40% - Accent6 3 3 5 3 2" xfId="28634"/>
    <cellStyle name="40% - Accent6 3 3 5 3 2 2" xfId="28635"/>
    <cellStyle name="40% - Accent6 3 3 5 3 3" xfId="28636"/>
    <cellStyle name="40% - Accent6 3 3 5 4" xfId="28637"/>
    <cellStyle name="40% - Accent6 3 3 5 4 2" xfId="28638"/>
    <cellStyle name="40% - Accent6 3 3 5 5" xfId="28639"/>
    <cellStyle name="40% - Accent6 3 3 5 5 2" xfId="28640"/>
    <cellStyle name="40% - Accent6 3 3 5 6" xfId="28641"/>
    <cellStyle name="40% - Accent6 3 3 6" xfId="28642"/>
    <cellStyle name="40% - Accent6 3 3 6 2" xfId="28643"/>
    <cellStyle name="40% - Accent6 3 3 6 2 2" xfId="28644"/>
    <cellStyle name="40% - Accent6 3 3 6 2 2 2" xfId="28645"/>
    <cellStyle name="40% - Accent6 3 3 6 2 2 2 2" xfId="28646"/>
    <cellStyle name="40% - Accent6 3 3 6 2 2 3" xfId="28647"/>
    <cellStyle name="40% - Accent6 3 3 6 2 3" xfId="28648"/>
    <cellStyle name="40% - Accent6 3 3 6 2 3 2" xfId="28649"/>
    <cellStyle name="40% - Accent6 3 3 6 2 4" xfId="28650"/>
    <cellStyle name="40% - Accent6 3 3 6 3" xfId="28651"/>
    <cellStyle name="40% - Accent6 3 3 6 3 2" xfId="28652"/>
    <cellStyle name="40% - Accent6 3 3 6 3 2 2" xfId="28653"/>
    <cellStyle name="40% - Accent6 3 3 6 3 3" xfId="28654"/>
    <cellStyle name="40% - Accent6 3 3 6 4" xfId="28655"/>
    <cellStyle name="40% - Accent6 3 3 6 4 2" xfId="28656"/>
    <cellStyle name="40% - Accent6 3 3 6 5" xfId="28657"/>
    <cellStyle name="40% - Accent6 3 3 6 5 2" xfId="28658"/>
    <cellStyle name="40% - Accent6 3 3 6 6" xfId="28659"/>
    <cellStyle name="40% - Accent6 3 3 7" xfId="28660"/>
    <cellStyle name="40% - Accent6 3 3 7 2" xfId="28661"/>
    <cellStyle name="40% - Accent6 3 3 7 2 2" xfId="28662"/>
    <cellStyle name="40% - Accent6 3 3 7 2 2 2" xfId="28663"/>
    <cellStyle name="40% - Accent6 3 3 7 2 3" xfId="28664"/>
    <cellStyle name="40% - Accent6 3 3 7 3" xfId="28665"/>
    <cellStyle name="40% - Accent6 3 3 7 3 2" xfId="28666"/>
    <cellStyle name="40% - Accent6 3 3 7 4" xfId="28667"/>
    <cellStyle name="40% - Accent6 3 3 8" xfId="28668"/>
    <cellStyle name="40% - Accent6 3 3 8 2" xfId="28669"/>
    <cellStyle name="40% - Accent6 3 3 8 2 2" xfId="28670"/>
    <cellStyle name="40% - Accent6 3 3 8 3" xfId="28671"/>
    <cellStyle name="40% - Accent6 3 3 9" xfId="28672"/>
    <cellStyle name="40% - Accent6 3 3 9 2" xfId="28673"/>
    <cellStyle name="40% - Accent6 3 4" xfId="28674"/>
    <cellStyle name="40% - Accent6 3 4 10" xfId="28675"/>
    <cellStyle name="40% - Accent6 3 4 10 2" xfId="28676"/>
    <cellStyle name="40% - Accent6 3 4 11" xfId="28677"/>
    <cellStyle name="40% - Accent6 3 4 2" xfId="28678"/>
    <cellStyle name="40% - Accent6 3 4 2 2" xfId="28679"/>
    <cellStyle name="40% - Accent6 3 4 2 2 2" xfId="28680"/>
    <cellStyle name="40% - Accent6 3 4 2 2 2 2" xfId="28681"/>
    <cellStyle name="40% - Accent6 3 4 2 2 2 2 2" xfId="28682"/>
    <cellStyle name="40% - Accent6 3 4 2 2 2 2 2 2" xfId="28683"/>
    <cellStyle name="40% - Accent6 3 4 2 2 2 2 3" xfId="28684"/>
    <cellStyle name="40% - Accent6 3 4 2 2 2 3" xfId="28685"/>
    <cellStyle name="40% - Accent6 3 4 2 2 2 3 2" xfId="28686"/>
    <cellStyle name="40% - Accent6 3 4 2 2 2 4" xfId="28687"/>
    <cellStyle name="40% - Accent6 3 4 2 2 3" xfId="28688"/>
    <cellStyle name="40% - Accent6 3 4 2 2 3 2" xfId="28689"/>
    <cellStyle name="40% - Accent6 3 4 2 2 3 2 2" xfId="28690"/>
    <cellStyle name="40% - Accent6 3 4 2 2 3 3" xfId="28691"/>
    <cellStyle name="40% - Accent6 3 4 2 2 4" xfId="28692"/>
    <cellStyle name="40% - Accent6 3 4 2 2 4 2" xfId="28693"/>
    <cellStyle name="40% - Accent6 3 4 2 2 5" xfId="28694"/>
    <cellStyle name="40% - Accent6 3 4 2 2 5 2" xfId="28695"/>
    <cellStyle name="40% - Accent6 3 4 2 2 6" xfId="28696"/>
    <cellStyle name="40% - Accent6 3 4 2 3" xfId="28697"/>
    <cellStyle name="40% - Accent6 3 4 2 3 2" xfId="28698"/>
    <cellStyle name="40% - Accent6 3 4 2 3 2 2" xfId="28699"/>
    <cellStyle name="40% - Accent6 3 4 2 3 2 2 2" xfId="28700"/>
    <cellStyle name="40% - Accent6 3 4 2 3 2 2 2 2" xfId="28701"/>
    <cellStyle name="40% - Accent6 3 4 2 3 2 2 3" xfId="28702"/>
    <cellStyle name="40% - Accent6 3 4 2 3 2 3" xfId="28703"/>
    <cellStyle name="40% - Accent6 3 4 2 3 2 3 2" xfId="28704"/>
    <cellStyle name="40% - Accent6 3 4 2 3 2 4" xfId="28705"/>
    <cellStyle name="40% - Accent6 3 4 2 3 3" xfId="28706"/>
    <cellStyle name="40% - Accent6 3 4 2 3 3 2" xfId="28707"/>
    <cellStyle name="40% - Accent6 3 4 2 3 3 2 2" xfId="28708"/>
    <cellStyle name="40% - Accent6 3 4 2 3 3 3" xfId="28709"/>
    <cellStyle name="40% - Accent6 3 4 2 3 4" xfId="28710"/>
    <cellStyle name="40% - Accent6 3 4 2 3 4 2" xfId="28711"/>
    <cellStyle name="40% - Accent6 3 4 2 3 5" xfId="28712"/>
    <cellStyle name="40% - Accent6 3 4 2 3 5 2" xfId="28713"/>
    <cellStyle name="40% - Accent6 3 4 2 3 6" xfId="28714"/>
    <cellStyle name="40% - Accent6 3 4 2 4" xfId="28715"/>
    <cellStyle name="40% - Accent6 3 4 2 4 2" xfId="28716"/>
    <cellStyle name="40% - Accent6 3 4 2 4 2 2" xfId="28717"/>
    <cellStyle name="40% - Accent6 3 4 2 4 2 2 2" xfId="28718"/>
    <cellStyle name="40% - Accent6 3 4 2 4 2 3" xfId="28719"/>
    <cellStyle name="40% - Accent6 3 4 2 4 3" xfId="28720"/>
    <cellStyle name="40% - Accent6 3 4 2 4 3 2" xfId="28721"/>
    <cellStyle name="40% - Accent6 3 4 2 4 4" xfId="28722"/>
    <cellStyle name="40% - Accent6 3 4 2 5" xfId="28723"/>
    <cellStyle name="40% - Accent6 3 4 2 5 2" xfId="28724"/>
    <cellStyle name="40% - Accent6 3 4 2 5 2 2" xfId="28725"/>
    <cellStyle name="40% - Accent6 3 4 2 5 3" xfId="28726"/>
    <cellStyle name="40% - Accent6 3 4 2 6" xfId="28727"/>
    <cellStyle name="40% - Accent6 3 4 2 6 2" xfId="28728"/>
    <cellStyle name="40% - Accent6 3 4 2 7" xfId="28729"/>
    <cellStyle name="40% - Accent6 3 4 2 7 2" xfId="28730"/>
    <cellStyle name="40% - Accent6 3 4 2 8" xfId="28731"/>
    <cellStyle name="40% - Accent6 3 4 3" xfId="28732"/>
    <cellStyle name="40% - Accent6 3 4 3 2" xfId="28733"/>
    <cellStyle name="40% - Accent6 3 4 3 2 2" xfId="28734"/>
    <cellStyle name="40% - Accent6 3 4 3 2 2 2" xfId="28735"/>
    <cellStyle name="40% - Accent6 3 4 3 2 2 2 2" xfId="28736"/>
    <cellStyle name="40% - Accent6 3 4 3 2 2 2 2 2" xfId="28737"/>
    <cellStyle name="40% - Accent6 3 4 3 2 2 2 3" xfId="28738"/>
    <cellStyle name="40% - Accent6 3 4 3 2 2 3" xfId="28739"/>
    <cellStyle name="40% - Accent6 3 4 3 2 2 3 2" xfId="28740"/>
    <cellStyle name="40% - Accent6 3 4 3 2 2 4" xfId="28741"/>
    <cellStyle name="40% - Accent6 3 4 3 2 3" xfId="28742"/>
    <cellStyle name="40% - Accent6 3 4 3 2 3 2" xfId="28743"/>
    <cellStyle name="40% - Accent6 3 4 3 2 3 2 2" xfId="28744"/>
    <cellStyle name="40% - Accent6 3 4 3 2 3 3" xfId="28745"/>
    <cellStyle name="40% - Accent6 3 4 3 2 4" xfId="28746"/>
    <cellStyle name="40% - Accent6 3 4 3 2 4 2" xfId="28747"/>
    <cellStyle name="40% - Accent6 3 4 3 2 5" xfId="28748"/>
    <cellStyle name="40% - Accent6 3 4 3 2 5 2" xfId="28749"/>
    <cellStyle name="40% - Accent6 3 4 3 2 6" xfId="28750"/>
    <cellStyle name="40% - Accent6 3 4 3 3" xfId="28751"/>
    <cellStyle name="40% - Accent6 3 4 3 3 2" xfId="28752"/>
    <cellStyle name="40% - Accent6 3 4 3 3 2 2" xfId="28753"/>
    <cellStyle name="40% - Accent6 3 4 3 3 2 2 2" xfId="28754"/>
    <cellStyle name="40% - Accent6 3 4 3 3 2 2 2 2" xfId="28755"/>
    <cellStyle name="40% - Accent6 3 4 3 3 2 2 3" xfId="28756"/>
    <cellStyle name="40% - Accent6 3 4 3 3 2 3" xfId="28757"/>
    <cellStyle name="40% - Accent6 3 4 3 3 2 3 2" xfId="28758"/>
    <cellStyle name="40% - Accent6 3 4 3 3 2 4" xfId="28759"/>
    <cellStyle name="40% - Accent6 3 4 3 3 3" xfId="28760"/>
    <cellStyle name="40% - Accent6 3 4 3 3 3 2" xfId="28761"/>
    <cellStyle name="40% - Accent6 3 4 3 3 3 2 2" xfId="28762"/>
    <cellStyle name="40% - Accent6 3 4 3 3 3 3" xfId="28763"/>
    <cellStyle name="40% - Accent6 3 4 3 3 4" xfId="28764"/>
    <cellStyle name="40% - Accent6 3 4 3 3 4 2" xfId="28765"/>
    <cellStyle name="40% - Accent6 3 4 3 3 5" xfId="28766"/>
    <cellStyle name="40% - Accent6 3 4 3 3 5 2" xfId="28767"/>
    <cellStyle name="40% - Accent6 3 4 3 3 6" xfId="28768"/>
    <cellStyle name="40% - Accent6 3 4 3 4" xfId="28769"/>
    <cellStyle name="40% - Accent6 3 4 3 4 2" xfId="28770"/>
    <cellStyle name="40% - Accent6 3 4 3 4 2 2" xfId="28771"/>
    <cellStyle name="40% - Accent6 3 4 3 4 2 2 2" xfId="28772"/>
    <cellStyle name="40% - Accent6 3 4 3 4 2 3" xfId="28773"/>
    <cellStyle name="40% - Accent6 3 4 3 4 3" xfId="28774"/>
    <cellStyle name="40% - Accent6 3 4 3 4 3 2" xfId="28775"/>
    <cellStyle name="40% - Accent6 3 4 3 4 4" xfId="28776"/>
    <cellStyle name="40% - Accent6 3 4 3 5" xfId="28777"/>
    <cellStyle name="40% - Accent6 3 4 3 5 2" xfId="28778"/>
    <cellStyle name="40% - Accent6 3 4 3 5 2 2" xfId="28779"/>
    <cellStyle name="40% - Accent6 3 4 3 5 3" xfId="28780"/>
    <cellStyle name="40% - Accent6 3 4 3 6" xfId="28781"/>
    <cellStyle name="40% - Accent6 3 4 3 6 2" xfId="28782"/>
    <cellStyle name="40% - Accent6 3 4 3 7" xfId="28783"/>
    <cellStyle name="40% - Accent6 3 4 3 7 2" xfId="28784"/>
    <cellStyle name="40% - Accent6 3 4 3 8" xfId="28785"/>
    <cellStyle name="40% - Accent6 3 4 4" xfId="28786"/>
    <cellStyle name="40% - Accent6 3 4 4 2" xfId="28787"/>
    <cellStyle name="40% - Accent6 3 4 4 2 2" xfId="28788"/>
    <cellStyle name="40% - Accent6 3 4 4 2 2 2" xfId="28789"/>
    <cellStyle name="40% - Accent6 3 4 4 2 2 2 2" xfId="28790"/>
    <cellStyle name="40% - Accent6 3 4 4 2 2 3" xfId="28791"/>
    <cellStyle name="40% - Accent6 3 4 4 2 3" xfId="28792"/>
    <cellStyle name="40% - Accent6 3 4 4 2 3 2" xfId="28793"/>
    <cellStyle name="40% - Accent6 3 4 4 2 4" xfId="28794"/>
    <cellStyle name="40% - Accent6 3 4 4 3" xfId="28795"/>
    <cellStyle name="40% - Accent6 3 4 4 3 2" xfId="28796"/>
    <cellStyle name="40% - Accent6 3 4 4 3 2 2" xfId="28797"/>
    <cellStyle name="40% - Accent6 3 4 4 3 3" xfId="28798"/>
    <cellStyle name="40% - Accent6 3 4 4 4" xfId="28799"/>
    <cellStyle name="40% - Accent6 3 4 4 4 2" xfId="28800"/>
    <cellStyle name="40% - Accent6 3 4 4 5" xfId="28801"/>
    <cellStyle name="40% - Accent6 3 4 4 5 2" xfId="28802"/>
    <cellStyle name="40% - Accent6 3 4 4 6" xfId="28803"/>
    <cellStyle name="40% - Accent6 3 4 5" xfId="28804"/>
    <cellStyle name="40% - Accent6 3 4 5 2" xfId="28805"/>
    <cellStyle name="40% - Accent6 3 4 5 2 2" xfId="28806"/>
    <cellStyle name="40% - Accent6 3 4 5 2 2 2" xfId="28807"/>
    <cellStyle name="40% - Accent6 3 4 5 2 2 2 2" xfId="28808"/>
    <cellStyle name="40% - Accent6 3 4 5 2 2 3" xfId="28809"/>
    <cellStyle name="40% - Accent6 3 4 5 2 3" xfId="28810"/>
    <cellStyle name="40% - Accent6 3 4 5 2 3 2" xfId="28811"/>
    <cellStyle name="40% - Accent6 3 4 5 2 4" xfId="28812"/>
    <cellStyle name="40% - Accent6 3 4 5 3" xfId="28813"/>
    <cellStyle name="40% - Accent6 3 4 5 3 2" xfId="28814"/>
    <cellStyle name="40% - Accent6 3 4 5 3 2 2" xfId="28815"/>
    <cellStyle name="40% - Accent6 3 4 5 3 3" xfId="28816"/>
    <cellStyle name="40% - Accent6 3 4 5 4" xfId="28817"/>
    <cellStyle name="40% - Accent6 3 4 5 4 2" xfId="28818"/>
    <cellStyle name="40% - Accent6 3 4 5 5" xfId="28819"/>
    <cellStyle name="40% - Accent6 3 4 5 5 2" xfId="28820"/>
    <cellStyle name="40% - Accent6 3 4 5 6" xfId="28821"/>
    <cellStyle name="40% - Accent6 3 4 6" xfId="28822"/>
    <cellStyle name="40% - Accent6 3 4 6 2" xfId="28823"/>
    <cellStyle name="40% - Accent6 3 4 6 2 2" xfId="28824"/>
    <cellStyle name="40% - Accent6 3 4 6 2 2 2" xfId="28825"/>
    <cellStyle name="40% - Accent6 3 4 6 2 2 2 2" xfId="28826"/>
    <cellStyle name="40% - Accent6 3 4 6 2 2 3" xfId="28827"/>
    <cellStyle name="40% - Accent6 3 4 6 2 3" xfId="28828"/>
    <cellStyle name="40% - Accent6 3 4 6 2 3 2" xfId="28829"/>
    <cellStyle name="40% - Accent6 3 4 6 2 4" xfId="28830"/>
    <cellStyle name="40% - Accent6 3 4 6 3" xfId="28831"/>
    <cellStyle name="40% - Accent6 3 4 6 3 2" xfId="28832"/>
    <cellStyle name="40% - Accent6 3 4 6 3 2 2" xfId="28833"/>
    <cellStyle name="40% - Accent6 3 4 6 3 3" xfId="28834"/>
    <cellStyle name="40% - Accent6 3 4 6 4" xfId="28835"/>
    <cellStyle name="40% - Accent6 3 4 6 4 2" xfId="28836"/>
    <cellStyle name="40% - Accent6 3 4 6 5" xfId="28837"/>
    <cellStyle name="40% - Accent6 3 4 6 5 2" xfId="28838"/>
    <cellStyle name="40% - Accent6 3 4 6 6" xfId="28839"/>
    <cellStyle name="40% - Accent6 3 4 7" xfId="28840"/>
    <cellStyle name="40% - Accent6 3 4 7 2" xfId="28841"/>
    <cellStyle name="40% - Accent6 3 4 7 2 2" xfId="28842"/>
    <cellStyle name="40% - Accent6 3 4 7 2 2 2" xfId="28843"/>
    <cellStyle name="40% - Accent6 3 4 7 2 3" xfId="28844"/>
    <cellStyle name="40% - Accent6 3 4 7 3" xfId="28845"/>
    <cellStyle name="40% - Accent6 3 4 7 3 2" xfId="28846"/>
    <cellStyle name="40% - Accent6 3 4 7 4" xfId="28847"/>
    <cellStyle name="40% - Accent6 3 4 8" xfId="28848"/>
    <cellStyle name="40% - Accent6 3 4 8 2" xfId="28849"/>
    <cellStyle name="40% - Accent6 3 4 8 2 2" xfId="28850"/>
    <cellStyle name="40% - Accent6 3 4 8 3" xfId="28851"/>
    <cellStyle name="40% - Accent6 3 4 9" xfId="28852"/>
    <cellStyle name="40% - Accent6 3 4 9 2" xfId="28853"/>
    <cellStyle name="40% - Accent6 3 5" xfId="28854"/>
    <cellStyle name="40% - Accent6 3 5 10" xfId="28855"/>
    <cellStyle name="40% - Accent6 3 5 10 2" xfId="28856"/>
    <cellStyle name="40% - Accent6 3 5 11" xfId="28857"/>
    <cellStyle name="40% - Accent6 3 5 2" xfId="28858"/>
    <cellStyle name="40% - Accent6 3 5 2 2" xfId="28859"/>
    <cellStyle name="40% - Accent6 3 5 2 2 2" xfId="28860"/>
    <cellStyle name="40% - Accent6 3 5 2 2 2 2" xfId="28861"/>
    <cellStyle name="40% - Accent6 3 5 2 2 2 2 2" xfId="28862"/>
    <cellStyle name="40% - Accent6 3 5 2 2 2 2 2 2" xfId="28863"/>
    <cellStyle name="40% - Accent6 3 5 2 2 2 2 3" xfId="28864"/>
    <cellStyle name="40% - Accent6 3 5 2 2 2 3" xfId="28865"/>
    <cellStyle name="40% - Accent6 3 5 2 2 2 3 2" xfId="28866"/>
    <cellStyle name="40% - Accent6 3 5 2 2 2 4" xfId="28867"/>
    <cellStyle name="40% - Accent6 3 5 2 2 3" xfId="28868"/>
    <cellStyle name="40% - Accent6 3 5 2 2 3 2" xfId="28869"/>
    <cellStyle name="40% - Accent6 3 5 2 2 3 2 2" xfId="28870"/>
    <cellStyle name="40% - Accent6 3 5 2 2 3 3" xfId="28871"/>
    <cellStyle name="40% - Accent6 3 5 2 2 4" xfId="28872"/>
    <cellStyle name="40% - Accent6 3 5 2 2 4 2" xfId="28873"/>
    <cellStyle name="40% - Accent6 3 5 2 2 5" xfId="28874"/>
    <cellStyle name="40% - Accent6 3 5 2 2 5 2" xfId="28875"/>
    <cellStyle name="40% - Accent6 3 5 2 2 6" xfId="28876"/>
    <cellStyle name="40% - Accent6 3 5 2 3" xfId="28877"/>
    <cellStyle name="40% - Accent6 3 5 2 3 2" xfId="28878"/>
    <cellStyle name="40% - Accent6 3 5 2 3 2 2" xfId="28879"/>
    <cellStyle name="40% - Accent6 3 5 2 3 2 2 2" xfId="28880"/>
    <cellStyle name="40% - Accent6 3 5 2 3 2 2 2 2" xfId="28881"/>
    <cellStyle name="40% - Accent6 3 5 2 3 2 2 3" xfId="28882"/>
    <cellStyle name="40% - Accent6 3 5 2 3 2 3" xfId="28883"/>
    <cellStyle name="40% - Accent6 3 5 2 3 2 3 2" xfId="28884"/>
    <cellStyle name="40% - Accent6 3 5 2 3 2 4" xfId="28885"/>
    <cellStyle name="40% - Accent6 3 5 2 3 3" xfId="28886"/>
    <cellStyle name="40% - Accent6 3 5 2 3 3 2" xfId="28887"/>
    <cellStyle name="40% - Accent6 3 5 2 3 3 2 2" xfId="28888"/>
    <cellStyle name="40% - Accent6 3 5 2 3 3 3" xfId="28889"/>
    <cellStyle name="40% - Accent6 3 5 2 3 4" xfId="28890"/>
    <cellStyle name="40% - Accent6 3 5 2 3 4 2" xfId="28891"/>
    <cellStyle name="40% - Accent6 3 5 2 3 5" xfId="28892"/>
    <cellStyle name="40% - Accent6 3 5 2 3 5 2" xfId="28893"/>
    <cellStyle name="40% - Accent6 3 5 2 3 6" xfId="28894"/>
    <cellStyle name="40% - Accent6 3 5 2 4" xfId="28895"/>
    <cellStyle name="40% - Accent6 3 5 2 4 2" xfId="28896"/>
    <cellStyle name="40% - Accent6 3 5 2 4 2 2" xfId="28897"/>
    <cellStyle name="40% - Accent6 3 5 2 4 2 2 2" xfId="28898"/>
    <cellStyle name="40% - Accent6 3 5 2 4 2 3" xfId="28899"/>
    <cellStyle name="40% - Accent6 3 5 2 4 3" xfId="28900"/>
    <cellStyle name="40% - Accent6 3 5 2 4 3 2" xfId="28901"/>
    <cellStyle name="40% - Accent6 3 5 2 4 4" xfId="28902"/>
    <cellStyle name="40% - Accent6 3 5 2 5" xfId="28903"/>
    <cellStyle name="40% - Accent6 3 5 2 5 2" xfId="28904"/>
    <cellStyle name="40% - Accent6 3 5 2 5 2 2" xfId="28905"/>
    <cellStyle name="40% - Accent6 3 5 2 5 3" xfId="28906"/>
    <cellStyle name="40% - Accent6 3 5 2 6" xfId="28907"/>
    <cellStyle name="40% - Accent6 3 5 2 6 2" xfId="28908"/>
    <cellStyle name="40% - Accent6 3 5 2 7" xfId="28909"/>
    <cellStyle name="40% - Accent6 3 5 2 7 2" xfId="28910"/>
    <cellStyle name="40% - Accent6 3 5 2 8" xfId="28911"/>
    <cellStyle name="40% - Accent6 3 5 3" xfId="28912"/>
    <cellStyle name="40% - Accent6 3 5 3 2" xfId="28913"/>
    <cellStyle name="40% - Accent6 3 5 3 2 2" xfId="28914"/>
    <cellStyle name="40% - Accent6 3 5 3 2 2 2" xfId="28915"/>
    <cellStyle name="40% - Accent6 3 5 3 2 2 2 2" xfId="28916"/>
    <cellStyle name="40% - Accent6 3 5 3 2 2 2 2 2" xfId="28917"/>
    <cellStyle name="40% - Accent6 3 5 3 2 2 2 3" xfId="28918"/>
    <cellStyle name="40% - Accent6 3 5 3 2 2 3" xfId="28919"/>
    <cellStyle name="40% - Accent6 3 5 3 2 2 3 2" xfId="28920"/>
    <cellStyle name="40% - Accent6 3 5 3 2 2 4" xfId="28921"/>
    <cellStyle name="40% - Accent6 3 5 3 2 3" xfId="28922"/>
    <cellStyle name="40% - Accent6 3 5 3 2 3 2" xfId="28923"/>
    <cellStyle name="40% - Accent6 3 5 3 2 3 2 2" xfId="28924"/>
    <cellStyle name="40% - Accent6 3 5 3 2 3 3" xfId="28925"/>
    <cellStyle name="40% - Accent6 3 5 3 2 4" xfId="28926"/>
    <cellStyle name="40% - Accent6 3 5 3 2 4 2" xfId="28927"/>
    <cellStyle name="40% - Accent6 3 5 3 2 5" xfId="28928"/>
    <cellStyle name="40% - Accent6 3 5 3 2 5 2" xfId="28929"/>
    <cellStyle name="40% - Accent6 3 5 3 2 6" xfId="28930"/>
    <cellStyle name="40% - Accent6 3 5 3 3" xfId="28931"/>
    <cellStyle name="40% - Accent6 3 5 3 3 2" xfId="28932"/>
    <cellStyle name="40% - Accent6 3 5 3 3 2 2" xfId="28933"/>
    <cellStyle name="40% - Accent6 3 5 3 3 2 2 2" xfId="28934"/>
    <cellStyle name="40% - Accent6 3 5 3 3 2 2 2 2" xfId="28935"/>
    <cellStyle name="40% - Accent6 3 5 3 3 2 2 3" xfId="28936"/>
    <cellStyle name="40% - Accent6 3 5 3 3 2 3" xfId="28937"/>
    <cellStyle name="40% - Accent6 3 5 3 3 2 3 2" xfId="28938"/>
    <cellStyle name="40% - Accent6 3 5 3 3 2 4" xfId="28939"/>
    <cellStyle name="40% - Accent6 3 5 3 3 3" xfId="28940"/>
    <cellStyle name="40% - Accent6 3 5 3 3 3 2" xfId="28941"/>
    <cellStyle name="40% - Accent6 3 5 3 3 3 2 2" xfId="28942"/>
    <cellStyle name="40% - Accent6 3 5 3 3 3 3" xfId="28943"/>
    <cellStyle name="40% - Accent6 3 5 3 3 4" xfId="28944"/>
    <cellStyle name="40% - Accent6 3 5 3 3 4 2" xfId="28945"/>
    <cellStyle name="40% - Accent6 3 5 3 3 5" xfId="28946"/>
    <cellStyle name="40% - Accent6 3 5 3 3 5 2" xfId="28947"/>
    <cellStyle name="40% - Accent6 3 5 3 3 6" xfId="28948"/>
    <cellStyle name="40% - Accent6 3 5 3 4" xfId="28949"/>
    <cellStyle name="40% - Accent6 3 5 3 4 2" xfId="28950"/>
    <cellStyle name="40% - Accent6 3 5 3 4 2 2" xfId="28951"/>
    <cellStyle name="40% - Accent6 3 5 3 4 2 2 2" xfId="28952"/>
    <cellStyle name="40% - Accent6 3 5 3 4 2 3" xfId="28953"/>
    <cellStyle name="40% - Accent6 3 5 3 4 3" xfId="28954"/>
    <cellStyle name="40% - Accent6 3 5 3 4 3 2" xfId="28955"/>
    <cellStyle name="40% - Accent6 3 5 3 4 4" xfId="28956"/>
    <cellStyle name="40% - Accent6 3 5 3 5" xfId="28957"/>
    <cellStyle name="40% - Accent6 3 5 3 5 2" xfId="28958"/>
    <cellStyle name="40% - Accent6 3 5 3 5 2 2" xfId="28959"/>
    <cellStyle name="40% - Accent6 3 5 3 5 3" xfId="28960"/>
    <cellStyle name="40% - Accent6 3 5 3 6" xfId="28961"/>
    <cellStyle name="40% - Accent6 3 5 3 6 2" xfId="28962"/>
    <cellStyle name="40% - Accent6 3 5 3 7" xfId="28963"/>
    <cellStyle name="40% - Accent6 3 5 3 7 2" xfId="28964"/>
    <cellStyle name="40% - Accent6 3 5 3 8" xfId="28965"/>
    <cellStyle name="40% - Accent6 3 5 4" xfId="28966"/>
    <cellStyle name="40% - Accent6 3 5 4 2" xfId="28967"/>
    <cellStyle name="40% - Accent6 3 5 4 2 2" xfId="28968"/>
    <cellStyle name="40% - Accent6 3 5 4 2 2 2" xfId="28969"/>
    <cellStyle name="40% - Accent6 3 5 4 2 2 2 2" xfId="28970"/>
    <cellStyle name="40% - Accent6 3 5 4 2 2 3" xfId="28971"/>
    <cellStyle name="40% - Accent6 3 5 4 2 3" xfId="28972"/>
    <cellStyle name="40% - Accent6 3 5 4 2 3 2" xfId="28973"/>
    <cellStyle name="40% - Accent6 3 5 4 2 4" xfId="28974"/>
    <cellStyle name="40% - Accent6 3 5 4 3" xfId="28975"/>
    <cellStyle name="40% - Accent6 3 5 4 3 2" xfId="28976"/>
    <cellStyle name="40% - Accent6 3 5 4 3 2 2" xfId="28977"/>
    <cellStyle name="40% - Accent6 3 5 4 3 3" xfId="28978"/>
    <cellStyle name="40% - Accent6 3 5 4 4" xfId="28979"/>
    <cellStyle name="40% - Accent6 3 5 4 4 2" xfId="28980"/>
    <cellStyle name="40% - Accent6 3 5 4 5" xfId="28981"/>
    <cellStyle name="40% - Accent6 3 5 4 5 2" xfId="28982"/>
    <cellStyle name="40% - Accent6 3 5 4 6" xfId="28983"/>
    <cellStyle name="40% - Accent6 3 5 5" xfId="28984"/>
    <cellStyle name="40% - Accent6 3 5 5 2" xfId="28985"/>
    <cellStyle name="40% - Accent6 3 5 5 2 2" xfId="28986"/>
    <cellStyle name="40% - Accent6 3 5 5 2 2 2" xfId="28987"/>
    <cellStyle name="40% - Accent6 3 5 5 2 2 2 2" xfId="28988"/>
    <cellStyle name="40% - Accent6 3 5 5 2 2 3" xfId="28989"/>
    <cellStyle name="40% - Accent6 3 5 5 2 3" xfId="28990"/>
    <cellStyle name="40% - Accent6 3 5 5 2 3 2" xfId="28991"/>
    <cellStyle name="40% - Accent6 3 5 5 2 4" xfId="28992"/>
    <cellStyle name="40% - Accent6 3 5 5 3" xfId="28993"/>
    <cellStyle name="40% - Accent6 3 5 5 3 2" xfId="28994"/>
    <cellStyle name="40% - Accent6 3 5 5 3 2 2" xfId="28995"/>
    <cellStyle name="40% - Accent6 3 5 5 3 3" xfId="28996"/>
    <cellStyle name="40% - Accent6 3 5 5 4" xfId="28997"/>
    <cellStyle name="40% - Accent6 3 5 5 4 2" xfId="28998"/>
    <cellStyle name="40% - Accent6 3 5 5 5" xfId="28999"/>
    <cellStyle name="40% - Accent6 3 5 5 5 2" xfId="29000"/>
    <cellStyle name="40% - Accent6 3 5 5 6" xfId="29001"/>
    <cellStyle name="40% - Accent6 3 5 6" xfId="29002"/>
    <cellStyle name="40% - Accent6 3 5 6 2" xfId="29003"/>
    <cellStyle name="40% - Accent6 3 5 6 2 2" xfId="29004"/>
    <cellStyle name="40% - Accent6 3 5 6 2 2 2" xfId="29005"/>
    <cellStyle name="40% - Accent6 3 5 6 2 2 2 2" xfId="29006"/>
    <cellStyle name="40% - Accent6 3 5 6 2 2 3" xfId="29007"/>
    <cellStyle name="40% - Accent6 3 5 6 2 3" xfId="29008"/>
    <cellStyle name="40% - Accent6 3 5 6 2 3 2" xfId="29009"/>
    <cellStyle name="40% - Accent6 3 5 6 2 4" xfId="29010"/>
    <cellStyle name="40% - Accent6 3 5 6 3" xfId="29011"/>
    <cellStyle name="40% - Accent6 3 5 6 3 2" xfId="29012"/>
    <cellStyle name="40% - Accent6 3 5 6 3 2 2" xfId="29013"/>
    <cellStyle name="40% - Accent6 3 5 6 3 3" xfId="29014"/>
    <cellStyle name="40% - Accent6 3 5 6 4" xfId="29015"/>
    <cellStyle name="40% - Accent6 3 5 6 4 2" xfId="29016"/>
    <cellStyle name="40% - Accent6 3 5 6 5" xfId="29017"/>
    <cellStyle name="40% - Accent6 3 5 6 5 2" xfId="29018"/>
    <cellStyle name="40% - Accent6 3 5 6 6" xfId="29019"/>
    <cellStyle name="40% - Accent6 3 5 7" xfId="29020"/>
    <cellStyle name="40% - Accent6 3 5 7 2" xfId="29021"/>
    <cellStyle name="40% - Accent6 3 5 7 2 2" xfId="29022"/>
    <cellStyle name="40% - Accent6 3 5 7 2 2 2" xfId="29023"/>
    <cellStyle name="40% - Accent6 3 5 7 2 3" xfId="29024"/>
    <cellStyle name="40% - Accent6 3 5 7 3" xfId="29025"/>
    <cellStyle name="40% - Accent6 3 5 7 3 2" xfId="29026"/>
    <cellStyle name="40% - Accent6 3 5 7 4" xfId="29027"/>
    <cellStyle name="40% - Accent6 3 5 8" xfId="29028"/>
    <cellStyle name="40% - Accent6 3 5 8 2" xfId="29029"/>
    <cellStyle name="40% - Accent6 3 5 8 2 2" xfId="29030"/>
    <cellStyle name="40% - Accent6 3 5 8 3" xfId="29031"/>
    <cellStyle name="40% - Accent6 3 5 9" xfId="29032"/>
    <cellStyle name="40% - Accent6 3 5 9 2" xfId="29033"/>
    <cellStyle name="40% - Accent6 3 6" xfId="29034"/>
    <cellStyle name="40% - Accent6 3 6 2" xfId="29035"/>
    <cellStyle name="40% - Accent6 3 6 2 2" xfId="29036"/>
    <cellStyle name="40% - Accent6 3 6 2 2 2" xfId="29037"/>
    <cellStyle name="40% - Accent6 3 6 2 2 2 2" xfId="29038"/>
    <cellStyle name="40% - Accent6 3 6 2 2 2 2 2" xfId="29039"/>
    <cellStyle name="40% - Accent6 3 6 2 2 2 3" xfId="29040"/>
    <cellStyle name="40% - Accent6 3 6 2 2 3" xfId="29041"/>
    <cellStyle name="40% - Accent6 3 6 2 2 3 2" xfId="29042"/>
    <cellStyle name="40% - Accent6 3 6 2 2 4" xfId="29043"/>
    <cellStyle name="40% - Accent6 3 6 2 3" xfId="29044"/>
    <cellStyle name="40% - Accent6 3 6 2 3 2" xfId="29045"/>
    <cellStyle name="40% - Accent6 3 6 2 3 2 2" xfId="29046"/>
    <cellStyle name="40% - Accent6 3 6 2 3 3" xfId="29047"/>
    <cellStyle name="40% - Accent6 3 6 2 4" xfId="29048"/>
    <cellStyle name="40% - Accent6 3 6 2 4 2" xfId="29049"/>
    <cellStyle name="40% - Accent6 3 6 2 5" xfId="29050"/>
    <cellStyle name="40% - Accent6 3 6 2 5 2" xfId="29051"/>
    <cellStyle name="40% - Accent6 3 6 2 6" xfId="29052"/>
    <cellStyle name="40% - Accent6 3 6 3" xfId="29053"/>
    <cellStyle name="40% - Accent6 3 6 3 2" xfId="29054"/>
    <cellStyle name="40% - Accent6 3 6 3 2 2" xfId="29055"/>
    <cellStyle name="40% - Accent6 3 6 3 2 2 2" xfId="29056"/>
    <cellStyle name="40% - Accent6 3 6 3 2 2 2 2" xfId="29057"/>
    <cellStyle name="40% - Accent6 3 6 3 2 2 3" xfId="29058"/>
    <cellStyle name="40% - Accent6 3 6 3 2 3" xfId="29059"/>
    <cellStyle name="40% - Accent6 3 6 3 2 3 2" xfId="29060"/>
    <cellStyle name="40% - Accent6 3 6 3 2 4" xfId="29061"/>
    <cellStyle name="40% - Accent6 3 6 3 3" xfId="29062"/>
    <cellStyle name="40% - Accent6 3 6 3 3 2" xfId="29063"/>
    <cellStyle name="40% - Accent6 3 6 3 3 2 2" xfId="29064"/>
    <cellStyle name="40% - Accent6 3 6 3 3 3" xfId="29065"/>
    <cellStyle name="40% - Accent6 3 6 3 4" xfId="29066"/>
    <cellStyle name="40% - Accent6 3 6 3 4 2" xfId="29067"/>
    <cellStyle name="40% - Accent6 3 6 3 5" xfId="29068"/>
    <cellStyle name="40% - Accent6 3 6 3 5 2" xfId="29069"/>
    <cellStyle name="40% - Accent6 3 6 3 6" xfId="29070"/>
    <cellStyle name="40% - Accent6 3 6 4" xfId="29071"/>
    <cellStyle name="40% - Accent6 3 6 4 2" xfId="29072"/>
    <cellStyle name="40% - Accent6 3 6 4 2 2" xfId="29073"/>
    <cellStyle name="40% - Accent6 3 6 4 2 2 2" xfId="29074"/>
    <cellStyle name="40% - Accent6 3 6 4 2 3" xfId="29075"/>
    <cellStyle name="40% - Accent6 3 6 4 3" xfId="29076"/>
    <cellStyle name="40% - Accent6 3 6 4 3 2" xfId="29077"/>
    <cellStyle name="40% - Accent6 3 6 4 4" xfId="29078"/>
    <cellStyle name="40% - Accent6 3 6 5" xfId="29079"/>
    <cellStyle name="40% - Accent6 3 6 5 2" xfId="29080"/>
    <cellStyle name="40% - Accent6 3 6 5 2 2" xfId="29081"/>
    <cellStyle name="40% - Accent6 3 6 5 3" xfId="29082"/>
    <cellStyle name="40% - Accent6 3 6 6" xfId="29083"/>
    <cellStyle name="40% - Accent6 3 6 6 2" xfId="29084"/>
    <cellStyle name="40% - Accent6 3 6 7" xfId="29085"/>
    <cellStyle name="40% - Accent6 3 6 7 2" xfId="29086"/>
    <cellStyle name="40% - Accent6 3 6 8" xfId="29087"/>
    <cellStyle name="40% - Accent6 3 7" xfId="29088"/>
    <cellStyle name="40% - Accent6 3 7 2" xfId="29089"/>
    <cellStyle name="40% - Accent6 3 7 2 2" xfId="29090"/>
    <cellStyle name="40% - Accent6 3 7 2 2 2" xfId="29091"/>
    <cellStyle name="40% - Accent6 3 7 2 2 2 2" xfId="29092"/>
    <cellStyle name="40% - Accent6 3 7 2 2 2 2 2" xfId="29093"/>
    <cellStyle name="40% - Accent6 3 7 2 2 2 3" xfId="29094"/>
    <cellStyle name="40% - Accent6 3 7 2 2 3" xfId="29095"/>
    <cellStyle name="40% - Accent6 3 7 2 2 3 2" xfId="29096"/>
    <cellStyle name="40% - Accent6 3 7 2 2 4" xfId="29097"/>
    <cellStyle name="40% - Accent6 3 7 2 3" xfId="29098"/>
    <cellStyle name="40% - Accent6 3 7 2 3 2" xfId="29099"/>
    <cellStyle name="40% - Accent6 3 7 2 3 2 2" xfId="29100"/>
    <cellStyle name="40% - Accent6 3 7 2 3 3" xfId="29101"/>
    <cellStyle name="40% - Accent6 3 7 2 4" xfId="29102"/>
    <cellStyle name="40% - Accent6 3 7 2 4 2" xfId="29103"/>
    <cellStyle name="40% - Accent6 3 7 2 5" xfId="29104"/>
    <cellStyle name="40% - Accent6 3 7 2 5 2" xfId="29105"/>
    <cellStyle name="40% - Accent6 3 7 2 6" xfId="29106"/>
    <cellStyle name="40% - Accent6 3 7 3" xfId="29107"/>
    <cellStyle name="40% - Accent6 3 7 3 2" xfId="29108"/>
    <cellStyle name="40% - Accent6 3 7 3 2 2" xfId="29109"/>
    <cellStyle name="40% - Accent6 3 7 3 2 2 2" xfId="29110"/>
    <cellStyle name="40% - Accent6 3 7 3 2 2 2 2" xfId="29111"/>
    <cellStyle name="40% - Accent6 3 7 3 2 2 3" xfId="29112"/>
    <cellStyle name="40% - Accent6 3 7 3 2 3" xfId="29113"/>
    <cellStyle name="40% - Accent6 3 7 3 2 3 2" xfId="29114"/>
    <cellStyle name="40% - Accent6 3 7 3 2 4" xfId="29115"/>
    <cellStyle name="40% - Accent6 3 7 3 3" xfId="29116"/>
    <cellStyle name="40% - Accent6 3 7 3 3 2" xfId="29117"/>
    <cellStyle name="40% - Accent6 3 7 3 3 2 2" xfId="29118"/>
    <cellStyle name="40% - Accent6 3 7 3 3 3" xfId="29119"/>
    <cellStyle name="40% - Accent6 3 7 3 4" xfId="29120"/>
    <cellStyle name="40% - Accent6 3 7 3 4 2" xfId="29121"/>
    <cellStyle name="40% - Accent6 3 7 3 5" xfId="29122"/>
    <cellStyle name="40% - Accent6 3 7 3 5 2" xfId="29123"/>
    <cellStyle name="40% - Accent6 3 7 3 6" xfId="29124"/>
    <cellStyle name="40% - Accent6 3 7 4" xfId="29125"/>
    <cellStyle name="40% - Accent6 3 7 4 2" xfId="29126"/>
    <cellStyle name="40% - Accent6 3 7 4 2 2" xfId="29127"/>
    <cellStyle name="40% - Accent6 3 7 4 2 2 2" xfId="29128"/>
    <cellStyle name="40% - Accent6 3 7 4 2 3" xfId="29129"/>
    <cellStyle name="40% - Accent6 3 7 4 3" xfId="29130"/>
    <cellStyle name="40% - Accent6 3 7 4 3 2" xfId="29131"/>
    <cellStyle name="40% - Accent6 3 7 4 4" xfId="29132"/>
    <cellStyle name="40% - Accent6 3 7 5" xfId="29133"/>
    <cellStyle name="40% - Accent6 3 7 5 2" xfId="29134"/>
    <cellStyle name="40% - Accent6 3 7 5 2 2" xfId="29135"/>
    <cellStyle name="40% - Accent6 3 7 5 3" xfId="29136"/>
    <cellStyle name="40% - Accent6 3 7 6" xfId="29137"/>
    <cellStyle name="40% - Accent6 3 7 6 2" xfId="29138"/>
    <cellStyle name="40% - Accent6 3 7 7" xfId="29139"/>
    <cellStyle name="40% - Accent6 3 7 7 2" xfId="29140"/>
    <cellStyle name="40% - Accent6 3 7 8" xfId="29141"/>
    <cellStyle name="40% - Accent6 3 8" xfId="29142"/>
    <cellStyle name="40% - Accent6 3 8 2" xfId="29143"/>
    <cellStyle name="40% - Accent6 3 8 2 2" xfId="29144"/>
    <cellStyle name="40% - Accent6 3 8 2 2 2" xfId="29145"/>
    <cellStyle name="40% - Accent6 3 8 2 2 2 2" xfId="29146"/>
    <cellStyle name="40% - Accent6 3 8 2 2 3" xfId="29147"/>
    <cellStyle name="40% - Accent6 3 8 2 3" xfId="29148"/>
    <cellStyle name="40% - Accent6 3 8 2 3 2" xfId="29149"/>
    <cellStyle name="40% - Accent6 3 8 2 4" xfId="29150"/>
    <cellStyle name="40% - Accent6 3 8 3" xfId="29151"/>
    <cellStyle name="40% - Accent6 3 8 3 2" xfId="29152"/>
    <cellStyle name="40% - Accent6 3 8 3 2 2" xfId="29153"/>
    <cellStyle name="40% - Accent6 3 8 3 3" xfId="29154"/>
    <cellStyle name="40% - Accent6 3 8 4" xfId="29155"/>
    <cellStyle name="40% - Accent6 3 8 4 2" xfId="29156"/>
    <cellStyle name="40% - Accent6 3 8 5" xfId="29157"/>
    <cellStyle name="40% - Accent6 3 8 5 2" xfId="29158"/>
    <cellStyle name="40% - Accent6 3 8 6" xfId="29159"/>
    <cellStyle name="40% - Accent6 3 9" xfId="29160"/>
    <cellStyle name="40% - Accent6 3 9 2" xfId="29161"/>
    <cellStyle name="40% - Accent6 3 9 2 2" xfId="29162"/>
    <cellStyle name="40% - Accent6 3 9 2 2 2" xfId="29163"/>
    <cellStyle name="40% - Accent6 3 9 2 2 2 2" xfId="29164"/>
    <cellStyle name="40% - Accent6 3 9 2 2 3" xfId="29165"/>
    <cellStyle name="40% - Accent6 3 9 2 3" xfId="29166"/>
    <cellStyle name="40% - Accent6 3 9 2 3 2" xfId="29167"/>
    <cellStyle name="40% - Accent6 3 9 2 4" xfId="29168"/>
    <cellStyle name="40% - Accent6 3 9 3" xfId="29169"/>
    <cellStyle name="40% - Accent6 3 9 3 2" xfId="29170"/>
    <cellStyle name="40% - Accent6 3 9 3 2 2" xfId="29171"/>
    <cellStyle name="40% - Accent6 3 9 3 3" xfId="29172"/>
    <cellStyle name="40% - Accent6 3 9 4" xfId="29173"/>
    <cellStyle name="40% - Accent6 3 9 4 2" xfId="29174"/>
    <cellStyle name="40% - Accent6 3 9 5" xfId="29175"/>
    <cellStyle name="40% - Accent6 3 9 5 2" xfId="29176"/>
    <cellStyle name="40% - Accent6 3 9 6" xfId="29177"/>
    <cellStyle name="40% - Accent6 4" xfId="29178"/>
    <cellStyle name="40% - Accent6 5" xfId="29179"/>
    <cellStyle name="40% - Accent6 5 10" xfId="29180"/>
    <cellStyle name="40% - Accent6 5 10 2" xfId="29181"/>
    <cellStyle name="40% - Accent6 5 11" xfId="29182"/>
    <cellStyle name="40% - Accent6 5 2" xfId="29183"/>
    <cellStyle name="40% - Accent6 5 2 2" xfId="29184"/>
    <cellStyle name="40% - Accent6 5 2 2 2" xfId="29185"/>
    <cellStyle name="40% - Accent6 5 2 2 2 2" xfId="29186"/>
    <cellStyle name="40% - Accent6 5 2 2 2 2 2" xfId="29187"/>
    <cellStyle name="40% - Accent6 5 2 2 2 2 2 2" xfId="29188"/>
    <cellStyle name="40% - Accent6 5 2 2 2 2 3" xfId="29189"/>
    <cellStyle name="40% - Accent6 5 2 2 2 3" xfId="29190"/>
    <cellStyle name="40% - Accent6 5 2 2 2 3 2" xfId="29191"/>
    <cellStyle name="40% - Accent6 5 2 2 2 4" xfId="29192"/>
    <cellStyle name="40% - Accent6 5 2 2 3" xfId="29193"/>
    <cellStyle name="40% - Accent6 5 2 2 3 2" xfId="29194"/>
    <cellStyle name="40% - Accent6 5 2 2 3 2 2" xfId="29195"/>
    <cellStyle name="40% - Accent6 5 2 2 3 3" xfId="29196"/>
    <cellStyle name="40% - Accent6 5 2 2 4" xfId="29197"/>
    <cellStyle name="40% - Accent6 5 2 2 4 2" xfId="29198"/>
    <cellStyle name="40% - Accent6 5 2 2 5" xfId="29199"/>
    <cellStyle name="40% - Accent6 5 2 2 5 2" xfId="29200"/>
    <cellStyle name="40% - Accent6 5 2 2 6" xfId="29201"/>
    <cellStyle name="40% - Accent6 5 2 3" xfId="29202"/>
    <cellStyle name="40% - Accent6 5 2 3 2" xfId="29203"/>
    <cellStyle name="40% - Accent6 5 2 3 2 2" xfId="29204"/>
    <cellStyle name="40% - Accent6 5 2 3 2 2 2" xfId="29205"/>
    <cellStyle name="40% - Accent6 5 2 3 2 2 2 2" xfId="29206"/>
    <cellStyle name="40% - Accent6 5 2 3 2 2 3" xfId="29207"/>
    <cellStyle name="40% - Accent6 5 2 3 2 3" xfId="29208"/>
    <cellStyle name="40% - Accent6 5 2 3 2 3 2" xfId="29209"/>
    <cellStyle name="40% - Accent6 5 2 3 2 4" xfId="29210"/>
    <cellStyle name="40% - Accent6 5 2 3 3" xfId="29211"/>
    <cellStyle name="40% - Accent6 5 2 3 3 2" xfId="29212"/>
    <cellStyle name="40% - Accent6 5 2 3 3 2 2" xfId="29213"/>
    <cellStyle name="40% - Accent6 5 2 3 3 3" xfId="29214"/>
    <cellStyle name="40% - Accent6 5 2 3 4" xfId="29215"/>
    <cellStyle name="40% - Accent6 5 2 3 4 2" xfId="29216"/>
    <cellStyle name="40% - Accent6 5 2 3 5" xfId="29217"/>
    <cellStyle name="40% - Accent6 5 2 3 5 2" xfId="29218"/>
    <cellStyle name="40% - Accent6 5 2 3 6" xfId="29219"/>
    <cellStyle name="40% - Accent6 5 2 4" xfId="29220"/>
    <cellStyle name="40% - Accent6 5 2 4 2" xfId="29221"/>
    <cellStyle name="40% - Accent6 5 2 4 2 2" xfId="29222"/>
    <cellStyle name="40% - Accent6 5 2 4 2 2 2" xfId="29223"/>
    <cellStyle name="40% - Accent6 5 2 4 2 3" xfId="29224"/>
    <cellStyle name="40% - Accent6 5 2 4 3" xfId="29225"/>
    <cellStyle name="40% - Accent6 5 2 4 3 2" xfId="29226"/>
    <cellStyle name="40% - Accent6 5 2 4 4" xfId="29227"/>
    <cellStyle name="40% - Accent6 5 2 5" xfId="29228"/>
    <cellStyle name="40% - Accent6 5 2 5 2" xfId="29229"/>
    <cellStyle name="40% - Accent6 5 2 5 2 2" xfId="29230"/>
    <cellStyle name="40% - Accent6 5 2 5 3" xfId="29231"/>
    <cellStyle name="40% - Accent6 5 2 6" xfId="29232"/>
    <cellStyle name="40% - Accent6 5 2 6 2" xfId="29233"/>
    <cellStyle name="40% - Accent6 5 2 7" xfId="29234"/>
    <cellStyle name="40% - Accent6 5 2 7 2" xfId="29235"/>
    <cellStyle name="40% - Accent6 5 2 8" xfId="29236"/>
    <cellStyle name="40% - Accent6 5 3" xfId="29237"/>
    <cellStyle name="40% - Accent6 5 3 2" xfId="29238"/>
    <cellStyle name="40% - Accent6 5 3 2 2" xfId="29239"/>
    <cellStyle name="40% - Accent6 5 3 2 2 2" xfId="29240"/>
    <cellStyle name="40% - Accent6 5 3 2 2 2 2" xfId="29241"/>
    <cellStyle name="40% - Accent6 5 3 2 2 2 2 2" xfId="29242"/>
    <cellStyle name="40% - Accent6 5 3 2 2 2 3" xfId="29243"/>
    <cellStyle name="40% - Accent6 5 3 2 2 3" xfId="29244"/>
    <cellStyle name="40% - Accent6 5 3 2 2 3 2" xfId="29245"/>
    <cellStyle name="40% - Accent6 5 3 2 2 4" xfId="29246"/>
    <cellStyle name="40% - Accent6 5 3 2 3" xfId="29247"/>
    <cellStyle name="40% - Accent6 5 3 2 3 2" xfId="29248"/>
    <cellStyle name="40% - Accent6 5 3 2 3 2 2" xfId="29249"/>
    <cellStyle name="40% - Accent6 5 3 2 3 3" xfId="29250"/>
    <cellStyle name="40% - Accent6 5 3 2 4" xfId="29251"/>
    <cellStyle name="40% - Accent6 5 3 2 4 2" xfId="29252"/>
    <cellStyle name="40% - Accent6 5 3 2 5" xfId="29253"/>
    <cellStyle name="40% - Accent6 5 3 2 5 2" xfId="29254"/>
    <cellStyle name="40% - Accent6 5 3 2 6" xfId="29255"/>
    <cellStyle name="40% - Accent6 5 3 3" xfId="29256"/>
    <cellStyle name="40% - Accent6 5 3 3 2" xfId="29257"/>
    <cellStyle name="40% - Accent6 5 3 3 2 2" xfId="29258"/>
    <cellStyle name="40% - Accent6 5 3 3 2 2 2" xfId="29259"/>
    <cellStyle name="40% - Accent6 5 3 3 2 2 2 2" xfId="29260"/>
    <cellStyle name="40% - Accent6 5 3 3 2 2 3" xfId="29261"/>
    <cellStyle name="40% - Accent6 5 3 3 2 3" xfId="29262"/>
    <cellStyle name="40% - Accent6 5 3 3 2 3 2" xfId="29263"/>
    <cellStyle name="40% - Accent6 5 3 3 2 4" xfId="29264"/>
    <cellStyle name="40% - Accent6 5 3 3 3" xfId="29265"/>
    <cellStyle name="40% - Accent6 5 3 3 3 2" xfId="29266"/>
    <cellStyle name="40% - Accent6 5 3 3 3 2 2" xfId="29267"/>
    <cellStyle name="40% - Accent6 5 3 3 3 3" xfId="29268"/>
    <cellStyle name="40% - Accent6 5 3 3 4" xfId="29269"/>
    <cellStyle name="40% - Accent6 5 3 3 4 2" xfId="29270"/>
    <cellStyle name="40% - Accent6 5 3 3 5" xfId="29271"/>
    <cellStyle name="40% - Accent6 5 3 3 5 2" xfId="29272"/>
    <cellStyle name="40% - Accent6 5 3 3 6" xfId="29273"/>
    <cellStyle name="40% - Accent6 5 3 4" xfId="29274"/>
    <cellStyle name="40% - Accent6 5 3 4 2" xfId="29275"/>
    <cellStyle name="40% - Accent6 5 3 4 2 2" xfId="29276"/>
    <cellStyle name="40% - Accent6 5 3 4 2 2 2" xfId="29277"/>
    <cellStyle name="40% - Accent6 5 3 4 2 3" xfId="29278"/>
    <cellStyle name="40% - Accent6 5 3 4 3" xfId="29279"/>
    <cellStyle name="40% - Accent6 5 3 4 3 2" xfId="29280"/>
    <cellStyle name="40% - Accent6 5 3 4 4" xfId="29281"/>
    <cellStyle name="40% - Accent6 5 3 5" xfId="29282"/>
    <cellStyle name="40% - Accent6 5 3 5 2" xfId="29283"/>
    <cellStyle name="40% - Accent6 5 3 5 2 2" xfId="29284"/>
    <cellStyle name="40% - Accent6 5 3 5 3" xfId="29285"/>
    <cellStyle name="40% - Accent6 5 3 6" xfId="29286"/>
    <cellStyle name="40% - Accent6 5 3 6 2" xfId="29287"/>
    <cellStyle name="40% - Accent6 5 3 7" xfId="29288"/>
    <cellStyle name="40% - Accent6 5 3 7 2" xfId="29289"/>
    <cellStyle name="40% - Accent6 5 3 8" xfId="29290"/>
    <cellStyle name="40% - Accent6 5 4" xfId="29291"/>
    <cellStyle name="40% - Accent6 5 4 2" xfId="29292"/>
    <cellStyle name="40% - Accent6 5 4 2 2" xfId="29293"/>
    <cellStyle name="40% - Accent6 5 4 2 2 2" xfId="29294"/>
    <cellStyle name="40% - Accent6 5 4 2 2 2 2" xfId="29295"/>
    <cellStyle name="40% - Accent6 5 4 2 2 3" xfId="29296"/>
    <cellStyle name="40% - Accent6 5 4 2 3" xfId="29297"/>
    <cellStyle name="40% - Accent6 5 4 2 3 2" xfId="29298"/>
    <cellStyle name="40% - Accent6 5 4 2 4" xfId="29299"/>
    <cellStyle name="40% - Accent6 5 4 3" xfId="29300"/>
    <cellStyle name="40% - Accent6 5 4 3 2" xfId="29301"/>
    <cellStyle name="40% - Accent6 5 4 3 2 2" xfId="29302"/>
    <cellStyle name="40% - Accent6 5 4 3 3" xfId="29303"/>
    <cellStyle name="40% - Accent6 5 4 4" xfId="29304"/>
    <cellStyle name="40% - Accent6 5 4 4 2" xfId="29305"/>
    <cellStyle name="40% - Accent6 5 4 5" xfId="29306"/>
    <cellStyle name="40% - Accent6 5 4 5 2" xfId="29307"/>
    <cellStyle name="40% - Accent6 5 4 6" xfId="29308"/>
    <cellStyle name="40% - Accent6 5 5" xfId="29309"/>
    <cellStyle name="40% - Accent6 5 5 2" xfId="29310"/>
    <cellStyle name="40% - Accent6 5 5 2 2" xfId="29311"/>
    <cellStyle name="40% - Accent6 5 5 2 2 2" xfId="29312"/>
    <cellStyle name="40% - Accent6 5 5 2 2 2 2" xfId="29313"/>
    <cellStyle name="40% - Accent6 5 5 2 2 3" xfId="29314"/>
    <cellStyle name="40% - Accent6 5 5 2 3" xfId="29315"/>
    <cellStyle name="40% - Accent6 5 5 2 3 2" xfId="29316"/>
    <cellStyle name="40% - Accent6 5 5 2 4" xfId="29317"/>
    <cellStyle name="40% - Accent6 5 5 3" xfId="29318"/>
    <cellStyle name="40% - Accent6 5 5 3 2" xfId="29319"/>
    <cellStyle name="40% - Accent6 5 5 3 2 2" xfId="29320"/>
    <cellStyle name="40% - Accent6 5 5 3 3" xfId="29321"/>
    <cellStyle name="40% - Accent6 5 5 4" xfId="29322"/>
    <cellStyle name="40% - Accent6 5 5 4 2" xfId="29323"/>
    <cellStyle name="40% - Accent6 5 5 5" xfId="29324"/>
    <cellStyle name="40% - Accent6 5 5 5 2" xfId="29325"/>
    <cellStyle name="40% - Accent6 5 5 6" xfId="29326"/>
    <cellStyle name="40% - Accent6 5 6" xfId="29327"/>
    <cellStyle name="40% - Accent6 5 6 2" xfId="29328"/>
    <cellStyle name="40% - Accent6 5 6 2 2" xfId="29329"/>
    <cellStyle name="40% - Accent6 5 6 2 2 2" xfId="29330"/>
    <cellStyle name="40% - Accent6 5 6 2 2 2 2" xfId="29331"/>
    <cellStyle name="40% - Accent6 5 6 2 2 3" xfId="29332"/>
    <cellStyle name="40% - Accent6 5 6 2 3" xfId="29333"/>
    <cellStyle name="40% - Accent6 5 6 2 3 2" xfId="29334"/>
    <cellStyle name="40% - Accent6 5 6 2 4" xfId="29335"/>
    <cellStyle name="40% - Accent6 5 6 3" xfId="29336"/>
    <cellStyle name="40% - Accent6 5 6 3 2" xfId="29337"/>
    <cellStyle name="40% - Accent6 5 6 3 2 2" xfId="29338"/>
    <cellStyle name="40% - Accent6 5 6 3 3" xfId="29339"/>
    <cellStyle name="40% - Accent6 5 6 4" xfId="29340"/>
    <cellStyle name="40% - Accent6 5 6 4 2" xfId="29341"/>
    <cellStyle name="40% - Accent6 5 6 5" xfId="29342"/>
    <cellStyle name="40% - Accent6 5 6 5 2" xfId="29343"/>
    <cellStyle name="40% - Accent6 5 6 6" xfId="29344"/>
    <cellStyle name="40% - Accent6 5 7" xfId="29345"/>
    <cellStyle name="40% - Accent6 5 7 2" xfId="29346"/>
    <cellStyle name="40% - Accent6 5 7 2 2" xfId="29347"/>
    <cellStyle name="40% - Accent6 5 7 2 2 2" xfId="29348"/>
    <cellStyle name="40% - Accent6 5 7 2 3" xfId="29349"/>
    <cellStyle name="40% - Accent6 5 7 3" xfId="29350"/>
    <cellStyle name="40% - Accent6 5 7 3 2" xfId="29351"/>
    <cellStyle name="40% - Accent6 5 7 4" xfId="29352"/>
    <cellStyle name="40% - Accent6 5 8" xfId="29353"/>
    <cellStyle name="40% - Accent6 5 8 2" xfId="29354"/>
    <cellStyle name="40% - Accent6 5 8 2 2" xfId="29355"/>
    <cellStyle name="40% - Accent6 5 8 3" xfId="29356"/>
    <cellStyle name="40% - Accent6 5 9" xfId="29357"/>
    <cellStyle name="40% - Accent6 5 9 2" xfId="29358"/>
    <cellStyle name="40% - Accent6 6" xfId="29359"/>
    <cellStyle name="40% - Accent6 6 10" xfId="29360"/>
    <cellStyle name="40% - Accent6 6 10 2" xfId="29361"/>
    <cellStyle name="40% - Accent6 6 11" xfId="29362"/>
    <cellStyle name="40% - Accent6 6 2" xfId="29363"/>
    <cellStyle name="40% - Accent6 6 2 2" xfId="29364"/>
    <cellStyle name="40% - Accent6 6 2 2 2" xfId="29365"/>
    <cellStyle name="40% - Accent6 6 2 2 2 2" xfId="29366"/>
    <cellStyle name="40% - Accent6 6 2 2 2 2 2" xfId="29367"/>
    <cellStyle name="40% - Accent6 6 2 2 2 2 2 2" xfId="29368"/>
    <cellStyle name="40% - Accent6 6 2 2 2 2 3" xfId="29369"/>
    <cellStyle name="40% - Accent6 6 2 2 2 3" xfId="29370"/>
    <cellStyle name="40% - Accent6 6 2 2 2 3 2" xfId="29371"/>
    <cellStyle name="40% - Accent6 6 2 2 2 4" xfId="29372"/>
    <cellStyle name="40% - Accent6 6 2 2 3" xfId="29373"/>
    <cellStyle name="40% - Accent6 6 2 2 3 2" xfId="29374"/>
    <cellStyle name="40% - Accent6 6 2 2 3 2 2" xfId="29375"/>
    <cellStyle name="40% - Accent6 6 2 2 3 3" xfId="29376"/>
    <cellStyle name="40% - Accent6 6 2 2 4" xfId="29377"/>
    <cellStyle name="40% - Accent6 6 2 2 4 2" xfId="29378"/>
    <cellStyle name="40% - Accent6 6 2 2 5" xfId="29379"/>
    <cellStyle name="40% - Accent6 6 2 2 5 2" xfId="29380"/>
    <cellStyle name="40% - Accent6 6 2 2 6" xfId="29381"/>
    <cellStyle name="40% - Accent6 6 2 3" xfId="29382"/>
    <cellStyle name="40% - Accent6 6 2 3 2" xfId="29383"/>
    <cellStyle name="40% - Accent6 6 2 3 2 2" xfId="29384"/>
    <cellStyle name="40% - Accent6 6 2 3 2 2 2" xfId="29385"/>
    <cellStyle name="40% - Accent6 6 2 3 2 2 2 2" xfId="29386"/>
    <cellStyle name="40% - Accent6 6 2 3 2 2 3" xfId="29387"/>
    <cellStyle name="40% - Accent6 6 2 3 2 3" xfId="29388"/>
    <cellStyle name="40% - Accent6 6 2 3 2 3 2" xfId="29389"/>
    <cellStyle name="40% - Accent6 6 2 3 2 4" xfId="29390"/>
    <cellStyle name="40% - Accent6 6 2 3 3" xfId="29391"/>
    <cellStyle name="40% - Accent6 6 2 3 3 2" xfId="29392"/>
    <cellStyle name="40% - Accent6 6 2 3 3 2 2" xfId="29393"/>
    <cellStyle name="40% - Accent6 6 2 3 3 3" xfId="29394"/>
    <cellStyle name="40% - Accent6 6 2 3 4" xfId="29395"/>
    <cellStyle name="40% - Accent6 6 2 3 4 2" xfId="29396"/>
    <cellStyle name="40% - Accent6 6 2 3 5" xfId="29397"/>
    <cellStyle name="40% - Accent6 6 2 3 5 2" xfId="29398"/>
    <cellStyle name="40% - Accent6 6 2 3 6" xfId="29399"/>
    <cellStyle name="40% - Accent6 6 2 4" xfId="29400"/>
    <cellStyle name="40% - Accent6 6 2 4 2" xfId="29401"/>
    <cellStyle name="40% - Accent6 6 2 4 2 2" xfId="29402"/>
    <cellStyle name="40% - Accent6 6 2 4 2 2 2" xfId="29403"/>
    <cellStyle name="40% - Accent6 6 2 4 2 3" xfId="29404"/>
    <cellStyle name="40% - Accent6 6 2 4 3" xfId="29405"/>
    <cellStyle name="40% - Accent6 6 2 4 3 2" xfId="29406"/>
    <cellStyle name="40% - Accent6 6 2 4 4" xfId="29407"/>
    <cellStyle name="40% - Accent6 6 2 5" xfId="29408"/>
    <cellStyle name="40% - Accent6 6 2 5 2" xfId="29409"/>
    <cellStyle name="40% - Accent6 6 2 5 2 2" xfId="29410"/>
    <cellStyle name="40% - Accent6 6 2 5 3" xfId="29411"/>
    <cellStyle name="40% - Accent6 6 2 6" xfId="29412"/>
    <cellStyle name="40% - Accent6 6 2 6 2" xfId="29413"/>
    <cellStyle name="40% - Accent6 6 2 7" xfId="29414"/>
    <cellStyle name="40% - Accent6 6 2 7 2" xfId="29415"/>
    <cellStyle name="40% - Accent6 6 2 8" xfId="29416"/>
    <cellStyle name="40% - Accent6 6 3" xfId="29417"/>
    <cellStyle name="40% - Accent6 6 3 2" xfId="29418"/>
    <cellStyle name="40% - Accent6 6 3 2 2" xfId="29419"/>
    <cellStyle name="40% - Accent6 6 3 2 2 2" xfId="29420"/>
    <cellStyle name="40% - Accent6 6 3 2 2 2 2" xfId="29421"/>
    <cellStyle name="40% - Accent6 6 3 2 2 2 2 2" xfId="29422"/>
    <cellStyle name="40% - Accent6 6 3 2 2 2 3" xfId="29423"/>
    <cellStyle name="40% - Accent6 6 3 2 2 3" xfId="29424"/>
    <cellStyle name="40% - Accent6 6 3 2 2 3 2" xfId="29425"/>
    <cellStyle name="40% - Accent6 6 3 2 2 4" xfId="29426"/>
    <cellStyle name="40% - Accent6 6 3 2 3" xfId="29427"/>
    <cellStyle name="40% - Accent6 6 3 2 3 2" xfId="29428"/>
    <cellStyle name="40% - Accent6 6 3 2 3 2 2" xfId="29429"/>
    <cellStyle name="40% - Accent6 6 3 2 3 3" xfId="29430"/>
    <cellStyle name="40% - Accent6 6 3 2 4" xfId="29431"/>
    <cellStyle name="40% - Accent6 6 3 2 4 2" xfId="29432"/>
    <cellStyle name="40% - Accent6 6 3 2 5" xfId="29433"/>
    <cellStyle name="40% - Accent6 6 3 2 5 2" xfId="29434"/>
    <cellStyle name="40% - Accent6 6 3 2 6" xfId="29435"/>
    <cellStyle name="40% - Accent6 6 3 3" xfId="29436"/>
    <cellStyle name="40% - Accent6 6 3 3 2" xfId="29437"/>
    <cellStyle name="40% - Accent6 6 3 3 2 2" xfId="29438"/>
    <cellStyle name="40% - Accent6 6 3 3 2 2 2" xfId="29439"/>
    <cellStyle name="40% - Accent6 6 3 3 2 2 2 2" xfId="29440"/>
    <cellStyle name="40% - Accent6 6 3 3 2 2 3" xfId="29441"/>
    <cellStyle name="40% - Accent6 6 3 3 2 3" xfId="29442"/>
    <cellStyle name="40% - Accent6 6 3 3 2 3 2" xfId="29443"/>
    <cellStyle name="40% - Accent6 6 3 3 2 4" xfId="29444"/>
    <cellStyle name="40% - Accent6 6 3 3 3" xfId="29445"/>
    <cellStyle name="40% - Accent6 6 3 3 3 2" xfId="29446"/>
    <cellStyle name="40% - Accent6 6 3 3 3 2 2" xfId="29447"/>
    <cellStyle name="40% - Accent6 6 3 3 3 3" xfId="29448"/>
    <cellStyle name="40% - Accent6 6 3 3 4" xfId="29449"/>
    <cellStyle name="40% - Accent6 6 3 3 4 2" xfId="29450"/>
    <cellStyle name="40% - Accent6 6 3 3 5" xfId="29451"/>
    <cellStyle name="40% - Accent6 6 3 3 5 2" xfId="29452"/>
    <cellStyle name="40% - Accent6 6 3 3 6" xfId="29453"/>
    <cellStyle name="40% - Accent6 6 3 4" xfId="29454"/>
    <cellStyle name="40% - Accent6 6 3 4 2" xfId="29455"/>
    <cellStyle name="40% - Accent6 6 3 4 2 2" xfId="29456"/>
    <cellStyle name="40% - Accent6 6 3 4 2 2 2" xfId="29457"/>
    <cellStyle name="40% - Accent6 6 3 4 2 3" xfId="29458"/>
    <cellStyle name="40% - Accent6 6 3 4 3" xfId="29459"/>
    <cellStyle name="40% - Accent6 6 3 4 3 2" xfId="29460"/>
    <cellStyle name="40% - Accent6 6 3 4 4" xfId="29461"/>
    <cellStyle name="40% - Accent6 6 3 5" xfId="29462"/>
    <cellStyle name="40% - Accent6 6 3 5 2" xfId="29463"/>
    <cellStyle name="40% - Accent6 6 3 5 2 2" xfId="29464"/>
    <cellStyle name="40% - Accent6 6 3 5 3" xfId="29465"/>
    <cellStyle name="40% - Accent6 6 3 6" xfId="29466"/>
    <cellStyle name="40% - Accent6 6 3 6 2" xfId="29467"/>
    <cellStyle name="40% - Accent6 6 3 7" xfId="29468"/>
    <cellStyle name="40% - Accent6 6 3 7 2" xfId="29469"/>
    <cellStyle name="40% - Accent6 6 3 8" xfId="29470"/>
    <cellStyle name="40% - Accent6 6 4" xfId="29471"/>
    <cellStyle name="40% - Accent6 6 4 2" xfId="29472"/>
    <cellStyle name="40% - Accent6 6 4 2 2" xfId="29473"/>
    <cellStyle name="40% - Accent6 6 4 2 2 2" xfId="29474"/>
    <cellStyle name="40% - Accent6 6 4 2 2 2 2" xfId="29475"/>
    <cellStyle name="40% - Accent6 6 4 2 2 3" xfId="29476"/>
    <cellStyle name="40% - Accent6 6 4 2 3" xfId="29477"/>
    <cellStyle name="40% - Accent6 6 4 2 3 2" xfId="29478"/>
    <cellStyle name="40% - Accent6 6 4 2 4" xfId="29479"/>
    <cellStyle name="40% - Accent6 6 4 3" xfId="29480"/>
    <cellStyle name="40% - Accent6 6 4 3 2" xfId="29481"/>
    <cellStyle name="40% - Accent6 6 4 3 2 2" xfId="29482"/>
    <cellStyle name="40% - Accent6 6 4 3 3" xfId="29483"/>
    <cellStyle name="40% - Accent6 6 4 4" xfId="29484"/>
    <cellStyle name="40% - Accent6 6 4 4 2" xfId="29485"/>
    <cellStyle name="40% - Accent6 6 4 5" xfId="29486"/>
    <cellStyle name="40% - Accent6 6 4 5 2" xfId="29487"/>
    <cellStyle name="40% - Accent6 6 4 6" xfId="29488"/>
    <cellStyle name="40% - Accent6 6 5" xfId="29489"/>
    <cellStyle name="40% - Accent6 6 5 2" xfId="29490"/>
    <cellStyle name="40% - Accent6 6 5 2 2" xfId="29491"/>
    <cellStyle name="40% - Accent6 6 5 2 2 2" xfId="29492"/>
    <cellStyle name="40% - Accent6 6 5 2 2 2 2" xfId="29493"/>
    <cellStyle name="40% - Accent6 6 5 2 2 3" xfId="29494"/>
    <cellStyle name="40% - Accent6 6 5 2 3" xfId="29495"/>
    <cellStyle name="40% - Accent6 6 5 2 3 2" xfId="29496"/>
    <cellStyle name="40% - Accent6 6 5 2 4" xfId="29497"/>
    <cellStyle name="40% - Accent6 6 5 3" xfId="29498"/>
    <cellStyle name="40% - Accent6 6 5 3 2" xfId="29499"/>
    <cellStyle name="40% - Accent6 6 5 3 2 2" xfId="29500"/>
    <cellStyle name="40% - Accent6 6 5 3 3" xfId="29501"/>
    <cellStyle name="40% - Accent6 6 5 4" xfId="29502"/>
    <cellStyle name="40% - Accent6 6 5 4 2" xfId="29503"/>
    <cellStyle name="40% - Accent6 6 5 5" xfId="29504"/>
    <cellStyle name="40% - Accent6 6 5 5 2" xfId="29505"/>
    <cellStyle name="40% - Accent6 6 5 6" xfId="29506"/>
    <cellStyle name="40% - Accent6 6 6" xfId="29507"/>
    <cellStyle name="40% - Accent6 6 6 2" xfId="29508"/>
    <cellStyle name="40% - Accent6 6 6 2 2" xfId="29509"/>
    <cellStyle name="40% - Accent6 6 6 2 2 2" xfId="29510"/>
    <cellStyle name="40% - Accent6 6 6 2 2 2 2" xfId="29511"/>
    <cellStyle name="40% - Accent6 6 6 2 2 3" xfId="29512"/>
    <cellStyle name="40% - Accent6 6 6 2 3" xfId="29513"/>
    <cellStyle name="40% - Accent6 6 6 2 3 2" xfId="29514"/>
    <cellStyle name="40% - Accent6 6 6 2 4" xfId="29515"/>
    <cellStyle name="40% - Accent6 6 6 3" xfId="29516"/>
    <cellStyle name="40% - Accent6 6 6 3 2" xfId="29517"/>
    <cellStyle name="40% - Accent6 6 6 3 2 2" xfId="29518"/>
    <cellStyle name="40% - Accent6 6 6 3 3" xfId="29519"/>
    <cellStyle name="40% - Accent6 6 6 4" xfId="29520"/>
    <cellStyle name="40% - Accent6 6 6 4 2" xfId="29521"/>
    <cellStyle name="40% - Accent6 6 6 5" xfId="29522"/>
    <cellStyle name="40% - Accent6 6 6 5 2" xfId="29523"/>
    <cellStyle name="40% - Accent6 6 6 6" xfId="29524"/>
    <cellStyle name="40% - Accent6 6 7" xfId="29525"/>
    <cellStyle name="40% - Accent6 6 7 2" xfId="29526"/>
    <cellStyle name="40% - Accent6 6 7 2 2" xfId="29527"/>
    <cellStyle name="40% - Accent6 6 7 2 2 2" xfId="29528"/>
    <cellStyle name="40% - Accent6 6 7 2 3" xfId="29529"/>
    <cellStyle name="40% - Accent6 6 7 3" xfId="29530"/>
    <cellStyle name="40% - Accent6 6 7 3 2" xfId="29531"/>
    <cellStyle name="40% - Accent6 6 7 4" xfId="29532"/>
    <cellStyle name="40% - Accent6 6 8" xfId="29533"/>
    <cellStyle name="40% - Accent6 6 8 2" xfId="29534"/>
    <cellStyle name="40% - Accent6 6 8 2 2" xfId="29535"/>
    <cellStyle name="40% - Accent6 6 8 3" xfId="29536"/>
    <cellStyle name="40% - Accent6 6 9" xfId="29537"/>
    <cellStyle name="40% - Accent6 6 9 2" xfId="29538"/>
    <cellStyle name="40% - Accent6 7" xfId="29539"/>
    <cellStyle name="40% - Accent6 7 10" xfId="29540"/>
    <cellStyle name="40% - Accent6 7 10 2" xfId="29541"/>
    <cellStyle name="40% - Accent6 7 11" xfId="29542"/>
    <cellStyle name="40% - Accent6 7 2" xfId="29543"/>
    <cellStyle name="40% - Accent6 7 2 2" xfId="29544"/>
    <cellStyle name="40% - Accent6 7 2 2 2" xfId="29545"/>
    <cellStyle name="40% - Accent6 7 2 2 2 2" xfId="29546"/>
    <cellStyle name="40% - Accent6 7 2 2 2 2 2" xfId="29547"/>
    <cellStyle name="40% - Accent6 7 2 2 2 2 2 2" xfId="29548"/>
    <cellStyle name="40% - Accent6 7 2 2 2 2 3" xfId="29549"/>
    <cellStyle name="40% - Accent6 7 2 2 2 3" xfId="29550"/>
    <cellStyle name="40% - Accent6 7 2 2 2 3 2" xfId="29551"/>
    <cellStyle name="40% - Accent6 7 2 2 2 4" xfId="29552"/>
    <cellStyle name="40% - Accent6 7 2 2 3" xfId="29553"/>
    <cellStyle name="40% - Accent6 7 2 2 3 2" xfId="29554"/>
    <cellStyle name="40% - Accent6 7 2 2 3 2 2" xfId="29555"/>
    <cellStyle name="40% - Accent6 7 2 2 3 3" xfId="29556"/>
    <cellStyle name="40% - Accent6 7 2 2 4" xfId="29557"/>
    <cellStyle name="40% - Accent6 7 2 2 4 2" xfId="29558"/>
    <cellStyle name="40% - Accent6 7 2 2 5" xfId="29559"/>
    <cellStyle name="40% - Accent6 7 2 2 5 2" xfId="29560"/>
    <cellStyle name="40% - Accent6 7 2 2 6" xfId="29561"/>
    <cellStyle name="40% - Accent6 7 2 3" xfId="29562"/>
    <cellStyle name="40% - Accent6 7 2 3 2" xfId="29563"/>
    <cellStyle name="40% - Accent6 7 2 3 2 2" xfId="29564"/>
    <cellStyle name="40% - Accent6 7 2 3 2 2 2" xfId="29565"/>
    <cellStyle name="40% - Accent6 7 2 3 2 2 2 2" xfId="29566"/>
    <cellStyle name="40% - Accent6 7 2 3 2 2 3" xfId="29567"/>
    <cellStyle name="40% - Accent6 7 2 3 2 3" xfId="29568"/>
    <cellStyle name="40% - Accent6 7 2 3 2 3 2" xfId="29569"/>
    <cellStyle name="40% - Accent6 7 2 3 2 4" xfId="29570"/>
    <cellStyle name="40% - Accent6 7 2 3 3" xfId="29571"/>
    <cellStyle name="40% - Accent6 7 2 3 3 2" xfId="29572"/>
    <cellStyle name="40% - Accent6 7 2 3 3 2 2" xfId="29573"/>
    <cellStyle name="40% - Accent6 7 2 3 3 3" xfId="29574"/>
    <cellStyle name="40% - Accent6 7 2 3 4" xfId="29575"/>
    <cellStyle name="40% - Accent6 7 2 3 4 2" xfId="29576"/>
    <cellStyle name="40% - Accent6 7 2 3 5" xfId="29577"/>
    <cellStyle name="40% - Accent6 7 2 3 5 2" xfId="29578"/>
    <cellStyle name="40% - Accent6 7 2 3 6" xfId="29579"/>
    <cellStyle name="40% - Accent6 7 2 4" xfId="29580"/>
    <cellStyle name="40% - Accent6 7 2 4 2" xfId="29581"/>
    <cellStyle name="40% - Accent6 7 2 4 2 2" xfId="29582"/>
    <cellStyle name="40% - Accent6 7 2 4 2 2 2" xfId="29583"/>
    <cellStyle name="40% - Accent6 7 2 4 2 3" xfId="29584"/>
    <cellStyle name="40% - Accent6 7 2 4 3" xfId="29585"/>
    <cellStyle name="40% - Accent6 7 2 4 3 2" xfId="29586"/>
    <cellStyle name="40% - Accent6 7 2 4 4" xfId="29587"/>
    <cellStyle name="40% - Accent6 7 2 5" xfId="29588"/>
    <cellStyle name="40% - Accent6 7 2 5 2" xfId="29589"/>
    <cellStyle name="40% - Accent6 7 2 5 2 2" xfId="29590"/>
    <cellStyle name="40% - Accent6 7 2 5 3" xfId="29591"/>
    <cellStyle name="40% - Accent6 7 2 6" xfId="29592"/>
    <cellStyle name="40% - Accent6 7 2 6 2" xfId="29593"/>
    <cellStyle name="40% - Accent6 7 2 7" xfId="29594"/>
    <cellStyle name="40% - Accent6 7 2 7 2" xfId="29595"/>
    <cellStyle name="40% - Accent6 7 2 8" xfId="29596"/>
    <cellStyle name="40% - Accent6 7 3" xfId="29597"/>
    <cellStyle name="40% - Accent6 7 3 2" xfId="29598"/>
    <cellStyle name="40% - Accent6 7 3 2 2" xfId="29599"/>
    <cellStyle name="40% - Accent6 7 3 2 2 2" xfId="29600"/>
    <cellStyle name="40% - Accent6 7 3 2 2 2 2" xfId="29601"/>
    <cellStyle name="40% - Accent6 7 3 2 2 2 2 2" xfId="29602"/>
    <cellStyle name="40% - Accent6 7 3 2 2 2 3" xfId="29603"/>
    <cellStyle name="40% - Accent6 7 3 2 2 3" xfId="29604"/>
    <cellStyle name="40% - Accent6 7 3 2 2 3 2" xfId="29605"/>
    <cellStyle name="40% - Accent6 7 3 2 2 4" xfId="29606"/>
    <cellStyle name="40% - Accent6 7 3 2 3" xfId="29607"/>
    <cellStyle name="40% - Accent6 7 3 2 3 2" xfId="29608"/>
    <cellStyle name="40% - Accent6 7 3 2 3 2 2" xfId="29609"/>
    <cellStyle name="40% - Accent6 7 3 2 3 3" xfId="29610"/>
    <cellStyle name="40% - Accent6 7 3 2 4" xfId="29611"/>
    <cellStyle name="40% - Accent6 7 3 2 4 2" xfId="29612"/>
    <cellStyle name="40% - Accent6 7 3 2 5" xfId="29613"/>
    <cellStyle name="40% - Accent6 7 3 2 5 2" xfId="29614"/>
    <cellStyle name="40% - Accent6 7 3 2 6" xfId="29615"/>
    <cellStyle name="40% - Accent6 7 3 3" xfId="29616"/>
    <cellStyle name="40% - Accent6 7 3 3 2" xfId="29617"/>
    <cellStyle name="40% - Accent6 7 3 3 2 2" xfId="29618"/>
    <cellStyle name="40% - Accent6 7 3 3 2 2 2" xfId="29619"/>
    <cellStyle name="40% - Accent6 7 3 3 2 2 2 2" xfId="29620"/>
    <cellStyle name="40% - Accent6 7 3 3 2 2 3" xfId="29621"/>
    <cellStyle name="40% - Accent6 7 3 3 2 3" xfId="29622"/>
    <cellStyle name="40% - Accent6 7 3 3 2 3 2" xfId="29623"/>
    <cellStyle name="40% - Accent6 7 3 3 2 4" xfId="29624"/>
    <cellStyle name="40% - Accent6 7 3 3 3" xfId="29625"/>
    <cellStyle name="40% - Accent6 7 3 3 3 2" xfId="29626"/>
    <cellStyle name="40% - Accent6 7 3 3 3 2 2" xfId="29627"/>
    <cellStyle name="40% - Accent6 7 3 3 3 3" xfId="29628"/>
    <cellStyle name="40% - Accent6 7 3 3 4" xfId="29629"/>
    <cellStyle name="40% - Accent6 7 3 3 4 2" xfId="29630"/>
    <cellStyle name="40% - Accent6 7 3 3 5" xfId="29631"/>
    <cellStyle name="40% - Accent6 7 3 3 5 2" xfId="29632"/>
    <cellStyle name="40% - Accent6 7 3 3 6" xfId="29633"/>
    <cellStyle name="40% - Accent6 7 3 4" xfId="29634"/>
    <cellStyle name="40% - Accent6 7 3 4 2" xfId="29635"/>
    <cellStyle name="40% - Accent6 7 3 4 2 2" xfId="29636"/>
    <cellStyle name="40% - Accent6 7 3 4 2 2 2" xfId="29637"/>
    <cellStyle name="40% - Accent6 7 3 4 2 3" xfId="29638"/>
    <cellStyle name="40% - Accent6 7 3 4 3" xfId="29639"/>
    <cellStyle name="40% - Accent6 7 3 4 3 2" xfId="29640"/>
    <cellStyle name="40% - Accent6 7 3 4 4" xfId="29641"/>
    <cellStyle name="40% - Accent6 7 3 5" xfId="29642"/>
    <cellStyle name="40% - Accent6 7 3 5 2" xfId="29643"/>
    <cellStyle name="40% - Accent6 7 3 5 2 2" xfId="29644"/>
    <cellStyle name="40% - Accent6 7 3 5 3" xfId="29645"/>
    <cellStyle name="40% - Accent6 7 3 6" xfId="29646"/>
    <cellStyle name="40% - Accent6 7 3 6 2" xfId="29647"/>
    <cellStyle name="40% - Accent6 7 3 7" xfId="29648"/>
    <cellStyle name="40% - Accent6 7 3 7 2" xfId="29649"/>
    <cellStyle name="40% - Accent6 7 3 8" xfId="29650"/>
    <cellStyle name="40% - Accent6 7 4" xfId="29651"/>
    <cellStyle name="40% - Accent6 7 4 2" xfId="29652"/>
    <cellStyle name="40% - Accent6 7 4 2 2" xfId="29653"/>
    <cellStyle name="40% - Accent6 7 4 2 2 2" xfId="29654"/>
    <cellStyle name="40% - Accent6 7 4 2 2 2 2" xfId="29655"/>
    <cellStyle name="40% - Accent6 7 4 2 2 3" xfId="29656"/>
    <cellStyle name="40% - Accent6 7 4 2 3" xfId="29657"/>
    <cellStyle name="40% - Accent6 7 4 2 3 2" xfId="29658"/>
    <cellStyle name="40% - Accent6 7 4 2 4" xfId="29659"/>
    <cellStyle name="40% - Accent6 7 4 3" xfId="29660"/>
    <cellStyle name="40% - Accent6 7 4 3 2" xfId="29661"/>
    <cellStyle name="40% - Accent6 7 4 3 2 2" xfId="29662"/>
    <cellStyle name="40% - Accent6 7 4 3 3" xfId="29663"/>
    <cellStyle name="40% - Accent6 7 4 4" xfId="29664"/>
    <cellStyle name="40% - Accent6 7 4 4 2" xfId="29665"/>
    <cellStyle name="40% - Accent6 7 4 5" xfId="29666"/>
    <cellStyle name="40% - Accent6 7 4 5 2" xfId="29667"/>
    <cellStyle name="40% - Accent6 7 4 6" xfId="29668"/>
    <cellStyle name="40% - Accent6 7 5" xfId="29669"/>
    <cellStyle name="40% - Accent6 7 5 2" xfId="29670"/>
    <cellStyle name="40% - Accent6 7 5 2 2" xfId="29671"/>
    <cellStyle name="40% - Accent6 7 5 2 2 2" xfId="29672"/>
    <cellStyle name="40% - Accent6 7 5 2 2 2 2" xfId="29673"/>
    <cellStyle name="40% - Accent6 7 5 2 2 3" xfId="29674"/>
    <cellStyle name="40% - Accent6 7 5 2 3" xfId="29675"/>
    <cellStyle name="40% - Accent6 7 5 2 3 2" xfId="29676"/>
    <cellStyle name="40% - Accent6 7 5 2 4" xfId="29677"/>
    <cellStyle name="40% - Accent6 7 5 3" xfId="29678"/>
    <cellStyle name="40% - Accent6 7 5 3 2" xfId="29679"/>
    <cellStyle name="40% - Accent6 7 5 3 2 2" xfId="29680"/>
    <cellStyle name="40% - Accent6 7 5 3 3" xfId="29681"/>
    <cellStyle name="40% - Accent6 7 5 4" xfId="29682"/>
    <cellStyle name="40% - Accent6 7 5 4 2" xfId="29683"/>
    <cellStyle name="40% - Accent6 7 5 5" xfId="29684"/>
    <cellStyle name="40% - Accent6 7 5 5 2" xfId="29685"/>
    <cellStyle name="40% - Accent6 7 5 6" xfId="29686"/>
    <cellStyle name="40% - Accent6 7 6" xfId="29687"/>
    <cellStyle name="40% - Accent6 7 6 2" xfId="29688"/>
    <cellStyle name="40% - Accent6 7 6 2 2" xfId="29689"/>
    <cellStyle name="40% - Accent6 7 6 2 2 2" xfId="29690"/>
    <cellStyle name="40% - Accent6 7 6 2 2 2 2" xfId="29691"/>
    <cellStyle name="40% - Accent6 7 6 2 2 3" xfId="29692"/>
    <cellStyle name="40% - Accent6 7 6 2 3" xfId="29693"/>
    <cellStyle name="40% - Accent6 7 6 2 3 2" xfId="29694"/>
    <cellStyle name="40% - Accent6 7 6 2 4" xfId="29695"/>
    <cellStyle name="40% - Accent6 7 6 3" xfId="29696"/>
    <cellStyle name="40% - Accent6 7 6 3 2" xfId="29697"/>
    <cellStyle name="40% - Accent6 7 6 3 2 2" xfId="29698"/>
    <cellStyle name="40% - Accent6 7 6 3 3" xfId="29699"/>
    <cellStyle name="40% - Accent6 7 6 4" xfId="29700"/>
    <cellStyle name="40% - Accent6 7 6 4 2" xfId="29701"/>
    <cellStyle name="40% - Accent6 7 6 5" xfId="29702"/>
    <cellStyle name="40% - Accent6 7 6 5 2" xfId="29703"/>
    <cellStyle name="40% - Accent6 7 6 6" xfId="29704"/>
    <cellStyle name="40% - Accent6 7 7" xfId="29705"/>
    <cellStyle name="40% - Accent6 7 7 2" xfId="29706"/>
    <cellStyle name="40% - Accent6 7 7 2 2" xfId="29707"/>
    <cellStyle name="40% - Accent6 7 7 2 2 2" xfId="29708"/>
    <cellStyle name="40% - Accent6 7 7 2 3" xfId="29709"/>
    <cellStyle name="40% - Accent6 7 7 3" xfId="29710"/>
    <cellStyle name="40% - Accent6 7 7 3 2" xfId="29711"/>
    <cellStyle name="40% - Accent6 7 7 4" xfId="29712"/>
    <cellStyle name="40% - Accent6 7 8" xfId="29713"/>
    <cellStyle name="40% - Accent6 7 8 2" xfId="29714"/>
    <cellStyle name="40% - Accent6 7 8 2 2" xfId="29715"/>
    <cellStyle name="40% - Accent6 7 8 3" xfId="29716"/>
    <cellStyle name="40% - Accent6 7 9" xfId="29717"/>
    <cellStyle name="40% - Accent6 7 9 2" xfId="29718"/>
    <cellStyle name="40% - Accent6 8" xfId="29719"/>
    <cellStyle name="40% - Accent6 8 2" xfId="29720"/>
    <cellStyle name="40% - Accent6 8 2 2" xfId="29721"/>
    <cellStyle name="40% - Accent6 8 2 2 2" xfId="29722"/>
    <cellStyle name="40% - Accent6 8 2 2 2 2" xfId="29723"/>
    <cellStyle name="40% - Accent6 8 2 2 2 2 2" xfId="29724"/>
    <cellStyle name="40% - Accent6 8 2 2 2 3" xfId="29725"/>
    <cellStyle name="40% - Accent6 8 2 2 3" xfId="29726"/>
    <cellStyle name="40% - Accent6 8 2 2 3 2" xfId="29727"/>
    <cellStyle name="40% - Accent6 8 2 2 4" xfId="29728"/>
    <cellStyle name="40% - Accent6 8 2 3" xfId="29729"/>
    <cellStyle name="40% - Accent6 8 2 3 2" xfId="29730"/>
    <cellStyle name="40% - Accent6 8 2 3 2 2" xfId="29731"/>
    <cellStyle name="40% - Accent6 8 2 3 3" xfId="29732"/>
    <cellStyle name="40% - Accent6 8 2 4" xfId="29733"/>
    <cellStyle name="40% - Accent6 8 2 4 2" xfId="29734"/>
    <cellStyle name="40% - Accent6 8 2 5" xfId="29735"/>
    <cellStyle name="40% - Accent6 8 2 5 2" xfId="29736"/>
    <cellStyle name="40% - Accent6 8 2 6" xfId="29737"/>
    <cellStyle name="40% - Accent6 8 3" xfId="29738"/>
    <cellStyle name="40% - Accent6 8 3 2" xfId="29739"/>
    <cellStyle name="40% - Accent6 8 3 2 2" xfId="29740"/>
    <cellStyle name="40% - Accent6 8 3 2 2 2" xfId="29741"/>
    <cellStyle name="40% - Accent6 8 3 2 2 2 2" xfId="29742"/>
    <cellStyle name="40% - Accent6 8 3 2 2 3" xfId="29743"/>
    <cellStyle name="40% - Accent6 8 3 2 3" xfId="29744"/>
    <cellStyle name="40% - Accent6 8 3 2 3 2" xfId="29745"/>
    <cellStyle name="40% - Accent6 8 3 2 4" xfId="29746"/>
    <cellStyle name="40% - Accent6 8 3 3" xfId="29747"/>
    <cellStyle name="40% - Accent6 8 3 3 2" xfId="29748"/>
    <cellStyle name="40% - Accent6 8 3 3 2 2" xfId="29749"/>
    <cellStyle name="40% - Accent6 8 3 3 3" xfId="29750"/>
    <cellStyle name="40% - Accent6 8 3 4" xfId="29751"/>
    <cellStyle name="40% - Accent6 8 3 4 2" xfId="29752"/>
    <cellStyle name="40% - Accent6 8 3 5" xfId="29753"/>
    <cellStyle name="40% - Accent6 8 3 5 2" xfId="29754"/>
    <cellStyle name="40% - Accent6 8 3 6" xfId="29755"/>
    <cellStyle name="40% - Accent6 8 4" xfId="29756"/>
    <cellStyle name="40% - Accent6 8 4 2" xfId="29757"/>
    <cellStyle name="40% - Accent6 8 4 2 2" xfId="29758"/>
    <cellStyle name="40% - Accent6 8 4 2 2 2" xfId="29759"/>
    <cellStyle name="40% - Accent6 8 4 2 3" xfId="29760"/>
    <cellStyle name="40% - Accent6 8 4 3" xfId="29761"/>
    <cellStyle name="40% - Accent6 8 4 3 2" xfId="29762"/>
    <cellStyle name="40% - Accent6 8 4 4" xfId="29763"/>
    <cellStyle name="40% - Accent6 8 5" xfId="29764"/>
    <cellStyle name="40% - Accent6 8 5 2" xfId="29765"/>
    <cellStyle name="40% - Accent6 8 5 2 2" xfId="29766"/>
    <cellStyle name="40% - Accent6 8 5 3" xfId="29767"/>
    <cellStyle name="40% - Accent6 8 6" xfId="29768"/>
    <cellStyle name="40% - Accent6 8 6 2" xfId="29769"/>
    <cellStyle name="40% - Accent6 8 7" xfId="29770"/>
    <cellStyle name="40% - Accent6 8 7 2" xfId="29771"/>
    <cellStyle name="40% - Accent6 8 8" xfId="29772"/>
    <cellStyle name="40% - Accent6 9" xfId="29773"/>
    <cellStyle name="40% - Accent6 9 2" xfId="29774"/>
    <cellStyle name="40% - Accent6 9 2 2" xfId="29775"/>
    <cellStyle name="40% - Accent6 9 2 2 2" xfId="29776"/>
    <cellStyle name="40% - Accent6 9 2 2 2 2" xfId="29777"/>
    <cellStyle name="40% - Accent6 9 2 2 2 2 2" xfId="29778"/>
    <cellStyle name="40% - Accent6 9 2 2 2 3" xfId="29779"/>
    <cellStyle name="40% - Accent6 9 2 2 3" xfId="29780"/>
    <cellStyle name="40% - Accent6 9 2 2 3 2" xfId="29781"/>
    <cellStyle name="40% - Accent6 9 2 2 4" xfId="29782"/>
    <cellStyle name="40% - Accent6 9 2 3" xfId="29783"/>
    <cellStyle name="40% - Accent6 9 2 3 2" xfId="29784"/>
    <cellStyle name="40% - Accent6 9 2 3 2 2" xfId="29785"/>
    <cellStyle name="40% - Accent6 9 2 3 3" xfId="29786"/>
    <cellStyle name="40% - Accent6 9 2 4" xfId="29787"/>
    <cellStyle name="40% - Accent6 9 2 4 2" xfId="29788"/>
    <cellStyle name="40% - Accent6 9 2 5" xfId="29789"/>
    <cellStyle name="40% - Accent6 9 2 5 2" xfId="29790"/>
    <cellStyle name="40% - Accent6 9 2 6" xfId="29791"/>
    <cellStyle name="40% - Accent6 9 3" xfId="29792"/>
    <cellStyle name="40% - Accent6 9 3 2" xfId="29793"/>
    <cellStyle name="40% - Accent6 9 3 2 2" xfId="29794"/>
    <cellStyle name="40% - Accent6 9 3 2 2 2" xfId="29795"/>
    <cellStyle name="40% - Accent6 9 3 2 2 2 2" xfId="29796"/>
    <cellStyle name="40% - Accent6 9 3 2 2 3" xfId="29797"/>
    <cellStyle name="40% - Accent6 9 3 2 3" xfId="29798"/>
    <cellStyle name="40% - Accent6 9 3 2 3 2" xfId="29799"/>
    <cellStyle name="40% - Accent6 9 3 2 4" xfId="29800"/>
    <cellStyle name="40% - Accent6 9 3 3" xfId="29801"/>
    <cellStyle name="40% - Accent6 9 3 3 2" xfId="29802"/>
    <cellStyle name="40% - Accent6 9 3 3 2 2" xfId="29803"/>
    <cellStyle name="40% - Accent6 9 3 3 3" xfId="29804"/>
    <cellStyle name="40% - Accent6 9 3 4" xfId="29805"/>
    <cellStyle name="40% - Accent6 9 3 4 2" xfId="29806"/>
    <cellStyle name="40% - Accent6 9 3 5" xfId="29807"/>
    <cellStyle name="40% - Accent6 9 3 5 2" xfId="29808"/>
    <cellStyle name="40% - Accent6 9 3 6" xfId="29809"/>
    <cellStyle name="40% - Accent6 9 4" xfId="29810"/>
    <cellStyle name="40% - Accent6 9 4 2" xfId="29811"/>
    <cellStyle name="40% - Accent6 9 4 2 2" xfId="29812"/>
    <cellStyle name="40% - Accent6 9 4 2 2 2" xfId="29813"/>
    <cellStyle name="40% - Accent6 9 4 2 3" xfId="29814"/>
    <cellStyle name="40% - Accent6 9 4 3" xfId="29815"/>
    <cellStyle name="40% - Accent6 9 4 3 2" xfId="29816"/>
    <cellStyle name="40% - Accent6 9 4 4" xfId="29817"/>
    <cellStyle name="40% - Accent6 9 5" xfId="29818"/>
    <cellStyle name="40% - Accent6 9 5 2" xfId="29819"/>
    <cellStyle name="40% - Accent6 9 5 2 2" xfId="29820"/>
    <cellStyle name="40% - Accent6 9 5 3" xfId="29821"/>
    <cellStyle name="40% - Accent6 9 6" xfId="29822"/>
    <cellStyle name="40% - Accent6 9 6 2" xfId="29823"/>
    <cellStyle name="40% - Accent6 9 7" xfId="29824"/>
    <cellStyle name="40% - Accent6 9 7 2" xfId="29825"/>
    <cellStyle name="40% - Accent6 9 8" xfId="29826"/>
    <cellStyle name="60% - Accent1 2" xfId="29827"/>
    <cellStyle name="60% - Accent1 3" xfId="29828"/>
    <cellStyle name="60% - Accent1 3 2" xfId="29829"/>
    <cellStyle name="60% - Accent1 4" xfId="29830"/>
    <cellStyle name="60% - Accent2 2" xfId="29831"/>
    <cellStyle name="60% - Accent2 3" xfId="29832"/>
    <cellStyle name="60% - Accent2 3 2" xfId="29833"/>
    <cellStyle name="60% - Accent2 4" xfId="29834"/>
    <cellStyle name="60% - Accent3 2" xfId="29835"/>
    <cellStyle name="60% - Accent3 3" xfId="29836"/>
    <cellStyle name="60% - Accent3 3 2" xfId="29837"/>
    <cellStyle name="60% - Accent3 4" xfId="29838"/>
    <cellStyle name="60% - Accent4 2" xfId="29839"/>
    <cellStyle name="60% - Accent4 3" xfId="29840"/>
    <cellStyle name="60% - Accent4 3 2" xfId="29841"/>
    <cellStyle name="60% - Accent4 4" xfId="29842"/>
    <cellStyle name="60% - Accent5" xfId="2" builtinId="48"/>
    <cellStyle name="60% - Accent5 2" xfId="29843"/>
    <cellStyle name="60% - Accent5 3" xfId="29844"/>
    <cellStyle name="60% - Accent5 3 2" xfId="29845"/>
    <cellStyle name="60% - Accent5 4" xfId="29846"/>
    <cellStyle name="60% - Accent6 2" xfId="349"/>
    <cellStyle name="60% - Accent6 3" xfId="350"/>
    <cellStyle name="60% - Accent6 3 2" xfId="29847"/>
    <cellStyle name="60% - Accent6 4" xfId="29848"/>
    <cellStyle name="Accent1 2" xfId="351"/>
    <cellStyle name="Accent1 3" xfId="29849"/>
    <cellStyle name="Accent1 3 2" xfId="29850"/>
    <cellStyle name="Accent1 4" xfId="29851"/>
    <cellStyle name="Accent2 2" xfId="352"/>
    <cellStyle name="Accent2 3" xfId="29852"/>
    <cellStyle name="Accent2 3 2" xfId="29853"/>
    <cellStyle name="Accent2 4" xfId="29854"/>
    <cellStyle name="Accent3 2" xfId="353"/>
    <cellStyle name="Accent3 3" xfId="354"/>
    <cellStyle name="Accent3 3 2" xfId="29855"/>
    <cellStyle name="Accent3 4" xfId="29856"/>
    <cellStyle name="Accent4 2" xfId="29857"/>
    <cellStyle name="Accent4 3" xfId="29858"/>
    <cellStyle name="Accent4 3 2" xfId="29859"/>
    <cellStyle name="Accent4 4" xfId="29860"/>
    <cellStyle name="Accent5 2" xfId="355"/>
    <cellStyle name="Accent5 3" xfId="29861"/>
    <cellStyle name="Accent5 3 2" xfId="29862"/>
    <cellStyle name="Accent5 4" xfId="29863"/>
    <cellStyle name="Accent6 2" xfId="356"/>
    <cellStyle name="Accent6 3" xfId="357"/>
    <cellStyle name="Accent6 3 2" xfId="29864"/>
    <cellStyle name="Accent6 4" xfId="29865"/>
    <cellStyle name="AS Input Middle Currency" xfId="358"/>
    <cellStyle name="AS Input Middle Date" xfId="359"/>
    <cellStyle name="AS Input Middle Multiple" xfId="360"/>
    <cellStyle name="AS Input Middle Number" xfId="361"/>
    <cellStyle name="AS Input Middle Percentage" xfId="362"/>
    <cellStyle name="AS Input Middle Title / Name" xfId="363"/>
    <cellStyle name="AS Input Middle Year" xfId="364"/>
    <cellStyle name="Assumption Currency." xfId="219"/>
    <cellStyle name="Assumption Currency. 2" xfId="281"/>
    <cellStyle name="Assumption Currency. 2 2" xfId="45438"/>
    <cellStyle name="Assumption Currency. 2 3" xfId="45437"/>
    <cellStyle name="Assumption Currency. 3" xfId="365"/>
    <cellStyle name="Assumption Date." xfId="220"/>
    <cellStyle name="Assumption Date. 2" xfId="282"/>
    <cellStyle name="Assumption Date. 2 2" xfId="45440"/>
    <cellStyle name="Assumption Date. 2 3" xfId="45439"/>
    <cellStyle name="Assumption Date. 3" xfId="366"/>
    <cellStyle name="Assumption Heading." xfId="217"/>
    <cellStyle name="Assumption Heading. 2" xfId="283"/>
    <cellStyle name="Assumption Heading. 2 2" xfId="45442"/>
    <cellStyle name="Assumption Heading. 2 3" xfId="45441"/>
    <cellStyle name="Assumption Heading. 3" xfId="367"/>
    <cellStyle name="Assumption Multiple." xfId="221"/>
    <cellStyle name="Assumption Multiple. 2" xfId="284"/>
    <cellStyle name="Assumption Multiple. 2 2" xfId="45444"/>
    <cellStyle name="Assumption Multiple. 2 3" xfId="45443"/>
    <cellStyle name="Assumption Multiple. 3" xfId="368"/>
    <cellStyle name="Assumption Number." xfId="222"/>
    <cellStyle name="Assumption Number. 2" xfId="285"/>
    <cellStyle name="Assumption Number. 2 2" xfId="45446"/>
    <cellStyle name="Assumption Number. 2 3" xfId="45445"/>
    <cellStyle name="Assumption Number. 3" xfId="346"/>
    <cellStyle name="Assumption Percentage." xfId="223"/>
    <cellStyle name="Assumption Percentage. 2" xfId="286"/>
    <cellStyle name="Assumption Percentage. 2 2" xfId="45448"/>
    <cellStyle name="Assumption Percentage. 2 3" xfId="45447"/>
    <cellStyle name="Assumption Percentage. 3" xfId="369"/>
    <cellStyle name="Assumption Year." xfId="224"/>
    <cellStyle name="Assumption Year. 2" xfId="287"/>
    <cellStyle name="Assumption Year. 2 2" xfId="45450"/>
    <cellStyle name="Assumption Year. 2 3" xfId="45449"/>
    <cellStyle name="Assumption Year. 3" xfId="370"/>
    <cellStyle name="Assumptions Center Currency" xfId="3"/>
    <cellStyle name="Assumptions Center Date" xfId="4"/>
    <cellStyle name="Assumptions Center Date 2" xfId="29866"/>
    <cellStyle name="Assumptions Center Date 3" xfId="371"/>
    <cellStyle name="Assumptions Center Multiple" xfId="5"/>
    <cellStyle name="Assumptions Center Number" xfId="6"/>
    <cellStyle name="Assumptions Center Number 2" xfId="29867"/>
    <cellStyle name="Assumptions Center Number 3" xfId="372"/>
    <cellStyle name="Assumptions Center Percentage" xfId="7"/>
    <cellStyle name="Assumptions Center Year" xfId="8"/>
    <cellStyle name="Assumptions Forecast Currency" xfId="373"/>
    <cellStyle name="Assumptions Forecast Date" xfId="374"/>
    <cellStyle name="Assumptions Forecast Multiple" xfId="375"/>
    <cellStyle name="Assumptions Forecast Number" xfId="376"/>
    <cellStyle name="Assumptions Forecast Percentage" xfId="377"/>
    <cellStyle name="Assumptions Forecast Title / Name" xfId="378"/>
    <cellStyle name="Assumptions Forecast Year" xfId="379"/>
    <cellStyle name="Assumptions Heading" xfId="9"/>
    <cellStyle name="Assumptions Heading 2" xfId="29868"/>
    <cellStyle name="Assumptions Heading 3" xfId="380"/>
    <cellStyle name="Assumptions Middle Currency" xfId="381"/>
    <cellStyle name="Assumptions Middle Date" xfId="382"/>
    <cellStyle name="Assumptions Middle Multiple" xfId="383"/>
    <cellStyle name="Assumptions Middle Number" xfId="384"/>
    <cellStyle name="Assumptions Middle Percentage" xfId="385"/>
    <cellStyle name="Assumptions Middle Title / Name" xfId="386"/>
    <cellStyle name="Assumptions Middle Year" xfId="387"/>
    <cellStyle name="Assumptions Right Currency" xfId="10"/>
    <cellStyle name="Assumptions Right Currency 2" xfId="29869"/>
    <cellStyle name="Assumptions Right Currency 3" xfId="388"/>
    <cellStyle name="Assumptions Right Date" xfId="11"/>
    <cellStyle name="Assumptions Right Date 2" xfId="29870"/>
    <cellStyle name="Assumptions Right Date 3" xfId="389"/>
    <cellStyle name="Assumptions Right Multiple" xfId="12"/>
    <cellStyle name="Assumptions Right Multiple 2" xfId="29871"/>
    <cellStyle name="Assumptions Right Multiple 3" xfId="390"/>
    <cellStyle name="Assumptions Right Number" xfId="13"/>
    <cellStyle name="Assumptions Right Number 2" xfId="29872"/>
    <cellStyle name="Assumptions Right Number 3" xfId="391"/>
    <cellStyle name="Assumptions Right Percentage" xfId="14"/>
    <cellStyle name="Assumptions Right Percentage 2" xfId="29873"/>
    <cellStyle name="Assumptions Right Percentage 3" xfId="392"/>
    <cellStyle name="Assumptions Right Year" xfId="15"/>
    <cellStyle name="Assumptions Right Year 2" xfId="29874"/>
    <cellStyle name="Assumptions Right Year 3" xfId="393"/>
    <cellStyle name="Background" xfId="394"/>
    <cellStyle name="Bad" xfId="16" builtinId="27"/>
    <cellStyle name="Bad 2" xfId="395"/>
    <cellStyle name="Bad 2 2" xfId="29875"/>
    <cellStyle name="Bad 3" xfId="396"/>
    <cellStyle name="Bad 3 2" xfId="29876"/>
    <cellStyle name="Bad 3 3" xfId="29877"/>
    <cellStyle name="Blank" xfId="17"/>
    <cellStyle name="Blockout" xfId="18"/>
    <cellStyle name="Body" xfId="19"/>
    <cellStyle name="Border" xfId="20"/>
    <cellStyle name="Calculation 2" xfId="29878"/>
    <cellStyle name="Calculation 3" xfId="29879"/>
    <cellStyle name="Calculation 3 2" xfId="29880"/>
    <cellStyle name="Calculation 4" xfId="29881"/>
    <cellStyle name="Cell Link" xfId="21"/>
    <cellStyle name="Cell Link 2" xfId="22"/>
    <cellStyle name="Cell Link 3" xfId="225"/>
    <cellStyle name="Cell Link." xfId="226"/>
    <cellStyle name="Center Currency" xfId="23"/>
    <cellStyle name="Center Date" xfId="24"/>
    <cellStyle name="Center Date 2" xfId="29882"/>
    <cellStyle name="Center Date 3" xfId="397"/>
    <cellStyle name="Center Multiple" xfId="25"/>
    <cellStyle name="Center Number" xfId="26"/>
    <cellStyle name="Center Number 2" xfId="29883"/>
    <cellStyle name="Center Number 3" xfId="398"/>
    <cellStyle name="Center Percentage" xfId="27"/>
    <cellStyle name="Center Year" xfId="28"/>
    <cellStyle name="Check Cell 2" xfId="29884"/>
    <cellStyle name="Check Cell 2 2 2 2" xfId="45474"/>
    <cellStyle name="Check Cell 3" xfId="29885"/>
    <cellStyle name="Check Cell 3 2" xfId="29886"/>
    <cellStyle name="Check Cell 4" xfId="29887"/>
    <cellStyle name="Column Heading" xfId="399"/>
    <cellStyle name="Column Heading Input" xfId="400"/>
    <cellStyle name="Comma" xfId="29" builtinId="3"/>
    <cellStyle name="Comma 0" xfId="401"/>
    <cellStyle name="Comma 10" xfId="30"/>
    <cellStyle name="Comma 11" xfId="31"/>
    <cellStyle name="Comma 12" xfId="32"/>
    <cellStyle name="Comma 2" xfId="33"/>
    <cellStyle name="Comma 2 2" xfId="34"/>
    <cellStyle name="Comma 2 2 2" xfId="29888"/>
    <cellStyle name="Comma 2 2 3" xfId="29889"/>
    <cellStyle name="Comma 2 2 4" xfId="29890"/>
    <cellStyle name="Comma 2 2 5" xfId="29891"/>
    <cellStyle name="Comma 2 2 6" xfId="571"/>
    <cellStyle name="Comma 2 3" xfId="35"/>
    <cellStyle name="Comma 2 3 2" xfId="36"/>
    <cellStyle name="Comma 2 3 3" xfId="29892"/>
    <cellStyle name="Comma 2 4" xfId="37"/>
    <cellStyle name="Comma 2 4 2" xfId="38"/>
    <cellStyle name="Comma 2 4 3" xfId="39"/>
    <cellStyle name="Comma 2 5" xfId="40"/>
    <cellStyle name="Comma 2 5 2" xfId="29894"/>
    <cellStyle name="Comma 2 5 3" xfId="29893"/>
    <cellStyle name="Comma 2 6" xfId="29895"/>
    <cellStyle name="Comma 2 7" xfId="344"/>
    <cellStyle name="Comma 2 8" xfId="338"/>
    <cellStyle name="Comma 2_Analysis" xfId="41"/>
    <cellStyle name="Comma 3" xfId="42"/>
    <cellStyle name="Comma 3 2" xfId="43"/>
    <cellStyle name="Comma 3 2 2" xfId="572"/>
    <cellStyle name="Comma 3 3" xfId="44"/>
    <cellStyle name="Comma 3 3 2" xfId="45"/>
    <cellStyle name="Comma 3 3 3" xfId="46"/>
    <cellStyle name="Comma 3 3 4" xfId="345"/>
    <cellStyle name="Comma 3 4" xfId="332"/>
    <cellStyle name="Comma 4" xfId="47"/>
    <cellStyle name="Comma 4 2" xfId="48"/>
    <cellStyle name="Comma 4 2 2" xfId="45451"/>
    <cellStyle name="Comma 4 3" xfId="402"/>
    <cellStyle name="Comma 5" xfId="49"/>
    <cellStyle name="Comma 5 2" xfId="573"/>
    <cellStyle name="Comma 6" xfId="50"/>
    <cellStyle name="Comma 6 2" xfId="574"/>
    <cellStyle name="Comma 7" xfId="51"/>
    <cellStyle name="Comma 7 2" xfId="629"/>
    <cellStyle name="Comma 8" xfId="52"/>
    <cellStyle name="Comma 8 2" xfId="45426"/>
    <cellStyle name="Comma 9" xfId="53"/>
    <cellStyle name="Comma 9 2" xfId="45428"/>
    <cellStyle name="Company Name" xfId="403"/>
    <cellStyle name="Cover Link Note" xfId="404"/>
    <cellStyle name="Crit text input" xfId="54"/>
    <cellStyle name="Currency" xfId="45471" builtinId="4"/>
    <cellStyle name="Currency [0] 2" xfId="29896"/>
    <cellStyle name="Currency 0" xfId="405"/>
    <cellStyle name="Currency 10" xfId="29897"/>
    <cellStyle name="Currency 11" xfId="29898"/>
    <cellStyle name="Currency 12" xfId="29899"/>
    <cellStyle name="Currency 13" xfId="29900"/>
    <cellStyle name="Currency 14" xfId="29901"/>
    <cellStyle name="Currency 15" xfId="29902"/>
    <cellStyle name="Currency 16" xfId="29903"/>
    <cellStyle name="Currency 17" xfId="29904"/>
    <cellStyle name="Currency 18" xfId="29905"/>
    <cellStyle name="Currency 19" xfId="29906"/>
    <cellStyle name="Currency 2" xfId="55"/>
    <cellStyle name="Currency 2 10" xfId="227"/>
    <cellStyle name="Currency 2 2" xfId="56"/>
    <cellStyle name="Currency 2 2 2" xfId="29908"/>
    <cellStyle name="Currency 2 2 2 2" xfId="29909"/>
    <cellStyle name="Currency 2 2 2 3" xfId="29910"/>
    <cellStyle name="Currency 2 2 3" xfId="29911"/>
    <cellStyle name="Currency 2 2 3 2" xfId="29912"/>
    <cellStyle name="Currency 2 2 3 3" xfId="29913"/>
    <cellStyle name="Currency 2 2 4" xfId="29914"/>
    <cellStyle name="Currency 2 2 4 2" xfId="29915"/>
    <cellStyle name="Currency 2 2 4 3" xfId="29916"/>
    <cellStyle name="Currency 2 2 5" xfId="29917"/>
    <cellStyle name="Currency 2 2 6" xfId="29918"/>
    <cellStyle name="Currency 2 2 7" xfId="29919"/>
    <cellStyle name="Currency 2 2 8" xfId="29907"/>
    <cellStyle name="Currency 2 3" xfId="57"/>
    <cellStyle name="Currency 2 3 2" xfId="29920"/>
    <cellStyle name="Currency 2 4" xfId="29921"/>
    <cellStyle name="Currency 2 4 2" xfId="29922"/>
    <cellStyle name="Currency 2 4 2 2" xfId="29923"/>
    <cellStyle name="Currency 2 4 2 3" xfId="29924"/>
    <cellStyle name="Currency 2 4 3" xfId="29925"/>
    <cellStyle name="Currency 2 4 3 2" xfId="29926"/>
    <cellStyle name="Currency 2 4 4" xfId="29927"/>
    <cellStyle name="Currency 2 4 4 2" xfId="29928"/>
    <cellStyle name="Currency 2 4 5" xfId="29929"/>
    <cellStyle name="Currency 2 5" xfId="29930"/>
    <cellStyle name="Currency 2 6" xfId="29931"/>
    <cellStyle name="Currency 2 7" xfId="29932"/>
    <cellStyle name="Currency 2 7 2" xfId="29933"/>
    <cellStyle name="Currency 2 7 2 2" xfId="29934"/>
    <cellStyle name="Currency 2 8" xfId="29935"/>
    <cellStyle name="Currency 2 9" xfId="406"/>
    <cellStyle name="Currency 2_Analysis" xfId="58"/>
    <cellStyle name="Currency 20" xfId="29936"/>
    <cellStyle name="Currency 21" xfId="29937"/>
    <cellStyle name="Currency 22" xfId="29938"/>
    <cellStyle name="Currency 23" xfId="29939"/>
    <cellStyle name="Currency 24" xfId="29940"/>
    <cellStyle name="Currency 25" xfId="29941"/>
    <cellStyle name="Currency 26" xfId="29942"/>
    <cellStyle name="Currency 27" xfId="29943"/>
    <cellStyle name="Currency 28" xfId="29944"/>
    <cellStyle name="Currency 29" xfId="29945"/>
    <cellStyle name="Currency 3" xfId="59"/>
    <cellStyle name="Currency 3 2" xfId="60"/>
    <cellStyle name="Currency 3 2 2" xfId="29946"/>
    <cellStyle name="Currency 3 3" xfId="575"/>
    <cellStyle name="Currency 3 4" xfId="331"/>
    <cellStyle name="Currency 30" xfId="29947"/>
    <cellStyle name="Currency 31" xfId="29948"/>
    <cellStyle name="Currency 32" xfId="29949"/>
    <cellStyle name="Currency 33" xfId="29950"/>
    <cellStyle name="Currency 34" xfId="29951"/>
    <cellStyle name="Currency 35" xfId="29952"/>
    <cellStyle name="Currency 36" xfId="29953"/>
    <cellStyle name="Currency 37" xfId="29954"/>
    <cellStyle name="Currency 38" xfId="29955"/>
    <cellStyle name="Currency 38 2" xfId="29956"/>
    <cellStyle name="Currency 39" xfId="630"/>
    <cellStyle name="Currency 39 2" xfId="29957"/>
    <cellStyle name="Currency 4" xfId="61"/>
    <cellStyle name="Currency 4 2" xfId="62"/>
    <cellStyle name="Currency 4 3" xfId="576"/>
    <cellStyle name="Currency 40" xfId="29958"/>
    <cellStyle name="Currency 40 2" xfId="29959"/>
    <cellStyle name="Currency 41" xfId="29960"/>
    <cellStyle name="Currency 41 2" xfId="29961"/>
    <cellStyle name="Currency 42" xfId="29962"/>
    <cellStyle name="Currency 42 2" xfId="29963"/>
    <cellStyle name="Currency 42 3" xfId="29964"/>
    <cellStyle name="Currency 43" xfId="29965"/>
    <cellStyle name="Currency 44" xfId="29966"/>
    <cellStyle name="Currency 45" xfId="29967"/>
    <cellStyle name="Currency 46" xfId="29968"/>
    <cellStyle name="Currency 47" xfId="29969"/>
    <cellStyle name="Currency 48" xfId="29970"/>
    <cellStyle name="Currency 49" xfId="29971"/>
    <cellStyle name="Currency 5" xfId="63"/>
    <cellStyle name="Currency 5 2" xfId="29972"/>
    <cellStyle name="Currency 50" xfId="29973"/>
    <cellStyle name="Currency 51" xfId="29974"/>
    <cellStyle name="Currency 52" xfId="29975"/>
    <cellStyle name="Currency 53" xfId="29976"/>
    <cellStyle name="Currency 54" xfId="29977"/>
    <cellStyle name="Currency 55" xfId="29978"/>
    <cellStyle name="Currency 56" xfId="29979"/>
    <cellStyle name="Currency 57" xfId="29980"/>
    <cellStyle name="Currency 58" xfId="45460"/>
    <cellStyle name="Currency 59" xfId="45466"/>
    <cellStyle name="Currency 6" xfId="29981"/>
    <cellStyle name="Currency 60" xfId="45468"/>
    <cellStyle name="Currency 61" xfId="45470"/>
    <cellStyle name="Currency 62" xfId="330"/>
    <cellStyle name="Currency 7" xfId="29982"/>
    <cellStyle name="Currency 8" xfId="29983"/>
    <cellStyle name="Currency 9" xfId="29984"/>
    <cellStyle name="Currency." xfId="228"/>
    <cellStyle name="Currency. 2" xfId="288"/>
    <cellStyle name="Date" xfId="64"/>
    <cellStyle name="Date 2" xfId="407"/>
    <cellStyle name="Date Aligned" xfId="408"/>
    <cellStyle name="Date." xfId="229"/>
    <cellStyle name="Date. 2" xfId="289"/>
    <cellStyle name="Dezimal_Utopia 5_1 to 5_22 update 21" xfId="409"/>
    <cellStyle name="Dotted Line" xfId="410"/>
    <cellStyle name="Explanatory Text 2" xfId="29985"/>
    <cellStyle name="Explanatory Text 3" xfId="29986"/>
    <cellStyle name="Explanatory Text 3 2" xfId="29987"/>
    <cellStyle name="Explanatory Text 4" xfId="29988"/>
    <cellStyle name="FAS Input Currency" xfId="411"/>
    <cellStyle name="FAS Input Date" xfId="412"/>
    <cellStyle name="FAS Input Multiple" xfId="413"/>
    <cellStyle name="FAS Input Number" xfId="414"/>
    <cellStyle name="FAS Input Percentage" xfId="415"/>
    <cellStyle name="FAS Input Title / Name" xfId="416"/>
    <cellStyle name="FAS Input Year" xfId="417"/>
    <cellStyle name="Footnote" xfId="418"/>
    <cellStyle name="Forecast Currency" xfId="419"/>
    <cellStyle name="Forecast Date" xfId="420"/>
    <cellStyle name="Forecast Multiple" xfId="421"/>
    <cellStyle name="Forecast Number" xfId="422"/>
    <cellStyle name="Forecast Percentage" xfId="423"/>
    <cellStyle name="Forecast Period Title" xfId="424"/>
    <cellStyle name="Forecast Year" xfId="425"/>
    <cellStyle name="Format" xfId="65"/>
    <cellStyle name="Good" xfId="66" builtinId="26"/>
    <cellStyle name="Good 2" xfId="348"/>
    <cellStyle name="Good 3" xfId="29989"/>
    <cellStyle name="Good 3 2" xfId="29990"/>
    <cellStyle name="Good 4" xfId="29991"/>
    <cellStyle name="Good 5" xfId="45429"/>
    <cellStyle name="Good 6" xfId="341"/>
    <cellStyle name="Grey" xfId="67"/>
    <cellStyle name="Hard Percent" xfId="426"/>
    <cellStyle name="Header" xfId="427"/>
    <cellStyle name="Header1" xfId="68"/>
    <cellStyle name="Header2" xfId="69"/>
    <cellStyle name="Heading" xfId="428"/>
    <cellStyle name="Heading 1 2" xfId="230"/>
    <cellStyle name="Heading 1 2 2" xfId="29992"/>
    <cellStyle name="Heading 1 2 3" xfId="29993"/>
    <cellStyle name="Heading 1 2 4" xfId="29994"/>
    <cellStyle name="Heading 1 3" xfId="29995"/>
    <cellStyle name="Heading 1 3 2" xfId="29996"/>
    <cellStyle name="Heading 1 4" xfId="29997"/>
    <cellStyle name="Heading 1." xfId="231"/>
    <cellStyle name="Heading 1. 2" xfId="290"/>
    <cellStyle name="Heading 2 2" xfId="232"/>
    <cellStyle name="Heading 2 2 2" xfId="29998"/>
    <cellStyle name="Heading 2 2 3" xfId="29999"/>
    <cellStyle name="Heading 2 2 4" xfId="30000"/>
    <cellStyle name="Heading 2 3" xfId="30001"/>
    <cellStyle name="Heading 2 3 2" xfId="30002"/>
    <cellStyle name="Heading 2 4" xfId="30003"/>
    <cellStyle name="Heading 2." xfId="70"/>
    <cellStyle name="Heading 2. 2" xfId="291"/>
    <cellStyle name="Heading 2. 3" xfId="233"/>
    <cellStyle name="Heading 3 2" xfId="234"/>
    <cellStyle name="Heading 3 2 2" xfId="30004"/>
    <cellStyle name="Heading 3 2 3" xfId="30005"/>
    <cellStyle name="Heading 3 2 4" xfId="30006"/>
    <cellStyle name="Heading 3 3" xfId="30007"/>
    <cellStyle name="Heading 3 3 2" xfId="30008"/>
    <cellStyle name="Heading 3 4" xfId="30009"/>
    <cellStyle name="Heading 3." xfId="71"/>
    <cellStyle name="Heading 3. 2" xfId="292"/>
    <cellStyle name="Heading 3. 3" xfId="235"/>
    <cellStyle name="Heading 4 2" xfId="72"/>
    <cellStyle name="Heading 4 2 2" xfId="30010"/>
    <cellStyle name="Heading 4 2 3" xfId="30011"/>
    <cellStyle name="Heading 4 2 4" xfId="30012"/>
    <cellStyle name="Heading 4 2 5" xfId="30013"/>
    <cellStyle name="Heading 4 3" xfId="30014"/>
    <cellStyle name="Heading 4 3 2" xfId="30015"/>
    <cellStyle name="Heading 4 3 3" xfId="30016"/>
    <cellStyle name="Heading 4." xfId="236"/>
    <cellStyle name="Heading 4. 2" xfId="293"/>
    <cellStyle name="Hyperlink" xfId="73" builtinId="8"/>
    <cellStyle name="Hyperlink 2" xfId="74"/>
    <cellStyle name="Hyperlink 2 2" xfId="75"/>
    <cellStyle name="Hyperlink 2 2 2" xfId="30017"/>
    <cellStyle name="Hyperlink 2 3" xfId="237"/>
    <cellStyle name="Hyperlink 3" xfId="76"/>
    <cellStyle name="Hyperlink 4" xfId="77"/>
    <cellStyle name="Hyperlink 4 2" xfId="78"/>
    <cellStyle name="Hyperlink 5" xfId="216"/>
    <cellStyle name="Hyperlink Arrow" xfId="79"/>
    <cellStyle name="Hyperlink Arrow 2" xfId="30018"/>
    <cellStyle name="Hyperlink Arrow 3" xfId="45435"/>
    <cellStyle name="Hyperlink Arrow 4" xfId="429"/>
    <cellStyle name="Hyperlink Arrow." xfId="80"/>
    <cellStyle name="Hyperlink Arrow_20110216 Corp Capex Workingsv4" xfId="430"/>
    <cellStyle name="Hyperlink Check" xfId="81"/>
    <cellStyle name="Hyperlink Check 2" xfId="30019"/>
    <cellStyle name="Hyperlink Check 3" xfId="431"/>
    <cellStyle name="Hyperlink Check." xfId="238"/>
    <cellStyle name="Hyperlink Check_20110216 Corp Capex Workingsv4" xfId="432"/>
    <cellStyle name="Hyperlink Text" xfId="82"/>
    <cellStyle name="Hyperlink Text 2" xfId="30020"/>
    <cellStyle name="Hyperlink Text 3" xfId="45434"/>
    <cellStyle name="Hyperlink Text 4" xfId="433"/>
    <cellStyle name="Hyperlink Text." xfId="83"/>
    <cellStyle name="Hyperlink Text. 2" xfId="294"/>
    <cellStyle name="Hyperlink Text. 2 2" xfId="45433"/>
    <cellStyle name="Hyperlink Text_20110216 Corp Capex Workingsv4" xfId="434"/>
    <cellStyle name="Hyperlink TOC 1." xfId="239"/>
    <cellStyle name="Hyperlink TOC 2." xfId="240"/>
    <cellStyle name="Hyperlink TOC 2. 2" xfId="295"/>
    <cellStyle name="Hyperlink TOC 3." xfId="241"/>
    <cellStyle name="Hyperlink TOC 3. 2" xfId="296"/>
    <cellStyle name="Hyperlink TOC 4." xfId="242"/>
    <cellStyle name="Hyperlink TOC 4. 2" xfId="297"/>
    <cellStyle name="Import" xfId="84"/>
    <cellStyle name="Import%" xfId="85"/>
    <cellStyle name="import_Changes since release" xfId="86"/>
    <cellStyle name="Input [yellow]" xfId="87"/>
    <cellStyle name="Input 2" xfId="577"/>
    <cellStyle name="Input 3" xfId="30021"/>
    <cellStyle name="Input 3 2" xfId="30022"/>
    <cellStyle name="Input 4" xfId="30023"/>
    <cellStyle name="Input Company Name" xfId="435"/>
    <cellStyle name="Input Forecast Currency" xfId="436"/>
    <cellStyle name="Input Forecast Date" xfId="437"/>
    <cellStyle name="Input Forecast Multiple" xfId="438"/>
    <cellStyle name="Input Forecast Number" xfId="439"/>
    <cellStyle name="Input Forecast Percentage" xfId="440"/>
    <cellStyle name="Input Forecast Year" xfId="441"/>
    <cellStyle name="Input Heading 1" xfId="442"/>
    <cellStyle name="Input Heading 2" xfId="443"/>
    <cellStyle name="Input Heading 3" xfId="444"/>
    <cellStyle name="Input Heading 4" xfId="445"/>
    <cellStyle name="Input Middle Currency" xfId="446"/>
    <cellStyle name="Input Middle Date" xfId="447"/>
    <cellStyle name="Input Middle Multiple" xfId="448"/>
    <cellStyle name="Input Middle Number" xfId="449"/>
    <cellStyle name="Input Middle Percentage" xfId="450"/>
    <cellStyle name="Input Middle Title / Name" xfId="451"/>
    <cellStyle name="Input Middle Year" xfId="452"/>
    <cellStyle name="Input Sheet Title" xfId="453"/>
    <cellStyle name="Input1" xfId="88"/>
    <cellStyle name="Input1%" xfId="89"/>
    <cellStyle name="Input1_Changes since release" xfId="90"/>
    <cellStyle name="Input1default" xfId="91"/>
    <cellStyle name="Input1default%" xfId="92"/>
    <cellStyle name="Input2" xfId="93"/>
    <cellStyle name="Input2%" xfId="94"/>
    <cellStyle name="Input3" xfId="95"/>
    <cellStyle name="Input3%" xfId="96"/>
    <cellStyle name="Interformula" xfId="454"/>
    <cellStyle name="key result" xfId="97"/>
    <cellStyle name="Line Item" xfId="455"/>
    <cellStyle name="Line Item Input" xfId="456"/>
    <cellStyle name="Linked Cell 2" xfId="30024"/>
    <cellStyle name="Linked Cell 3" xfId="30025"/>
    <cellStyle name="Linked Cell 3 2" xfId="30026"/>
    <cellStyle name="Linked Cell 4" xfId="30027"/>
    <cellStyle name="Local import" xfId="98"/>
    <cellStyle name="Local import %" xfId="99"/>
    <cellStyle name="Lookup Table Heading" xfId="100"/>
    <cellStyle name="Lookup Table Heading 2" xfId="578"/>
    <cellStyle name="Lookup Table Heading." xfId="243"/>
    <cellStyle name="Lookup Table Heading. 2" xfId="298"/>
    <cellStyle name="Lookup Table Heading_Book3 (2)" xfId="457"/>
    <cellStyle name="Lookup Table Label" xfId="101"/>
    <cellStyle name="Lookup Table Label 2" xfId="579"/>
    <cellStyle name="Lookup Table Label." xfId="244"/>
    <cellStyle name="Lookup Table Label. 2" xfId="299"/>
    <cellStyle name="Lookup Table Label_Book3 (2)" xfId="458"/>
    <cellStyle name="Lookup Table Number" xfId="102"/>
    <cellStyle name="Lookup Table Number 2" xfId="580"/>
    <cellStyle name="Lookup Table Number 3" xfId="459"/>
    <cellStyle name="Lookup Table Number." xfId="245"/>
    <cellStyle name="Lookup Table Number. 2" xfId="300"/>
    <cellStyle name="Lookup Table Number_20110216 Corp Capex Workingsv4" xfId="460"/>
    <cellStyle name="LS Input Lookup Label" xfId="461"/>
    <cellStyle name="LS Input Lookup Label 2" xfId="45452"/>
    <cellStyle name="LS Input Table Heading" xfId="462"/>
    <cellStyle name="LS Input Table Heading 2" xfId="45453"/>
    <cellStyle name="LS Input Table No. 1" xfId="463"/>
    <cellStyle name="LS Input Table No. 1 2" xfId="45454"/>
    <cellStyle name="LS Output Table No. 2+" xfId="464"/>
    <cellStyle name="LS Output Table No. 2+ 2" xfId="45455"/>
    <cellStyle name="Middle Currency" xfId="465"/>
    <cellStyle name="Middle Date" xfId="466"/>
    <cellStyle name="Middle Multiple" xfId="467"/>
    <cellStyle name="Middle Number" xfId="468"/>
    <cellStyle name="Middle Percentage" xfId="469"/>
    <cellStyle name="Middle Title / Name" xfId="470"/>
    <cellStyle name="Middle Year" xfId="471"/>
    <cellStyle name="Model Name" xfId="103"/>
    <cellStyle name="Model Name 2" xfId="30028"/>
    <cellStyle name="Model Name 3" xfId="472"/>
    <cellStyle name="Model Name." xfId="246"/>
    <cellStyle name="Model Name. 2" xfId="301"/>
    <cellStyle name="Model Name. 2 2" xfId="45432"/>
    <cellStyle name="Model Name_20110216 Corp Capex Workingsv4" xfId="473"/>
    <cellStyle name="Multiple" xfId="474"/>
    <cellStyle name="Multiple." xfId="247"/>
    <cellStyle name="Multiple. 2" xfId="302"/>
    <cellStyle name="Neutral" xfId="104" builtinId="28"/>
    <cellStyle name="Neutral 2" xfId="475"/>
    <cellStyle name="Neutral 3" xfId="476"/>
    <cellStyle name="Neutral 3 2" xfId="30029"/>
    <cellStyle name="Neutral 4" xfId="30030"/>
    <cellStyle name="no dec" xfId="105"/>
    <cellStyle name="Non crit Input 0.000" xfId="106"/>
    <cellStyle name="Normal" xfId="0" builtinId="0"/>
    <cellStyle name="Normal - Style1" xfId="107"/>
    <cellStyle name="Normal 10" xfId="108"/>
    <cellStyle name="Normal 10 2" xfId="581"/>
    <cellStyle name="Normal 10 2 2" xfId="582"/>
    <cellStyle name="Normal 10 2 2 2" xfId="30031"/>
    <cellStyle name="Normal 10 2 3" xfId="583"/>
    <cellStyle name="Normal 10 3" xfId="584"/>
    <cellStyle name="Normal 10 3 2" xfId="585"/>
    <cellStyle name="Normal 10 3 3" xfId="30032"/>
    <cellStyle name="Normal 10 4" xfId="586"/>
    <cellStyle name="Normal 10 5" xfId="30033"/>
    <cellStyle name="Normal 11" xfId="109"/>
    <cellStyle name="Normal 11 2" xfId="588"/>
    <cellStyle name="Normal 11 3" xfId="30034"/>
    <cellStyle name="Normal 11 4" xfId="30035"/>
    <cellStyle name="Normal 11 4 2" xfId="30036"/>
    <cellStyle name="Normal 11 5" xfId="30037"/>
    <cellStyle name="Normal 11 6" xfId="30038"/>
    <cellStyle name="Normal 11 7" xfId="30039"/>
    <cellStyle name="Normal 11 8" xfId="587"/>
    <cellStyle name="Normal 114" xfId="45472"/>
    <cellStyle name="Normal 12" xfId="110"/>
    <cellStyle name="Normal 12 10" xfId="30040"/>
    <cellStyle name="Normal 12 10 2" xfId="30041"/>
    <cellStyle name="Normal 12 10 2 2" xfId="30042"/>
    <cellStyle name="Normal 12 10 2 2 2" xfId="30043"/>
    <cellStyle name="Normal 12 10 2 3" xfId="30044"/>
    <cellStyle name="Normal 12 10 3" xfId="30045"/>
    <cellStyle name="Normal 12 11" xfId="30046"/>
    <cellStyle name="Normal 12 11 2" xfId="30047"/>
    <cellStyle name="Normal 12 12" xfId="30048"/>
    <cellStyle name="Normal 12 12 2" xfId="30049"/>
    <cellStyle name="Normal 12 13" xfId="30050"/>
    <cellStyle name="Normal 12 13 2" xfId="30051"/>
    <cellStyle name="Normal 12 14" xfId="30052"/>
    <cellStyle name="Normal 12 14 2" xfId="30053"/>
    <cellStyle name="Normal 12 15" xfId="30054"/>
    <cellStyle name="Normal 12 16" xfId="30055"/>
    <cellStyle name="Normal 12 17" xfId="569"/>
    <cellStyle name="Normal 12 2" xfId="30056"/>
    <cellStyle name="Normal 12 2 10" xfId="30057"/>
    <cellStyle name="Normal 12 2 10 2" xfId="30058"/>
    <cellStyle name="Normal 12 2 11" xfId="30059"/>
    <cellStyle name="Normal 12 2 11 2" xfId="30060"/>
    <cellStyle name="Normal 12 2 12" xfId="30061"/>
    <cellStyle name="Normal 12 2 12 2" xfId="30062"/>
    <cellStyle name="Normal 12 2 13" xfId="30063"/>
    <cellStyle name="Normal 12 2 13 2" xfId="30064"/>
    <cellStyle name="Normal 12 2 14" xfId="30065"/>
    <cellStyle name="Normal 12 2 15" xfId="30066"/>
    <cellStyle name="Normal 12 2 2" xfId="30067"/>
    <cellStyle name="Normal 12 2 2 10" xfId="30068"/>
    <cellStyle name="Normal 12 2 2 11" xfId="30069"/>
    <cellStyle name="Normal 12 2 2 2" xfId="30070"/>
    <cellStyle name="Normal 12 2 2 2 2" xfId="30071"/>
    <cellStyle name="Normal 12 2 2 2 2 2" xfId="30072"/>
    <cellStyle name="Normal 12 2 2 2 2 2 2" xfId="30073"/>
    <cellStyle name="Normal 12 2 2 2 2 2 2 2" xfId="30074"/>
    <cellStyle name="Normal 12 2 2 2 2 2 3" xfId="30075"/>
    <cellStyle name="Normal 12 2 2 2 2 3" xfId="30076"/>
    <cellStyle name="Normal 12 2 2 2 2 3 2" xfId="30077"/>
    <cellStyle name="Normal 12 2 2 2 2 4" xfId="30078"/>
    <cellStyle name="Normal 12 2 2 2 2 4 2" xfId="30079"/>
    <cellStyle name="Normal 12 2 2 2 2 5" xfId="30080"/>
    <cellStyle name="Normal 12 2 2 2 3" xfId="30081"/>
    <cellStyle name="Normal 12 2 2 2 3 2" xfId="30082"/>
    <cellStyle name="Normal 12 2 2 2 3 2 2" xfId="30083"/>
    <cellStyle name="Normal 12 2 2 2 3 3" xfId="30084"/>
    <cellStyle name="Normal 12 2 2 2 4" xfId="30085"/>
    <cellStyle name="Normal 12 2 2 2 4 2" xfId="30086"/>
    <cellStyle name="Normal 12 2 2 2 5" xfId="30087"/>
    <cellStyle name="Normal 12 2 2 2 5 2" xfId="30088"/>
    <cellStyle name="Normal 12 2 2 2 6" xfId="30089"/>
    <cellStyle name="Normal 12 2 2 2 6 2" xfId="30090"/>
    <cellStyle name="Normal 12 2 2 2 7" xfId="30091"/>
    <cellStyle name="Normal 12 2 2 2 7 2" xfId="30092"/>
    <cellStyle name="Normal 12 2 2 2 8" xfId="30093"/>
    <cellStyle name="Normal 12 2 2 2 9" xfId="30094"/>
    <cellStyle name="Normal 12 2 2 3" xfId="30095"/>
    <cellStyle name="Normal 12 2 2 3 2" xfId="30096"/>
    <cellStyle name="Normal 12 2 2 3 2 2" xfId="30097"/>
    <cellStyle name="Normal 12 2 2 3 2 2 2" xfId="30098"/>
    <cellStyle name="Normal 12 2 2 3 2 2 2 2" xfId="30099"/>
    <cellStyle name="Normal 12 2 2 3 2 2 3" xfId="30100"/>
    <cellStyle name="Normal 12 2 2 3 2 3" xfId="30101"/>
    <cellStyle name="Normal 12 2 2 3 2 3 2" xfId="30102"/>
    <cellStyle name="Normal 12 2 2 3 2 4" xfId="30103"/>
    <cellStyle name="Normal 12 2 2 3 3" xfId="30104"/>
    <cellStyle name="Normal 12 2 2 3 3 2" xfId="30105"/>
    <cellStyle name="Normal 12 2 2 3 3 2 2" xfId="30106"/>
    <cellStyle name="Normal 12 2 2 3 3 3" xfId="30107"/>
    <cellStyle name="Normal 12 2 2 3 4" xfId="30108"/>
    <cellStyle name="Normal 12 2 2 3 4 2" xfId="30109"/>
    <cellStyle name="Normal 12 2 2 3 5" xfId="30110"/>
    <cellStyle name="Normal 12 2 2 3 5 2" xfId="30111"/>
    <cellStyle name="Normal 12 2 2 3 6" xfId="30112"/>
    <cellStyle name="Normal 12 2 2 4" xfId="30113"/>
    <cellStyle name="Normal 12 2 2 4 2" xfId="30114"/>
    <cellStyle name="Normal 12 2 2 4 2 2" xfId="30115"/>
    <cellStyle name="Normal 12 2 2 4 2 2 2" xfId="30116"/>
    <cellStyle name="Normal 12 2 2 4 2 3" xfId="30117"/>
    <cellStyle name="Normal 12 2 2 4 3" xfId="30118"/>
    <cellStyle name="Normal 12 2 2 4 3 2" xfId="30119"/>
    <cellStyle name="Normal 12 2 2 4 4" xfId="30120"/>
    <cellStyle name="Normal 12 2 2 5" xfId="30121"/>
    <cellStyle name="Normal 12 2 2 5 2" xfId="30122"/>
    <cellStyle name="Normal 12 2 2 5 2 2" xfId="30123"/>
    <cellStyle name="Normal 12 2 2 5 3" xfId="30124"/>
    <cellStyle name="Normal 12 2 2 6" xfId="30125"/>
    <cellStyle name="Normal 12 2 2 6 2" xfId="30126"/>
    <cellStyle name="Normal 12 2 2 7" xfId="30127"/>
    <cellStyle name="Normal 12 2 2 7 2" xfId="30128"/>
    <cellStyle name="Normal 12 2 2 8" xfId="30129"/>
    <cellStyle name="Normal 12 2 2 8 2" xfId="30130"/>
    <cellStyle name="Normal 12 2 2 9" xfId="30131"/>
    <cellStyle name="Normal 12 2 2 9 2" xfId="30132"/>
    <cellStyle name="Normal 12 2 3" xfId="30133"/>
    <cellStyle name="Normal 12 2 3 10" xfId="30134"/>
    <cellStyle name="Normal 12 2 3 11" xfId="30135"/>
    <cellStyle name="Normal 12 2 3 2" xfId="30136"/>
    <cellStyle name="Normal 12 2 3 2 2" xfId="30137"/>
    <cellStyle name="Normal 12 2 3 2 2 2" xfId="30138"/>
    <cellStyle name="Normal 12 2 3 2 2 2 2" xfId="30139"/>
    <cellStyle name="Normal 12 2 3 2 2 2 2 2" xfId="30140"/>
    <cellStyle name="Normal 12 2 3 2 2 2 3" xfId="30141"/>
    <cellStyle name="Normal 12 2 3 2 2 3" xfId="30142"/>
    <cellStyle name="Normal 12 2 3 2 2 3 2" xfId="30143"/>
    <cellStyle name="Normal 12 2 3 2 2 4" xfId="30144"/>
    <cellStyle name="Normal 12 2 3 2 3" xfId="30145"/>
    <cellStyle name="Normal 12 2 3 2 3 2" xfId="30146"/>
    <cellStyle name="Normal 12 2 3 2 3 2 2" xfId="30147"/>
    <cellStyle name="Normal 12 2 3 2 3 3" xfId="30148"/>
    <cellStyle name="Normal 12 2 3 2 4" xfId="30149"/>
    <cellStyle name="Normal 12 2 3 2 4 2" xfId="30150"/>
    <cellStyle name="Normal 12 2 3 2 5" xfId="30151"/>
    <cellStyle name="Normal 12 2 3 2 5 2" xfId="30152"/>
    <cellStyle name="Normal 12 2 3 2 6" xfId="30153"/>
    <cellStyle name="Normal 12 2 3 3" xfId="30154"/>
    <cellStyle name="Normal 12 2 3 3 2" xfId="30155"/>
    <cellStyle name="Normal 12 2 3 3 2 2" xfId="30156"/>
    <cellStyle name="Normal 12 2 3 3 2 2 2" xfId="30157"/>
    <cellStyle name="Normal 12 2 3 3 2 2 2 2" xfId="30158"/>
    <cellStyle name="Normal 12 2 3 3 2 2 3" xfId="30159"/>
    <cellStyle name="Normal 12 2 3 3 2 3" xfId="30160"/>
    <cellStyle name="Normal 12 2 3 3 2 3 2" xfId="30161"/>
    <cellStyle name="Normal 12 2 3 3 2 4" xfId="30162"/>
    <cellStyle name="Normal 12 2 3 3 3" xfId="30163"/>
    <cellStyle name="Normal 12 2 3 3 3 2" xfId="30164"/>
    <cellStyle name="Normal 12 2 3 3 3 2 2" xfId="30165"/>
    <cellStyle name="Normal 12 2 3 3 3 3" xfId="30166"/>
    <cellStyle name="Normal 12 2 3 3 4" xfId="30167"/>
    <cellStyle name="Normal 12 2 3 3 4 2" xfId="30168"/>
    <cellStyle name="Normal 12 2 3 3 5" xfId="30169"/>
    <cellStyle name="Normal 12 2 3 3 5 2" xfId="30170"/>
    <cellStyle name="Normal 12 2 3 3 6" xfId="30171"/>
    <cellStyle name="Normal 12 2 3 4" xfId="30172"/>
    <cellStyle name="Normal 12 2 3 4 2" xfId="30173"/>
    <cellStyle name="Normal 12 2 3 4 2 2" xfId="30174"/>
    <cellStyle name="Normal 12 2 3 4 2 2 2" xfId="30175"/>
    <cellStyle name="Normal 12 2 3 4 2 3" xfId="30176"/>
    <cellStyle name="Normal 12 2 3 4 3" xfId="30177"/>
    <cellStyle name="Normal 12 2 3 4 3 2" xfId="30178"/>
    <cellStyle name="Normal 12 2 3 4 4" xfId="30179"/>
    <cellStyle name="Normal 12 2 3 5" xfId="30180"/>
    <cellStyle name="Normal 12 2 3 5 2" xfId="30181"/>
    <cellStyle name="Normal 12 2 3 5 2 2" xfId="30182"/>
    <cellStyle name="Normal 12 2 3 5 3" xfId="30183"/>
    <cellStyle name="Normal 12 2 3 6" xfId="30184"/>
    <cellStyle name="Normal 12 2 3 6 2" xfId="30185"/>
    <cellStyle name="Normal 12 2 3 7" xfId="30186"/>
    <cellStyle name="Normal 12 2 3 7 2" xfId="30187"/>
    <cellStyle name="Normal 12 2 3 8" xfId="30188"/>
    <cellStyle name="Normal 12 2 3 8 2" xfId="30189"/>
    <cellStyle name="Normal 12 2 3 9" xfId="30190"/>
    <cellStyle name="Normal 12 2 3 9 2" xfId="30191"/>
    <cellStyle name="Normal 12 2 4" xfId="30192"/>
    <cellStyle name="Normal 12 2 4 2" xfId="30193"/>
    <cellStyle name="Normal 12 2 4 2 2" xfId="30194"/>
    <cellStyle name="Normal 12 2 4 2 2 2" xfId="30195"/>
    <cellStyle name="Normal 12 2 4 2 2 2 2" xfId="30196"/>
    <cellStyle name="Normal 12 2 4 2 2 3" xfId="30197"/>
    <cellStyle name="Normal 12 2 4 2 3" xfId="30198"/>
    <cellStyle name="Normal 12 2 4 2 3 2" xfId="30199"/>
    <cellStyle name="Normal 12 2 4 2 4" xfId="30200"/>
    <cellStyle name="Normal 12 2 4 3" xfId="30201"/>
    <cellStyle name="Normal 12 2 4 3 2" xfId="30202"/>
    <cellStyle name="Normal 12 2 4 3 2 2" xfId="30203"/>
    <cellStyle name="Normal 12 2 4 3 3" xfId="30204"/>
    <cellStyle name="Normal 12 2 4 4" xfId="30205"/>
    <cellStyle name="Normal 12 2 4 4 2" xfId="30206"/>
    <cellStyle name="Normal 12 2 4 5" xfId="30207"/>
    <cellStyle name="Normal 12 2 4 5 2" xfId="30208"/>
    <cellStyle name="Normal 12 2 4 6" xfId="30209"/>
    <cellStyle name="Normal 12 2 5" xfId="30210"/>
    <cellStyle name="Normal 12 2 5 2" xfId="30211"/>
    <cellStyle name="Normal 12 2 5 2 2" xfId="30212"/>
    <cellStyle name="Normal 12 2 5 2 2 2" xfId="30213"/>
    <cellStyle name="Normal 12 2 5 2 2 2 2" xfId="30214"/>
    <cellStyle name="Normal 12 2 5 2 2 3" xfId="30215"/>
    <cellStyle name="Normal 12 2 5 2 3" xfId="30216"/>
    <cellStyle name="Normal 12 2 5 2 3 2" xfId="30217"/>
    <cellStyle name="Normal 12 2 5 2 4" xfId="30218"/>
    <cellStyle name="Normal 12 2 5 3" xfId="30219"/>
    <cellStyle name="Normal 12 2 5 3 2" xfId="30220"/>
    <cellStyle name="Normal 12 2 5 3 2 2" xfId="30221"/>
    <cellStyle name="Normal 12 2 5 3 3" xfId="30222"/>
    <cellStyle name="Normal 12 2 5 4" xfId="30223"/>
    <cellStyle name="Normal 12 2 5 4 2" xfId="30224"/>
    <cellStyle name="Normal 12 2 5 5" xfId="30225"/>
    <cellStyle name="Normal 12 2 5 5 2" xfId="30226"/>
    <cellStyle name="Normal 12 2 5 6" xfId="30227"/>
    <cellStyle name="Normal 12 2 6" xfId="30228"/>
    <cellStyle name="Normal 12 2 6 2" xfId="30229"/>
    <cellStyle name="Normal 12 2 6 2 2" xfId="30230"/>
    <cellStyle name="Normal 12 2 6 2 2 2" xfId="30231"/>
    <cellStyle name="Normal 12 2 6 2 2 2 2" xfId="30232"/>
    <cellStyle name="Normal 12 2 6 2 2 3" xfId="30233"/>
    <cellStyle name="Normal 12 2 6 2 3" xfId="30234"/>
    <cellStyle name="Normal 12 2 6 2 3 2" xfId="30235"/>
    <cellStyle name="Normal 12 2 6 2 4" xfId="30236"/>
    <cellStyle name="Normal 12 2 6 3" xfId="30237"/>
    <cellStyle name="Normal 12 2 6 3 2" xfId="30238"/>
    <cellStyle name="Normal 12 2 6 3 2 2" xfId="30239"/>
    <cellStyle name="Normal 12 2 6 3 3" xfId="30240"/>
    <cellStyle name="Normal 12 2 6 4" xfId="30241"/>
    <cellStyle name="Normal 12 2 6 4 2" xfId="30242"/>
    <cellStyle name="Normal 12 2 6 5" xfId="30243"/>
    <cellStyle name="Normal 12 2 6 5 2" xfId="30244"/>
    <cellStyle name="Normal 12 2 6 6" xfId="30245"/>
    <cellStyle name="Normal 12 2 7" xfId="30246"/>
    <cellStyle name="Normal 12 2 7 2" xfId="30247"/>
    <cellStyle name="Normal 12 2 7 2 2" xfId="30248"/>
    <cellStyle name="Normal 12 2 7 2 2 2" xfId="30249"/>
    <cellStyle name="Normal 12 2 7 2 2 2 2" xfId="30250"/>
    <cellStyle name="Normal 12 2 7 2 2 3" xfId="30251"/>
    <cellStyle name="Normal 12 2 7 2 3" xfId="30252"/>
    <cellStyle name="Normal 12 2 7 2 3 2" xfId="30253"/>
    <cellStyle name="Normal 12 2 7 2 4" xfId="30254"/>
    <cellStyle name="Normal 12 2 7 3" xfId="30255"/>
    <cellStyle name="Normal 12 2 7 3 2" xfId="30256"/>
    <cellStyle name="Normal 12 2 7 3 2 2" xfId="30257"/>
    <cellStyle name="Normal 12 2 7 3 3" xfId="30258"/>
    <cellStyle name="Normal 12 2 7 4" xfId="30259"/>
    <cellStyle name="Normal 12 2 7 4 2" xfId="30260"/>
    <cellStyle name="Normal 12 2 7 5" xfId="30261"/>
    <cellStyle name="Normal 12 2 7 5 2" xfId="30262"/>
    <cellStyle name="Normal 12 2 7 6" xfId="30263"/>
    <cellStyle name="Normal 12 2 8" xfId="30264"/>
    <cellStyle name="Normal 12 2 8 2" xfId="30265"/>
    <cellStyle name="Normal 12 2 8 2 2" xfId="30266"/>
    <cellStyle name="Normal 12 2 8 2 2 2" xfId="30267"/>
    <cellStyle name="Normal 12 2 8 2 3" xfId="30268"/>
    <cellStyle name="Normal 12 2 8 3" xfId="30269"/>
    <cellStyle name="Normal 12 2 8 3 2" xfId="30270"/>
    <cellStyle name="Normal 12 2 8 4" xfId="30271"/>
    <cellStyle name="Normal 12 2 9" xfId="30272"/>
    <cellStyle name="Normal 12 2 9 2" xfId="30273"/>
    <cellStyle name="Normal 12 2 9 2 2" xfId="30274"/>
    <cellStyle name="Normal 12 2 9 3" xfId="30275"/>
    <cellStyle name="Normal 12 3" xfId="30276"/>
    <cellStyle name="Normal 12 3 10" xfId="30277"/>
    <cellStyle name="Normal 12 3 10 2" xfId="30278"/>
    <cellStyle name="Normal 12 3 11" xfId="30279"/>
    <cellStyle name="Normal 12 3 11 2" xfId="30280"/>
    <cellStyle name="Normal 12 3 12" xfId="30281"/>
    <cellStyle name="Normal 12 3 12 2" xfId="30282"/>
    <cellStyle name="Normal 12 3 13" xfId="30283"/>
    <cellStyle name="Normal 12 3 14" xfId="30284"/>
    <cellStyle name="Normal 12 3 2" xfId="30285"/>
    <cellStyle name="Normal 12 3 2 10" xfId="30286"/>
    <cellStyle name="Normal 12 3 2 11" xfId="30287"/>
    <cellStyle name="Normal 12 3 2 2" xfId="30288"/>
    <cellStyle name="Normal 12 3 2 2 2" xfId="30289"/>
    <cellStyle name="Normal 12 3 2 2 2 2" xfId="30290"/>
    <cellStyle name="Normal 12 3 2 2 2 2 2" xfId="30291"/>
    <cellStyle name="Normal 12 3 2 2 2 2 2 2" xfId="30292"/>
    <cellStyle name="Normal 12 3 2 2 2 2 3" xfId="30293"/>
    <cellStyle name="Normal 12 3 2 2 2 3" xfId="30294"/>
    <cellStyle name="Normal 12 3 2 2 2 3 2" xfId="30295"/>
    <cellStyle name="Normal 12 3 2 2 2 4" xfId="30296"/>
    <cellStyle name="Normal 12 3 2 2 3" xfId="30297"/>
    <cellStyle name="Normal 12 3 2 2 3 2" xfId="30298"/>
    <cellStyle name="Normal 12 3 2 2 3 2 2" xfId="30299"/>
    <cellStyle name="Normal 12 3 2 2 3 3" xfId="30300"/>
    <cellStyle name="Normal 12 3 2 2 4" xfId="30301"/>
    <cellStyle name="Normal 12 3 2 2 4 2" xfId="30302"/>
    <cellStyle name="Normal 12 3 2 2 5" xfId="30303"/>
    <cellStyle name="Normal 12 3 2 2 5 2" xfId="30304"/>
    <cellStyle name="Normal 12 3 2 2 6" xfId="30305"/>
    <cellStyle name="Normal 12 3 2 2 6 2" xfId="30306"/>
    <cellStyle name="Normal 12 3 2 2 7" xfId="30307"/>
    <cellStyle name="Normal 12 3 2 2 7 2" xfId="30308"/>
    <cellStyle name="Normal 12 3 2 2 8" xfId="30309"/>
    <cellStyle name="Normal 12 3 2 2 9" xfId="30310"/>
    <cellStyle name="Normal 12 3 2 3" xfId="30311"/>
    <cellStyle name="Normal 12 3 2 3 2" xfId="30312"/>
    <cellStyle name="Normal 12 3 2 3 2 2" xfId="30313"/>
    <cellStyle name="Normal 12 3 2 3 2 2 2" xfId="30314"/>
    <cellStyle name="Normal 12 3 2 3 2 2 2 2" xfId="30315"/>
    <cellStyle name="Normal 12 3 2 3 2 2 3" xfId="30316"/>
    <cellStyle name="Normal 12 3 2 3 2 3" xfId="30317"/>
    <cellStyle name="Normal 12 3 2 3 2 3 2" xfId="30318"/>
    <cellStyle name="Normal 12 3 2 3 2 4" xfId="30319"/>
    <cellStyle name="Normal 12 3 2 3 3" xfId="30320"/>
    <cellStyle name="Normal 12 3 2 3 3 2" xfId="30321"/>
    <cellStyle name="Normal 12 3 2 3 3 2 2" xfId="30322"/>
    <cellStyle name="Normal 12 3 2 3 3 3" xfId="30323"/>
    <cellStyle name="Normal 12 3 2 3 4" xfId="30324"/>
    <cellStyle name="Normal 12 3 2 3 4 2" xfId="30325"/>
    <cellStyle name="Normal 12 3 2 3 5" xfId="30326"/>
    <cellStyle name="Normal 12 3 2 3 5 2" xfId="30327"/>
    <cellStyle name="Normal 12 3 2 3 6" xfId="30328"/>
    <cellStyle name="Normal 12 3 2 4" xfId="30329"/>
    <cellStyle name="Normal 12 3 2 4 2" xfId="30330"/>
    <cellStyle name="Normal 12 3 2 4 2 2" xfId="30331"/>
    <cellStyle name="Normal 12 3 2 4 2 2 2" xfId="30332"/>
    <cellStyle name="Normal 12 3 2 4 2 3" xfId="30333"/>
    <cellStyle name="Normal 12 3 2 4 3" xfId="30334"/>
    <cellStyle name="Normal 12 3 2 4 3 2" xfId="30335"/>
    <cellStyle name="Normal 12 3 2 4 4" xfId="30336"/>
    <cellStyle name="Normal 12 3 2 5" xfId="30337"/>
    <cellStyle name="Normal 12 3 2 5 2" xfId="30338"/>
    <cellStyle name="Normal 12 3 2 5 2 2" xfId="30339"/>
    <cellStyle name="Normal 12 3 2 5 3" xfId="30340"/>
    <cellStyle name="Normal 12 3 2 6" xfId="30341"/>
    <cellStyle name="Normal 12 3 2 6 2" xfId="30342"/>
    <cellStyle name="Normal 12 3 2 7" xfId="30343"/>
    <cellStyle name="Normal 12 3 2 7 2" xfId="30344"/>
    <cellStyle name="Normal 12 3 2 8" xfId="30345"/>
    <cellStyle name="Normal 12 3 2 8 2" xfId="30346"/>
    <cellStyle name="Normal 12 3 2 9" xfId="30347"/>
    <cellStyle name="Normal 12 3 2 9 2" xfId="30348"/>
    <cellStyle name="Normal 12 3 3" xfId="30349"/>
    <cellStyle name="Normal 12 3 3 10" xfId="30350"/>
    <cellStyle name="Normal 12 3 3 11" xfId="30351"/>
    <cellStyle name="Normal 12 3 3 2" xfId="30352"/>
    <cellStyle name="Normal 12 3 3 2 2" xfId="30353"/>
    <cellStyle name="Normal 12 3 3 2 2 2" xfId="30354"/>
    <cellStyle name="Normal 12 3 3 2 2 2 2" xfId="30355"/>
    <cellStyle name="Normal 12 3 3 2 2 2 2 2" xfId="30356"/>
    <cellStyle name="Normal 12 3 3 2 2 2 3" xfId="30357"/>
    <cellStyle name="Normal 12 3 3 2 2 3" xfId="30358"/>
    <cellStyle name="Normal 12 3 3 2 2 3 2" xfId="30359"/>
    <cellStyle name="Normal 12 3 3 2 2 4" xfId="30360"/>
    <cellStyle name="Normal 12 3 3 2 3" xfId="30361"/>
    <cellStyle name="Normal 12 3 3 2 3 2" xfId="30362"/>
    <cellStyle name="Normal 12 3 3 2 3 2 2" xfId="30363"/>
    <cellStyle name="Normal 12 3 3 2 3 3" xfId="30364"/>
    <cellStyle name="Normal 12 3 3 2 4" xfId="30365"/>
    <cellStyle name="Normal 12 3 3 2 4 2" xfId="30366"/>
    <cellStyle name="Normal 12 3 3 2 5" xfId="30367"/>
    <cellStyle name="Normal 12 3 3 2 5 2" xfId="30368"/>
    <cellStyle name="Normal 12 3 3 2 6" xfId="30369"/>
    <cellStyle name="Normal 12 3 3 3" xfId="30370"/>
    <cellStyle name="Normal 12 3 3 3 2" xfId="30371"/>
    <cellStyle name="Normal 12 3 3 3 2 2" xfId="30372"/>
    <cellStyle name="Normal 12 3 3 3 2 2 2" xfId="30373"/>
    <cellStyle name="Normal 12 3 3 3 2 2 2 2" xfId="30374"/>
    <cellStyle name="Normal 12 3 3 3 2 2 3" xfId="30375"/>
    <cellStyle name="Normal 12 3 3 3 2 3" xfId="30376"/>
    <cellStyle name="Normal 12 3 3 3 2 3 2" xfId="30377"/>
    <cellStyle name="Normal 12 3 3 3 2 4" xfId="30378"/>
    <cellStyle name="Normal 12 3 3 3 3" xfId="30379"/>
    <cellStyle name="Normal 12 3 3 3 3 2" xfId="30380"/>
    <cellStyle name="Normal 12 3 3 3 3 2 2" xfId="30381"/>
    <cellStyle name="Normal 12 3 3 3 3 3" xfId="30382"/>
    <cellStyle name="Normal 12 3 3 3 4" xfId="30383"/>
    <cellStyle name="Normal 12 3 3 3 4 2" xfId="30384"/>
    <cellStyle name="Normal 12 3 3 3 5" xfId="30385"/>
    <cellStyle name="Normal 12 3 3 3 5 2" xfId="30386"/>
    <cellStyle name="Normal 12 3 3 3 6" xfId="30387"/>
    <cellStyle name="Normal 12 3 3 4" xfId="30388"/>
    <cellStyle name="Normal 12 3 3 4 2" xfId="30389"/>
    <cellStyle name="Normal 12 3 3 4 2 2" xfId="30390"/>
    <cellStyle name="Normal 12 3 3 4 2 2 2" xfId="30391"/>
    <cellStyle name="Normal 12 3 3 4 2 3" xfId="30392"/>
    <cellStyle name="Normal 12 3 3 4 3" xfId="30393"/>
    <cellStyle name="Normal 12 3 3 4 3 2" xfId="30394"/>
    <cellStyle name="Normal 12 3 3 4 4" xfId="30395"/>
    <cellStyle name="Normal 12 3 3 5" xfId="30396"/>
    <cellStyle name="Normal 12 3 3 5 2" xfId="30397"/>
    <cellStyle name="Normal 12 3 3 5 2 2" xfId="30398"/>
    <cellStyle name="Normal 12 3 3 5 3" xfId="30399"/>
    <cellStyle name="Normal 12 3 3 6" xfId="30400"/>
    <cellStyle name="Normal 12 3 3 6 2" xfId="30401"/>
    <cellStyle name="Normal 12 3 3 7" xfId="30402"/>
    <cellStyle name="Normal 12 3 3 7 2" xfId="30403"/>
    <cellStyle name="Normal 12 3 3 8" xfId="30404"/>
    <cellStyle name="Normal 12 3 3 8 2" xfId="30405"/>
    <cellStyle name="Normal 12 3 3 9" xfId="30406"/>
    <cellStyle name="Normal 12 3 3 9 2" xfId="30407"/>
    <cellStyle name="Normal 12 3 4" xfId="30408"/>
    <cellStyle name="Normal 12 3 4 2" xfId="30409"/>
    <cellStyle name="Normal 12 3 4 2 2" xfId="30410"/>
    <cellStyle name="Normal 12 3 4 2 2 2" xfId="30411"/>
    <cellStyle name="Normal 12 3 4 2 2 2 2" xfId="30412"/>
    <cellStyle name="Normal 12 3 4 2 2 3" xfId="30413"/>
    <cellStyle name="Normal 12 3 4 2 3" xfId="30414"/>
    <cellStyle name="Normal 12 3 4 2 3 2" xfId="30415"/>
    <cellStyle name="Normal 12 3 4 2 4" xfId="30416"/>
    <cellStyle name="Normal 12 3 4 3" xfId="30417"/>
    <cellStyle name="Normal 12 3 4 3 2" xfId="30418"/>
    <cellStyle name="Normal 12 3 4 3 2 2" xfId="30419"/>
    <cellStyle name="Normal 12 3 4 3 3" xfId="30420"/>
    <cellStyle name="Normal 12 3 4 4" xfId="30421"/>
    <cellStyle name="Normal 12 3 4 4 2" xfId="30422"/>
    <cellStyle name="Normal 12 3 4 5" xfId="30423"/>
    <cellStyle name="Normal 12 3 4 5 2" xfId="30424"/>
    <cellStyle name="Normal 12 3 4 6" xfId="30425"/>
    <cellStyle name="Normal 12 3 5" xfId="30426"/>
    <cellStyle name="Normal 12 3 5 2" xfId="30427"/>
    <cellStyle name="Normal 12 3 5 2 2" xfId="30428"/>
    <cellStyle name="Normal 12 3 5 2 2 2" xfId="30429"/>
    <cellStyle name="Normal 12 3 5 2 2 2 2" xfId="30430"/>
    <cellStyle name="Normal 12 3 5 2 2 3" xfId="30431"/>
    <cellStyle name="Normal 12 3 5 2 3" xfId="30432"/>
    <cellStyle name="Normal 12 3 5 2 3 2" xfId="30433"/>
    <cellStyle name="Normal 12 3 5 2 4" xfId="30434"/>
    <cellStyle name="Normal 12 3 5 3" xfId="30435"/>
    <cellStyle name="Normal 12 3 5 3 2" xfId="30436"/>
    <cellStyle name="Normal 12 3 5 3 2 2" xfId="30437"/>
    <cellStyle name="Normal 12 3 5 3 3" xfId="30438"/>
    <cellStyle name="Normal 12 3 5 4" xfId="30439"/>
    <cellStyle name="Normal 12 3 5 4 2" xfId="30440"/>
    <cellStyle name="Normal 12 3 5 5" xfId="30441"/>
    <cellStyle name="Normal 12 3 5 5 2" xfId="30442"/>
    <cellStyle name="Normal 12 3 5 6" xfId="30443"/>
    <cellStyle name="Normal 12 3 6" xfId="30444"/>
    <cellStyle name="Normal 12 3 6 2" xfId="30445"/>
    <cellStyle name="Normal 12 3 6 2 2" xfId="30446"/>
    <cellStyle name="Normal 12 3 6 2 2 2" xfId="30447"/>
    <cellStyle name="Normal 12 3 6 2 2 2 2" xfId="30448"/>
    <cellStyle name="Normal 12 3 6 2 2 3" xfId="30449"/>
    <cellStyle name="Normal 12 3 6 2 3" xfId="30450"/>
    <cellStyle name="Normal 12 3 6 2 3 2" xfId="30451"/>
    <cellStyle name="Normal 12 3 6 2 4" xfId="30452"/>
    <cellStyle name="Normal 12 3 6 3" xfId="30453"/>
    <cellStyle name="Normal 12 3 6 3 2" xfId="30454"/>
    <cellStyle name="Normal 12 3 6 3 2 2" xfId="30455"/>
    <cellStyle name="Normal 12 3 6 3 3" xfId="30456"/>
    <cellStyle name="Normal 12 3 6 4" xfId="30457"/>
    <cellStyle name="Normal 12 3 6 4 2" xfId="30458"/>
    <cellStyle name="Normal 12 3 6 5" xfId="30459"/>
    <cellStyle name="Normal 12 3 6 5 2" xfId="30460"/>
    <cellStyle name="Normal 12 3 6 6" xfId="30461"/>
    <cellStyle name="Normal 12 3 7" xfId="30462"/>
    <cellStyle name="Normal 12 3 7 2" xfId="30463"/>
    <cellStyle name="Normal 12 3 7 2 2" xfId="30464"/>
    <cellStyle name="Normal 12 3 7 2 2 2" xfId="30465"/>
    <cellStyle name="Normal 12 3 7 2 3" xfId="30466"/>
    <cellStyle name="Normal 12 3 7 3" xfId="30467"/>
    <cellStyle name="Normal 12 3 7 3 2" xfId="30468"/>
    <cellStyle name="Normal 12 3 7 4" xfId="30469"/>
    <cellStyle name="Normal 12 3 8" xfId="30470"/>
    <cellStyle name="Normal 12 3 8 2" xfId="30471"/>
    <cellStyle name="Normal 12 3 8 2 2" xfId="30472"/>
    <cellStyle name="Normal 12 3 8 3" xfId="30473"/>
    <cellStyle name="Normal 12 3 9" xfId="30474"/>
    <cellStyle name="Normal 12 3 9 2" xfId="30475"/>
    <cellStyle name="Normal 12 4" xfId="30476"/>
    <cellStyle name="Normal 12 4 10" xfId="30477"/>
    <cellStyle name="Normal 12 4 11" xfId="30478"/>
    <cellStyle name="Normal 12 4 2" xfId="30479"/>
    <cellStyle name="Normal 12 4 2 2" xfId="30480"/>
    <cellStyle name="Normal 12 4 2 2 2" xfId="30481"/>
    <cellStyle name="Normal 12 4 2 2 2 2" xfId="30482"/>
    <cellStyle name="Normal 12 4 2 2 2 2 2" xfId="30483"/>
    <cellStyle name="Normal 12 4 2 2 2 3" xfId="30484"/>
    <cellStyle name="Normal 12 4 2 2 3" xfId="30485"/>
    <cellStyle name="Normal 12 4 2 2 3 2" xfId="30486"/>
    <cellStyle name="Normal 12 4 2 2 4" xfId="30487"/>
    <cellStyle name="Normal 12 4 2 3" xfId="30488"/>
    <cellStyle name="Normal 12 4 2 3 2" xfId="30489"/>
    <cellStyle name="Normal 12 4 2 3 2 2" xfId="30490"/>
    <cellStyle name="Normal 12 4 2 3 3" xfId="30491"/>
    <cellStyle name="Normal 12 4 2 4" xfId="30492"/>
    <cellStyle name="Normal 12 4 2 4 2" xfId="30493"/>
    <cellStyle name="Normal 12 4 2 5" xfId="30494"/>
    <cellStyle name="Normal 12 4 2 5 2" xfId="30495"/>
    <cellStyle name="Normal 12 4 2 6" xfId="30496"/>
    <cellStyle name="Normal 12 4 2 6 2" xfId="30497"/>
    <cellStyle name="Normal 12 4 2 7" xfId="30498"/>
    <cellStyle name="Normal 12 4 2 7 2" xfId="30499"/>
    <cellStyle name="Normal 12 4 2 8" xfId="30500"/>
    <cellStyle name="Normal 12 4 2 9" xfId="30501"/>
    <cellStyle name="Normal 12 4 3" xfId="30502"/>
    <cellStyle name="Normal 12 4 3 2" xfId="30503"/>
    <cellStyle name="Normal 12 4 3 2 2" xfId="30504"/>
    <cellStyle name="Normal 12 4 3 2 2 2" xfId="30505"/>
    <cellStyle name="Normal 12 4 3 2 2 2 2" xfId="30506"/>
    <cellStyle name="Normal 12 4 3 2 2 3" xfId="30507"/>
    <cellStyle name="Normal 12 4 3 2 3" xfId="30508"/>
    <cellStyle name="Normal 12 4 3 2 3 2" xfId="30509"/>
    <cellStyle name="Normal 12 4 3 2 4" xfId="30510"/>
    <cellStyle name="Normal 12 4 3 3" xfId="30511"/>
    <cellStyle name="Normal 12 4 3 3 2" xfId="30512"/>
    <cellStyle name="Normal 12 4 3 3 2 2" xfId="30513"/>
    <cellStyle name="Normal 12 4 3 3 3" xfId="30514"/>
    <cellStyle name="Normal 12 4 3 4" xfId="30515"/>
    <cellStyle name="Normal 12 4 3 4 2" xfId="30516"/>
    <cellStyle name="Normal 12 4 3 5" xfId="30517"/>
    <cellStyle name="Normal 12 4 3 5 2" xfId="30518"/>
    <cellStyle name="Normal 12 4 3 6" xfId="30519"/>
    <cellStyle name="Normal 12 4 4" xfId="30520"/>
    <cellStyle name="Normal 12 4 4 2" xfId="30521"/>
    <cellStyle name="Normal 12 4 4 2 2" xfId="30522"/>
    <cellStyle name="Normal 12 4 4 2 2 2" xfId="30523"/>
    <cellStyle name="Normal 12 4 4 2 3" xfId="30524"/>
    <cellStyle name="Normal 12 4 4 3" xfId="30525"/>
    <cellStyle name="Normal 12 4 4 3 2" xfId="30526"/>
    <cellStyle name="Normal 12 4 4 4" xfId="30527"/>
    <cellStyle name="Normal 12 4 5" xfId="30528"/>
    <cellStyle name="Normal 12 4 5 2" xfId="30529"/>
    <cellStyle name="Normal 12 4 5 2 2" xfId="30530"/>
    <cellStyle name="Normal 12 4 5 3" xfId="30531"/>
    <cellStyle name="Normal 12 4 6" xfId="30532"/>
    <cellStyle name="Normal 12 4 6 2" xfId="30533"/>
    <cellStyle name="Normal 12 4 7" xfId="30534"/>
    <cellStyle name="Normal 12 4 7 2" xfId="30535"/>
    <cellStyle name="Normal 12 4 8" xfId="30536"/>
    <cellStyle name="Normal 12 4 8 2" xfId="30537"/>
    <cellStyle name="Normal 12 4 9" xfId="30538"/>
    <cellStyle name="Normal 12 4 9 2" xfId="30539"/>
    <cellStyle name="Normal 12 5" xfId="30540"/>
    <cellStyle name="Normal 12 5 10" xfId="30541"/>
    <cellStyle name="Normal 12 5 11" xfId="30542"/>
    <cellStyle name="Normal 12 5 2" xfId="30543"/>
    <cellStyle name="Normal 12 5 2 2" xfId="30544"/>
    <cellStyle name="Normal 12 5 2 2 2" xfId="30545"/>
    <cellStyle name="Normal 12 5 2 2 2 2" xfId="30546"/>
    <cellStyle name="Normal 12 5 2 2 2 2 2" xfId="30547"/>
    <cellStyle name="Normal 12 5 2 2 2 3" xfId="30548"/>
    <cellStyle name="Normal 12 5 2 2 3" xfId="30549"/>
    <cellStyle name="Normal 12 5 2 2 3 2" xfId="30550"/>
    <cellStyle name="Normal 12 5 2 2 4" xfId="30551"/>
    <cellStyle name="Normal 12 5 2 3" xfId="30552"/>
    <cellStyle name="Normal 12 5 2 3 2" xfId="30553"/>
    <cellStyle name="Normal 12 5 2 3 2 2" xfId="30554"/>
    <cellStyle name="Normal 12 5 2 3 3" xfId="30555"/>
    <cellStyle name="Normal 12 5 2 4" xfId="30556"/>
    <cellStyle name="Normal 12 5 2 4 2" xfId="30557"/>
    <cellStyle name="Normal 12 5 2 5" xfId="30558"/>
    <cellStyle name="Normal 12 5 2 5 2" xfId="30559"/>
    <cellStyle name="Normal 12 5 2 6" xfId="30560"/>
    <cellStyle name="Normal 12 5 3" xfId="30561"/>
    <cellStyle name="Normal 12 5 3 2" xfId="30562"/>
    <cellStyle name="Normal 12 5 3 2 2" xfId="30563"/>
    <cellStyle name="Normal 12 5 3 2 2 2" xfId="30564"/>
    <cellStyle name="Normal 12 5 3 2 2 2 2" xfId="30565"/>
    <cellStyle name="Normal 12 5 3 2 2 3" xfId="30566"/>
    <cellStyle name="Normal 12 5 3 2 3" xfId="30567"/>
    <cellStyle name="Normal 12 5 3 2 3 2" xfId="30568"/>
    <cellStyle name="Normal 12 5 3 2 4" xfId="30569"/>
    <cellStyle name="Normal 12 5 3 3" xfId="30570"/>
    <cellStyle name="Normal 12 5 3 3 2" xfId="30571"/>
    <cellStyle name="Normal 12 5 3 3 2 2" xfId="30572"/>
    <cellStyle name="Normal 12 5 3 3 3" xfId="30573"/>
    <cellStyle name="Normal 12 5 3 4" xfId="30574"/>
    <cellStyle name="Normal 12 5 3 4 2" xfId="30575"/>
    <cellStyle name="Normal 12 5 3 5" xfId="30576"/>
    <cellStyle name="Normal 12 5 3 5 2" xfId="30577"/>
    <cellStyle name="Normal 12 5 3 6" xfId="30578"/>
    <cellStyle name="Normal 12 5 4" xfId="30579"/>
    <cellStyle name="Normal 12 5 4 2" xfId="30580"/>
    <cellStyle name="Normal 12 5 4 2 2" xfId="30581"/>
    <cellStyle name="Normal 12 5 4 2 2 2" xfId="30582"/>
    <cellStyle name="Normal 12 5 4 2 3" xfId="30583"/>
    <cellStyle name="Normal 12 5 4 3" xfId="30584"/>
    <cellStyle name="Normal 12 5 4 3 2" xfId="30585"/>
    <cellStyle name="Normal 12 5 4 4" xfId="30586"/>
    <cellStyle name="Normal 12 5 5" xfId="30587"/>
    <cellStyle name="Normal 12 5 5 2" xfId="30588"/>
    <cellStyle name="Normal 12 5 5 2 2" xfId="30589"/>
    <cellStyle name="Normal 12 5 5 3" xfId="30590"/>
    <cellStyle name="Normal 12 5 6" xfId="30591"/>
    <cellStyle name="Normal 12 5 6 2" xfId="30592"/>
    <cellStyle name="Normal 12 5 7" xfId="30593"/>
    <cellStyle name="Normal 12 5 7 2" xfId="30594"/>
    <cellStyle name="Normal 12 5 8" xfId="30595"/>
    <cellStyle name="Normal 12 5 8 2" xfId="30596"/>
    <cellStyle name="Normal 12 5 9" xfId="30597"/>
    <cellStyle name="Normal 12 5 9 2" xfId="30598"/>
    <cellStyle name="Normal 12 6" xfId="30599"/>
    <cellStyle name="Normal 12 6 2" xfId="30600"/>
    <cellStyle name="Normal 12 6 2 2" xfId="30601"/>
    <cellStyle name="Normal 12 6 2 2 2" xfId="30602"/>
    <cellStyle name="Normal 12 6 2 2 2 2" xfId="30603"/>
    <cellStyle name="Normal 12 6 2 2 3" xfId="30604"/>
    <cellStyle name="Normal 12 6 2 3" xfId="30605"/>
    <cellStyle name="Normal 12 6 2 3 2" xfId="30606"/>
    <cellStyle name="Normal 12 6 2 4" xfId="30607"/>
    <cellStyle name="Normal 12 6 3" xfId="30608"/>
    <cellStyle name="Normal 12 6 3 2" xfId="30609"/>
    <cellStyle name="Normal 12 6 3 2 2" xfId="30610"/>
    <cellStyle name="Normal 12 6 3 3" xfId="30611"/>
    <cellStyle name="Normal 12 6 4" xfId="30612"/>
    <cellStyle name="Normal 12 6 4 2" xfId="30613"/>
    <cellStyle name="Normal 12 6 5" xfId="30614"/>
    <cellStyle name="Normal 12 6 5 2" xfId="30615"/>
    <cellStyle name="Normal 12 6 6" xfId="30616"/>
    <cellStyle name="Normal 12 7" xfId="30617"/>
    <cellStyle name="Normal 12 7 2" xfId="30618"/>
    <cellStyle name="Normal 12 7 2 2" xfId="30619"/>
    <cellStyle name="Normal 12 7 2 2 2" xfId="30620"/>
    <cellStyle name="Normal 12 7 2 2 2 2" xfId="30621"/>
    <cellStyle name="Normal 12 7 2 2 3" xfId="30622"/>
    <cellStyle name="Normal 12 7 2 3" xfId="30623"/>
    <cellStyle name="Normal 12 7 2 3 2" xfId="30624"/>
    <cellStyle name="Normal 12 7 2 4" xfId="30625"/>
    <cellStyle name="Normal 12 7 3" xfId="30626"/>
    <cellStyle name="Normal 12 7 3 2" xfId="30627"/>
    <cellStyle name="Normal 12 7 3 2 2" xfId="30628"/>
    <cellStyle name="Normal 12 7 3 3" xfId="30629"/>
    <cellStyle name="Normal 12 7 4" xfId="30630"/>
    <cellStyle name="Normal 12 7 4 2" xfId="30631"/>
    <cellStyle name="Normal 12 7 5" xfId="30632"/>
    <cellStyle name="Normal 12 7 5 2" xfId="30633"/>
    <cellStyle name="Normal 12 7 6" xfId="30634"/>
    <cellStyle name="Normal 12 8" xfId="30635"/>
    <cellStyle name="Normal 12 8 2" xfId="30636"/>
    <cellStyle name="Normal 12 8 2 2" xfId="30637"/>
    <cellStyle name="Normal 12 8 2 2 2" xfId="30638"/>
    <cellStyle name="Normal 12 8 2 2 2 2" xfId="30639"/>
    <cellStyle name="Normal 12 8 2 2 3" xfId="30640"/>
    <cellStyle name="Normal 12 8 2 3" xfId="30641"/>
    <cellStyle name="Normal 12 8 2 3 2" xfId="30642"/>
    <cellStyle name="Normal 12 8 2 4" xfId="30643"/>
    <cellStyle name="Normal 12 8 3" xfId="30644"/>
    <cellStyle name="Normal 12 8 3 2" xfId="30645"/>
    <cellStyle name="Normal 12 8 3 2 2" xfId="30646"/>
    <cellStyle name="Normal 12 8 3 3" xfId="30647"/>
    <cellStyle name="Normal 12 8 4" xfId="30648"/>
    <cellStyle name="Normal 12 8 4 2" xfId="30649"/>
    <cellStyle name="Normal 12 8 5" xfId="30650"/>
    <cellStyle name="Normal 12 8 5 2" xfId="30651"/>
    <cellStyle name="Normal 12 8 6" xfId="30652"/>
    <cellStyle name="Normal 12 9" xfId="30653"/>
    <cellStyle name="Normal 12 9 2" xfId="30654"/>
    <cellStyle name="Normal 12 9 2 2" xfId="30655"/>
    <cellStyle name="Normal 12 9 2 2 2" xfId="30656"/>
    <cellStyle name="Normal 12 9 2 3" xfId="30657"/>
    <cellStyle name="Normal 12 9 3" xfId="30658"/>
    <cellStyle name="Normal 12 9 3 2" xfId="30659"/>
    <cellStyle name="Normal 12 9 4" xfId="30660"/>
    <cellStyle name="Normal 13" xfId="111"/>
    <cellStyle name="Normal 13 10" xfId="30661"/>
    <cellStyle name="Normal 13 10 2" xfId="30662"/>
    <cellStyle name="Normal 13 10 2 2" xfId="30663"/>
    <cellStyle name="Normal 13 10 2 2 2" xfId="30664"/>
    <cellStyle name="Normal 13 10 2 3" xfId="30665"/>
    <cellStyle name="Normal 13 10 3" xfId="30666"/>
    <cellStyle name="Normal 13 10 3 2" xfId="30667"/>
    <cellStyle name="Normal 13 10 4" xfId="30668"/>
    <cellStyle name="Normal 13 11" xfId="30669"/>
    <cellStyle name="Normal 13 11 2" xfId="30670"/>
    <cellStyle name="Normal 13 11 2 2" xfId="30671"/>
    <cellStyle name="Normal 13 11 3" xfId="30672"/>
    <cellStyle name="Normal 13 12" xfId="30673"/>
    <cellStyle name="Normal 13 12 2" xfId="30674"/>
    <cellStyle name="Normal 13 13" xfId="30675"/>
    <cellStyle name="Normal 13 13 2" xfId="30676"/>
    <cellStyle name="Normal 13 14" xfId="30677"/>
    <cellStyle name="Normal 13 14 2" xfId="30678"/>
    <cellStyle name="Normal 13 15" xfId="30679"/>
    <cellStyle name="Normal 13 15 2" xfId="30680"/>
    <cellStyle name="Normal 13 16" xfId="30681"/>
    <cellStyle name="Normal 13 17" xfId="30682"/>
    <cellStyle name="Normal 13 18" xfId="477"/>
    <cellStyle name="Normal 13 2" xfId="30683"/>
    <cellStyle name="Normal 13 2 10" xfId="30684"/>
    <cellStyle name="Normal 13 2 10 2" xfId="30685"/>
    <cellStyle name="Normal 13 2 11" xfId="30686"/>
    <cellStyle name="Normal 13 2 11 2" xfId="30687"/>
    <cellStyle name="Normal 13 2 12" xfId="30688"/>
    <cellStyle name="Normal 13 2 12 2" xfId="30689"/>
    <cellStyle name="Normal 13 2 13" xfId="30690"/>
    <cellStyle name="Normal 13 2 14" xfId="30691"/>
    <cellStyle name="Normal 13 2 2" xfId="30692"/>
    <cellStyle name="Normal 13 2 2 2" xfId="30693"/>
    <cellStyle name="Normal 13 2 2 2 2" xfId="30694"/>
    <cellStyle name="Normal 13 2 2 2 2 2" xfId="30695"/>
    <cellStyle name="Normal 13 2 2 2 2 2 2" xfId="30696"/>
    <cellStyle name="Normal 13 2 2 2 2 2 2 2" xfId="30697"/>
    <cellStyle name="Normal 13 2 2 2 2 2 3" xfId="30698"/>
    <cellStyle name="Normal 13 2 2 2 2 3" xfId="30699"/>
    <cellStyle name="Normal 13 2 2 2 2 3 2" xfId="30700"/>
    <cellStyle name="Normal 13 2 2 2 2 4" xfId="30701"/>
    <cellStyle name="Normal 13 2 2 2 3" xfId="30702"/>
    <cellStyle name="Normal 13 2 2 2 3 2" xfId="30703"/>
    <cellStyle name="Normal 13 2 2 2 3 2 2" xfId="30704"/>
    <cellStyle name="Normal 13 2 2 2 3 3" xfId="30705"/>
    <cellStyle name="Normal 13 2 2 2 4" xfId="30706"/>
    <cellStyle name="Normal 13 2 2 2 4 2" xfId="30707"/>
    <cellStyle name="Normal 13 2 2 2 5" xfId="30708"/>
    <cellStyle name="Normal 13 2 2 2 5 2" xfId="30709"/>
    <cellStyle name="Normal 13 2 2 2 6" xfId="30710"/>
    <cellStyle name="Normal 13 2 2 3" xfId="30711"/>
    <cellStyle name="Normal 13 2 2 3 2" xfId="30712"/>
    <cellStyle name="Normal 13 2 2 3 2 2" xfId="30713"/>
    <cellStyle name="Normal 13 2 2 3 2 2 2" xfId="30714"/>
    <cellStyle name="Normal 13 2 2 3 2 2 2 2" xfId="30715"/>
    <cellStyle name="Normal 13 2 2 3 2 2 3" xfId="30716"/>
    <cellStyle name="Normal 13 2 2 3 2 3" xfId="30717"/>
    <cellStyle name="Normal 13 2 2 3 2 3 2" xfId="30718"/>
    <cellStyle name="Normal 13 2 2 3 2 4" xfId="30719"/>
    <cellStyle name="Normal 13 2 2 3 3" xfId="30720"/>
    <cellStyle name="Normal 13 2 2 3 3 2" xfId="30721"/>
    <cellStyle name="Normal 13 2 2 3 3 2 2" xfId="30722"/>
    <cellStyle name="Normal 13 2 2 3 3 3" xfId="30723"/>
    <cellStyle name="Normal 13 2 2 3 4" xfId="30724"/>
    <cellStyle name="Normal 13 2 2 3 4 2" xfId="30725"/>
    <cellStyle name="Normal 13 2 2 3 5" xfId="30726"/>
    <cellStyle name="Normal 13 2 2 3 5 2" xfId="30727"/>
    <cellStyle name="Normal 13 2 2 3 6" xfId="30728"/>
    <cellStyle name="Normal 13 2 2 4" xfId="30729"/>
    <cellStyle name="Normal 13 2 2 4 2" xfId="30730"/>
    <cellStyle name="Normal 13 2 2 4 2 2" xfId="30731"/>
    <cellStyle name="Normal 13 2 2 4 2 2 2" xfId="30732"/>
    <cellStyle name="Normal 13 2 2 4 2 3" xfId="30733"/>
    <cellStyle name="Normal 13 2 2 4 3" xfId="30734"/>
    <cellStyle name="Normal 13 2 2 4 3 2" xfId="30735"/>
    <cellStyle name="Normal 13 2 2 4 4" xfId="30736"/>
    <cellStyle name="Normal 13 2 2 5" xfId="30737"/>
    <cellStyle name="Normal 13 2 2 5 2" xfId="30738"/>
    <cellStyle name="Normal 13 2 2 5 2 2" xfId="30739"/>
    <cellStyle name="Normal 13 2 2 5 3" xfId="30740"/>
    <cellStyle name="Normal 13 2 2 6" xfId="30741"/>
    <cellStyle name="Normal 13 2 2 6 2" xfId="30742"/>
    <cellStyle name="Normal 13 2 2 7" xfId="30743"/>
    <cellStyle name="Normal 13 2 2 7 2" xfId="30744"/>
    <cellStyle name="Normal 13 2 2 8" xfId="30745"/>
    <cellStyle name="Normal 13 2 3" xfId="30746"/>
    <cellStyle name="Normal 13 2 3 2" xfId="30747"/>
    <cellStyle name="Normal 13 2 3 2 2" xfId="30748"/>
    <cellStyle name="Normal 13 2 3 2 2 2" xfId="30749"/>
    <cellStyle name="Normal 13 2 3 2 2 2 2" xfId="30750"/>
    <cellStyle name="Normal 13 2 3 2 2 2 2 2" xfId="30751"/>
    <cellStyle name="Normal 13 2 3 2 2 2 3" xfId="30752"/>
    <cellStyle name="Normal 13 2 3 2 2 3" xfId="30753"/>
    <cellStyle name="Normal 13 2 3 2 2 3 2" xfId="30754"/>
    <cellStyle name="Normal 13 2 3 2 2 4" xfId="30755"/>
    <cellStyle name="Normal 13 2 3 2 3" xfId="30756"/>
    <cellStyle name="Normal 13 2 3 2 3 2" xfId="30757"/>
    <cellStyle name="Normal 13 2 3 2 3 2 2" xfId="30758"/>
    <cellStyle name="Normal 13 2 3 2 3 3" xfId="30759"/>
    <cellStyle name="Normal 13 2 3 2 4" xfId="30760"/>
    <cellStyle name="Normal 13 2 3 2 4 2" xfId="30761"/>
    <cellStyle name="Normal 13 2 3 2 5" xfId="30762"/>
    <cellStyle name="Normal 13 2 3 2 5 2" xfId="30763"/>
    <cellStyle name="Normal 13 2 3 2 6" xfId="30764"/>
    <cellStyle name="Normal 13 2 3 3" xfId="30765"/>
    <cellStyle name="Normal 13 2 3 3 2" xfId="30766"/>
    <cellStyle name="Normal 13 2 3 3 2 2" xfId="30767"/>
    <cellStyle name="Normal 13 2 3 3 2 2 2" xfId="30768"/>
    <cellStyle name="Normal 13 2 3 3 2 2 2 2" xfId="30769"/>
    <cellStyle name="Normal 13 2 3 3 2 2 3" xfId="30770"/>
    <cellStyle name="Normal 13 2 3 3 2 3" xfId="30771"/>
    <cellStyle name="Normal 13 2 3 3 2 3 2" xfId="30772"/>
    <cellStyle name="Normal 13 2 3 3 2 4" xfId="30773"/>
    <cellStyle name="Normal 13 2 3 3 3" xfId="30774"/>
    <cellStyle name="Normal 13 2 3 3 3 2" xfId="30775"/>
    <cellStyle name="Normal 13 2 3 3 3 2 2" xfId="30776"/>
    <cellStyle name="Normal 13 2 3 3 3 3" xfId="30777"/>
    <cellStyle name="Normal 13 2 3 3 4" xfId="30778"/>
    <cellStyle name="Normal 13 2 3 3 4 2" xfId="30779"/>
    <cellStyle name="Normal 13 2 3 3 5" xfId="30780"/>
    <cellStyle name="Normal 13 2 3 3 5 2" xfId="30781"/>
    <cellStyle name="Normal 13 2 3 3 6" xfId="30782"/>
    <cellStyle name="Normal 13 2 3 4" xfId="30783"/>
    <cellStyle name="Normal 13 2 3 4 2" xfId="30784"/>
    <cellStyle name="Normal 13 2 3 4 2 2" xfId="30785"/>
    <cellStyle name="Normal 13 2 3 4 2 2 2" xfId="30786"/>
    <cellStyle name="Normal 13 2 3 4 2 3" xfId="30787"/>
    <cellStyle name="Normal 13 2 3 4 3" xfId="30788"/>
    <cellStyle name="Normal 13 2 3 4 3 2" xfId="30789"/>
    <cellStyle name="Normal 13 2 3 4 4" xfId="30790"/>
    <cellStyle name="Normal 13 2 3 5" xfId="30791"/>
    <cellStyle name="Normal 13 2 3 5 2" xfId="30792"/>
    <cellStyle name="Normal 13 2 3 5 2 2" xfId="30793"/>
    <cellStyle name="Normal 13 2 3 5 3" xfId="30794"/>
    <cellStyle name="Normal 13 2 3 6" xfId="30795"/>
    <cellStyle name="Normal 13 2 3 6 2" xfId="30796"/>
    <cellStyle name="Normal 13 2 3 7" xfId="30797"/>
    <cellStyle name="Normal 13 2 3 7 2" xfId="30798"/>
    <cellStyle name="Normal 13 2 3 8" xfId="30799"/>
    <cellStyle name="Normal 13 2 4" xfId="30800"/>
    <cellStyle name="Normal 13 2 4 2" xfId="30801"/>
    <cellStyle name="Normal 13 2 4 2 2" xfId="30802"/>
    <cellStyle name="Normal 13 2 4 2 2 2" xfId="30803"/>
    <cellStyle name="Normal 13 2 4 2 2 2 2" xfId="30804"/>
    <cellStyle name="Normal 13 2 4 2 2 3" xfId="30805"/>
    <cellStyle name="Normal 13 2 4 2 3" xfId="30806"/>
    <cellStyle name="Normal 13 2 4 2 3 2" xfId="30807"/>
    <cellStyle name="Normal 13 2 4 2 4" xfId="30808"/>
    <cellStyle name="Normal 13 2 4 3" xfId="30809"/>
    <cellStyle name="Normal 13 2 4 3 2" xfId="30810"/>
    <cellStyle name="Normal 13 2 4 3 2 2" xfId="30811"/>
    <cellStyle name="Normal 13 2 4 3 3" xfId="30812"/>
    <cellStyle name="Normal 13 2 4 4" xfId="30813"/>
    <cellStyle name="Normal 13 2 4 4 2" xfId="30814"/>
    <cellStyle name="Normal 13 2 4 5" xfId="30815"/>
    <cellStyle name="Normal 13 2 4 5 2" xfId="30816"/>
    <cellStyle name="Normal 13 2 4 6" xfId="30817"/>
    <cellStyle name="Normal 13 2 5" xfId="30818"/>
    <cellStyle name="Normal 13 2 5 2" xfId="30819"/>
    <cellStyle name="Normal 13 2 5 2 2" xfId="30820"/>
    <cellStyle name="Normal 13 2 5 2 2 2" xfId="30821"/>
    <cellStyle name="Normal 13 2 5 2 2 2 2" xfId="30822"/>
    <cellStyle name="Normal 13 2 5 2 2 3" xfId="30823"/>
    <cellStyle name="Normal 13 2 5 2 3" xfId="30824"/>
    <cellStyle name="Normal 13 2 5 2 3 2" xfId="30825"/>
    <cellStyle name="Normal 13 2 5 2 4" xfId="30826"/>
    <cellStyle name="Normal 13 2 5 3" xfId="30827"/>
    <cellStyle name="Normal 13 2 5 3 2" xfId="30828"/>
    <cellStyle name="Normal 13 2 5 3 2 2" xfId="30829"/>
    <cellStyle name="Normal 13 2 5 3 3" xfId="30830"/>
    <cellStyle name="Normal 13 2 5 4" xfId="30831"/>
    <cellStyle name="Normal 13 2 5 4 2" xfId="30832"/>
    <cellStyle name="Normal 13 2 5 5" xfId="30833"/>
    <cellStyle name="Normal 13 2 5 5 2" xfId="30834"/>
    <cellStyle name="Normal 13 2 5 6" xfId="30835"/>
    <cellStyle name="Normal 13 2 6" xfId="30836"/>
    <cellStyle name="Normal 13 2 6 2" xfId="30837"/>
    <cellStyle name="Normal 13 2 6 2 2" xfId="30838"/>
    <cellStyle name="Normal 13 2 6 2 2 2" xfId="30839"/>
    <cellStyle name="Normal 13 2 6 2 2 2 2" xfId="30840"/>
    <cellStyle name="Normal 13 2 6 2 2 3" xfId="30841"/>
    <cellStyle name="Normal 13 2 6 2 3" xfId="30842"/>
    <cellStyle name="Normal 13 2 6 2 3 2" xfId="30843"/>
    <cellStyle name="Normal 13 2 6 2 4" xfId="30844"/>
    <cellStyle name="Normal 13 2 6 3" xfId="30845"/>
    <cellStyle name="Normal 13 2 6 3 2" xfId="30846"/>
    <cellStyle name="Normal 13 2 6 3 2 2" xfId="30847"/>
    <cellStyle name="Normal 13 2 6 3 3" xfId="30848"/>
    <cellStyle name="Normal 13 2 6 4" xfId="30849"/>
    <cellStyle name="Normal 13 2 6 4 2" xfId="30850"/>
    <cellStyle name="Normal 13 2 6 5" xfId="30851"/>
    <cellStyle name="Normal 13 2 6 5 2" xfId="30852"/>
    <cellStyle name="Normal 13 2 6 6" xfId="30853"/>
    <cellStyle name="Normal 13 2 7" xfId="30854"/>
    <cellStyle name="Normal 13 2 7 2" xfId="30855"/>
    <cellStyle name="Normal 13 2 7 2 2" xfId="30856"/>
    <cellStyle name="Normal 13 2 7 2 2 2" xfId="30857"/>
    <cellStyle name="Normal 13 2 7 2 3" xfId="30858"/>
    <cellStyle name="Normal 13 2 7 3" xfId="30859"/>
    <cellStyle name="Normal 13 2 7 3 2" xfId="30860"/>
    <cellStyle name="Normal 13 2 7 4" xfId="30861"/>
    <cellStyle name="Normal 13 2 8" xfId="30862"/>
    <cellStyle name="Normal 13 2 8 2" xfId="30863"/>
    <cellStyle name="Normal 13 2 8 2 2" xfId="30864"/>
    <cellStyle name="Normal 13 2 8 3" xfId="30865"/>
    <cellStyle name="Normal 13 2 9" xfId="30866"/>
    <cellStyle name="Normal 13 2 9 2" xfId="30867"/>
    <cellStyle name="Normal 13 3" xfId="30868"/>
    <cellStyle name="Normal 13 3 10" xfId="30869"/>
    <cellStyle name="Normal 13 3 10 2" xfId="30870"/>
    <cellStyle name="Normal 13 3 11" xfId="30871"/>
    <cellStyle name="Normal 13 3 2" xfId="30872"/>
    <cellStyle name="Normal 13 3 2 2" xfId="30873"/>
    <cellStyle name="Normal 13 3 2 2 2" xfId="30874"/>
    <cellStyle name="Normal 13 3 2 2 2 2" xfId="30875"/>
    <cellStyle name="Normal 13 3 2 2 2 2 2" xfId="30876"/>
    <cellStyle name="Normal 13 3 2 2 2 2 2 2" xfId="30877"/>
    <cellStyle name="Normal 13 3 2 2 2 2 3" xfId="30878"/>
    <cellStyle name="Normal 13 3 2 2 2 3" xfId="30879"/>
    <cellStyle name="Normal 13 3 2 2 2 3 2" xfId="30880"/>
    <cellStyle name="Normal 13 3 2 2 2 4" xfId="30881"/>
    <cellStyle name="Normal 13 3 2 2 3" xfId="30882"/>
    <cellStyle name="Normal 13 3 2 2 3 2" xfId="30883"/>
    <cellStyle name="Normal 13 3 2 2 3 2 2" xfId="30884"/>
    <cellStyle name="Normal 13 3 2 2 3 3" xfId="30885"/>
    <cellStyle name="Normal 13 3 2 2 4" xfId="30886"/>
    <cellStyle name="Normal 13 3 2 2 4 2" xfId="30887"/>
    <cellStyle name="Normal 13 3 2 2 5" xfId="30888"/>
    <cellStyle name="Normal 13 3 2 2 5 2" xfId="30889"/>
    <cellStyle name="Normal 13 3 2 2 6" xfId="30890"/>
    <cellStyle name="Normal 13 3 2 3" xfId="30891"/>
    <cellStyle name="Normal 13 3 2 3 2" xfId="30892"/>
    <cellStyle name="Normal 13 3 2 3 2 2" xfId="30893"/>
    <cellStyle name="Normal 13 3 2 3 2 2 2" xfId="30894"/>
    <cellStyle name="Normal 13 3 2 3 2 2 2 2" xfId="30895"/>
    <cellStyle name="Normal 13 3 2 3 2 2 3" xfId="30896"/>
    <cellStyle name="Normal 13 3 2 3 2 3" xfId="30897"/>
    <cellStyle name="Normal 13 3 2 3 2 3 2" xfId="30898"/>
    <cellStyle name="Normal 13 3 2 3 2 4" xfId="30899"/>
    <cellStyle name="Normal 13 3 2 3 3" xfId="30900"/>
    <cellStyle name="Normal 13 3 2 3 3 2" xfId="30901"/>
    <cellStyle name="Normal 13 3 2 3 3 2 2" xfId="30902"/>
    <cellStyle name="Normal 13 3 2 3 3 3" xfId="30903"/>
    <cellStyle name="Normal 13 3 2 3 4" xfId="30904"/>
    <cellStyle name="Normal 13 3 2 3 4 2" xfId="30905"/>
    <cellStyle name="Normal 13 3 2 3 5" xfId="30906"/>
    <cellStyle name="Normal 13 3 2 3 5 2" xfId="30907"/>
    <cellStyle name="Normal 13 3 2 3 6" xfId="30908"/>
    <cellStyle name="Normal 13 3 2 4" xfId="30909"/>
    <cellStyle name="Normal 13 3 2 4 2" xfId="30910"/>
    <cellStyle name="Normal 13 3 2 4 2 2" xfId="30911"/>
    <cellStyle name="Normal 13 3 2 4 2 2 2" xfId="30912"/>
    <cellStyle name="Normal 13 3 2 4 2 3" xfId="30913"/>
    <cellStyle name="Normal 13 3 2 4 3" xfId="30914"/>
    <cellStyle name="Normal 13 3 2 4 3 2" xfId="30915"/>
    <cellStyle name="Normal 13 3 2 4 4" xfId="30916"/>
    <cellStyle name="Normal 13 3 2 5" xfId="30917"/>
    <cellStyle name="Normal 13 3 2 5 2" xfId="30918"/>
    <cellStyle name="Normal 13 3 2 5 2 2" xfId="30919"/>
    <cellStyle name="Normal 13 3 2 5 3" xfId="30920"/>
    <cellStyle name="Normal 13 3 2 6" xfId="30921"/>
    <cellStyle name="Normal 13 3 2 6 2" xfId="30922"/>
    <cellStyle name="Normal 13 3 2 7" xfId="30923"/>
    <cellStyle name="Normal 13 3 2 7 2" xfId="30924"/>
    <cellStyle name="Normal 13 3 2 8" xfId="30925"/>
    <cellStyle name="Normal 13 3 3" xfId="30926"/>
    <cellStyle name="Normal 13 3 3 2" xfId="30927"/>
    <cellStyle name="Normal 13 3 3 2 2" xfId="30928"/>
    <cellStyle name="Normal 13 3 3 2 2 2" xfId="30929"/>
    <cellStyle name="Normal 13 3 3 2 2 2 2" xfId="30930"/>
    <cellStyle name="Normal 13 3 3 2 2 2 2 2" xfId="30931"/>
    <cellStyle name="Normal 13 3 3 2 2 2 3" xfId="30932"/>
    <cellStyle name="Normal 13 3 3 2 2 3" xfId="30933"/>
    <cellStyle name="Normal 13 3 3 2 2 3 2" xfId="30934"/>
    <cellStyle name="Normal 13 3 3 2 2 4" xfId="30935"/>
    <cellStyle name="Normal 13 3 3 2 3" xfId="30936"/>
    <cellStyle name="Normal 13 3 3 2 3 2" xfId="30937"/>
    <cellStyle name="Normal 13 3 3 2 3 2 2" xfId="30938"/>
    <cellStyle name="Normal 13 3 3 2 3 3" xfId="30939"/>
    <cellStyle name="Normal 13 3 3 2 4" xfId="30940"/>
    <cellStyle name="Normal 13 3 3 2 4 2" xfId="30941"/>
    <cellStyle name="Normal 13 3 3 2 5" xfId="30942"/>
    <cellStyle name="Normal 13 3 3 2 5 2" xfId="30943"/>
    <cellStyle name="Normal 13 3 3 2 6" xfId="30944"/>
    <cellStyle name="Normal 13 3 3 3" xfId="30945"/>
    <cellStyle name="Normal 13 3 3 3 2" xfId="30946"/>
    <cellStyle name="Normal 13 3 3 3 2 2" xfId="30947"/>
    <cellStyle name="Normal 13 3 3 3 2 2 2" xfId="30948"/>
    <cellStyle name="Normal 13 3 3 3 2 2 2 2" xfId="30949"/>
    <cellStyle name="Normal 13 3 3 3 2 2 3" xfId="30950"/>
    <cellStyle name="Normal 13 3 3 3 2 3" xfId="30951"/>
    <cellStyle name="Normal 13 3 3 3 2 3 2" xfId="30952"/>
    <cellStyle name="Normal 13 3 3 3 2 4" xfId="30953"/>
    <cellStyle name="Normal 13 3 3 3 3" xfId="30954"/>
    <cellStyle name="Normal 13 3 3 3 3 2" xfId="30955"/>
    <cellStyle name="Normal 13 3 3 3 3 2 2" xfId="30956"/>
    <cellStyle name="Normal 13 3 3 3 3 3" xfId="30957"/>
    <cellStyle name="Normal 13 3 3 3 4" xfId="30958"/>
    <cellStyle name="Normal 13 3 3 3 4 2" xfId="30959"/>
    <cellStyle name="Normal 13 3 3 3 5" xfId="30960"/>
    <cellStyle name="Normal 13 3 3 3 5 2" xfId="30961"/>
    <cellStyle name="Normal 13 3 3 3 6" xfId="30962"/>
    <cellStyle name="Normal 13 3 3 4" xfId="30963"/>
    <cellStyle name="Normal 13 3 3 4 2" xfId="30964"/>
    <cellStyle name="Normal 13 3 3 4 2 2" xfId="30965"/>
    <cellStyle name="Normal 13 3 3 4 2 2 2" xfId="30966"/>
    <cellStyle name="Normal 13 3 3 4 2 3" xfId="30967"/>
    <cellStyle name="Normal 13 3 3 4 3" xfId="30968"/>
    <cellStyle name="Normal 13 3 3 4 3 2" xfId="30969"/>
    <cellStyle name="Normal 13 3 3 4 4" xfId="30970"/>
    <cellStyle name="Normal 13 3 3 5" xfId="30971"/>
    <cellStyle name="Normal 13 3 3 5 2" xfId="30972"/>
    <cellStyle name="Normal 13 3 3 5 2 2" xfId="30973"/>
    <cellStyle name="Normal 13 3 3 5 3" xfId="30974"/>
    <cellStyle name="Normal 13 3 3 6" xfId="30975"/>
    <cellStyle name="Normal 13 3 3 6 2" xfId="30976"/>
    <cellStyle name="Normal 13 3 3 7" xfId="30977"/>
    <cellStyle name="Normal 13 3 3 7 2" xfId="30978"/>
    <cellStyle name="Normal 13 3 3 8" xfId="30979"/>
    <cellStyle name="Normal 13 3 4" xfId="30980"/>
    <cellStyle name="Normal 13 3 4 2" xfId="30981"/>
    <cellStyle name="Normal 13 3 4 2 2" xfId="30982"/>
    <cellStyle name="Normal 13 3 4 2 2 2" xfId="30983"/>
    <cellStyle name="Normal 13 3 4 2 2 2 2" xfId="30984"/>
    <cellStyle name="Normal 13 3 4 2 2 3" xfId="30985"/>
    <cellStyle name="Normal 13 3 4 2 3" xfId="30986"/>
    <cellStyle name="Normal 13 3 4 2 3 2" xfId="30987"/>
    <cellStyle name="Normal 13 3 4 2 4" xfId="30988"/>
    <cellStyle name="Normal 13 3 4 3" xfId="30989"/>
    <cellStyle name="Normal 13 3 4 3 2" xfId="30990"/>
    <cellStyle name="Normal 13 3 4 3 2 2" xfId="30991"/>
    <cellStyle name="Normal 13 3 4 3 3" xfId="30992"/>
    <cellStyle name="Normal 13 3 4 4" xfId="30993"/>
    <cellStyle name="Normal 13 3 4 4 2" xfId="30994"/>
    <cellStyle name="Normal 13 3 4 5" xfId="30995"/>
    <cellStyle name="Normal 13 3 4 5 2" xfId="30996"/>
    <cellStyle name="Normal 13 3 4 6" xfId="30997"/>
    <cellStyle name="Normal 13 3 5" xfId="30998"/>
    <cellStyle name="Normal 13 3 5 2" xfId="30999"/>
    <cellStyle name="Normal 13 3 5 2 2" xfId="31000"/>
    <cellStyle name="Normal 13 3 5 2 2 2" xfId="31001"/>
    <cellStyle name="Normal 13 3 5 2 2 2 2" xfId="31002"/>
    <cellStyle name="Normal 13 3 5 2 2 3" xfId="31003"/>
    <cellStyle name="Normal 13 3 5 2 3" xfId="31004"/>
    <cellStyle name="Normal 13 3 5 2 3 2" xfId="31005"/>
    <cellStyle name="Normal 13 3 5 2 4" xfId="31006"/>
    <cellStyle name="Normal 13 3 5 3" xfId="31007"/>
    <cellStyle name="Normal 13 3 5 3 2" xfId="31008"/>
    <cellStyle name="Normal 13 3 5 3 2 2" xfId="31009"/>
    <cellStyle name="Normal 13 3 5 3 3" xfId="31010"/>
    <cellStyle name="Normal 13 3 5 4" xfId="31011"/>
    <cellStyle name="Normal 13 3 5 4 2" xfId="31012"/>
    <cellStyle name="Normal 13 3 5 5" xfId="31013"/>
    <cellStyle name="Normal 13 3 5 5 2" xfId="31014"/>
    <cellStyle name="Normal 13 3 5 6" xfId="31015"/>
    <cellStyle name="Normal 13 3 6" xfId="31016"/>
    <cellStyle name="Normal 13 3 6 2" xfId="31017"/>
    <cellStyle name="Normal 13 3 6 2 2" xfId="31018"/>
    <cellStyle name="Normal 13 3 6 2 2 2" xfId="31019"/>
    <cellStyle name="Normal 13 3 6 2 2 2 2" xfId="31020"/>
    <cellStyle name="Normal 13 3 6 2 2 3" xfId="31021"/>
    <cellStyle name="Normal 13 3 6 2 3" xfId="31022"/>
    <cellStyle name="Normal 13 3 6 2 3 2" xfId="31023"/>
    <cellStyle name="Normal 13 3 6 2 4" xfId="31024"/>
    <cellStyle name="Normal 13 3 6 3" xfId="31025"/>
    <cellStyle name="Normal 13 3 6 3 2" xfId="31026"/>
    <cellStyle name="Normal 13 3 6 3 2 2" xfId="31027"/>
    <cellStyle name="Normal 13 3 6 3 3" xfId="31028"/>
    <cellStyle name="Normal 13 3 6 4" xfId="31029"/>
    <cellStyle name="Normal 13 3 6 4 2" xfId="31030"/>
    <cellStyle name="Normal 13 3 6 5" xfId="31031"/>
    <cellStyle name="Normal 13 3 6 5 2" xfId="31032"/>
    <cellStyle name="Normal 13 3 6 6" xfId="31033"/>
    <cellStyle name="Normal 13 3 7" xfId="31034"/>
    <cellStyle name="Normal 13 3 7 2" xfId="31035"/>
    <cellStyle name="Normal 13 3 7 2 2" xfId="31036"/>
    <cellStyle name="Normal 13 3 7 2 2 2" xfId="31037"/>
    <cellStyle name="Normal 13 3 7 2 3" xfId="31038"/>
    <cellStyle name="Normal 13 3 7 3" xfId="31039"/>
    <cellStyle name="Normal 13 3 7 3 2" xfId="31040"/>
    <cellStyle name="Normal 13 3 7 4" xfId="31041"/>
    <cellStyle name="Normal 13 3 8" xfId="31042"/>
    <cellStyle name="Normal 13 3 8 2" xfId="31043"/>
    <cellStyle name="Normal 13 3 8 2 2" xfId="31044"/>
    <cellStyle name="Normal 13 3 8 3" xfId="31045"/>
    <cellStyle name="Normal 13 3 9" xfId="31046"/>
    <cellStyle name="Normal 13 3 9 2" xfId="31047"/>
    <cellStyle name="Normal 13 4" xfId="31048"/>
    <cellStyle name="Normal 13 4 2" xfId="31049"/>
    <cellStyle name="Normal 13 4 2 2" xfId="31050"/>
    <cellStyle name="Normal 13 4 2 2 2" xfId="31051"/>
    <cellStyle name="Normal 13 4 2 2 2 2" xfId="31052"/>
    <cellStyle name="Normal 13 4 2 2 2 2 2" xfId="31053"/>
    <cellStyle name="Normal 13 4 2 2 2 3" xfId="31054"/>
    <cellStyle name="Normal 13 4 2 2 3" xfId="31055"/>
    <cellStyle name="Normal 13 4 2 2 3 2" xfId="31056"/>
    <cellStyle name="Normal 13 4 2 2 4" xfId="31057"/>
    <cellStyle name="Normal 13 4 2 3" xfId="31058"/>
    <cellStyle name="Normal 13 4 2 3 2" xfId="31059"/>
    <cellStyle name="Normal 13 4 2 3 2 2" xfId="31060"/>
    <cellStyle name="Normal 13 4 2 3 3" xfId="31061"/>
    <cellStyle name="Normal 13 4 2 4" xfId="31062"/>
    <cellStyle name="Normal 13 4 2 4 2" xfId="31063"/>
    <cellStyle name="Normal 13 4 2 5" xfId="31064"/>
    <cellStyle name="Normal 13 4 2 5 2" xfId="31065"/>
    <cellStyle name="Normal 13 4 2 6" xfId="31066"/>
    <cellStyle name="Normal 13 4 3" xfId="31067"/>
    <cellStyle name="Normal 13 4 3 2" xfId="31068"/>
    <cellStyle name="Normal 13 4 3 2 2" xfId="31069"/>
    <cellStyle name="Normal 13 4 3 2 2 2" xfId="31070"/>
    <cellStyle name="Normal 13 4 3 2 2 2 2" xfId="31071"/>
    <cellStyle name="Normal 13 4 3 2 2 3" xfId="31072"/>
    <cellStyle name="Normal 13 4 3 2 3" xfId="31073"/>
    <cellStyle name="Normal 13 4 3 2 3 2" xfId="31074"/>
    <cellStyle name="Normal 13 4 3 2 4" xfId="31075"/>
    <cellStyle name="Normal 13 4 3 3" xfId="31076"/>
    <cellStyle name="Normal 13 4 3 3 2" xfId="31077"/>
    <cellStyle name="Normal 13 4 3 3 2 2" xfId="31078"/>
    <cellStyle name="Normal 13 4 3 3 3" xfId="31079"/>
    <cellStyle name="Normal 13 4 3 4" xfId="31080"/>
    <cellStyle name="Normal 13 4 3 4 2" xfId="31081"/>
    <cellStyle name="Normal 13 4 3 5" xfId="31082"/>
    <cellStyle name="Normal 13 4 3 5 2" xfId="31083"/>
    <cellStyle name="Normal 13 4 3 6" xfId="31084"/>
    <cellStyle name="Normal 13 4 4" xfId="31085"/>
    <cellStyle name="Normal 13 4 4 2" xfId="31086"/>
    <cellStyle name="Normal 13 4 4 2 2" xfId="31087"/>
    <cellStyle name="Normal 13 4 4 2 2 2" xfId="31088"/>
    <cellStyle name="Normal 13 4 4 2 3" xfId="31089"/>
    <cellStyle name="Normal 13 4 4 3" xfId="31090"/>
    <cellStyle name="Normal 13 4 4 3 2" xfId="31091"/>
    <cellStyle name="Normal 13 4 4 4" xfId="31092"/>
    <cellStyle name="Normal 13 4 5" xfId="31093"/>
    <cellStyle name="Normal 13 4 5 2" xfId="31094"/>
    <cellStyle name="Normal 13 4 5 2 2" xfId="31095"/>
    <cellStyle name="Normal 13 4 5 3" xfId="31096"/>
    <cellStyle name="Normal 13 4 6" xfId="31097"/>
    <cellStyle name="Normal 13 4 6 2" xfId="31098"/>
    <cellStyle name="Normal 13 4 7" xfId="31099"/>
    <cellStyle name="Normal 13 4 7 2" xfId="31100"/>
    <cellStyle name="Normal 13 4 8" xfId="31101"/>
    <cellStyle name="Normal 13 5" xfId="31102"/>
    <cellStyle name="Normal 13 5 2" xfId="31103"/>
    <cellStyle name="Normal 13 5 2 2" xfId="31104"/>
    <cellStyle name="Normal 13 5 2 2 2" xfId="31105"/>
    <cellStyle name="Normal 13 5 2 2 2 2" xfId="31106"/>
    <cellStyle name="Normal 13 5 2 2 2 2 2" xfId="31107"/>
    <cellStyle name="Normal 13 5 2 2 2 3" xfId="31108"/>
    <cellStyle name="Normal 13 5 2 2 3" xfId="31109"/>
    <cellStyle name="Normal 13 5 2 2 3 2" xfId="31110"/>
    <cellStyle name="Normal 13 5 2 2 4" xfId="31111"/>
    <cellStyle name="Normal 13 5 2 3" xfId="31112"/>
    <cellStyle name="Normal 13 5 2 3 2" xfId="31113"/>
    <cellStyle name="Normal 13 5 2 3 2 2" xfId="31114"/>
    <cellStyle name="Normal 13 5 2 3 3" xfId="31115"/>
    <cellStyle name="Normal 13 5 2 4" xfId="31116"/>
    <cellStyle name="Normal 13 5 2 4 2" xfId="31117"/>
    <cellStyle name="Normal 13 5 2 5" xfId="31118"/>
    <cellStyle name="Normal 13 5 2 5 2" xfId="31119"/>
    <cellStyle name="Normal 13 5 2 6" xfId="31120"/>
    <cellStyle name="Normal 13 5 3" xfId="31121"/>
    <cellStyle name="Normal 13 5 3 2" xfId="31122"/>
    <cellStyle name="Normal 13 5 3 2 2" xfId="31123"/>
    <cellStyle name="Normal 13 5 3 2 2 2" xfId="31124"/>
    <cellStyle name="Normal 13 5 3 2 2 2 2" xfId="31125"/>
    <cellStyle name="Normal 13 5 3 2 2 3" xfId="31126"/>
    <cellStyle name="Normal 13 5 3 2 3" xfId="31127"/>
    <cellStyle name="Normal 13 5 3 2 3 2" xfId="31128"/>
    <cellStyle name="Normal 13 5 3 2 4" xfId="31129"/>
    <cellStyle name="Normal 13 5 3 3" xfId="31130"/>
    <cellStyle name="Normal 13 5 3 3 2" xfId="31131"/>
    <cellStyle name="Normal 13 5 3 3 2 2" xfId="31132"/>
    <cellStyle name="Normal 13 5 3 3 3" xfId="31133"/>
    <cellStyle name="Normal 13 5 3 4" xfId="31134"/>
    <cellStyle name="Normal 13 5 3 4 2" xfId="31135"/>
    <cellStyle name="Normal 13 5 3 5" xfId="31136"/>
    <cellStyle name="Normal 13 5 3 5 2" xfId="31137"/>
    <cellStyle name="Normal 13 5 3 6" xfId="31138"/>
    <cellStyle name="Normal 13 5 4" xfId="31139"/>
    <cellStyle name="Normal 13 5 4 2" xfId="31140"/>
    <cellStyle name="Normal 13 5 4 2 2" xfId="31141"/>
    <cellStyle name="Normal 13 5 4 2 2 2" xfId="31142"/>
    <cellStyle name="Normal 13 5 4 2 3" xfId="31143"/>
    <cellStyle name="Normal 13 5 4 3" xfId="31144"/>
    <cellStyle name="Normal 13 5 4 3 2" xfId="31145"/>
    <cellStyle name="Normal 13 5 4 4" xfId="31146"/>
    <cellStyle name="Normal 13 5 5" xfId="31147"/>
    <cellStyle name="Normal 13 5 5 2" xfId="31148"/>
    <cellStyle name="Normal 13 5 5 2 2" xfId="31149"/>
    <cellStyle name="Normal 13 5 5 3" xfId="31150"/>
    <cellStyle name="Normal 13 5 6" xfId="31151"/>
    <cellStyle name="Normal 13 5 6 2" xfId="31152"/>
    <cellStyle name="Normal 13 5 7" xfId="31153"/>
    <cellStyle name="Normal 13 5 7 2" xfId="31154"/>
    <cellStyle name="Normal 13 5 8" xfId="31155"/>
    <cellStyle name="Normal 13 6" xfId="31156"/>
    <cellStyle name="Normal 13 6 2" xfId="31157"/>
    <cellStyle name="Normal 13 6 2 2" xfId="31158"/>
    <cellStyle name="Normal 13 6 2 2 2" xfId="31159"/>
    <cellStyle name="Normal 13 6 2 2 2 2" xfId="31160"/>
    <cellStyle name="Normal 13 6 2 2 3" xfId="31161"/>
    <cellStyle name="Normal 13 6 2 3" xfId="31162"/>
    <cellStyle name="Normal 13 6 2 3 2" xfId="31163"/>
    <cellStyle name="Normal 13 6 2 4" xfId="31164"/>
    <cellStyle name="Normal 13 6 3" xfId="31165"/>
    <cellStyle name="Normal 13 6 3 2" xfId="31166"/>
    <cellStyle name="Normal 13 6 3 2 2" xfId="31167"/>
    <cellStyle name="Normal 13 6 3 3" xfId="31168"/>
    <cellStyle name="Normal 13 6 4" xfId="31169"/>
    <cellStyle name="Normal 13 6 4 2" xfId="31170"/>
    <cellStyle name="Normal 13 6 5" xfId="31171"/>
    <cellStyle name="Normal 13 6 5 2" xfId="31172"/>
    <cellStyle name="Normal 13 6 6" xfId="31173"/>
    <cellStyle name="Normal 13 7" xfId="31174"/>
    <cellStyle name="Normal 13 7 2" xfId="31175"/>
    <cellStyle name="Normal 13 7 2 2" xfId="31176"/>
    <cellStyle name="Normal 13 7 2 2 2" xfId="31177"/>
    <cellStyle name="Normal 13 7 2 2 2 2" xfId="31178"/>
    <cellStyle name="Normal 13 7 2 2 3" xfId="31179"/>
    <cellStyle name="Normal 13 7 2 3" xfId="31180"/>
    <cellStyle name="Normal 13 7 2 3 2" xfId="31181"/>
    <cellStyle name="Normal 13 7 2 4" xfId="31182"/>
    <cellStyle name="Normal 13 7 3" xfId="31183"/>
    <cellStyle name="Normal 13 7 3 2" xfId="31184"/>
    <cellStyle name="Normal 13 7 3 2 2" xfId="31185"/>
    <cellStyle name="Normal 13 7 3 3" xfId="31186"/>
    <cellStyle name="Normal 13 7 4" xfId="31187"/>
    <cellStyle name="Normal 13 7 4 2" xfId="31188"/>
    <cellStyle name="Normal 13 7 5" xfId="31189"/>
    <cellStyle name="Normal 13 7 5 2" xfId="31190"/>
    <cellStyle name="Normal 13 7 6" xfId="31191"/>
    <cellStyle name="Normal 13 8" xfId="31192"/>
    <cellStyle name="Normal 13 8 2" xfId="31193"/>
    <cellStyle name="Normal 13 8 2 2" xfId="31194"/>
    <cellStyle name="Normal 13 8 2 2 2" xfId="31195"/>
    <cellStyle name="Normal 13 8 2 2 2 2" xfId="31196"/>
    <cellStyle name="Normal 13 8 2 2 3" xfId="31197"/>
    <cellStyle name="Normal 13 8 2 3" xfId="31198"/>
    <cellStyle name="Normal 13 8 2 3 2" xfId="31199"/>
    <cellStyle name="Normal 13 8 2 4" xfId="31200"/>
    <cellStyle name="Normal 13 8 3" xfId="31201"/>
    <cellStyle name="Normal 13 8 3 2" xfId="31202"/>
    <cellStyle name="Normal 13 8 3 2 2" xfId="31203"/>
    <cellStyle name="Normal 13 8 3 3" xfId="31204"/>
    <cellStyle name="Normal 13 8 4" xfId="31205"/>
    <cellStyle name="Normal 13 8 4 2" xfId="31206"/>
    <cellStyle name="Normal 13 8 5" xfId="31207"/>
    <cellStyle name="Normal 13 8 5 2" xfId="31208"/>
    <cellStyle name="Normal 13 8 6" xfId="31209"/>
    <cellStyle name="Normal 13 9" xfId="31210"/>
    <cellStyle name="Normal 13 9 2" xfId="31211"/>
    <cellStyle name="Normal 13 9 2 2" xfId="31212"/>
    <cellStyle name="Normal 13 9 2 2 2" xfId="31213"/>
    <cellStyle name="Normal 13 9 2 2 2 2" xfId="31214"/>
    <cellStyle name="Normal 13 9 2 2 3" xfId="31215"/>
    <cellStyle name="Normal 13 9 2 3" xfId="31216"/>
    <cellStyle name="Normal 13 9 2 3 2" xfId="31217"/>
    <cellStyle name="Normal 13 9 2 4" xfId="31218"/>
    <cellStyle name="Normal 13 9 3" xfId="31219"/>
    <cellStyle name="Normal 13 9 3 2" xfId="31220"/>
    <cellStyle name="Normal 13 9 3 2 2" xfId="31221"/>
    <cellStyle name="Normal 13 9 3 3" xfId="31222"/>
    <cellStyle name="Normal 13 9 4" xfId="31223"/>
    <cellStyle name="Normal 13 9 4 2" xfId="31224"/>
    <cellStyle name="Normal 13 9 5" xfId="31225"/>
    <cellStyle name="Normal 13 9 5 2" xfId="31226"/>
    <cellStyle name="Normal 13 9 6" xfId="31227"/>
    <cellStyle name="Normal 14" xfId="112"/>
    <cellStyle name="Normal 14 2" xfId="589"/>
    <cellStyle name="Normal 14 2 2" xfId="31228"/>
    <cellStyle name="Normal 14 2 3" xfId="31229"/>
    <cellStyle name="Normal 14 2 3 2" xfId="31230"/>
    <cellStyle name="Normal 14 2 4" xfId="31231"/>
    <cellStyle name="Normal 14 2 5" xfId="31232"/>
    <cellStyle name="Normal 14 3" xfId="31233"/>
    <cellStyle name="Normal 14 4" xfId="31234"/>
    <cellStyle name="Normal 14 5" xfId="31235"/>
    <cellStyle name="Normal 14 5 2" xfId="31236"/>
    <cellStyle name="Normal 14 6" xfId="31237"/>
    <cellStyle name="Normal 14 7" xfId="31238"/>
    <cellStyle name="Normal 14 8" xfId="570"/>
    <cellStyle name="Normal 15" xfId="590"/>
    <cellStyle name="Normal 15 10" xfId="31239"/>
    <cellStyle name="Normal 15 10 2" xfId="31240"/>
    <cellStyle name="Normal 15 11" xfId="31241"/>
    <cellStyle name="Normal 15 11 2" xfId="31242"/>
    <cellStyle name="Normal 15 12" xfId="31243"/>
    <cellStyle name="Normal 15 12 2" xfId="31244"/>
    <cellStyle name="Normal 15 13" xfId="31245"/>
    <cellStyle name="Normal 15 13 2" xfId="31246"/>
    <cellStyle name="Normal 15 14" xfId="31247"/>
    <cellStyle name="Normal 15 15" xfId="31248"/>
    <cellStyle name="Normal 15 2" xfId="31249"/>
    <cellStyle name="Normal 15 2 2" xfId="31250"/>
    <cellStyle name="Normal 15 2 2 2" xfId="31251"/>
    <cellStyle name="Normal 15 2 2 2 2" xfId="31252"/>
    <cellStyle name="Normal 15 2 2 2 2 2" xfId="31253"/>
    <cellStyle name="Normal 15 2 2 2 2 2 2" xfId="31254"/>
    <cellStyle name="Normal 15 2 2 2 2 3" xfId="31255"/>
    <cellStyle name="Normal 15 2 2 2 3" xfId="31256"/>
    <cellStyle name="Normal 15 2 2 2 3 2" xfId="31257"/>
    <cellStyle name="Normal 15 2 2 2 4" xfId="31258"/>
    <cellStyle name="Normal 15 2 2 3" xfId="31259"/>
    <cellStyle name="Normal 15 2 2 3 2" xfId="31260"/>
    <cellStyle name="Normal 15 2 2 3 2 2" xfId="31261"/>
    <cellStyle name="Normal 15 2 2 3 3" xfId="31262"/>
    <cellStyle name="Normal 15 2 2 4" xfId="31263"/>
    <cellStyle name="Normal 15 2 2 4 2" xfId="31264"/>
    <cellStyle name="Normal 15 2 2 5" xfId="31265"/>
    <cellStyle name="Normal 15 2 2 5 2" xfId="31266"/>
    <cellStyle name="Normal 15 2 2 6" xfId="31267"/>
    <cellStyle name="Normal 15 2 3" xfId="31268"/>
    <cellStyle name="Normal 15 2 3 2" xfId="31269"/>
    <cellStyle name="Normal 15 2 3 2 2" xfId="31270"/>
    <cellStyle name="Normal 15 2 3 2 2 2" xfId="31271"/>
    <cellStyle name="Normal 15 2 3 2 2 2 2" xfId="31272"/>
    <cellStyle name="Normal 15 2 3 2 2 3" xfId="31273"/>
    <cellStyle name="Normal 15 2 3 2 3" xfId="31274"/>
    <cellStyle name="Normal 15 2 3 2 3 2" xfId="31275"/>
    <cellStyle name="Normal 15 2 3 2 4" xfId="31276"/>
    <cellStyle name="Normal 15 2 3 3" xfId="31277"/>
    <cellStyle name="Normal 15 2 3 3 2" xfId="31278"/>
    <cellStyle name="Normal 15 2 3 3 2 2" xfId="31279"/>
    <cellStyle name="Normal 15 2 3 3 3" xfId="31280"/>
    <cellStyle name="Normal 15 2 3 4" xfId="31281"/>
    <cellStyle name="Normal 15 2 3 4 2" xfId="31282"/>
    <cellStyle name="Normal 15 2 3 5" xfId="31283"/>
    <cellStyle name="Normal 15 2 3 5 2" xfId="31284"/>
    <cellStyle name="Normal 15 2 3 6" xfId="31285"/>
    <cellStyle name="Normal 15 2 4" xfId="31286"/>
    <cellStyle name="Normal 15 2 4 2" xfId="31287"/>
    <cellStyle name="Normal 15 2 4 2 2" xfId="31288"/>
    <cellStyle name="Normal 15 2 4 2 2 2" xfId="31289"/>
    <cellStyle name="Normal 15 2 4 2 3" xfId="31290"/>
    <cellStyle name="Normal 15 2 4 3" xfId="31291"/>
    <cellStyle name="Normal 15 2 4 3 2" xfId="31292"/>
    <cellStyle name="Normal 15 2 4 4" xfId="31293"/>
    <cellStyle name="Normal 15 2 5" xfId="31294"/>
    <cellStyle name="Normal 15 2 5 2" xfId="31295"/>
    <cellStyle name="Normal 15 2 5 2 2" xfId="31296"/>
    <cellStyle name="Normal 15 2 5 3" xfId="31297"/>
    <cellStyle name="Normal 15 2 6" xfId="31298"/>
    <cellStyle name="Normal 15 2 6 2" xfId="31299"/>
    <cellStyle name="Normal 15 2 7" xfId="31300"/>
    <cellStyle name="Normal 15 2 7 2" xfId="31301"/>
    <cellStyle name="Normal 15 2 8" xfId="31302"/>
    <cellStyle name="Normal 15 3" xfId="31303"/>
    <cellStyle name="Normal 15 3 2" xfId="31304"/>
    <cellStyle name="Normal 15 3 2 2" xfId="31305"/>
    <cellStyle name="Normal 15 3 2 2 2" xfId="31306"/>
    <cellStyle name="Normal 15 3 2 2 2 2" xfId="31307"/>
    <cellStyle name="Normal 15 3 2 2 2 2 2" xfId="31308"/>
    <cellStyle name="Normal 15 3 2 2 2 3" xfId="31309"/>
    <cellStyle name="Normal 15 3 2 2 3" xfId="31310"/>
    <cellStyle name="Normal 15 3 2 2 3 2" xfId="31311"/>
    <cellStyle name="Normal 15 3 2 2 4" xfId="31312"/>
    <cellStyle name="Normal 15 3 2 3" xfId="31313"/>
    <cellStyle name="Normal 15 3 2 3 2" xfId="31314"/>
    <cellStyle name="Normal 15 3 2 3 2 2" xfId="31315"/>
    <cellStyle name="Normal 15 3 2 3 3" xfId="31316"/>
    <cellStyle name="Normal 15 3 2 4" xfId="31317"/>
    <cellStyle name="Normal 15 3 2 4 2" xfId="31318"/>
    <cellStyle name="Normal 15 3 2 5" xfId="31319"/>
    <cellStyle name="Normal 15 3 2 5 2" xfId="31320"/>
    <cellStyle name="Normal 15 3 2 6" xfId="31321"/>
    <cellStyle name="Normal 15 3 3" xfId="31322"/>
    <cellStyle name="Normal 15 3 3 2" xfId="31323"/>
    <cellStyle name="Normal 15 3 3 2 2" xfId="31324"/>
    <cellStyle name="Normal 15 3 3 2 2 2" xfId="31325"/>
    <cellStyle name="Normal 15 3 3 2 2 2 2" xfId="31326"/>
    <cellStyle name="Normal 15 3 3 2 2 3" xfId="31327"/>
    <cellStyle name="Normal 15 3 3 2 3" xfId="31328"/>
    <cellStyle name="Normal 15 3 3 2 3 2" xfId="31329"/>
    <cellStyle name="Normal 15 3 3 2 4" xfId="31330"/>
    <cellStyle name="Normal 15 3 3 3" xfId="31331"/>
    <cellStyle name="Normal 15 3 3 3 2" xfId="31332"/>
    <cellStyle name="Normal 15 3 3 3 2 2" xfId="31333"/>
    <cellStyle name="Normal 15 3 3 3 3" xfId="31334"/>
    <cellStyle name="Normal 15 3 3 4" xfId="31335"/>
    <cellStyle name="Normal 15 3 3 4 2" xfId="31336"/>
    <cellStyle name="Normal 15 3 3 5" xfId="31337"/>
    <cellStyle name="Normal 15 3 3 5 2" xfId="31338"/>
    <cellStyle name="Normal 15 3 3 6" xfId="31339"/>
    <cellStyle name="Normal 15 3 4" xfId="31340"/>
    <cellStyle name="Normal 15 3 4 2" xfId="31341"/>
    <cellStyle name="Normal 15 3 4 2 2" xfId="31342"/>
    <cellStyle name="Normal 15 3 4 2 2 2" xfId="31343"/>
    <cellStyle name="Normal 15 3 4 2 3" xfId="31344"/>
    <cellStyle name="Normal 15 3 4 3" xfId="31345"/>
    <cellStyle name="Normal 15 3 4 3 2" xfId="31346"/>
    <cellStyle name="Normal 15 3 4 4" xfId="31347"/>
    <cellStyle name="Normal 15 3 5" xfId="31348"/>
    <cellStyle name="Normal 15 3 5 2" xfId="31349"/>
    <cellStyle name="Normal 15 3 5 2 2" xfId="31350"/>
    <cellStyle name="Normal 15 3 5 3" xfId="31351"/>
    <cellStyle name="Normal 15 3 6" xfId="31352"/>
    <cellStyle name="Normal 15 3 6 2" xfId="31353"/>
    <cellStyle name="Normal 15 3 7" xfId="31354"/>
    <cellStyle name="Normal 15 3 7 2" xfId="31355"/>
    <cellStyle name="Normal 15 3 8" xfId="31356"/>
    <cellStyle name="Normal 15 4" xfId="31357"/>
    <cellStyle name="Normal 15 4 2" xfId="31358"/>
    <cellStyle name="Normal 15 4 2 2" xfId="31359"/>
    <cellStyle name="Normal 15 4 2 2 2" xfId="31360"/>
    <cellStyle name="Normal 15 4 2 2 2 2" xfId="31361"/>
    <cellStyle name="Normal 15 4 2 2 3" xfId="31362"/>
    <cellStyle name="Normal 15 4 2 3" xfId="31363"/>
    <cellStyle name="Normal 15 4 2 3 2" xfId="31364"/>
    <cellStyle name="Normal 15 4 2 4" xfId="31365"/>
    <cellStyle name="Normal 15 4 3" xfId="31366"/>
    <cellStyle name="Normal 15 4 3 2" xfId="31367"/>
    <cellStyle name="Normal 15 4 3 2 2" xfId="31368"/>
    <cellStyle name="Normal 15 4 3 3" xfId="31369"/>
    <cellStyle name="Normal 15 4 4" xfId="31370"/>
    <cellStyle name="Normal 15 4 4 2" xfId="31371"/>
    <cellStyle name="Normal 15 4 5" xfId="31372"/>
    <cellStyle name="Normal 15 4 5 2" xfId="31373"/>
    <cellStyle name="Normal 15 4 6" xfId="31374"/>
    <cellStyle name="Normal 15 5" xfId="31375"/>
    <cellStyle name="Normal 15 5 2" xfId="31376"/>
    <cellStyle name="Normal 15 5 2 2" xfId="31377"/>
    <cellStyle name="Normal 15 5 2 2 2" xfId="31378"/>
    <cellStyle name="Normal 15 5 2 2 2 2" xfId="31379"/>
    <cellStyle name="Normal 15 5 2 2 3" xfId="31380"/>
    <cellStyle name="Normal 15 5 2 3" xfId="31381"/>
    <cellStyle name="Normal 15 5 2 3 2" xfId="31382"/>
    <cellStyle name="Normal 15 5 2 4" xfId="31383"/>
    <cellStyle name="Normal 15 5 3" xfId="31384"/>
    <cellStyle name="Normal 15 5 3 2" xfId="31385"/>
    <cellStyle name="Normal 15 5 3 2 2" xfId="31386"/>
    <cellStyle name="Normal 15 5 3 3" xfId="31387"/>
    <cellStyle name="Normal 15 5 4" xfId="31388"/>
    <cellStyle name="Normal 15 5 4 2" xfId="31389"/>
    <cellStyle name="Normal 15 5 5" xfId="31390"/>
    <cellStyle name="Normal 15 5 5 2" xfId="31391"/>
    <cellStyle name="Normal 15 5 6" xfId="31392"/>
    <cellStyle name="Normal 15 6" xfId="31393"/>
    <cellStyle name="Normal 15 6 2" xfId="31394"/>
    <cellStyle name="Normal 15 6 2 2" xfId="31395"/>
    <cellStyle name="Normal 15 6 2 2 2" xfId="31396"/>
    <cellStyle name="Normal 15 6 2 2 2 2" xfId="31397"/>
    <cellStyle name="Normal 15 6 2 2 3" xfId="31398"/>
    <cellStyle name="Normal 15 6 2 3" xfId="31399"/>
    <cellStyle name="Normal 15 6 2 3 2" xfId="31400"/>
    <cellStyle name="Normal 15 6 2 4" xfId="31401"/>
    <cellStyle name="Normal 15 6 3" xfId="31402"/>
    <cellStyle name="Normal 15 6 3 2" xfId="31403"/>
    <cellStyle name="Normal 15 6 3 2 2" xfId="31404"/>
    <cellStyle name="Normal 15 6 3 3" xfId="31405"/>
    <cellStyle name="Normal 15 6 4" xfId="31406"/>
    <cellStyle name="Normal 15 6 4 2" xfId="31407"/>
    <cellStyle name="Normal 15 6 5" xfId="31408"/>
    <cellStyle name="Normal 15 6 5 2" xfId="31409"/>
    <cellStyle name="Normal 15 6 6" xfId="31410"/>
    <cellStyle name="Normal 15 7" xfId="31411"/>
    <cellStyle name="Normal 15 7 2" xfId="31412"/>
    <cellStyle name="Normal 15 7 2 2" xfId="31413"/>
    <cellStyle name="Normal 15 7 2 2 2" xfId="31414"/>
    <cellStyle name="Normal 15 7 2 2 2 2" xfId="31415"/>
    <cellStyle name="Normal 15 7 2 2 3" xfId="31416"/>
    <cellStyle name="Normal 15 7 2 3" xfId="31417"/>
    <cellStyle name="Normal 15 7 2 3 2" xfId="31418"/>
    <cellStyle name="Normal 15 7 2 4" xfId="31419"/>
    <cellStyle name="Normal 15 7 3" xfId="31420"/>
    <cellStyle name="Normal 15 7 3 2" xfId="31421"/>
    <cellStyle name="Normal 15 7 3 2 2" xfId="31422"/>
    <cellStyle name="Normal 15 7 3 3" xfId="31423"/>
    <cellStyle name="Normal 15 7 4" xfId="31424"/>
    <cellStyle name="Normal 15 7 4 2" xfId="31425"/>
    <cellStyle name="Normal 15 7 5" xfId="31426"/>
    <cellStyle name="Normal 15 7 5 2" xfId="31427"/>
    <cellStyle name="Normal 15 7 6" xfId="31428"/>
    <cellStyle name="Normal 15 8" xfId="31429"/>
    <cellStyle name="Normal 15 8 2" xfId="31430"/>
    <cellStyle name="Normal 15 8 2 2" xfId="31431"/>
    <cellStyle name="Normal 15 8 2 2 2" xfId="31432"/>
    <cellStyle name="Normal 15 8 2 3" xfId="31433"/>
    <cellStyle name="Normal 15 8 3" xfId="31434"/>
    <cellStyle name="Normal 15 8 3 2" xfId="31435"/>
    <cellStyle name="Normal 15 8 4" xfId="31436"/>
    <cellStyle name="Normal 15 9" xfId="31437"/>
    <cellStyle name="Normal 15 9 2" xfId="31438"/>
    <cellStyle name="Normal 15 9 2 2" xfId="31439"/>
    <cellStyle name="Normal 15 9 3" xfId="31440"/>
    <cellStyle name="Normal 16" xfId="591"/>
    <cellStyle name="Normal 16 10" xfId="31441"/>
    <cellStyle name="Normal 16 10 2" xfId="31442"/>
    <cellStyle name="Normal 16 11" xfId="31443"/>
    <cellStyle name="Normal 16 11 2" xfId="31444"/>
    <cellStyle name="Normal 16 12" xfId="31445"/>
    <cellStyle name="Normal 16 12 2" xfId="31446"/>
    <cellStyle name="Normal 16 2" xfId="31447"/>
    <cellStyle name="Normal 16 2 2" xfId="31448"/>
    <cellStyle name="Normal 16 2 2 2" xfId="31449"/>
    <cellStyle name="Normal 16 2 2 2 2" xfId="31450"/>
    <cellStyle name="Normal 16 2 2 2 2 2" xfId="31451"/>
    <cellStyle name="Normal 16 2 2 2 2 2 2" xfId="31452"/>
    <cellStyle name="Normal 16 2 2 2 2 3" xfId="31453"/>
    <cellStyle name="Normal 16 2 2 2 3" xfId="31454"/>
    <cellStyle name="Normal 16 2 2 2 3 2" xfId="31455"/>
    <cellStyle name="Normal 16 2 2 2 4" xfId="31456"/>
    <cellStyle name="Normal 16 2 2 3" xfId="31457"/>
    <cellStyle name="Normal 16 2 2 3 2" xfId="31458"/>
    <cellStyle name="Normal 16 2 2 3 2 2" xfId="31459"/>
    <cellStyle name="Normal 16 2 2 3 3" xfId="31460"/>
    <cellStyle name="Normal 16 2 2 4" xfId="31461"/>
    <cellStyle name="Normal 16 2 2 4 2" xfId="31462"/>
    <cellStyle name="Normal 16 2 2 5" xfId="31463"/>
    <cellStyle name="Normal 16 2 2 5 2" xfId="31464"/>
    <cellStyle name="Normal 16 2 2 6" xfId="31465"/>
    <cellStyle name="Normal 16 2 3" xfId="31466"/>
    <cellStyle name="Normal 16 2 3 2" xfId="31467"/>
    <cellStyle name="Normal 16 2 3 2 2" xfId="31468"/>
    <cellStyle name="Normal 16 2 3 2 2 2" xfId="31469"/>
    <cellStyle name="Normal 16 2 3 2 2 2 2" xfId="31470"/>
    <cellStyle name="Normal 16 2 3 2 2 3" xfId="31471"/>
    <cellStyle name="Normal 16 2 3 2 3" xfId="31472"/>
    <cellStyle name="Normal 16 2 3 2 3 2" xfId="31473"/>
    <cellStyle name="Normal 16 2 3 2 4" xfId="31474"/>
    <cellStyle name="Normal 16 2 3 3" xfId="31475"/>
    <cellStyle name="Normal 16 2 3 3 2" xfId="31476"/>
    <cellStyle name="Normal 16 2 3 3 2 2" xfId="31477"/>
    <cellStyle name="Normal 16 2 3 3 3" xfId="31478"/>
    <cellStyle name="Normal 16 2 3 4" xfId="31479"/>
    <cellStyle name="Normal 16 2 3 4 2" xfId="31480"/>
    <cellStyle name="Normal 16 2 3 5" xfId="31481"/>
    <cellStyle name="Normal 16 2 3 5 2" xfId="31482"/>
    <cellStyle name="Normal 16 2 3 6" xfId="31483"/>
    <cellStyle name="Normal 16 2 4" xfId="31484"/>
    <cellStyle name="Normal 16 2 4 2" xfId="31485"/>
    <cellStyle name="Normal 16 2 4 2 2" xfId="31486"/>
    <cellStyle name="Normal 16 2 4 2 2 2" xfId="31487"/>
    <cellStyle name="Normal 16 2 4 2 3" xfId="31488"/>
    <cellStyle name="Normal 16 2 4 3" xfId="31489"/>
    <cellStyle name="Normal 16 2 4 3 2" xfId="31490"/>
    <cellStyle name="Normal 16 2 4 4" xfId="31491"/>
    <cellStyle name="Normal 16 2 5" xfId="31492"/>
    <cellStyle name="Normal 16 2 5 2" xfId="31493"/>
    <cellStyle name="Normal 16 2 5 2 2" xfId="31494"/>
    <cellStyle name="Normal 16 2 5 3" xfId="31495"/>
    <cellStyle name="Normal 16 2 6" xfId="31496"/>
    <cellStyle name="Normal 16 2 6 2" xfId="31497"/>
    <cellStyle name="Normal 16 2 7" xfId="31498"/>
    <cellStyle name="Normal 16 2 7 2" xfId="31499"/>
    <cellStyle name="Normal 16 2 8" xfId="31500"/>
    <cellStyle name="Normal 16 3" xfId="31501"/>
    <cellStyle name="Normal 16 3 2" xfId="31502"/>
    <cellStyle name="Normal 16 3 2 2" xfId="31503"/>
    <cellStyle name="Normal 16 3 2 2 2" xfId="31504"/>
    <cellStyle name="Normal 16 3 2 2 2 2" xfId="31505"/>
    <cellStyle name="Normal 16 3 2 2 2 2 2" xfId="31506"/>
    <cellStyle name="Normal 16 3 2 2 2 3" xfId="31507"/>
    <cellStyle name="Normal 16 3 2 2 3" xfId="31508"/>
    <cellStyle name="Normal 16 3 2 2 3 2" xfId="31509"/>
    <cellStyle name="Normal 16 3 2 2 4" xfId="31510"/>
    <cellStyle name="Normal 16 3 2 3" xfId="31511"/>
    <cellStyle name="Normal 16 3 2 3 2" xfId="31512"/>
    <cellStyle name="Normal 16 3 2 3 2 2" xfId="31513"/>
    <cellStyle name="Normal 16 3 2 3 3" xfId="31514"/>
    <cellStyle name="Normal 16 3 2 4" xfId="31515"/>
    <cellStyle name="Normal 16 3 2 4 2" xfId="31516"/>
    <cellStyle name="Normal 16 3 2 5" xfId="31517"/>
    <cellStyle name="Normal 16 3 2 5 2" xfId="31518"/>
    <cellStyle name="Normal 16 3 2 6" xfId="31519"/>
    <cellStyle name="Normal 16 3 3" xfId="31520"/>
    <cellStyle name="Normal 16 3 3 2" xfId="31521"/>
    <cellStyle name="Normal 16 3 3 2 2" xfId="31522"/>
    <cellStyle name="Normal 16 3 3 2 2 2" xfId="31523"/>
    <cellStyle name="Normal 16 3 3 2 2 2 2" xfId="31524"/>
    <cellStyle name="Normal 16 3 3 2 2 3" xfId="31525"/>
    <cellStyle name="Normal 16 3 3 2 3" xfId="31526"/>
    <cellStyle name="Normal 16 3 3 2 3 2" xfId="31527"/>
    <cellStyle name="Normal 16 3 3 2 4" xfId="31528"/>
    <cellStyle name="Normal 16 3 3 3" xfId="31529"/>
    <cellStyle name="Normal 16 3 3 3 2" xfId="31530"/>
    <cellStyle name="Normal 16 3 3 3 2 2" xfId="31531"/>
    <cellStyle name="Normal 16 3 3 3 3" xfId="31532"/>
    <cellStyle name="Normal 16 3 3 4" xfId="31533"/>
    <cellStyle name="Normal 16 3 3 4 2" xfId="31534"/>
    <cellStyle name="Normal 16 3 3 5" xfId="31535"/>
    <cellStyle name="Normal 16 3 3 5 2" xfId="31536"/>
    <cellStyle name="Normal 16 3 3 6" xfId="31537"/>
    <cellStyle name="Normal 16 3 4" xfId="31538"/>
    <cellStyle name="Normal 16 3 4 2" xfId="31539"/>
    <cellStyle name="Normal 16 3 4 2 2" xfId="31540"/>
    <cellStyle name="Normal 16 3 4 2 2 2" xfId="31541"/>
    <cellStyle name="Normal 16 3 4 2 3" xfId="31542"/>
    <cellStyle name="Normal 16 3 4 3" xfId="31543"/>
    <cellStyle name="Normal 16 3 4 3 2" xfId="31544"/>
    <cellStyle name="Normal 16 3 4 4" xfId="31545"/>
    <cellStyle name="Normal 16 3 5" xfId="31546"/>
    <cellStyle name="Normal 16 3 5 2" xfId="31547"/>
    <cellStyle name="Normal 16 3 5 2 2" xfId="31548"/>
    <cellStyle name="Normal 16 3 5 3" xfId="31549"/>
    <cellStyle name="Normal 16 3 6" xfId="31550"/>
    <cellStyle name="Normal 16 3 6 2" xfId="31551"/>
    <cellStyle name="Normal 16 3 7" xfId="31552"/>
    <cellStyle name="Normal 16 3 7 2" xfId="31553"/>
    <cellStyle name="Normal 16 3 8" xfId="31554"/>
    <cellStyle name="Normal 16 4" xfId="31555"/>
    <cellStyle name="Normal 16 4 2" xfId="31556"/>
    <cellStyle name="Normal 16 4 2 2" xfId="31557"/>
    <cellStyle name="Normal 16 4 2 2 2" xfId="31558"/>
    <cellStyle name="Normal 16 4 2 2 2 2" xfId="31559"/>
    <cellStyle name="Normal 16 4 2 2 3" xfId="31560"/>
    <cellStyle name="Normal 16 4 2 3" xfId="31561"/>
    <cellStyle name="Normal 16 4 2 3 2" xfId="31562"/>
    <cellStyle name="Normal 16 4 2 4" xfId="31563"/>
    <cellStyle name="Normal 16 4 3" xfId="31564"/>
    <cellStyle name="Normal 16 4 3 2" xfId="31565"/>
    <cellStyle name="Normal 16 4 3 2 2" xfId="31566"/>
    <cellStyle name="Normal 16 4 3 3" xfId="31567"/>
    <cellStyle name="Normal 16 4 4" xfId="31568"/>
    <cellStyle name="Normal 16 4 4 2" xfId="31569"/>
    <cellStyle name="Normal 16 4 5" xfId="31570"/>
    <cellStyle name="Normal 16 4 5 2" xfId="31571"/>
    <cellStyle name="Normal 16 4 6" xfId="31572"/>
    <cellStyle name="Normal 16 5" xfId="31573"/>
    <cellStyle name="Normal 16 5 2" xfId="31574"/>
    <cellStyle name="Normal 16 5 2 2" xfId="31575"/>
    <cellStyle name="Normal 16 5 2 2 2" xfId="31576"/>
    <cellStyle name="Normal 16 5 2 2 2 2" xfId="31577"/>
    <cellStyle name="Normal 16 5 2 2 3" xfId="31578"/>
    <cellStyle name="Normal 16 5 2 3" xfId="31579"/>
    <cellStyle name="Normal 16 5 2 3 2" xfId="31580"/>
    <cellStyle name="Normal 16 5 2 4" xfId="31581"/>
    <cellStyle name="Normal 16 5 3" xfId="31582"/>
    <cellStyle name="Normal 16 5 3 2" xfId="31583"/>
    <cellStyle name="Normal 16 5 3 2 2" xfId="31584"/>
    <cellStyle name="Normal 16 5 3 3" xfId="31585"/>
    <cellStyle name="Normal 16 5 4" xfId="31586"/>
    <cellStyle name="Normal 16 5 4 2" xfId="31587"/>
    <cellStyle name="Normal 16 5 5" xfId="31588"/>
    <cellStyle name="Normal 16 5 5 2" xfId="31589"/>
    <cellStyle name="Normal 16 5 6" xfId="31590"/>
    <cellStyle name="Normal 16 6" xfId="31591"/>
    <cellStyle name="Normal 16 6 2" xfId="31592"/>
    <cellStyle name="Normal 16 6 2 2" xfId="31593"/>
    <cellStyle name="Normal 16 6 2 2 2" xfId="31594"/>
    <cellStyle name="Normal 16 6 2 2 2 2" xfId="31595"/>
    <cellStyle name="Normal 16 6 2 2 3" xfId="31596"/>
    <cellStyle name="Normal 16 6 2 3" xfId="31597"/>
    <cellStyle name="Normal 16 6 2 3 2" xfId="31598"/>
    <cellStyle name="Normal 16 6 2 4" xfId="31599"/>
    <cellStyle name="Normal 16 6 3" xfId="31600"/>
    <cellStyle name="Normal 16 6 3 2" xfId="31601"/>
    <cellStyle name="Normal 16 6 3 2 2" xfId="31602"/>
    <cellStyle name="Normal 16 6 3 3" xfId="31603"/>
    <cellStyle name="Normal 16 6 4" xfId="31604"/>
    <cellStyle name="Normal 16 6 4 2" xfId="31605"/>
    <cellStyle name="Normal 16 6 5" xfId="31606"/>
    <cellStyle name="Normal 16 6 5 2" xfId="31607"/>
    <cellStyle name="Normal 16 6 6" xfId="31608"/>
    <cellStyle name="Normal 16 7" xfId="31609"/>
    <cellStyle name="Normal 16 7 2" xfId="31610"/>
    <cellStyle name="Normal 16 7 2 2" xfId="31611"/>
    <cellStyle name="Normal 16 7 2 2 2" xfId="31612"/>
    <cellStyle name="Normal 16 7 2 2 2 2" xfId="31613"/>
    <cellStyle name="Normal 16 7 2 2 3" xfId="31614"/>
    <cellStyle name="Normal 16 7 2 3" xfId="31615"/>
    <cellStyle name="Normal 16 7 2 3 2" xfId="31616"/>
    <cellStyle name="Normal 16 7 2 4" xfId="31617"/>
    <cellStyle name="Normal 16 7 3" xfId="31618"/>
    <cellStyle name="Normal 16 7 3 2" xfId="31619"/>
    <cellStyle name="Normal 16 7 3 2 2" xfId="31620"/>
    <cellStyle name="Normal 16 7 3 3" xfId="31621"/>
    <cellStyle name="Normal 16 7 4" xfId="31622"/>
    <cellStyle name="Normal 16 7 4 2" xfId="31623"/>
    <cellStyle name="Normal 16 7 5" xfId="31624"/>
    <cellStyle name="Normal 16 7 5 2" xfId="31625"/>
    <cellStyle name="Normal 16 7 6" xfId="31626"/>
    <cellStyle name="Normal 16 8" xfId="31627"/>
    <cellStyle name="Normal 16 8 2" xfId="31628"/>
    <cellStyle name="Normal 16 8 2 2" xfId="31629"/>
    <cellStyle name="Normal 16 8 2 2 2" xfId="31630"/>
    <cellStyle name="Normal 16 8 2 3" xfId="31631"/>
    <cellStyle name="Normal 16 8 3" xfId="31632"/>
    <cellStyle name="Normal 16 8 3 2" xfId="31633"/>
    <cellStyle name="Normal 16 8 4" xfId="31634"/>
    <cellStyle name="Normal 16 9" xfId="31635"/>
    <cellStyle name="Normal 16 9 2" xfId="31636"/>
    <cellStyle name="Normal 16 9 2 2" xfId="31637"/>
    <cellStyle name="Normal 16 9 3" xfId="31638"/>
    <cellStyle name="Normal 17" xfId="31639"/>
    <cellStyle name="Normal 17 2" xfId="31640"/>
    <cellStyle name="Normal 17 2 2" xfId="31641"/>
    <cellStyle name="Normal 17 2 2 2" xfId="31642"/>
    <cellStyle name="Normal 17 2 2 2 2" xfId="31643"/>
    <cellStyle name="Normal 17 2 2 2 2 2" xfId="31644"/>
    <cellStyle name="Normal 17 2 2 2 3" xfId="31645"/>
    <cellStyle name="Normal 17 2 2 3" xfId="31646"/>
    <cellStyle name="Normal 17 2 2 3 2" xfId="31647"/>
    <cellStyle name="Normal 17 2 2 4" xfId="31648"/>
    <cellStyle name="Normal 17 2 3" xfId="31649"/>
    <cellStyle name="Normal 17 2 3 2" xfId="31650"/>
    <cellStyle name="Normal 17 2 3 2 2" xfId="31651"/>
    <cellStyle name="Normal 17 2 3 3" xfId="31652"/>
    <cellStyle name="Normal 17 2 4" xfId="31653"/>
    <cellStyle name="Normal 17 2 4 2" xfId="31654"/>
    <cellStyle name="Normal 17 2 5" xfId="31655"/>
    <cellStyle name="Normal 17 2 5 2" xfId="31656"/>
    <cellStyle name="Normal 17 2 6" xfId="31657"/>
    <cellStyle name="Normal 17 3" xfId="31658"/>
    <cellStyle name="Normal 17 3 2" xfId="31659"/>
    <cellStyle name="Normal 17 3 2 2" xfId="31660"/>
    <cellStyle name="Normal 17 3 2 2 2" xfId="31661"/>
    <cellStyle name="Normal 17 3 2 2 2 2" xfId="31662"/>
    <cellStyle name="Normal 17 3 2 2 3" xfId="31663"/>
    <cellStyle name="Normal 17 3 2 3" xfId="31664"/>
    <cellStyle name="Normal 17 3 2 3 2" xfId="31665"/>
    <cellStyle name="Normal 17 3 2 4" xfId="31666"/>
    <cellStyle name="Normal 17 3 3" xfId="31667"/>
    <cellStyle name="Normal 17 3 3 2" xfId="31668"/>
    <cellStyle name="Normal 17 3 3 2 2" xfId="31669"/>
    <cellStyle name="Normal 17 3 3 3" xfId="31670"/>
    <cellStyle name="Normal 17 3 4" xfId="31671"/>
    <cellStyle name="Normal 17 3 4 2" xfId="31672"/>
    <cellStyle name="Normal 17 3 5" xfId="31673"/>
    <cellStyle name="Normal 17 3 5 2" xfId="31674"/>
    <cellStyle name="Normal 17 3 6" xfId="31675"/>
    <cellStyle name="Normal 17 4" xfId="31676"/>
    <cellStyle name="Normal 17 4 2" xfId="31677"/>
    <cellStyle name="Normal 17 4 2 2" xfId="31678"/>
    <cellStyle name="Normal 17 4 2 2 2" xfId="31679"/>
    <cellStyle name="Normal 17 4 2 3" xfId="31680"/>
    <cellStyle name="Normal 17 4 3" xfId="31681"/>
    <cellStyle name="Normal 17 4 3 2" xfId="31682"/>
    <cellStyle name="Normal 17 4 4" xfId="31683"/>
    <cellStyle name="Normal 17 5" xfId="31684"/>
    <cellStyle name="Normal 17 5 2" xfId="31685"/>
    <cellStyle name="Normal 17 5 2 2" xfId="31686"/>
    <cellStyle name="Normal 17 5 3" xfId="31687"/>
    <cellStyle name="Normal 17 6" xfId="31688"/>
    <cellStyle name="Normal 17 6 2" xfId="31689"/>
    <cellStyle name="Normal 17 7" xfId="31690"/>
    <cellStyle name="Normal 17 7 2" xfId="31691"/>
    <cellStyle name="Normal 17 8" xfId="31692"/>
    <cellStyle name="Normal 18" xfId="31693"/>
    <cellStyle name="Normal 18 2" xfId="31694"/>
    <cellStyle name="Normal 18 2 2" xfId="31695"/>
    <cellStyle name="Normal 18 2 2 2" xfId="31696"/>
    <cellStyle name="Normal 18 2 2 2 2" xfId="31697"/>
    <cellStyle name="Normal 18 2 2 2 2 2" xfId="31698"/>
    <cellStyle name="Normal 18 2 2 2 3" xfId="31699"/>
    <cellStyle name="Normal 18 2 2 3" xfId="31700"/>
    <cellStyle name="Normal 18 2 2 3 2" xfId="31701"/>
    <cellStyle name="Normal 18 2 2 4" xfId="31702"/>
    <cellStyle name="Normal 18 2 3" xfId="31703"/>
    <cellStyle name="Normal 18 2 3 2" xfId="31704"/>
    <cellStyle name="Normal 18 2 3 2 2" xfId="31705"/>
    <cellStyle name="Normal 18 2 3 3" xfId="31706"/>
    <cellStyle name="Normal 18 2 4" xfId="31707"/>
    <cellStyle name="Normal 18 2 4 2" xfId="31708"/>
    <cellStyle name="Normal 18 2 5" xfId="31709"/>
    <cellStyle name="Normal 18 2 5 2" xfId="31710"/>
    <cellStyle name="Normal 18 2 6" xfId="31711"/>
    <cellStyle name="Normal 18 3" xfId="31712"/>
    <cellStyle name="Normal 18 3 2" xfId="31713"/>
    <cellStyle name="Normal 18 3 2 2" xfId="31714"/>
    <cellStyle name="Normal 18 3 2 2 2" xfId="31715"/>
    <cellStyle name="Normal 18 3 2 2 2 2" xfId="31716"/>
    <cellStyle name="Normal 18 3 2 2 3" xfId="31717"/>
    <cellStyle name="Normal 18 3 2 3" xfId="31718"/>
    <cellStyle name="Normal 18 3 2 3 2" xfId="31719"/>
    <cellStyle name="Normal 18 3 2 4" xfId="31720"/>
    <cellStyle name="Normal 18 3 3" xfId="31721"/>
    <cellStyle name="Normal 18 3 3 2" xfId="31722"/>
    <cellStyle name="Normal 18 3 3 2 2" xfId="31723"/>
    <cellStyle name="Normal 18 3 3 3" xfId="31724"/>
    <cellStyle name="Normal 18 3 4" xfId="31725"/>
    <cellStyle name="Normal 18 3 4 2" xfId="31726"/>
    <cellStyle name="Normal 18 3 5" xfId="31727"/>
    <cellStyle name="Normal 18 3 5 2" xfId="31728"/>
    <cellStyle name="Normal 18 3 6" xfId="31729"/>
    <cellStyle name="Normal 18 4" xfId="31730"/>
    <cellStyle name="Normal 18 4 2" xfId="31731"/>
    <cellStyle name="Normal 18 4 2 2" xfId="31732"/>
    <cellStyle name="Normal 18 4 2 2 2" xfId="31733"/>
    <cellStyle name="Normal 18 4 2 3" xfId="31734"/>
    <cellStyle name="Normal 18 4 3" xfId="31735"/>
    <cellStyle name="Normal 18 4 3 2" xfId="31736"/>
    <cellStyle name="Normal 18 4 4" xfId="31737"/>
    <cellStyle name="Normal 18 5" xfId="31738"/>
    <cellStyle name="Normal 18 5 2" xfId="31739"/>
    <cellStyle name="Normal 18 5 2 2" xfId="31740"/>
    <cellStyle name="Normal 18 5 3" xfId="31741"/>
    <cellStyle name="Normal 18 6" xfId="31742"/>
    <cellStyle name="Normal 18 6 2" xfId="31743"/>
    <cellStyle name="Normal 18 7" xfId="31744"/>
    <cellStyle name="Normal 18 7 2" xfId="31745"/>
    <cellStyle name="Normal 18 8" xfId="31746"/>
    <cellStyle name="Normal 19" xfId="31747"/>
    <cellStyle name="Normal 19 2" xfId="31748"/>
    <cellStyle name="Normal 19 2 2" xfId="31749"/>
    <cellStyle name="Normal 19 2 2 2" xfId="31750"/>
    <cellStyle name="Normal 19 2 2 2 2" xfId="31751"/>
    <cellStyle name="Normal 19 2 2 3" xfId="31752"/>
    <cellStyle name="Normal 19 2 3" xfId="31753"/>
    <cellStyle name="Normal 19 2 3 2" xfId="31754"/>
    <cellStyle name="Normal 19 2 4" xfId="31755"/>
    <cellStyle name="Normal 19 3" xfId="31756"/>
    <cellStyle name="Normal 19 3 2" xfId="31757"/>
    <cellStyle name="Normal 19 3 2 2" xfId="31758"/>
    <cellStyle name="Normal 19 3 3" xfId="31759"/>
    <cellStyle name="Normal 19 4" xfId="31760"/>
    <cellStyle name="Normal 19 4 2" xfId="31761"/>
    <cellStyle name="Normal 19 5" xfId="31762"/>
    <cellStyle name="Normal 19 5 2" xfId="31763"/>
    <cellStyle name="Normal 19 6" xfId="31764"/>
    <cellStyle name="Normal 2" xfId="113"/>
    <cellStyle name="Normal 2 10" xfId="31765"/>
    <cellStyle name="Normal 2 11" xfId="343"/>
    <cellStyle name="Normal 2 12" xfId="218"/>
    <cellStyle name="Normal 2 2" xfId="114"/>
    <cellStyle name="Normal 2 2 2" xfId="115"/>
    <cellStyle name="Normal 2 2 2 2" xfId="116"/>
    <cellStyle name="Normal 2 2 2 2 2" xfId="117"/>
    <cellStyle name="Normal 2 2 2 3" xfId="118"/>
    <cellStyle name="Normal 2 2 2 4" xfId="31766"/>
    <cellStyle name="Normal 2 2 3" xfId="119"/>
    <cellStyle name="Normal 2 2 3 2" xfId="120"/>
    <cellStyle name="Normal 2 2 3 3" xfId="31767"/>
    <cellStyle name="Normal 2 2 4" xfId="121"/>
    <cellStyle name="Normal 2 2 4 2" xfId="31768"/>
    <cellStyle name="Normal 2 2 5" xfId="31769"/>
    <cellStyle name="Normal 2 2 6" xfId="31770"/>
    <cellStyle name="Normal 2 2 7" xfId="31771"/>
    <cellStyle name="Normal 2 2 8" xfId="334"/>
    <cellStyle name="Normal 2 2_Analysis" xfId="122"/>
    <cellStyle name="Normal 2 3" xfId="123"/>
    <cellStyle name="Normal 2 3 2" xfId="31772"/>
    <cellStyle name="Normal 2 3 3" xfId="31773"/>
    <cellStyle name="Normal 2 3 4" xfId="31774"/>
    <cellStyle name="Normal 2 3 5" xfId="592"/>
    <cellStyle name="Normal 2 3 6" xfId="336"/>
    <cellStyle name="Normal 2 4" xfId="124"/>
    <cellStyle name="Normal 2 4 2" xfId="31776"/>
    <cellStyle name="Normal 2 4 3" xfId="31777"/>
    <cellStyle name="Normal 2 4 3 2" xfId="31778"/>
    <cellStyle name="Normal 2 4 3 2 2" xfId="31779"/>
    <cellStyle name="Normal 2 4 3 2 2 2" xfId="31780"/>
    <cellStyle name="Normal 2 4 3 2 2 3" xfId="31781"/>
    <cellStyle name="Normal 2 4 3 2 2 4" xfId="31782"/>
    <cellStyle name="Normal 2 4 3 2 3" xfId="31783"/>
    <cellStyle name="Normal 2 4 3 3" xfId="31784"/>
    <cellStyle name="Normal 2 4 3 3 2" xfId="31785"/>
    <cellStyle name="Normal 2 4 3 3 2 2" xfId="31786"/>
    <cellStyle name="Normal 2 4 3 3 3" xfId="31787"/>
    <cellStyle name="Normal 2 4 3 3 4" xfId="31788"/>
    <cellStyle name="Normal 2 4 3 3 5" xfId="31789"/>
    <cellStyle name="Normal 2 4 3 4" xfId="31790"/>
    <cellStyle name="Normal 2 4 3 4 2" xfId="31791"/>
    <cellStyle name="Normal 2 4 3 4 2 2" xfId="31792"/>
    <cellStyle name="Normal 2 4 3 4 3" xfId="31793"/>
    <cellStyle name="Normal 2 4 3 4 4" xfId="31794"/>
    <cellStyle name="Normal 2 4 3 4 5" xfId="31795"/>
    <cellStyle name="Normal 2 4 3 4 6" xfId="31796"/>
    <cellStyle name="Normal 2 4 3 5" xfId="31797"/>
    <cellStyle name="Normal 2 4 3 6" xfId="31798"/>
    <cellStyle name="Normal 2 4 4" xfId="31799"/>
    <cellStyle name="Normal 2 4 4 2" xfId="31800"/>
    <cellStyle name="Normal 2 4 4 3" xfId="31801"/>
    <cellStyle name="Normal 2 4 5" xfId="31802"/>
    <cellStyle name="Normal 2 4 5 2" xfId="31803"/>
    <cellStyle name="Normal 2 4 5 2 2" xfId="31804"/>
    <cellStyle name="Normal 2 4 5 2 3" xfId="31805"/>
    <cellStyle name="Normal 2 4 5 3" xfId="31806"/>
    <cellStyle name="Normal 2 4 5 3 2" xfId="31807"/>
    <cellStyle name="Normal 2 4 5 4" xfId="31808"/>
    <cellStyle name="Normal 2 4 5 4 2" xfId="31809"/>
    <cellStyle name="Normal 2 4 5 5" xfId="31810"/>
    <cellStyle name="Normal 2 4 6" xfId="31811"/>
    <cellStyle name="Normal 2 4 7" xfId="31812"/>
    <cellStyle name="Normal 2 4 7 2" xfId="31813"/>
    <cellStyle name="Normal 2 4 7 3" xfId="31814"/>
    <cellStyle name="Normal 2 4 8" xfId="31775"/>
    <cellStyle name="Normal 2 5" xfId="125"/>
    <cellStyle name="Normal 2 5 2" xfId="31816"/>
    <cellStyle name="Normal 2 5 2 2" xfId="31817"/>
    <cellStyle name="Normal 2 5 2 3" xfId="31818"/>
    <cellStyle name="Normal 2 5 3" xfId="31819"/>
    <cellStyle name="Normal 2 5 3 2" xfId="31820"/>
    <cellStyle name="Normal 2 5 4" xfId="31821"/>
    <cellStyle name="Normal 2 5 4 2" xfId="31822"/>
    <cellStyle name="Normal 2 5 5" xfId="31823"/>
    <cellStyle name="Normal 2 5 6" xfId="31815"/>
    <cellStyle name="Normal 2 6" xfId="126"/>
    <cellStyle name="Normal 2 6 2" xfId="31825"/>
    <cellStyle name="Normal 2 6 3" xfId="31826"/>
    <cellStyle name="Normal 2 6 4" xfId="31824"/>
    <cellStyle name="Normal 2 7" xfId="127"/>
    <cellStyle name="Normal 2 7 2" xfId="31827"/>
    <cellStyle name="Normal 2 8" xfId="31828"/>
    <cellStyle name="Normal 2 9" xfId="31829"/>
    <cellStyle name="Normal 2 9 2" xfId="31830"/>
    <cellStyle name="Normal 2 9 3" xfId="31831"/>
    <cellStyle name="Normal 2 9 3 2" xfId="31832"/>
    <cellStyle name="Normal 2_Analysis" xfId="128"/>
    <cellStyle name="Normal 20" xfId="31833"/>
    <cellStyle name="Normal 20 2" xfId="31834"/>
    <cellStyle name="Normal 20 2 2" xfId="31835"/>
    <cellStyle name="Normal 20 2 2 2" xfId="31836"/>
    <cellStyle name="Normal 20 2 2 2 2" xfId="31837"/>
    <cellStyle name="Normal 20 2 2 3" xfId="31838"/>
    <cellStyle name="Normal 20 2 3" xfId="31839"/>
    <cellStyle name="Normal 20 2 3 2" xfId="31840"/>
    <cellStyle name="Normal 20 2 4" xfId="31841"/>
    <cellStyle name="Normal 20 3" xfId="31842"/>
    <cellStyle name="Normal 20 3 2" xfId="31843"/>
    <cellStyle name="Normal 20 3 2 2" xfId="31844"/>
    <cellStyle name="Normal 20 3 3" xfId="31845"/>
    <cellStyle name="Normal 20 4" xfId="31846"/>
    <cellStyle name="Normal 20 4 2" xfId="31847"/>
    <cellStyle name="Normal 20 5" xfId="31848"/>
    <cellStyle name="Normal 20 5 2" xfId="31849"/>
    <cellStyle name="Normal 20 6" xfId="31850"/>
    <cellStyle name="Normal 21" xfId="31851"/>
    <cellStyle name="Normal 21 2" xfId="31852"/>
    <cellStyle name="Normal 21 2 2" xfId="31853"/>
    <cellStyle name="Normal 21 2 2 2" xfId="31854"/>
    <cellStyle name="Normal 21 2 2 2 2" xfId="31855"/>
    <cellStyle name="Normal 21 2 2 3" xfId="31856"/>
    <cellStyle name="Normal 21 2 3" xfId="31857"/>
    <cellStyle name="Normal 21 2 3 2" xfId="31858"/>
    <cellStyle name="Normal 21 2 4" xfId="31859"/>
    <cellStyle name="Normal 21 3" xfId="31860"/>
    <cellStyle name="Normal 21 3 2" xfId="31861"/>
    <cellStyle name="Normal 21 3 2 2" xfId="31862"/>
    <cellStyle name="Normal 21 3 3" xfId="31863"/>
    <cellStyle name="Normal 21 4" xfId="31864"/>
    <cellStyle name="Normal 21 4 2" xfId="31865"/>
    <cellStyle name="Normal 21 5" xfId="31866"/>
    <cellStyle name="Normal 21 5 2" xfId="31867"/>
    <cellStyle name="Normal 21 6" xfId="31868"/>
    <cellStyle name="Normal 22" xfId="31869"/>
    <cellStyle name="Normal 22 2" xfId="31870"/>
    <cellStyle name="Normal 22 2 2" xfId="31871"/>
    <cellStyle name="Normal 22 2 2 2" xfId="31872"/>
    <cellStyle name="Normal 22 2 3" xfId="31873"/>
    <cellStyle name="Normal 22 2 4" xfId="31874"/>
    <cellStyle name="Normal 22 2 4 2" xfId="31875"/>
    <cellStyle name="Normal 22 3" xfId="31876"/>
    <cellStyle name="Normal 22 3 2" xfId="31877"/>
    <cellStyle name="Normal 22 4" xfId="31878"/>
    <cellStyle name="Normal 22 5" xfId="31879"/>
    <cellStyle name="Normal 22 5 2" xfId="31880"/>
    <cellStyle name="Normal 23" xfId="31881"/>
    <cellStyle name="Normal 23 2" xfId="31882"/>
    <cellStyle name="Normal 24" xfId="31883"/>
    <cellStyle name="Normal 24 2" xfId="31884"/>
    <cellStyle name="Normal 24 2 2" xfId="31885"/>
    <cellStyle name="Normal 24 2 3" xfId="31886"/>
    <cellStyle name="Normal 24 2 3 2" xfId="31887"/>
    <cellStyle name="Normal 24 3" xfId="31888"/>
    <cellStyle name="Normal 24 4" xfId="31889"/>
    <cellStyle name="Normal 24 4 2" xfId="31890"/>
    <cellStyle name="Normal 25" xfId="31891"/>
    <cellStyle name="Normal 25 2" xfId="31892"/>
    <cellStyle name="Normal 25 2 2" xfId="31893"/>
    <cellStyle name="Normal 25 3" xfId="31894"/>
    <cellStyle name="Normal 25 4" xfId="31895"/>
    <cellStyle name="Normal 26" xfId="31896"/>
    <cellStyle name="Normal 26 2" xfId="31897"/>
    <cellStyle name="Normal 26 2 2" xfId="31898"/>
    <cellStyle name="Normal 26 3" xfId="31899"/>
    <cellStyle name="Normal 27" xfId="31900"/>
    <cellStyle name="Normal 28" xfId="31901"/>
    <cellStyle name="Normal 29" xfId="31902"/>
    <cellStyle name="Normal 3" xfId="129"/>
    <cellStyle name="Normal 3 10" xfId="31903"/>
    <cellStyle name="Normal 3 10 2" xfId="31904"/>
    <cellStyle name="Normal 3 10 2 2" xfId="31905"/>
    <cellStyle name="Normal 3 10 3" xfId="31906"/>
    <cellStyle name="Normal 3 10 4" xfId="31907"/>
    <cellStyle name="Normal 3 11" xfId="31908"/>
    <cellStyle name="Normal 3 11 2" xfId="31909"/>
    <cellStyle name="Normal 3 12" xfId="31910"/>
    <cellStyle name="Normal 3 13" xfId="31911"/>
    <cellStyle name="Normal 3 14" xfId="333"/>
    <cellStyle name="Normal 3 2" xfId="478"/>
    <cellStyle name="Normal 3 2 2" xfId="31912"/>
    <cellStyle name="Normal 3 2 2 2" xfId="31913"/>
    <cellStyle name="Normal 3 2 2 3" xfId="31914"/>
    <cellStyle name="Normal 3 2 2 4" xfId="31915"/>
    <cellStyle name="Normal 3 2 3" xfId="31916"/>
    <cellStyle name="Normal 3 2 4" xfId="31917"/>
    <cellStyle name="Normal 3 2 5" xfId="31918"/>
    <cellStyle name="Normal 3 2 6" xfId="31919"/>
    <cellStyle name="Normal 3 2 7" xfId="31920"/>
    <cellStyle name="Normal 3 3" xfId="31921"/>
    <cellStyle name="Normal 3 3 10" xfId="31922"/>
    <cellStyle name="Normal 3 3 2" xfId="31923"/>
    <cellStyle name="Normal 3 3 2 2" xfId="31924"/>
    <cellStyle name="Normal 3 3 2 2 2" xfId="31925"/>
    <cellStyle name="Normal 3 3 2 2 2 2" xfId="31926"/>
    <cellStyle name="Normal 3 3 2 2 2 2 2" xfId="31927"/>
    <cellStyle name="Normal 3 3 2 2 2 2 2 2" xfId="31928"/>
    <cellStyle name="Normal 3 3 2 2 2 2 3" xfId="31929"/>
    <cellStyle name="Normal 3 3 2 2 2 2 4" xfId="31930"/>
    <cellStyle name="Normal 3 3 2 2 2 3" xfId="31931"/>
    <cellStyle name="Normal 3 3 2 2 2 4" xfId="31932"/>
    <cellStyle name="Normal 3 3 2 2 2 4 2" xfId="31933"/>
    <cellStyle name="Normal 3 3 2 2 2 5" xfId="31934"/>
    <cellStyle name="Normal 3 3 2 2 2 6" xfId="31935"/>
    <cellStyle name="Normal 3 3 2 2 3" xfId="31936"/>
    <cellStyle name="Normal 3 3 2 2 3 2" xfId="31937"/>
    <cellStyle name="Normal 3 3 2 2 3 3" xfId="31938"/>
    <cellStyle name="Normal 3 3 2 2 3 3 2" xfId="31939"/>
    <cellStyle name="Normal 3 3 2 2 3 4" xfId="31940"/>
    <cellStyle name="Normal 3 3 2 2 3 5" xfId="31941"/>
    <cellStyle name="Normal 3 3 2 2 4" xfId="31942"/>
    <cellStyle name="Normal 3 3 2 2 5" xfId="31943"/>
    <cellStyle name="Normal 3 3 2 2 6" xfId="31944"/>
    <cellStyle name="Normal 3 3 2 2 6 2" xfId="31945"/>
    <cellStyle name="Normal 3 3 2 2 7" xfId="31946"/>
    <cellStyle name="Normal 3 3 2 2 8" xfId="31947"/>
    <cellStyle name="Normal 3 3 2 3" xfId="31948"/>
    <cellStyle name="Normal 3 3 2 3 10" xfId="31949"/>
    <cellStyle name="Normal 3 3 2 3 10 2" xfId="31950"/>
    <cellStyle name="Normal 3 3 2 3 11" xfId="31951"/>
    <cellStyle name="Normal 3 3 2 3 11 2" xfId="31952"/>
    <cellStyle name="Normal 3 3 2 3 12" xfId="31953"/>
    <cellStyle name="Normal 3 3 2 3 13" xfId="31954"/>
    <cellStyle name="Normal 3 3 2 3 13 2" xfId="31955"/>
    <cellStyle name="Normal 3 3 2 3 14" xfId="31956"/>
    <cellStyle name="Normal 3 3 2 3 14 2" xfId="31957"/>
    <cellStyle name="Normal 3 3 2 3 15" xfId="31958"/>
    <cellStyle name="Normal 3 3 2 3 16" xfId="31959"/>
    <cellStyle name="Normal 3 3 2 3 2" xfId="31960"/>
    <cellStyle name="Normal 3 3 2 3 2 10" xfId="31961"/>
    <cellStyle name="Normal 3 3 2 3 2 10 2" xfId="31962"/>
    <cellStyle name="Normal 3 3 2 3 2 11" xfId="31963"/>
    <cellStyle name="Normal 3 3 2 3 2 11 2" xfId="31964"/>
    <cellStyle name="Normal 3 3 2 3 2 12" xfId="31965"/>
    <cellStyle name="Normal 3 3 2 3 2 12 2" xfId="31966"/>
    <cellStyle name="Normal 3 3 2 3 2 13" xfId="31967"/>
    <cellStyle name="Normal 3 3 2 3 2 14" xfId="31968"/>
    <cellStyle name="Normal 3 3 2 3 2 2" xfId="31969"/>
    <cellStyle name="Normal 3 3 2 3 2 2 10" xfId="31970"/>
    <cellStyle name="Normal 3 3 2 3 2 2 11" xfId="31971"/>
    <cellStyle name="Normal 3 3 2 3 2 2 2" xfId="31972"/>
    <cellStyle name="Normal 3 3 2 3 2 2 2 2" xfId="31973"/>
    <cellStyle name="Normal 3 3 2 3 2 2 2 2 2" xfId="31974"/>
    <cellStyle name="Normal 3 3 2 3 2 2 2 2 2 2" xfId="31975"/>
    <cellStyle name="Normal 3 3 2 3 2 2 2 2 2 2 2" xfId="31976"/>
    <cellStyle name="Normal 3 3 2 3 2 2 2 2 2 3" xfId="31977"/>
    <cellStyle name="Normal 3 3 2 3 2 2 2 2 3" xfId="31978"/>
    <cellStyle name="Normal 3 3 2 3 2 2 2 2 3 2" xfId="31979"/>
    <cellStyle name="Normal 3 3 2 3 2 2 2 2 4" xfId="31980"/>
    <cellStyle name="Normal 3 3 2 3 2 2 2 3" xfId="31981"/>
    <cellStyle name="Normal 3 3 2 3 2 2 2 3 2" xfId="31982"/>
    <cellStyle name="Normal 3 3 2 3 2 2 2 3 2 2" xfId="31983"/>
    <cellStyle name="Normal 3 3 2 3 2 2 2 3 3" xfId="31984"/>
    <cellStyle name="Normal 3 3 2 3 2 2 2 4" xfId="31985"/>
    <cellStyle name="Normal 3 3 2 3 2 2 2 4 2" xfId="31986"/>
    <cellStyle name="Normal 3 3 2 3 2 2 2 5" xfId="31987"/>
    <cellStyle name="Normal 3 3 2 3 2 2 2 5 2" xfId="31988"/>
    <cellStyle name="Normal 3 3 2 3 2 2 2 6" xfId="31989"/>
    <cellStyle name="Normal 3 3 2 3 2 2 3" xfId="31990"/>
    <cellStyle name="Normal 3 3 2 3 2 2 3 2" xfId="31991"/>
    <cellStyle name="Normal 3 3 2 3 2 2 3 2 2" xfId="31992"/>
    <cellStyle name="Normal 3 3 2 3 2 2 3 2 2 2" xfId="31993"/>
    <cellStyle name="Normal 3 3 2 3 2 2 3 2 2 2 2" xfId="31994"/>
    <cellStyle name="Normal 3 3 2 3 2 2 3 2 2 3" xfId="31995"/>
    <cellStyle name="Normal 3 3 2 3 2 2 3 2 3" xfId="31996"/>
    <cellStyle name="Normal 3 3 2 3 2 2 3 2 3 2" xfId="31997"/>
    <cellStyle name="Normal 3 3 2 3 2 2 3 2 4" xfId="31998"/>
    <cellStyle name="Normal 3 3 2 3 2 2 3 3" xfId="31999"/>
    <cellStyle name="Normal 3 3 2 3 2 2 3 3 2" xfId="32000"/>
    <cellStyle name="Normal 3 3 2 3 2 2 3 3 2 2" xfId="32001"/>
    <cellStyle name="Normal 3 3 2 3 2 2 3 3 3" xfId="32002"/>
    <cellStyle name="Normal 3 3 2 3 2 2 3 4" xfId="32003"/>
    <cellStyle name="Normal 3 3 2 3 2 2 3 4 2" xfId="32004"/>
    <cellStyle name="Normal 3 3 2 3 2 2 3 5" xfId="32005"/>
    <cellStyle name="Normal 3 3 2 3 2 2 3 5 2" xfId="32006"/>
    <cellStyle name="Normal 3 3 2 3 2 2 3 6" xfId="32007"/>
    <cellStyle name="Normal 3 3 2 3 2 2 4" xfId="32008"/>
    <cellStyle name="Normal 3 3 2 3 2 2 4 2" xfId="32009"/>
    <cellStyle name="Normal 3 3 2 3 2 2 4 2 2" xfId="32010"/>
    <cellStyle name="Normal 3 3 2 3 2 2 4 2 2 2" xfId="32011"/>
    <cellStyle name="Normal 3 3 2 3 2 2 4 2 3" xfId="32012"/>
    <cellStyle name="Normal 3 3 2 3 2 2 4 3" xfId="32013"/>
    <cellStyle name="Normal 3 3 2 3 2 2 4 3 2" xfId="32014"/>
    <cellStyle name="Normal 3 3 2 3 2 2 4 4" xfId="32015"/>
    <cellStyle name="Normal 3 3 2 3 2 2 5" xfId="32016"/>
    <cellStyle name="Normal 3 3 2 3 2 2 5 2" xfId="32017"/>
    <cellStyle name="Normal 3 3 2 3 2 2 5 2 2" xfId="32018"/>
    <cellStyle name="Normal 3 3 2 3 2 2 5 3" xfId="32019"/>
    <cellStyle name="Normal 3 3 2 3 2 2 6" xfId="32020"/>
    <cellStyle name="Normal 3 3 2 3 2 2 6 2" xfId="32021"/>
    <cellStyle name="Normal 3 3 2 3 2 2 7" xfId="32022"/>
    <cellStyle name="Normal 3 3 2 3 2 2 7 2" xfId="32023"/>
    <cellStyle name="Normal 3 3 2 3 2 2 8" xfId="32024"/>
    <cellStyle name="Normal 3 3 2 3 2 2 8 2" xfId="32025"/>
    <cellStyle name="Normal 3 3 2 3 2 2 9" xfId="32026"/>
    <cellStyle name="Normal 3 3 2 3 2 2 9 2" xfId="32027"/>
    <cellStyle name="Normal 3 3 2 3 2 3" xfId="32028"/>
    <cellStyle name="Normal 3 3 2 3 2 3 2" xfId="32029"/>
    <cellStyle name="Normal 3 3 2 3 2 3 2 2" xfId="32030"/>
    <cellStyle name="Normal 3 3 2 3 2 3 2 2 2" xfId="32031"/>
    <cellStyle name="Normal 3 3 2 3 2 3 2 2 2 2" xfId="32032"/>
    <cellStyle name="Normal 3 3 2 3 2 3 2 2 2 2 2" xfId="32033"/>
    <cellStyle name="Normal 3 3 2 3 2 3 2 2 2 3" xfId="32034"/>
    <cellStyle name="Normal 3 3 2 3 2 3 2 2 3" xfId="32035"/>
    <cellStyle name="Normal 3 3 2 3 2 3 2 2 3 2" xfId="32036"/>
    <cellStyle name="Normal 3 3 2 3 2 3 2 2 4" xfId="32037"/>
    <cellStyle name="Normal 3 3 2 3 2 3 2 3" xfId="32038"/>
    <cellStyle name="Normal 3 3 2 3 2 3 2 3 2" xfId="32039"/>
    <cellStyle name="Normal 3 3 2 3 2 3 2 3 2 2" xfId="32040"/>
    <cellStyle name="Normal 3 3 2 3 2 3 2 3 3" xfId="32041"/>
    <cellStyle name="Normal 3 3 2 3 2 3 2 4" xfId="32042"/>
    <cellStyle name="Normal 3 3 2 3 2 3 2 4 2" xfId="32043"/>
    <cellStyle name="Normal 3 3 2 3 2 3 2 5" xfId="32044"/>
    <cellStyle name="Normal 3 3 2 3 2 3 2 5 2" xfId="32045"/>
    <cellStyle name="Normal 3 3 2 3 2 3 2 6" xfId="32046"/>
    <cellStyle name="Normal 3 3 2 3 2 3 3" xfId="32047"/>
    <cellStyle name="Normal 3 3 2 3 2 3 3 2" xfId="32048"/>
    <cellStyle name="Normal 3 3 2 3 2 3 3 2 2" xfId="32049"/>
    <cellStyle name="Normal 3 3 2 3 2 3 3 2 2 2" xfId="32050"/>
    <cellStyle name="Normal 3 3 2 3 2 3 3 2 2 2 2" xfId="32051"/>
    <cellStyle name="Normal 3 3 2 3 2 3 3 2 2 3" xfId="32052"/>
    <cellStyle name="Normal 3 3 2 3 2 3 3 2 3" xfId="32053"/>
    <cellStyle name="Normal 3 3 2 3 2 3 3 2 3 2" xfId="32054"/>
    <cellStyle name="Normal 3 3 2 3 2 3 3 2 4" xfId="32055"/>
    <cellStyle name="Normal 3 3 2 3 2 3 3 3" xfId="32056"/>
    <cellStyle name="Normal 3 3 2 3 2 3 3 3 2" xfId="32057"/>
    <cellStyle name="Normal 3 3 2 3 2 3 3 3 2 2" xfId="32058"/>
    <cellStyle name="Normal 3 3 2 3 2 3 3 3 3" xfId="32059"/>
    <cellStyle name="Normal 3 3 2 3 2 3 3 4" xfId="32060"/>
    <cellStyle name="Normal 3 3 2 3 2 3 3 4 2" xfId="32061"/>
    <cellStyle name="Normal 3 3 2 3 2 3 3 5" xfId="32062"/>
    <cellStyle name="Normal 3 3 2 3 2 3 3 5 2" xfId="32063"/>
    <cellStyle name="Normal 3 3 2 3 2 3 3 6" xfId="32064"/>
    <cellStyle name="Normal 3 3 2 3 2 3 4" xfId="32065"/>
    <cellStyle name="Normal 3 3 2 3 2 3 4 2" xfId="32066"/>
    <cellStyle name="Normal 3 3 2 3 2 3 4 2 2" xfId="32067"/>
    <cellStyle name="Normal 3 3 2 3 2 3 4 2 2 2" xfId="32068"/>
    <cellStyle name="Normal 3 3 2 3 2 3 4 2 3" xfId="32069"/>
    <cellStyle name="Normal 3 3 2 3 2 3 4 3" xfId="32070"/>
    <cellStyle name="Normal 3 3 2 3 2 3 4 3 2" xfId="32071"/>
    <cellStyle name="Normal 3 3 2 3 2 3 4 4" xfId="32072"/>
    <cellStyle name="Normal 3 3 2 3 2 3 5" xfId="32073"/>
    <cellStyle name="Normal 3 3 2 3 2 3 5 2" xfId="32074"/>
    <cellStyle name="Normal 3 3 2 3 2 3 5 2 2" xfId="32075"/>
    <cellStyle name="Normal 3 3 2 3 2 3 5 3" xfId="32076"/>
    <cellStyle name="Normal 3 3 2 3 2 3 6" xfId="32077"/>
    <cellStyle name="Normal 3 3 2 3 2 3 6 2" xfId="32078"/>
    <cellStyle name="Normal 3 3 2 3 2 3 7" xfId="32079"/>
    <cellStyle name="Normal 3 3 2 3 2 3 7 2" xfId="32080"/>
    <cellStyle name="Normal 3 3 2 3 2 3 8" xfId="32081"/>
    <cellStyle name="Normal 3 3 2 3 2 4" xfId="32082"/>
    <cellStyle name="Normal 3 3 2 3 2 4 2" xfId="32083"/>
    <cellStyle name="Normal 3 3 2 3 2 4 2 2" xfId="32084"/>
    <cellStyle name="Normal 3 3 2 3 2 4 2 2 2" xfId="32085"/>
    <cellStyle name="Normal 3 3 2 3 2 4 2 2 2 2" xfId="32086"/>
    <cellStyle name="Normal 3 3 2 3 2 4 2 2 3" xfId="32087"/>
    <cellStyle name="Normal 3 3 2 3 2 4 2 3" xfId="32088"/>
    <cellStyle name="Normal 3 3 2 3 2 4 2 3 2" xfId="32089"/>
    <cellStyle name="Normal 3 3 2 3 2 4 2 4" xfId="32090"/>
    <cellStyle name="Normal 3 3 2 3 2 4 3" xfId="32091"/>
    <cellStyle name="Normal 3 3 2 3 2 4 3 2" xfId="32092"/>
    <cellStyle name="Normal 3 3 2 3 2 4 3 2 2" xfId="32093"/>
    <cellStyle name="Normal 3 3 2 3 2 4 3 3" xfId="32094"/>
    <cellStyle name="Normal 3 3 2 3 2 4 4" xfId="32095"/>
    <cellStyle name="Normal 3 3 2 3 2 4 4 2" xfId="32096"/>
    <cellStyle name="Normal 3 3 2 3 2 4 5" xfId="32097"/>
    <cellStyle name="Normal 3 3 2 3 2 4 5 2" xfId="32098"/>
    <cellStyle name="Normal 3 3 2 3 2 4 6" xfId="32099"/>
    <cellStyle name="Normal 3 3 2 3 2 5" xfId="32100"/>
    <cellStyle name="Normal 3 3 2 3 2 5 2" xfId="32101"/>
    <cellStyle name="Normal 3 3 2 3 2 5 2 2" xfId="32102"/>
    <cellStyle name="Normal 3 3 2 3 2 5 2 2 2" xfId="32103"/>
    <cellStyle name="Normal 3 3 2 3 2 5 2 2 2 2" xfId="32104"/>
    <cellStyle name="Normal 3 3 2 3 2 5 2 2 3" xfId="32105"/>
    <cellStyle name="Normal 3 3 2 3 2 5 2 3" xfId="32106"/>
    <cellStyle name="Normal 3 3 2 3 2 5 2 3 2" xfId="32107"/>
    <cellStyle name="Normal 3 3 2 3 2 5 2 4" xfId="32108"/>
    <cellStyle name="Normal 3 3 2 3 2 5 3" xfId="32109"/>
    <cellStyle name="Normal 3 3 2 3 2 5 3 2" xfId="32110"/>
    <cellStyle name="Normal 3 3 2 3 2 5 3 2 2" xfId="32111"/>
    <cellStyle name="Normal 3 3 2 3 2 5 3 3" xfId="32112"/>
    <cellStyle name="Normal 3 3 2 3 2 5 4" xfId="32113"/>
    <cellStyle name="Normal 3 3 2 3 2 5 4 2" xfId="32114"/>
    <cellStyle name="Normal 3 3 2 3 2 5 5" xfId="32115"/>
    <cellStyle name="Normal 3 3 2 3 2 5 5 2" xfId="32116"/>
    <cellStyle name="Normal 3 3 2 3 2 5 6" xfId="32117"/>
    <cellStyle name="Normal 3 3 2 3 2 6" xfId="32118"/>
    <cellStyle name="Normal 3 3 2 3 2 6 2" xfId="32119"/>
    <cellStyle name="Normal 3 3 2 3 2 6 2 2" xfId="32120"/>
    <cellStyle name="Normal 3 3 2 3 2 6 2 2 2" xfId="32121"/>
    <cellStyle name="Normal 3 3 2 3 2 6 2 2 2 2" xfId="32122"/>
    <cellStyle name="Normal 3 3 2 3 2 6 2 2 3" xfId="32123"/>
    <cellStyle name="Normal 3 3 2 3 2 6 2 3" xfId="32124"/>
    <cellStyle name="Normal 3 3 2 3 2 6 2 3 2" xfId="32125"/>
    <cellStyle name="Normal 3 3 2 3 2 6 2 4" xfId="32126"/>
    <cellStyle name="Normal 3 3 2 3 2 6 3" xfId="32127"/>
    <cellStyle name="Normal 3 3 2 3 2 6 3 2" xfId="32128"/>
    <cellStyle name="Normal 3 3 2 3 2 6 3 2 2" xfId="32129"/>
    <cellStyle name="Normal 3 3 2 3 2 6 3 3" xfId="32130"/>
    <cellStyle name="Normal 3 3 2 3 2 6 4" xfId="32131"/>
    <cellStyle name="Normal 3 3 2 3 2 6 4 2" xfId="32132"/>
    <cellStyle name="Normal 3 3 2 3 2 6 5" xfId="32133"/>
    <cellStyle name="Normal 3 3 2 3 2 6 5 2" xfId="32134"/>
    <cellStyle name="Normal 3 3 2 3 2 6 6" xfId="32135"/>
    <cellStyle name="Normal 3 3 2 3 2 7" xfId="32136"/>
    <cellStyle name="Normal 3 3 2 3 2 7 2" xfId="32137"/>
    <cellStyle name="Normal 3 3 2 3 2 7 2 2" xfId="32138"/>
    <cellStyle name="Normal 3 3 2 3 2 7 2 2 2" xfId="32139"/>
    <cellStyle name="Normal 3 3 2 3 2 7 2 3" xfId="32140"/>
    <cellStyle name="Normal 3 3 2 3 2 7 3" xfId="32141"/>
    <cellStyle name="Normal 3 3 2 3 2 7 3 2" xfId="32142"/>
    <cellStyle name="Normal 3 3 2 3 2 7 4" xfId="32143"/>
    <cellStyle name="Normal 3 3 2 3 2 8" xfId="32144"/>
    <cellStyle name="Normal 3 3 2 3 2 8 2" xfId="32145"/>
    <cellStyle name="Normal 3 3 2 3 2 8 2 2" xfId="32146"/>
    <cellStyle name="Normal 3 3 2 3 2 8 3" xfId="32147"/>
    <cellStyle name="Normal 3 3 2 3 2 9" xfId="32148"/>
    <cellStyle name="Normal 3 3 2 3 2 9 2" xfId="32149"/>
    <cellStyle name="Normal 3 3 2 3 3" xfId="32150"/>
    <cellStyle name="Normal 3 3 2 3 3 10" xfId="32151"/>
    <cellStyle name="Normal 3 3 2 3 3 11" xfId="32152"/>
    <cellStyle name="Normal 3 3 2 3 3 2" xfId="32153"/>
    <cellStyle name="Normal 3 3 2 3 3 2 2" xfId="32154"/>
    <cellStyle name="Normal 3 3 2 3 3 2 2 2" xfId="32155"/>
    <cellStyle name="Normal 3 3 2 3 3 2 2 2 2" xfId="32156"/>
    <cellStyle name="Normal 3 3 2 3 3 2 2 2 2 2" xfId="32157"/>
    <cellStyle name="Normal 3 3 2 3 3 2 2 2 3" xfId="32158"/>
    <cellStyle name="Normal 3 3 2 3 3 2 2 3" xfId="32159"/>
    <cellStyle name="Normal 3 3 2 3 3 2 2 3 2" xfId="32160"/>
    <cellStyle name="Normal 3 3 2 3 3 2 2 4" xfId="32161"/>
    <cellStyle name="Normal 3 3 2 3 3 2 3" xfId="32162"/>
    <cellStyle name="Normal 3 3 2 3 3 2 3 2" xfId="32163"/>
    <cellStyle name="Normal 3 3 2 3 3 2 3 2 2" xfId="32164"/>
    <cellStyle name="Normal 3 3 2 3 3 2 3 3" xfId="32165"/>
    <cellStyle name="Normal 3 3 2 3 3 2 4" xfId="32166"/>
    <cellStyle name="Normal 3 3 2 3 3 2 4 2" xfId="32167"/>
    <cellStyle name="Normal 3 3 2 3 3 2 5" xfId="32168"/>
    <cellStyle name="Normal 3 3 2 3 3 2 5 2" xfId="32169"/>
    <cellStyle name="Normal 3 3 2 3 3 2 6" xfId="32170"/>
    <cellStyle name="Normal 3 3 2 3 3 3" xfId="32171"/>
    <cellStyle name="Normal 3 3 2 3 3 3 2" xfId="32172"/>
    <cellStyle name="Normal 3 3 2 3 3 3 2 2" xfId="32173"/>
    <cellStyle name="Normal 3 3 2 3 3 3 2 2 2" xfId="32174"/>
    <cellStyle name="Normal 3 3 2 3 3 3 2 2 2 2" xfId="32175"/>
    <cellStyle name="Normal 3 3 2 3 3 3 2 2 3" xfId="32176"/>
    <cellStyle name="Normal 3 3 2 3 3 3 2 3" xfId="32177"/>
    <cellStyle name="Normal 3 3 2 3 3 3 2 3 2" xfId="32178"/>
    <cellStyle name="Normal 3 3 2 3 3 3 2 4" xfId="32179"/>
    <cellStyle name="Normal 3 3 2 3 3 3 3" xfId="32180"/>
    <cellStyle name="Normal 3 3 2 3 3 3 3 2" xfId="32181"/>
    <cellStyle name="Normal 3 3 2 3 3 3 3 2 2" xfId="32182"/>
    <cellStyle name="Normal 3 3 2 3 3 3 3 3" xfId="32183"/>
    <cellStyle name="Normal 3 3 2 3 3 3 4" xfId="32184"/>
    <cellStyle name="Normal 3 3 2 3 3 3 4 2" xfId="32185"/>
    <cellStyle name="Normal 3 3 2 3 3 3 5" xfId="32186"/>
    <cellStyle name="Normal 3 3 2 3 3 3 5 2" xfId="32187"/>
    <cellStyle name="Normal 3 3 2 3 3 3 6" xfId="32188"/>
    <cellStyle name="Normal 3 3 2 3 3 4" xfId="32189"/>
    <cellStyle name="Normal 3 3 2 3 3 4 2" xfId="32190"/>
    <cellStyle name="Normal 3 3 2 3 3 4 2 2" xfId="32191"/>
    <cellStyle name="Normal 3 3 2 3 3 4 2 2 2" xfId="32192"/>
    <cellStyle name="Normal 3 3 2 3 3 4 2 3" xfId="32193"/>
    <cellStyle name="Normal 3 3 2 3 3 4 3" xfId="32194"/>
    <cellStyle name="Normal 3 3 2 3 3 4 3 2" xfId="32195"/>
    <cellStyle name="Normal 3 3 2 3 3 4 4" xfId="32196"/>
    <cellStyle name="Normal 3 3 2 3 3 5" xfId="32197"/>
    <cellStyle name="Normal 3 3 2 3 3 5 2" xfId="32198"/>
    <cellStyle name="Normal 3 3 2 3 3 5 2 2" xfId="32199"/>
    <cellStyle name="Normal 3 3 2 3 3 5 3" xfId="32200"/>
    <cellStyle name="Normal 3 3 2 3 3 6" xfId="32201"/>
    <cellStyle name="Normal 3 3 2 3 3 6 2" xfId="32202"/>
    <cellStyle name="Normal 3 3 2 3 3 7" xfId="32203"/>
    <cellStyle name="Normal 3 3 2 3 3 7 2" xfId="32204"/>
    <cellStyle name="Normal 3 3 2 3 3 8" xfId="32205"/>
    <cellStyle name="Normal 3 3 2 3 3 8 2" xfId="32206"/>
    <cellStyle name="Normal 3 3 2 3 3 9" xfId="32207"/>
    <cellStyle name="Normal 3 3 2 3 3 9 2" xfId="32208"/>
    <cellStyle name="Normal 3 3 2 3 4" xfId="32209"/>
    <cellStyle name="Normal 3 3 2 3 4 2" xfId="32210"/>
    <cellStyle name="Normal 3 3 2 3 4 2 2" xfId="32211"/>
    <cellStyle name="Normal 3 3 2 3 4 2 2 2" xfId="32212"/>
    <cellStyle name="Normal 3 3 2 3 4 2 2 2 2" xfId="32213"/>
    <cellStyle name="Normal 3 3 2 3 4 2 2 2 2 2" xfId="32214"/>
    <cellStyle name="Normal 3 3 2 3 4 2 2 2 3" xfId="32215"/>
    <cellStyle name="Normal 3 3 2 3 4 2 2 3" xfId="32216"/>
    <cellStyle name="Normal 3 3 2 3 4 2 2 3 2" xfId="32217"/>
    <cellStyle name="Normal 3 3 2 3 4 2 2 4" xfId="32218"/>
    <cellStyle name="Normal 3 3 2 3 4 2 3" xfId="32219"/>
    <cellStyle name="Normal 3 3 2 3 4 2 3 2" xfId="32220"/>
    <cellStyle name="Normal 3 3 2 3 4 2 3 2 2" xfId="32221"/>
    <cellStyle name="Normal 3 3 2 3 4 2 3 3" xfId="32222"/>
    <cellStyle name="Normal 3 3 2 3 4 2 4" xfId="32223"/>
    <cellStyle name="Normal 3 3 2 3 4 2 4 2" xfId="32224"/>
    <cellStyle name="Normal 3 3 2 3 4 2 5" xfId="32225"/>
    <cellStyle name="Normal 3 3 2 3 4 2 5 2" xfId="32226"/>
    <cellStyle name="Normal 3 3 2 3 4 2 6" xfId="32227"/>
    <cellStyle name="Normal 3 3 2 3 4 3" xfId="32228"/>
    <cellStyle name="Normal 3 3 2 3 4 3 2" xfId="32229"/>
    <cellStyle name="Normal 3 3 2 3 4 3 2 2" xfId="32230"/>
    <cellStyle name="Normal 3 3 2 3 4 3 2 2 2" xfId="32231"/>
    <cellStyle name="Normal 3 3 2 3 4 3 2 2 2 2" xfId="32232"/>
    <cellStyle name="Normal 3 3 2 3 4 3 2 2 3" xfId="32233"/>
    <cellStyle name="Normal 3 3 2 3 4 3 2 3" xfId="32234"/>
    <cellStyle name="Normal 3 3 2 3 4 3 2 3 2" xfId="32235"/>
    <cellStyle name="Normal 3 3 2 3 4 3 2 4" xfId="32236"/>
    <cellStyle name="Normal 3 3 2 3 4 3 3" xfId="32237"/>
    <cellStyle name="Normal 3 3 2 3 4 3 3 2" xfId="32238"/>
    <cellStyle name="Normal 3 3 2 3 4 3 3 2 2" xfId="32239"/>
    <cellStyle name="Normal 3 3 2 3 4 3 3 3" xfId="32240"/>
    <cellStyle name="Normal 3 3 2 3 4 3 4" xfId="32241"/>
    <cellStyle name="Normal 3 3 2 3 4 3 4 2" xfId="32242"/>
    <cellStyle name="Normal 3 3 2 3 4 3 5" xfId="32243"/>
    <cellStyle name="Normal 3 3 2 3 4 3 5 2" xfId="32244"/>
    <cellStyle name="Normal 3 3 2 3 4 3 6" xfId="32245"/>
    <cellStyle name="Normal 3 3 2 3 4 4" xfId="32246"/>
    <cellStyle name="Normal 3 3 2 3 4 4 2" xfId="32247"/>
    <cellStyle name="Normal 3 3 2 3 4 4 2 2" xfId="32248"/>
    <cellStyle name="Normal 3 3 2 3 4 4 2 2 2" xfId="32249"/>
    <cellStyle name="Normal 3 3 2 3 4 4 2 3" xfId="32250"/>
    <cellStyle name="Normal 3 3 2 3 4 4 3" xfId="32251"/>
    <cellStyle name="Normal 3 3 2 3 4 4 3 2" xfId="32252"/>
    <cellStyle name="Normal 3 3 2 3 4 4 4" xfId="32253"/>
    <cellStyle name="Normal 3 3 2 3 4 5" xfId="32254"/>
    <cellStyle name="Normal 3 3 2 3 4 5 2" xfId="32255"/>
    <cellStyle name="Normal 3 3 2 3 4 5 2 2" xfId="32256"/>
    <cellStyle name="Normal 3 3 2 3 4 5 3" xfId="32257"/>
    <cellStyle name="Normal 3 3 2 3 4 6" xfId="32258"/>
    <cellStyle name="Normal 3 3 2 3 4 6 2" xfId="32259"/>
    <cellStyle name="Normal 3 3 2 3 4 7" xfId="32260"/>
    <cellStyle name="Normal 3 3 2 3 4 7 2" xfId="32261"/>
    <cellStyle name="Normal 3 3 2 3 4 8" xfId="32262"/>
    <cellStyle name="Normal 3 3 2 3 5" xfId="32263"/>
    <cellStyle name="Normal 3 3 2 3 5 2" xfId="32264"/>
    <cellStyle name="Normal 3 3 2 3 5 2 2" xfId="32265"/>
    <cellStyle name="Normal 3 3 2 3 5 2 2 2" xfId="32266"/>
    <cellStyle name="Normal 3 3 2 3 5 2 2 2 2" xfId="32267"/>
    <cellStyle name="Normal 3 3 2 3 5 2 2 3" xfId="32268"/>
    <cellStyle name="Normal 3 3 2 3 5 2 3" xfId="32269"/>
    <cellStyle name="Normal 3 3 2 3 5 2 3 2" xfId="32270"/>
    <cellStyle name="Normal 3 3 2 3 5 2 4" xfId="32271"/>
    <cellStyle name="Normal 3 3 2 3 5 3" xfId="32272"/>
    <cellStyle name="Normal 3 3 2 3 5 3 2" xfId="32273"/>
    <cellStyle name="Normal 3 3 2 3 5 3 2 2" xfId="32274"/>
    <cellStyle name="Normal 3 3 2 3 5 3 3" xfId="32275"/>
    <cellStyle name="Normal 3 3 2 3 5 4" xfId="32276"/>
    <cellStyle name="Normal 3 3 2 3 5 4 2" xfId="32277"/>
    <cellStyle name="Normal 3 3 2 3 5 5" xfId="32278"/>
    <cellStyle name="Normal 3 3 2 3 5 5 2" xfId="32279"/>
    <cellStyle name="Normal 3 3 2 3 5 6" xfId="32280"/>
    <cellStyle name="Normal 3 3 2 3 6" xfId="32281"/>
    <cellStyle name="Normal 3 3 2 3 6 2" xfId="32282"/>
    <cellStyle name="Normal 3 3 2 3 6 2 2" xfId="32283"/>
    <cellStyle name="Normal 3 3 2 3 6 2 2 2" xfId="32284"/>
    <cellStyle name="Normal 3 3 2 3 6 2 2 2 2" xfId="32285"/>
    <cellStyle name="Normal 3 3 2 3 6 2 2 3" xfId="32286"/>
    <cellStyle name="Normal 3 3 2 3 6 2 3" xfId="32287"/>
    <cellStyle name="Normal 3 3 2 3 6 2 3 2" xfId="32288"/>
    <cellStyle name="Normal 3 3 2 3 6 2 4" xfId="32289"/>
    <cellStyle name="Normal 3 3 2 3 6 3" xfId="32290"/>
    <cellStyle name="Normal 3 3 2 3 6 3 2" xfId="32291"/>
    <cellStyle name="Normal 3 3 2 3 6 3 2 2" xfId="32292"/>
    <cellStyle name="Normal 3 3 2 3 6 3 3" xfId="32293"/>
    <cellStyle name="Normal 3 3 2 3 6 4" xfId="32294"/>
    <cellStyle name="Normal 3 3 2 3 6 4 2" xfId="32295"/>
    <cellStyle name="Normal 3 3 2 3 6 5" xfId="32296"/>
    <cellStyle name="Normal 3 3 2 3 6 5 2" xfId="32297"/>
    <cellStyle name="Normal 3 3 2 3 6 6" xfId="32298"/>
    <cellStyle name="Normal 3 3 2 3 7" xfId="32299"/>
    <cellStyle name="Normal 3 3 2 3 7 2" xfId="32300"/>
    <cellStyle name="Normal 3 3 2 3 7 2 2" xfId="32301"/>
    <cellStyle name="Normal 3 3 2 3 7 2 2 2" xfId="32302"/>
    <cellStyle name="Normal 3 3 2 3 7 2 2 2 2" xfId="32303"/>
    <cellStyle name="Normal 3 3 2 3 7 2 2 3" xfId="32304"/>
    <cellStyle name="Normal 3 3 2 3 7 2 3" xfId="32305"/>
    <cellStyle name="Normal 3 3 2 3 7 2 3 2" xfId="32306"/>
    <cellStyle name="Normal 3 3 2 3 7 2 4" xfId="32307"/>
    <cellStyle name="Normal 3 3 2 3 7 3" xfId="32308"/>
    <cellStyle name="Normal 3 3 2 3 7 3 2" xfId="32309"/>
    <cellStyle name="Normal 3 3 2 3 7 3 2 2" xfId="32310"/>
    <cellStyle name="Normal 3 3 2 3 7 3 3" xfId="32311"/>
    <cellStyle name="Normal 3 3 2 3 7 4" xfId="32312"/>
    <cellStyle name="Normal 3 3 2 3 7 4 2" xfId="32313"/>
    <cellStyle name="Normal 3 3 2 3 7 5" xfId="32314"/>
    <cellStyle name="Normal 3 3 2 3 7 5 2" xfId="32315"/>
    <cellStyle name="Normal 3 3 2 3 7 6" xfId="32316"/>
    <cellStyle name="Normal 3 3 2 3 8" xfId="32317"/>
    <cellStyle name="Normal 3 3 2 3 8 2" xfId="32318"/>
    <cellStyle name="Normal 3 3 2 3 8 2 2" xfId="32319"/>
    <cellStyle name="Normal 3 3 2 3 8 2 2 2" xfId="32320"/>
    <cellStyle name="Normal 3 3 2 3 8 2 3" xfId="32321"/>
    <cellStyle name="Normal 3 3 2 3 8 3" xfId="32322"/>
    <cellStyle name="Normal 3 3 2 3 8 3 2" xfId="32323"/>
    <cellStyle name="Normal 3 3 2 3 8 4" xfId="32324"/>
    <cellStyle name="Normal 3 3 2 3 9" xfId="32325"/>
    <cellStyle name="Normal 3 3 2 3 9 2" xfId="32326"/>
    <cellStyle name="Normal 3 3 2 3 9 2 2" xfId="32327"/>
    <cellStyle name="Normal 3 3 2 3 9 3" xfId="32328"/>
    <cellStyle name="Normal 3 3 2 4" xfId="32329"/>
    <cellStyle name="Normal 3 3 2 4 2" xfId="32330"/>
    <cellStyle name="Normal 3 3 2 4 2 2" xfId="32331"/>
    <cellStyle name="Normal 3 3 2 4 2 2 2" xfId="32332"/>
    <cellStyle name="Normal 3 3 2 4 2 3" xfId="32333"/>
    <cellStyle name="Normal 3 3 2 4 2 4" xfId="32334"/>
    <cellStyle name="Normal 3 3 2 4 3" xfId="32335"/>
    <cellStyle name="Normal 3 3 2 4 4" xfId="32336"/>
    <cellStyle name="Normal 3 3 2 4 4 2" xfId="32337"/>
    <cellStyle name="Normal 3 3 2 4 5" xfId="32338"/>
    <cellStyle name="Normal 3 3 2 4 6" xfId="32339"/>
    <cellStyle name="Normal 3 3 2 5" xfId="32340"/>
    <cellStyle name="Normal 3 3 2 5 2" xfId="32341"/>
    <cellStyle name="Normal 3 3 2 5 2 2" xfId="32342"/>
    <cellStyle name="Normal 3 3 2 5 3" xfId="32343"/>
    <cellStyle name="Normal 3 3 2 5 4" xfId="32344"/>
    <cellStyle name="Normal 3 3 2 6" xfId="32345"/>
    <cellStyle name="Normal 3 3 2 7" xfId="32346"/>
    <cellStyle name="Normal 3 3 2 7 2" xfId="32347"/>
    <cellStyle name="Normal 3 3 2 8" xfId="32348"/>
    <cellStyle name="Normal 3 3 2 9" xfId="32349"/>
    <cellStyle name="Normal 3 3 3" xfId="32350"/>
    <cellStyle name="Normal 3 3 3 2" xfId="32351"/>
    <cellStyle name="Normal 3 3 3 2 2" xfId="32352"/>
    <cellStyle name="Normal 3 3 3 2 2 2" xfId="32353"/>
    <cellStyle name="Normal 3 3 3 2 2 3" xfId="32354"/>
    <cellStyle name="Normal 3 3 3 2 2 3 2" xfId="32355"/>
    <cellStyle name="Normal 3 3 3 2 2 4" xfId="32356"/>
    <cellStyle name="Normal 3 3 3 2 2 5" xfId="32357"/>
    <cellStyle name="Normal 3 3 3 2 3" xfId="32358"/>
    <cellStyle name="Normal 3 3 3 2 4" xfId="32359"/>
    <cellStyle name="Normal 3 3 3 2 4 2" xfId="32360"/>
    <cellStyle name="Normal 3 3 3 2 5" xfId="32361"/>
    <cellStyle name="Normal 3 3 3 2 6" xfId="32362"/>
    <cellStyle name="Normal 3 3 3 3" xfId="32363"/>
    <cellStyle name="Normal 3 3 3 3 2" xfId="32364"/>
    <cellStyle name="Normal 3 3 3 3 3" xfId="32365"/>
    <cellStyle name="Normal 3 3 3 3 3 2" xfId="32366"/>
    <cellStyle name="Normal 3 3 3 3 4" xfId="32367"/>
    <cellStyle name="Normal 3 3 3 3 5" xfId="32368"/>
    <cellStyle name="Normal 3 3 3 4" xfId="32369"/>
    <cellStyle name="Normal 3 3 3 5" xfId="32370"/>
    <cellStyle name="Normal 3 3 3 6" xfId="32371"/>
    <cellStyle name="Normal 3 3 3 7" xfId="32372"/>
    <cellStyle name="Normal 3 3 3 7 2" xfId="32373"/>
    <cellStyle name="Normal 3 3 3 8" xfId="32374"/>
    <cellStyle name="Normal 3 3 3 9" xfId="32375"/>
    <cellStyle name="Normal 3 3 4" xfId="32376"/>
    <cellStyle name="Normal 3 3 4 10" xfId="32377"/>
    <cellStyle name="Normal 3 3 4 10 2" xfId="32378"/>
    <cellStyle name="Normal 3 3 4 11" xfId="32379"/>
    <cellStyle name="Normal 3 3 4 12" xfId="32380"/>
    <cellStyle name="Normal 3 3 4 13" xfId="32381"/>
    <cellStyle name="Normal 3 3 4 13 2" xfId="32382"/>
    <cellStyle name="Normal 3 3 4 14" xfId="32383"/>
    <cellStyle name="Normal 3 3 4 15" xfId="32384"/>
    <cellStyle name="Normal 3 3 4 15 2" xfId="32385"/>
    <cellStyle name="Normal 3 3 4 16" xfId="32386"/>
    <cellStyle name="Normal 3 3 4 17" xfId="32387"/>
    <cellStyle name="Normal 3 3 4 2" xfId="32388"/>
    <cellStyle name="Normal 3 3 4 2 10" xfId="32389"/>
    <cellStyle name="Normal 3 3 4 2 10 2" xfId="32390"/>
    <cellStyle name="Normal 3 3 4 2 11" xfId="32391"/>
    <cellStyle name="Normal 3 3 4 2 12" xfId="32392"/>
    <cellStyle name="Normal 3 3 4 2 12 2" xfId="32393"/>
    <cellStyle name="Normal 3 3 4 2 13" xfId="32394"/>
    <cellStyle name="Normal 3 3 4 2 13 2" xfId="32395"/>
    <cellStyle name="Normal 3 3 4 2 14" xfId="32396"/>
    <cellStyle name="Normal 3 3 4 2 15" xfId="32397"/>
    <cellStyle name="Normal 3 3 4 2 2" xfId="32398"/>
    <cellStyle name="Normal 3 3 4 2 2 10" xfId="32399"/>
    <cellStyle name="Normal 3 3 4 2 2 11" xfId="32400"/>
    <cellStyle name="Normal 3 3 4 2 2 2" xfId="32401"/>
    <cellStyle name="Normal 3 3 4 2 2 2 2" xfId="32402"/>
    <cellStyle name="Normal 3 3 4 2 2 2 2 2" xfId="32403"/>
    <cellStyle name="Normal 3 3 4 2 2 2 2 2 2" xfId="32404"/>
    <cellStyle name="Normal 3 3 4 2 2 2 2 2 2 2" xfId="32405"/>
    <cellStyle name="Normal 3 3 4 2 2 2 2 2 3" xfId="32406"/>
    <cellStyle name="Normal 3 3 4 2 2 2 2 3" xfId="32407"/>
    <cellStyle name="Normal 3 3 4 2 2 2 2 3 2" xfId="32408"/>
    <cellStyle name="Normal 3 3 4 2 2 2 2 4" xfId="32409"/>
    <cellStyle name="Normal 3 3 4 2 2 2 3" xfId="32410"/>
    <cellStyle name="Normal 3 3 4 2 2 2 3 2" xfId="32411"/>
    <cellStyle name="Normal 3 3 4 2 2 2 3 2 2" xfId="32412"/>
    <cellStyle name="Normal 3 3 4 2 2 2 3 3" xfId="32413"/>
    <cellStyle name="Normal 3 3 4 2 2 2 4" xfId="32414"/>
    <cellStyle name="Normal 3 3 4 2 2 2 4 2" xfId="32415"/>
    <cellStyle name="Normal 3 3 4 2 2 2 5" xfId="32416"/>
    <cellStyle name="Normal 3 3 4 2 2 2 5 2" xfId="32417"/>
    <cellStyle name="Normal 3 3 4 2 2 2 6" xfId="32418"/>
    <cellStyle name="Normal 3 3 4 2 2 3" xfId="32419"/>
    <cellStyle name="Normal 3 3 4 2 2 3 2" xfId="32420"/>
    <cellStyle name="Normal 3 3 4 2 2 3 2 2" xfId="32421"/>
    <cellStyle name="Normal 3 3 4 2 2 3 2 2 2" xfId="32422"/>
    <cellStyle name="Normal 3 3 4 2 2 3 2 2 2 2" xfId="32423"/>
    <cellStyle name="Normal 3 3 4 2 2 3 2 2 3" xfId="32424"/>
    <cellStyle name="Normal 3 3 4 2 2 3 2 3" xfId="32425"/>
    <cellStyle name="Normal 3 3 4 2 2 3 2 3 2" xfId="32426"/>
    <cellStyle name="Normal 3 3 4 2 2 3 2 4" xfId="32427"/>
    <cellStyle name="Normal 3 3 4 2 2 3 3" xfId="32428"/>
    <cellStyle name="Normal 3 3 4 2 2 3 3 2" xfId="32429"/>
    <cellStyle name="Normal 3 3 4 2 2 3 3 2 2" xfId="32430"/>
    <cellStyle name="Normal 3 3 4 2 2 3 3 3" xfId="32431"/>
    <cellStyle name="Normal 3 3 4 2 2 3 4" xfId="32432"/>
    <cellStyle name="Normal 3 3 4 2 2 3 4 2" xfId="32433"/>
    <cellStyle name="Normal 3 3 4 2 2 3 5" xfId="32434"/>
    <cellStyle name="Normal 3 3 4 2 2 3 5 2" xfId="32435"/>
    <cellStyle name="Normal 3 3 4 2 2 3 6" xfId="32436"/>
    <cellStyle name="Normal 3 3 4 2 2 4" xfId="32437"/>
    <cellStyle name="Normal 3 3 4 2 2 4 2" xfId="32438"/>
    <cellStyle name="Normal 3 3 4 2 2 4 2 2" xfId="32439"/>
    <cellStyle name="Normal 3 3 4 2 2 4 2 2 2" xfId="32440"/>
    <cellStyle name="Normal 3 3 4 2 2 4 2 3" xfId="32441"/>
    <cellStyle name="Normal 3 3 4 2 2 4 3" xfId="32442"/>
    <cellStyle name="Normal 3 3 4 2 2 4 3 2" xfId="32443"/>
    <cellStyle name="Normal 3 3 4 2 2 4 4" xfId="32444"/>
    <cellStyle name="Normal 3 3 4 2 2 5" xfId="32445"/>
    <cellStyle name="Normal 3 3 4 2 2 5 2" xfId="32446"/>
    <cellStyle name="Normal 3 3 4 2 2 5 2 2" xfId="32447"/>
    <cellStyle name="Normal 3 3 4 2 2 5 3" xfId="32448"/>
    <cellStyle name="Normal 3 3 4 2 2 6" xfId="32449"/>
    <cellStyle name="Normal 3 3 4 2 2 6 2" xfId="32450"/>
    <cellStyle name="Normal 3 3 4 2 2 7" xfId="32451"/>
    <cellStyle name="Normal 3 3 4 2 2 7 2" xfId="32452"/>
    <cellStyle name="Normal 3 3 4 2 2 8" xfId="32453"/>
    <cellStyle name="Normal 3 3 4 2 2 8 2" xfId="32454"/>
    <cellStyle name="Normal 3 3 4 2 2 9" xfId="32455"/>
    <cellStyle name="Normal 3 3 4 2 2 9 2" xfId="32456"/>
    <cellStyle name="Normal 3 3 4 2 3" xfId="32457"/>
    <cellStyle name="Normal 3 3 4 2 3 2" xfId="32458"/>
    <cellStyle name="Normal 3 3 4 2 3 2 2" xfId="32459"/>
    <cellStyle name="Normal 3 3 4 2 3 2 2 2" xfId="32460"/>
    <cellStyle name="Normal 3 3 4 2 3 2 2 2 2" xfId="32461"/>
    <cellStyle name="Normal 3 3 4 2 3 2 2 2 2 2" xfId="32462"/>
    <cellStyle name="Normal 3 3 4 2 3 2 2 2 3" xfId="32463"/>
    <cellStyle name="Normal 3 3 4 2 3 2 2 3" xfId="32464"/>
    <cellStyle name="Normal 3 3 4 2 3 2 2 3 2" xfId="32465"/>
    <cellStyle name="Normal 3 3 4 2 3 2 2 4" xfId="32466"/>
    <cellStyle name="Normal 3 3 4 2 3 2 3" xfId="32467"/>
    <cellStyle name="Normal 3 3 4 2 3 2 3 2" xfId="32468"/>
    <cellStyle name="Normal 3 3 4 2 3 2 3 2 2" xfId="32469"/>
    <cellStyle name="Normal 3 3 4 2 3 2 3 3" xfId="32470"/>
    <cellStyle name="Normal 3 3 4 2 3 2 4" xfId="32471"/>
    <cellStyle name="Normal 3 3 4 2 3 2 4 2" xfId="32472"/>
    <cellStyle name="Normal 3 3 4 2 3 2 5" xfId="32473"/>
    <cellStyle name="Normal 3 3 4 2 3 2 5 2" xfId="32474"/>
    <cellStyle name="Normal 3 3 4 2 3 2 6" xfId="32475"/>
    <cellStyle name="Normal 3 3 4 2 3 3" xfId="32476"/>
    <cellStyle name="Normal 3 3 4 2 3 3 2" xfId="32477"/>
    <cellStyle name="Normal 3 3 4 2 3 3 2 2" xfId="32478"/>
    <cellStyle name="Normal 3 3 4 2 3 3 2 2 2" xfId="32479"/>
    <cellStyle name="Normal 3 3 4 2 3 3 2 2 2 2" xfId="32480"/>
    <cellStyle name="Normal 3 3 4 2 3 3 2 2 3" xfId="32481"/>
    <cellStyle name="Normal 3 3 4 2 3 3 2 3" xfId="32482"/>
    <cellStyle name="Normal 3 3 4 2 3 3 2 3 2" xfId="32483"/>
    <cellStyle name="Normal 3 3 4 2 3 3 2 4" xfId="32484"/>
    <cellStyle name="Normal 3 3 4 2 3 3 3" xfId="32485"/>
    <cellStyle name="Normal 3 3 4 2 3 3 3 2" xfId="32486"/>
    <cellStyle name="Normal 3 3 4 2 3 3 3 2 2" xfId="32487"/>
    <cellStyle name="Normal 3 3 4 2 3 3 3 3" xfId="32488"/>
    <cellStyle name="Normal 3 3 4 2 3 3 4" xfId="32489"/>
    <cellStyle name="Normal 3 3 4 2 3 3 4 2" xfId="32490"/>
    <cellStyle name="Normal 3 3 4 2 3 3 5" xfId="32491"/>
    <cellStyle name="Normal 3 3 4 2 3 3 5 2" xfId="32492"/>
    <cellStyle name="Normal 3 3 4 2 3 3 6" xfId="32493"/>
    <cellStyle name="Normal 3 3 4 2 3 4" xfId="32494"/>
    <cellStyle name="Normal 3 3 4 2 3 4 2" xfId="32495"/>
    <cellStyle name="Normal 3 3 4 2 3 4 2 2" xfId="32496"/>
    <cellStyle name="Normal 3 3 4 2 3 4 2 2 2" xfId="32497"/>
    <cellStyle name="Normal 3 3 4 2 3 4 2 3" xfId="32498"/>
    <cellStyle name="Normal 3 3 4 2 3 4 3" xfId="32499"/>
    <cellStyle name="Normal 3 3 4 2 3 4 3 2" xfId="32500"/>
    <cellStyle name="Normal 3 3 4 2 3 4 4" xfId="32501"/>
    <cellStyle name="Normal 3 3 4 2 3 5" xfId="32502"/>
    <cellStyle name="Normal 3 3 4 2 3 5 2" xfId="32503"/>
    <cellStyle name="Normal 3 3 4 2 3 5 2 2" xfId="32504"/>
    <cellStyle name="Normal 3 3 4 2 3 5 3" xfId="32505"/>
    <cellStyle name="Normal 3 3 4 2 3 6" xfId="32506"/>
    <cellStyle name="Normal 3 3 4 2 3 6 2" xfId="32507"/>
    <cellStyle name="Normal 3 3 4 2 3 7" xfId="32508"/>
    <cellStyle name="Normal 3 3 4 2 3 7 2" xfId="32509"/>
    <cellStyle name="Normal 3 3 4 2 3 8" xfId="32510"/>
    <cellStyle name="Normal 3 3 4 2 4" xfId="32511"/>
    <cellStyle name="Normal 3 3 4 2 4 2" xfId="32512"/>
    <cellStyle name="Normal 3 3 4 2 4 2 2" xfId="32513"/>
    <cellStyle name="Normal 3 3 4 2 4 2 2 2" xfId="32514"/>
    <cellStyle name="Normal 3 3 4 2 4 2 2 2 2" xfId="32515"/>
    <cellStyle name="Normal 3 3 4 2 4 2 2 3" xfId="32516"/>
    <cellStyle name="Normal 3 3 4 2 4 2 3" xfId="32517"/>
    <cellStyle name="Normal 3 3 4 2 4 2 3 2" xfId="32518"/>
    <cellStyle name="Normal 3 3 4 2 4 2 4" xfId="32519"/>
    <cellStyle name="Normal 3 3 4 2 4 3" xfId="32520"/>
    <cellStyle name="Normal 3 3 4 2 4 3 2" xfId="32521"/>
    <cellStyle name="Normal 3 3 4 2 4 3 2 2" xfId="32522"/>
    <cellStyle name="Normal 3 3 4 2 4 3 3" xfId="32523"/>
    <cellStyle name="Normal 3 3 4 2 4 4" xfId="32524"/>
    <cellStyle name="Normal 3 3 4 2 4 4 2" xfId="32525"/>
    <cellStyle name="Normal 3 3 4 2 4 5" xfId="32526"/>
    <cellStyle name="Normal 3 3 4 2 4 5 2" xfId="32527"/>
    <cellStyle name="Normal 3 3 4 2 4 6" xfId="32528"/>
    <cellStyle name="Normal 3 3 4 2 5" xfId="32529"/>
    <cellStyle name="Normal 3 3 4 2 5 2" xfId="32530"/>
    <cellStyle name="Normal 3 3 4 2 5 2 2" xfId="32531"/>
    <cellStyle name="Normal 3 3 4 2 5 2 2 2" xfId="32532"/>
    <cellStyle name="Normal 3 3 4 2 5 2 2 2 2" xfId="32533"/>
    <cellStyle name="Normal 3 3 4 2 5 2 2 3" xfId="32534"/>
    <cellStyle name="Normal 3 3 4 2 5 2 3" xfId="32535"/>
    <cellStyle name="Normal 3 3 4 2 5 2 3 2" xfId="32536"/>
    <cellStyle name="Normal 3 3 4 2 5 2 4" xfId="32537"/>
    <cellStyle name="Normal 3 3 4 2 5 3" xfId="32538"/>
    <cellStyle name="Normal 3 3 4 2 5 3 2" xfId="32539"/>
    <cellStyle name="Normal 3 3 4 2 5 3 2 2" xfId="32540"/>
    <cellStyle name="Normal 3 3 4 2 5 3 3" xfId="32541"/>
    <cellStyle name="Normal 3 3 4 2 5 4" xfId="32542"/>
    <cellStyle name="Normal 3 3 4 2 5 4 2" xfId="32543"/>
    <cellStyle name="Normal 3 3 4 2 5 5" xfId="32544"/>
    <cellStyle name="Normal 3 3 4 2 5 5 2" xfId="32545"/>
    <cellStyle name="Normal 3 3 4 2 5 6" xfId="32546"/>
    <cellStyle name="Normal 3 3 4 2 6" xfId="32547"/>
    <cellStyle name="Normal 3 3 4 2 6 2" xfId="32548"/>
    <cellStyle name="Normal 3 3 4 2 6 2 2" xfId="32549"/>
    <cellStyle name="Normal 3 3 4 2 6 2 2 2" xfId="32550"/>
    <cellStyle name="Normal 3 3 4 2 6 2 2 2 2" xfId="32551"/>
    <cellStyle name="Normal 3 3 4 2 6 2 2 3" xfId="32552"/>
    <cellStyle name="Normal 3 3 4 2 6 2 3" xfId="32553"/>
    <cellStyle name="Normal 3 3 4 2 6 2 3 2" xfId="32554"/>
    <cellStyle name="Normal 3 3 4 2 6 2 4" xfId="32555"/>
    <cellStyle name="Normal 3 3 4 2 6 3" xfId="32556"/>
    <cellStyle name="Normal 3 3 4 2 6 3 2" xfId="32557"/>
    <cellStyle name="Normal 3 3 4 2 6 3 2 2" xfId="32558"/>
    <cellStyle name="Normal 3 3 4 2 6 3 3" xfId="32559"/>
    <cellStyle name="Normal 3 3 4 2 6 4" xfId="32560"/>
    <cellStyle name="Normal 3 3 4 2 6 4 2" xfId="32561"/>
    <cellStyle name="Normal 3 3 4 2 6 5" xfId="32562"/>
    <cellStyle name="Normal 3 3 4 2 6 5 2" xfId="32563"/>
    <cellStyle name="Normal 3 3 4 2 6 6" xfId="32564"/>
    <cellStyle name="Normal 3 3 4 2 7" xfId="32565"/>
    <cellStyle name="Normal 3 3 4 2 7 2" xfId="32566"/>
    <cellStyle name="Normal 3 3 4 2 7 2 2" xfId="32567"/>
    <cellStyle name="Normal 3 3 4 2 7 2 2 2" xfId="32568"/>
    <cellStyle name="Normal 3 3 4 2 7 2 3" xfId="32569"/>
    <cellStyle name="Normal 3 3 4 2 7 3" xfId="32570"/>
    <cellStyle name="Normal 3 3 4 2 7 3 2" xfId="32571"/>
    <cellStyle name="Normal 3 3 4 2 7 4" xfId="32572"/>
    <cellStyle name="Normal 3 3 4 2 8" xfId="32573"/>
    <cellStyle name="Normal 3 3 4 2 8 2" xfId="32574"/>
    <cellStyle name="Normal 3 3 4 2 8 2 2" xfId="32575"/>
    <cellStyle name="Normal 3 3 4 2 8 3" xfId="32576"/>
    <cellStyle name="Normal 3 3 4 2 9" xfId="32577"/>
    <cellStyle name="Normal 3 3 4 2 9 2" xfId="32578"/>
    <cellStyle name="Normal 3 3 4 3" xfId="32579"/>
    <cellStyle name="Normal 3 3 4 3 10" xfId="32580"/>
    <cellStyle name="Normal 3 3 4 3 11" xfId="32581"/>
    <cellStyle name="Normal 3 3 4 3 2" xfId="32582"/>
    <cellStyle name="Normal 3 3 4 3 2 2" xfId="32583"/>
    <cellStyle name="Normal 3 3 4 3 2 2 2" xfId="32584"/>
    <cellStyle name="Normal 3 3 4 3 2 2 2 2" xfId="32585"/>
    <cellStyle name="Normal 3 3 4 3 2 2 2 2 2" xfId="32586"/>
    <cellStyle name="Normal 3 3 4 3 2 2 2 3" xfId="32587"/>
    <cellStyle name="Normal 3 3 4 3 2 2 3" xfId="32588"/>
    <cellStyle name="Normal 3 3 4 3 2 2 3 2" xfId="32589"/>
    <cellStyle name="Normal 3 3 4 3 2 2 4" xfId="32590"/>
    <cellStyle name="Normal 3 3 4 3 2 3" xfId="32591"/>
    <cellStyle name="Normal 3 3 4 3 2 3 2" xfId="32592"/>
    <cellStyle name="Normal 3 3 4 3 2 3 2 2" xfId="32593"/>
    <cellStyle name="Normal 3 3 4 3 2 3 3" xfId="32594"/>
    <cellStyle name="Normal 3 3 4 3 2 4" xfId="32595"/>
    <cellStyle name="Normal 3 3 4 3 2 4 2" xfId="32596"/>
    <cellStyle name="Normal 3 3 4 3 2 5" xfId="32597"/>
    <cellStyle name="Normal 3 3 4 3 2 5 2" xfId="32598"/>
    <cellStyle name="Normal 3 3 4 3 2 6" xfId="32599"/>
    <cellStyle name="Normal 3 3 4 3 3" xfId="32600"/>
    <cellStyle name="Normal 3 3 4 3 3 2" xfId="32601"/>
    <cellStyle name="Normal 3 3 4 3 3 2 2" xfId="32602"/>
    <cellStyle name="Normal 3 3 4 3 3 2 2 2" xfId="32603"/>
    <cellStyle name="Normal 3 3 4 3 3 2 2 2 2" xfId="32604"/>
    <cellStyle name="Normal 3 3 4 3 3 2 2 3" xfId="32605"/>
    <cellStyle name="Normal 3 3 4 3 3 2 3" xfId="32606"/>
    <cellStyle name="Normal 3 3 4 3 3 2 3 2" xfId="32607"/>
    <cellStyle name="Normal 3 3 4 3 3 2 4" xfId="32608"/>
    <cellStyle name="Normal 3 3 4 3 3 3" xfId="32609"/>
    <cellStyle name="Normal 3 3 4 3 3 3 2" xfId="32610"/>
    <cellStyle name="Normal 3 3 4 3 3 3 2 2" xfId="32611"/>
    <cellStyle name="Normal 3 3 4 3 3 3 3" xfId="32612"/>
    <cellStyle name="Normal 3 3 4 3 3 4" xfId="32613"/>
    <cellStyle name="Normal 3 3 4 3 3 4 2" xfId="32614"/>
    <cellStyle name="Normal 3 3 4 3 3 5" xfId="32615"/>
    <cellStyle name="Normal 3 3 4 3 3 5 2" xfId="32616"/>
    <cellStyle name="Normal 3 3 4 3 3 6" xfId="32617"/>
    <cellStyle name="Normal 3 3 4 3 4" xfId="32618"/>
    <cellStyle name="Normal 3 3 4 3 4 2" xfId="32619"/>
    <cellStyle name="Normal 3 3 4 3 4 2 2" xfId="32620"/>
    <cellStyle name="Normal 3 3 4 3 4 2 2 2" xfId="32621"/>
    <cellStyle name="Normal 3 3 4 3 4 2 3" xfId="32622"/>
    <cellStyle name="Normal 3 3 4 3 4 3" xfId="32623"/>
    <cellStyle name="Normal 3 3 4 3 4 3 2" xfId="32624"/>
    <cellStyle name="Normal 3 3 4 3 4 4" xfId="32625"/>
    <cellStyle name="Normal 3 3 4 3 5" xfId="32626"/>
    <cellStyle name="Normal 3 3 4 3 5 2" xfId="32627"/>
    <cellStyle name="Normal 3 3 4 3 5 2 2" xfId="32628"/>
    <cellStyle name="Normal 3 3 4 3 5 3" xfId="32629"/>
    <cellStyle name="Normal 3 3 4 3 6" xfId="32630"/>
    <cellStyle name="Normal 3 3 4 3 6 2" xfId="32631"/>
    <cellStyle name="Normal 3 3 4 3 7" xfId="32632"/>
    <cellStyle name="Normal 3 3 4 3 7 2" xfId="32633"/>
    <cellStyle name="Normal 3 3 4 3 8" xfId="32634"/>
    <cellStyle name="Normal 3 3 4 3 8 2" xfId="32635"/>
    <cellStyle name="Normal 3 3 4 3 9" xfId="32636"/>
    <cellStyle name="Normal 3 3 4 3 9 2" xfId="32637"/>
    <cellStyle name="Normal 3 3 4 4" xfId="32638"/>
    <cellStyle name="Normal 3 3 4 4 2" xfId="32639"/>
    <cellStyle name="Normal 3 3 4 4 2 2" xfId="32640"/>
    <cellStyle name="Normal 3 3 4 4 2 2 2" xfId="32641"/>
    <cellStyle name="Normal 3 3 4 4 2 2 2 2" xfId="32642"/>
    <cellStyle name="Normal 3 3 4 4 2 2 2 2 2" xfId="32643"/>
    <cellStyle name="Normal 3 3 4 4 2 2 2 3" xfId="32644"/>
    <cellStyle name="Normal 3 3 4 4 2 2 3" xfId="32645"/>
    <cellStyle name="Normal 3 3 4 4 2 2 3 2" xfId="32646"/>
    <cellStyle name="Normal 3 3 4 4 2 2 4" xfId="32647"/>
    <cellStyle name="Normal 3 3 4 4 2 3" xfId="32648"/>
    <cellStyle name="Normal 3 3 4 4 2 3 2" xfId="32649"/>
    <cellStyle name="Normal 3 3 4 4 2 3 2 2" xfId="32650"/>
    <cellStyle name="Normal 3 3 4 4 2 3 3" xfId="32651"/>
    <cellStyle name="Normal 3 3 4 4 2 4" xfId="32652"/>
    <cellStyle name="Normal 3 3 4 4 2 4 2" xfId="32653"/>
    <cellStyle name="Normal 3 3 4 4 2 5" xfId="32654"/>
    <cellStyle name="Normal 3 3 4 4 2 5 2" xfId="32655"/>
    <cellStyle name="Normal 3 3 4 4 2 6" xfId="32656"/>
    <cellStyle name="Normal 3 3 4 4 3" xfId="32657"/>
    <cellStyle name="Normal 3 3 4 4 3 2" xfId="32658"/>
    <cellStyle name="Normal 3 3 4 4 3 2 2" xfId="32659"/>
    <cellStyle name="Normal 3 3 4 4 3 2 2 2" xfId="32660"/>
    <cellStyle name="Normal 3 3 4 4 3 2 2 2 2" xfId="32661"/>
    <cellStyle name="Normal 3 3 4 4 3 2 2 3" xfId="32662"/>
    <cellStyle name="Normal 3 3 4 4 3 2 3" xfId="32663"/>
    <cellStyle name="Normal 3 3 4 4 3 2 3 2" xfId="32664"/>
    <cellStyle name="Normal 3 3 4 4 3 2 4" xfId="32665"/>
    <cellStyle name="Normal 3 3 4 4 3 3" xfId="32666"/>
    <cellStyle name="Normal 3 3 4 4 3 3 2" xfId="32667"/>
    <cellStyle name="Normal 3 3 4 4 3 3 2 2" xfId="32668"/>
    <cellStyle name="Normal 3 3 4 4 3 3 3" xfId="32669"/>
    <cellStyle name="Normal 3 3 4 4 3 4" xfId="32670"/>
    <cellStyle name="Normal 3 3 4 4 3 4 2" xfId="32671"/>
    <cellStyle name="Normal 3 3 4 4 3 5" xfId="32672"/>
    <cellStyle name="Normal 3 3 4 4 3 5 2" xfId="32673"/>
    <cellStyle name="Normal 3 3 4 4 3 6" xfId="32674"/>
    <cellStyle name="Normal 3 3 4 4 4" xfId="32675"/>
    <cellStyle name="Normal 3 3 4 4 4 2" xfId="32676"/>
    <cellStyle name="Normal 3 3 4 4 4 2 2" xfId="32677"/>
    <cellStyle name="Normal 3 3 4 4 4 2 2 2" xfId="32678"/>
    <cellStyle name="Normal 3 3 4 4 4 2 3" xfId="32679"/>
    <cellStyle name="Normal 3 3 4 4 4 3" xfId="32680"/>
    <cellStyle name="Normal 3 3 4 4 4 3 2" xfId="32681"/>
    <cellStyle name="Normal 3 3 4 4 4 4" xfId="32682"/>
    <cellStyle name="Normal 3 3 4 4 5" xfId="32683"/>
    <cellStyle name="Normal 3 3 4 4 5 2" xfId="32684"/>
    <cellStyle name="Normal 3 3 4 4 5 2 2" xfId="32685"/>
    <cellStyle name="Normal 3 3 4 4 5 3" xfId="32686"/>
    <cellStyle name="Normal 3 3 4 4 6" xfId="32687"/>
    <cellStyle name="Normal 3 3 4 4 6 2" xfId="32688"/>
    <cellStyle name="Normal 3 3 4 4 7" xfId="32689"/>
    <cellStyle name="Normal 3 3 4 4 7 2" xfId="32690"/>
    <cellStyle name="Normal 3 3 4 4 8" xfId="32691"/>
    <cellStyle name="Normal 3 3 4 5" xfId="32692"/>
    <cellStyle name="Normal 3 3 4 5 2" xfId="32693"/>
    <cellStyle name="Normal 3 3 4 5 2 2" xfId="32694"/>
    <cellStyle name="Normal 3 3 4 5 2 2 2" xfId="32695"/>
    <cellStyle name="Normal 3 3 4 5 2 2 2 2" xfId="32696"/>
    <cellStyle name="Normal 3 3 4 5 2 2 3" xfId="32697"/>
    <cellStyle name="Normal 3 3 4 5 2 3" xfId="32698"/>
    <cellStyle name="Normal 3 3 4 5 2 3 2" xfId="32699"/>
    <cellStyle name="Normal 3 3 4 5 2 4" xfId="32700"/>
    <cellStyle name="Normal 3 3 4 5 3" xfId="32701"/>
    <cellStyle name="Normal 3 3 4 5 3 2" xfId="32702"/>
    <cellStyle name="Normal 3 3 4 5 3 2 2" xfId="32703"/>
    <cellStyle name="Normal 3 3 4 5 3 3" xfId="32704"/>
    <cellStyle name="Normal 3 3 4 5 4" xfId="32705"/>
    <cellStyle name="Normal 3 3 4 5 4 2" xfId="32706"/>
    <cellStyle name="Normal 3 3 4 5 5" xfId="32707"/>
    <cellStyle name="Normal 3 3 4 5 5 2" xfId="32708"/>
    <cellStyle name="Normal 3 3 4 5 6" xfId="32709"/>
    <cellStyle name="Normal 3 3 4 6" xfId="32710"/>
    <cellStyle name="Normal 3 3 4 6 2" xfId="32711"/>
    <cellStyle name="Normal 3 3 4 6 2 2" xfId="32712"/>
    <cellStyle name="Normal 3 3 4 6 2 2 2" xfId="32713"/>
    <cellStyle name="Normal 3 3 4 6 2 2 2 2" xfId="32714"/>
    <cellStyle name="Normal 3 3 4 6 2 2 3" xfId="32715"/>
    <cellStyle name="Normal 3 3 4 6 2 3" xfId="32716"/>
    <cellStyle name="Normal 3 3 4 6 2 3 2" xfId="32717"/>
    <cellStyle name="Normal 3 3 4 6 2 4" xfId="32718"/>
    <cellStyle name="Normal 3 3 4 6 3" xfId="32719"/>
    <cellStyle name="Normal 3 3 4 6 3 2" xfId="32720"/>
    <cellStyle name="Normal 3 3 4 6 3 2 2" xfId="32721"/>
    <cellStyle name="Normal 3 3 4 6 3 3" xfId="32722"/>
    <cellStyle name="Normal 3 3 4 6 4" xfId="32723"/>
    <cellStyle name="Normal 3 3 4 6 4 2" xfId="32724"/>
    <cellStyle name="Normal 3 3 4 6 5" xfId="32725"/>
    <cellStyle name="Normal 3 3 4 6 5 2" xfId="32726"/>
    <cellStyle name="Normal 3 3 4 6 6" xfId="32727"/>
    <cellStyle name="Normal 3 3 4 7" xfId="32728"/>
    <cellStyle name="Normal 3 3 4 7 2" xfId="32729"/>
    <cellStyle name="Normal 3 3 4 7 2 2" xfId="32730"/>
    <cellStyle name="Normal 3 3 4 7 2 2 2" xfId="32731"/>
    <cellStyle name="Normal 3 3 4 7 2 2 2 2" xfId="32732"/>
    <cellStyle name="Normal 3 3 4 7 2 2 3" xfId="32733"/>
    <cellStyle name="Normal 3 3 4 7 2 3" xfId="32734"/>
    <cellStyle name="Normal 3 3 4 7 2 3 2" xfId="32735"/>
    <cellStyle name="Normal 3 3 4 7 2 4" xfId="32736"/>
    <cellStyle name="Normal 3 3 4 7 3" xfId="32737"/>
    <cellStyle name="Normal 3 3 4 7 3 2" xfId="32738"/>
    <cellStyle name="Normal 3 3 4 7 3 2 2" xfId="32739"/>
    <cellStyle name="Normal 3 3 4 7 3 3" xfId="32740"/>
    <cellStyle name="Normal 3 3 4 7 4" xfId="32741"/>
    <cellStyle name="Normal 3 3 4 7 4 2" xfId="32742"/>
    <cellStyle name="Normal 3 3 4 7 5" xfId="32743"/>
    <cellStyle name="Normal 3 3 4 7 5 2" xfId="32744"/>
    <cellStyle name="Normal 3 3 4 7 6" xfId="32745"/>
    <cellStyle name="Normal 3 3 4 8" xfId="32746"/>
    <cellStyle name="Normal 3 3 4 8 2" xfId="32747"/>
    <cellStyle name="Normal 3 3 4 8 2 2" xfId="32748"/>
    <cellStyle name="Normal 3 3 4 8 2 2 2" xfId="32749"/>
    <cellStyle name="Normal 3 3 4 8 2 3" xfId="32750"/>
    <cellStyle name="Normal 3 3 4 8 3" xfId="32751"/>
    <cellStyle name="Normal 3 3 4 8 3 2" xfId="32752"/>
    <cellStyle name="Normal 3 3 4 8 4" xfId="32753"/>
    <cellStyle name="Normal 3 3 4 8 5" xfId="32754"/>
    <cellStyle name="Normal 3 3 4 8 5 2" xfId="32755"/>
    <cellStyle name="Normal 3 3 4 9" xfId="32756"/>
    <cellStyle name="Normal 3 3 4 9 2" xfId="32757"/>
    <cellStyle name="Normal 3 3 4 9 2 2" xfId="32758"/>
    <cellStyle name="Normal 3 3 4 9 3" xfId="32759"/>
    <cellStyle name="Normal 3 3 4 9 4" xfId="32760"/>
    <cellStyle name="Normal 3 3 5" xfId="32761"/>
    <cellStyle name="Normal 3 3 5 2" xfId="32762"/>
    <cellStyle name="Normal 3 3 5 2 2" xfId="32763"/>
    <cellStyle name="Normal 3 3 5 2 3" xfId="32764"/>
    <cellStyle name="Normal 3 3 5 2 3 2" xfId="32765"/>
    <cellStyle name="Normal 3 3 5 2 4" xfId="32766"/>
    <cellStyle name="Normal 3 3 5 2 5" xfId="32767"/>
    <cellStyle name="Normal 3 3 5 3" xfId="32768"/>
    <cellStyle name="Normal 3 3 5 4" xfId="32769"/>
    <cellStyle name="Normal 3 3 5 4 2" xfId="32770"/>
    <cellStyle name="Normal 3 3 5 5" xfId="32771"/>
    <cellStyle name="Normal 3 3 5 6" xfId="32772"/>
    <cellStyle name="Normal 3 3 6" xfId="32773"/>
    <cellStyle name="Normal 3 3 6 2" xfId="32774"/>
    <cellStyle name="Normal 3 3 6 3" xfId="32775"/>
    <cellStyle name="Normal 3 3 6 3 2" xfId="32776"/>
    <cellStyle name="Normal 3 3 6 4" xfId="32777"/>
    <cellStyle name="Normal 3 3 6 5" xfId="32778"/>
    <cellStyle name="Normal 3 3 7" xfId="32779"/>
    <cellStyle name="Normal 3 3 8" xfId="32780"/>
    <cellStyle name="Normal 3 3 8 2" xfId="32781"/>
    <cellStyle name="Normal 3 3 9" xfId="32782"/>
    <cellStyle name="Normal 3 4" xfId="32783"/>
    <cellStyle name="Normal 3 4 2" xfId="32784"/>
    <cellStyle name="Normal 3 4 2 2" xfId="32785"/>
    <cellStyle name="Normal 3 4 2 2 2" xfId="32786"/>
    <cellStyle name="Normal 3 4 2 2 2 2" xfId="32787"/>
    <cellStyle name="Normal 3 4 2 2 2 2 2" xfId="32788"/>
    <cellStyle name="Normal 3 4 2 2 2 3" xfId="32789"/>
    <cellStyle name="Normal 3 4 2 2 2 4" xfId="32790"/>
    <cellStyle name="Normal 3 4 2 2 3" xfId="32791"/>
    <cellStyle name="Normal 3 4 2 2 3 2" xfId="32792"/>
    <cellStyle name="Normal 3 4 2 2 4" xfId="32793"/>
    <cellStyle name="Normal 3 4 2 2 5" xfId="32794"/>
    <cellStyle name="Normal 3 4 2 3" xfId="32795"/>
    <cellStyle name="Normal 3 4 2 3 2" xfId="32796"/>
    <cellStyle name="Normal 3 4 2 3 2 2" xfId="32797"/>
    <cellStyle name="Normal 3 4 2 3 3" xfId="32798"/>
    <cellStyle name="Normal 3 4 2 3 4" xfId="32799"/>
    <cellStyle name="Normal 3 4 2 4" xfId="32800"/>
    <cellStyle name="Normal 3 4 2 5" xfId="32801"/>
    <cellStyle name="Normal 3 4 2 5 2" xfId="32802"/>
    <cellStyle name="Normal 3 4 2 6" xfId="32803"/>
    <cellStyle name="Normal 3 4 2 7" xfId="32804"/>
    <cellStyle name="Normal 3 4 3" xfId="32805"/>
    <cellStyle name="Normal 3 4 3 10" xfId="32806"/>
    <cellStyle name="Normal 3 4 3 10 2" xfId="32807"/>
    <cellStyle name="Normal 3 4 3 11" xfId="32808"/>
    <cellStyle name="Normal 3 4 3 11 2" xfId="32809"/>
    <cellStyle name="Normal 3 4 3 12" xfId="32810"/>
    <cellStyle name="Normal 3 4 3 12 2" xfId="32811"/>
    <cellStyle name="Normal 3 4 3 13" xfId="32812"/>
    <cellStyle name="Normal 3 4 3 13 2" xfId="32813"/>
    <cellStyle name="Normal 3 4 3 14" xfId="32814"/>
    <cellStyle name="Normal 3 4 3 15" xfId="32815"/>
    <cellStyle name="Normal 3 4 3 2" xfId="32816"/>
    <cellStyle name="Normal 3 4 3 2 10" xfId="32817"/>
    <cellStyle name="Normal 3 4 3 2 10 2" xfId="32818"/>
    <cellStyle name="Normal 3 4 3 2 11" xfId="32819"/>
    <cellStyle name="Normal 3 4 3 2 11 2" xfId="32820"/>
    <cellStyle name="Normal 3 4 3 2 12" xfId="32821"/>
    <cellStyle name="Normal 3 4 3 2 12 2" xfId="32822"/>
    <cellStyle name="Normal 3 4 3 2 13" xfId="32823"/>
    <cellStyle name="Normal 3 4 3 2 14" xfId="32824"/>
    <cellStyle name="Normal 3 4 3 2 2" xfId="32825"/>
    <cellStyle name="Normal 3 4 3 2 2 10" xfId="32826"/>
    <cellStyle name="Normal 3 4 3 2 2 11" xfId="32827"/>
    <cellStyle name="Normal 3 4 3 2 2 2" xfId="32828"/>
    <cellStyle name="Normal 3 4 3 2 2 2 2" xfId="32829"/>
    <cellStyle name="Normal 3 4 3 2 2 2 2 2" xfId="32830"/>
    <cellStyle name="Normal 3 4 3 2 2 2 2 2 2" xfId="32831"/>
    <cellStyle name="Normal 3 4 3 2 2 2 2 2 2 2" xfId="32832"/>
    <cellStyle name="Normal 3 4 3 2 2 2 2 2 3" xfId="32833"/>
    <cellStyle name="Normal 3 4 3 2 2 2 2 3" xfId="32834"/>
    <cellStyle name="Normal 3 4 3 2 2 2 2 3 2" xfId="32835"/>
    <cellStyle name="Normal 3 4 3 2 2 2 2 4" xfId="32836"/>
    <cellStyle name="Normal 3 4 3 2 2 2 3" xfId="32837"/>
    <cellStyle name="Normal 3 4 3 2 2 2 3 2" xfId="32838"/>
    <cellStyle name="Normal 3 4 3 2 2 2 3 2 2" xfId="32839"/>
    <cellStyle name="Normal 3 4 3 2 2 2 3 3" xfId="32840"/>
    <cellStyle name="Normal 3 4 3 2 2 2 4" xfId="32841"/>
    <cellStyle name="Normal 3 4 3 2 2 2 4 2" xfId="32842"/>
    <cellStyle name="Normal 3 4 3 2 2 2 5" xfId="32843"/>
    <cellStyle name="Normal 3 4 3 2 2 2 5 2" xfId="32844"/>
    <cellStyle name="Normal 3 4 3 2 2 2 6" xfId="32845"/>
    <cellStyle name="Normal 3 4 3 2 2 3" xfId="32846"/>
    <cellStyle name="Normal 3 4 3 2 2 3 2" xfId="32847"/>
    <cellStyle name="Normal 3 4 3 2 2 3 2 2" xfId="32848"/>
    <cellStyle name="Normal 3 4 3 2 2 3 2 2 2" xfId="32849"/>
    <cellStyle name="Normal 3 4 3 2 2 3 2 2 2 2" xfId="32850"/>
    <cellStyle name="Normal 3 4 3 2 2 3 2 2 3" xfId="32851"/>
    <cellStyle name="Normal 3 4 3 2 2 3 2 3" xfId="32852"/>
    <cellStyle name="Normal 3 4 3 2 2 3 2 3 2" xfId="32853"/>
    <cellStyle name="Normal 3 4 3 2 2 3 2 4" xfId="32854"/>
    <cellStyle name="Normal 3 4 3 2 2 3 3" xfId="32855"/>
    <cellStyle name="Normal 3 4 3 2 2 3 3 2" xfId="32856"/>
    <cellStyle name="Normal 3 4 3 2 2 3 3 2 2" xfId="32857"/>
    <cellStyle name="Normal 3 4 3 2 2 3 3 3" xfId="32858"/>
    <cellStyle name="Normal 3 4 3 2 2 3 4" xfId="32859"/>
    <cellStyle name="Normal 3 4 3 2 2 3 4 2" xfId="32860"/>
    <cellStyle name="Normal 3 4 3 2 2 3 5" xfId="32861"/>
    <cellStyle name="Normal 3 4 3 2 2 3 5 2" xfId="32862"/>
    <cellStyle name="Normal 3 4 3 2 2 3 6" xfId="32863"/>
    <cellStyle name="Normal 3 4 3 2 2 4" xfId="32864"/>
    <cellStyle name="Normal 3 4 3 2 2 4 2" xfId="32865"/>
    <cellStyle name="Normal 3 4 3 2 2 4 2 2" xfId="32866"/>
    <cellStyle name="Normal 3 4 3 2 2 4 2 2 2" xfId="32867"/>
    <cellStyle name="Normal 3 4 3 2 2 4 2 3" xfId="32868"/>
    <cellStyle name="Normal 3 4 3 2 2 4 3" xfId="32869"/>
    <cellStyle name="Normal 3 4 3 2 2 4 3 2" xfId="32870"/>
    <cellStyle name="Normal 3 4 3 2 2 4 4" xfId="32871"/>
    <cellStyle name="Normal 3 4 3 2 2 5" xfId="32872"/>
    <cellStyle name="Normal 3 4 3 2 2 5 2" xfId="32873"/>
    <cellStyle name="Normal 3 4 3 2 2 5 2 2" xfId="32874"/>
    <cellStyle name="Normal 3 4 3 2 2 5 3" xfId="32875"/>
    <cellStyle name="Normal 3 4 3 2 2 6" xfId="32876"/>
    <cellStyle name="Normal 3 4 3 2 2 6 2" xfId="32877"/>
    <cellStyle name="Normal 3 4 3 2 2 7" xfId="32878"/>
    <cellStyle name="Normal 3 4 3 2 2 7 2" xfId="32879"/>
    <cellStyle name="Normal 3 4 3 2 2 8" xfId="32880"/>
    <cellStyle name="Normal 3 4 3 2 2 8 2" xfId="32881"/>
    <cellStyle name="Normal 3 4 3 2 2 9" xfId="32882"/>
    <cellStyle name="Normal 3 4 3 2 2 9 2" xfId="32883"/>
    <cellStyle name="Normal 3 4 3 2 3" xfId="32884"/>
    <cellStyle name="Normal 3 4 3 2 3 2" xfId="32885"/>
    <cellStyle name="Normal 3 4 3 2 3 2 2" xfId="32886"/>
    <cellStyle name="Normal 3 4 3 2 3 2 2 2" xfId="32887"/>
    <cellStyle name="Normal 3 4 3 2 3 2 2 2 2" xfId="32888"/>
    <cellStyle name="Normal 3 4 3 2 3 2 2 2 2 2" xfId="32889"/>
    <cellStyle name="Normal 3 4 3 2 3 2 2 2 3" xfId="32890"/>
    <cellStyle name="Normal 3 4 3 2 3 2 2 3" xfId="32891"/>
    <cellStyle name="Normal 3 4 3 2 3 2 2 3 2" xfId="32892"/>
    <cellStyle name="Normal 3 4 3 2 3 2 2 4" xfId="32893"/>
    <cellStyle name="Normal 3 4 3 2 3 2 3" xfId="32894"/>
    <cellStyle name="Normal 3 4 3 2 3 2 3 2" xfId="32895"/>
    <cellStyle name="Normal 3 4 3 2 3 2 3 2 2" xfId="32896"/>
    <cellStyle name="Normal 3 4 3 2 3 2 3 3" xfId="32897"/>
    <cellStyle name="Normal 3 4 3 2 3 2 4" xfId="32898"/>
    <cellStyle name="Normal 3 4 3 2 3 2 4 2" xfId="32899"/>
    <cellStyle name="Normal 3 4 3 2 3 2 5" xfId="32900"/>
    <cellStyle name="Normal 3 4 3 2 3 2 5 2" xfId="32901"/>
    <cellStyle name="Normal 3 4 3 2 3 2 6" xfId="32902"/>
    <cellStyle name="Normal 3 4 3 2 3 3" xfId="32903"/>
    <cellStyle name="Normal 3 4 3 2 3 3 2" xfId="32904"/>
    <cellStyle name="Normal 3 4 3 2 3 3 2 2" xfId="32905"/>
    <cellStyle name="Normal 3 4 3 2 3 3 2 2 2" xfId="32906"/>
    <cellStyle name="Normal 3 4 3 2 3 3 2 2 2 2" xfId="32907"/>
    <cellStyle name="Normal 3 4 3 2 3 3 2 2 3" xfId="32908"/>
    <cellStyle name="Normal 3 4 3 2 3 3 2 3" xfId="32909"/>
    <cellStyle name="Normal 3 4 3 2 3 3 2 3 2" xfId="32910"/>
    <cellStyle name="Normal 3 4 3 2 3 3 2 4" xfId="32911"/>
    <cellStyle name="Normal 3 4 3 2 3 3 3" xfId="32912"/>
    <cellStyle name="Normal 3 4 3 2 3 3 3 2" xfId="32913"/>
    <cellStyle name="Normal 3 4 3 2 3 3 3 2 2" xfId="32914"/>
    <cellStyle name="Normal 3 4 3 2 3 3 3 3" xfId="32915"/>
    <cellStyle name="Normal 3 4 3 2 3 3 4" xfId="32916"/>
    <cellStyle name="Normal 3 4 3 2 3 3 4 2" xfId="32917"/>
    <cellStyle name="Normal 3 4 3 2 3 3 5" xfId="32918"/>
    <cellStyle name="Normal 3 4 3 2 3 3 5 2" xfId="32919"/>
    <cellStyle name="Normal 3 4 3 2 3 3 6" xfId="32920"/>
    <cellStyle name="Normal 3 4 3 2 3 4" xfId="32921"/>
    <cellStyle name="Normal 3 4 3 2 3 4 2" xfId="32922"/>
    <cellStyle name="Normal 3 4 3 2 3 4 2 2" xfId="32923"/>
    <cellStyle name="Normal 3 4 3 2 3 4 2 2 2" xfId="32924"/>
    <cellStyle name="Normal 3 4 3 2 3 4 2 3" xfId="32925"/>
    <cellStyle name="Normal 3 4 3 2 3 4 3" xfId="32926"/>
    <cellStyle name="Normal 3 4 3 2 3 4 3 2" xfId="32927"/>
    <cellStyle name="Normal 3 4 3 2 3 4 4" xfId="32928"/>
    <cellStyle name="Normal 3 4 3 2 3 5" xfId="32929"/>
    <cellStyle name="Normal 3 4 3 2 3 5 2" xfId="32930"/>
    <cellStyle name="Normal 3 4 3 2 3 5 2 2" xfId="32931"/>
    <cellStyle name="Normal 3 4 3 2 3 5 3" xfId="32932"/>
    <cellStyle name="Normal 3 4 3 2 3 6" xfId="32933"/>
    <cellStyle name="Normal 3 4 3 2 3 6 2" xfId="32934"/>
    <cellStyle name="Normal 3 4 3 2 3 7" xfId="32935"/>
    <cellStyle name="Normal 3 4 3 2 3 7 2" xfId="32936"/>
    <cellStyle name="Normal 3 4 3 2 3 8" xfId="32937"/>
    <cellStyle name="Normal 3 4 3 2 4" xfId="32938"/>
    <cellStyle name="Normal 3 4 3 2 4 2" xfId="32939"/>
    <cellStyle name="Normal 3 4 3 2 4 2 2" xfId="32940"/>
    <cellStyle name="Normal 3 4 3 2 4 2 2 2" xfId="32941"/>
    <cellStyle name="Normal 3 4 3 2 4 2 2 2 2" xfId="32942"/>
    <cellStyle name="Normal 3 4 3 2 4 2 2 3" xfId="32943"/>
    <cellStyle name="Normal 3 4 3 2 4 2 3" xfId="32944"/>
    <cellStyle name="Normal 3 4 3 2 4 2 3 2" xfId="32945"/>
    <cellStyle name="Normal 3 4 3 2 4 2 4" xfId="32946"/>
    <cellStyle name="Normal 3 4 3 2 4 3" xfId="32947"/>
    <cellStyle name="Normal 3 4 3 2 4 3 2" xfId="32948"/>
    <cellStyle name="Normal 3 4 3 2 4 3 2 2" xfId="32949"/>
    <cellStyle name="Normal 3 4 3 2 4 3 3" xfId="32950"/>
    <cellStyle name="Normal 3 4 3 2 4 4" xfId="32951"/>
    <cellStyle name="Normal 3 4 3 2 4 4 2" xfId="32952"/>
    <cellStyle name="Normal 3 4 3 2 4 5" xfId="32953"/>
    <cellStyle name="Normal 3 4 3 2 4 5 2" xfId="32954"/>
    <cellStyle name="Normal 3 4 3 2 4 6" xfId="32955"/>
    <cellStyle name="Normal 3 4 3 2 5" xfId="32956"/>
    <cellStyle name="Normal 3 4 3 2 5 2" xfId="32957"/>
    <cellStyle name="Normal 3 4 3 2 5 2 2" xfId="32958"/>
    <cellStyle name="Normal 3 4 3 2 5 2 2 2" xfId="32959"/>
    <cellStyle name="Normal 3 4 3 2 5 2 2 2 2" xfId="32960"/>
    <cellStyle name="Normal 3 4 3 2 5 2 2 3" xfId="32961"/>
    <cellStyle name="Normal 3 4 3 2 5 2 3" xfId="32962"/>
    <cellStyle name="Normal 3 4 3 2 5 2 3 2" xfId="32963"/>
    <cellStyle name="Normal 3 4 3 2 5 2 4" xfId="32964"/>
    <cellStyle name="Normal 3 4 3 2 5 3" xfId="32965"/>
    <cellStyle name="Normal 3 4 3 2 5 3 2" xfId="32966"/>
    <cellStyle name="Normal 3 4 3 2 5 3 2 2" xfId="32967"/>
    <cellStyle name="Normal 3 4 3 2 5 3 3" xfId="32968"/>
    <cellStyle name="Normal 3 4 3 2 5 4" xfId="32969"/>
    <cellStyle name="Normal 3 4 3 2 5 4 2" xfId="32970"/>
    <cellStyle name="Normal 3 4 3 2 5 5" xfId="32971"/>
    <cellStyle name="Normal 3 4 3 2 5 5 2" xfId="32972"/>
    <cellStyle name="Normal 3 4 3 2 5 6" xfId="32973"/>
    <cellStyle name="Normal 3 4 3 2 6" xfId="32974"/>
    <cellStyle name="Normal 3 4 3 2 6 2" xfId="32975"/>
    <cellStyle name="Normal 3 4 3 2 6 2 2" xfId="32976"/>
    <cellStyle name="Normal 3 4 3 2 6 2 2 2" xfId="32977"/>
    <cellStyle name="Normal 3 4 3 2 6 2 2 2 2" xfId="32978"/>
    <cellStyle name="Normal 3 4 3 2 6 2 2 3" xfId="32979"/>
    <cellStyle name="Normal 3 4 3 2 6 2 3" xfId="32980"/>
    <cellStyle name="Normal 3 4 3 2 6 2 3 2" xfId="32981"/>
    <cellStyle name="Normal 3 4 3 2 6 2 4" xfId="32982"/>
    <cellStyle name="Normal 3 4 3 2 6 3" xfId="32983"/>
    <cellStyle name="Normal 3 4 3 2 6 3 2" xfId="32984"/>
    <cellStyle name="Normal 3 4 3 2 6 3 2 2" xfId="32985"/>
    <cellStyle name="Normal 3 4 3 2 6 3 3" xfId="32986"/>
    <cellStyle name="Normal 3 4 3 2 6 4" xfId="32987"/>
    <cellStyle name="Normal 3 4 3 2 6 4 2" xfId="32988"/>
    <cellStyle name="Normal 3 4 3 2 6 5" xfId="32989"/>
    <cellStyle name="Normal 3 4 3 2 6 5 2" xfId="32990"/>
    <cellStyle name="Normal 3 4 3 2 6 6" xfId="32991"/>
    <cellStyle name="Normal 3 4 3 2 7" xfId="32992"/>
    <cellStyle name="Normal 3 4 3 2 7 2" xfId="32993"/>
    <cellStyle name="Normal 3 4 3 2 7 2 2" xfId="32994"/>
    <cellStyle name="Normal 3 4 3 2 7 2 2 2" xfId="32995"/>
    <cellStyle name="Normal 3 4 3 2 7 2 3" xfId="32996"/>
    <cellStyle name="Normal 3 4 3 2 7 3" xfId="32997"/>
    <cellStyle name="Normal 3 4 3 2 7 3 2" xfId="32998"/>
    <cellStyle name="Normal 3 4 3 2 7 4" xfId="32999"/>
    <cellStyle name="Normal 3 4 3 2 8" xfId="33000"/>
    <cellStyle name="Normal 3 4 3 2 8 2" xfId="33001"/>
    <cellStyle name="Normal 3 4 3 2 8 2 2" xfId="33002"/>
    <cellStyle name="Normal 3 4 3 2 8 3" xfId="33003"/>
    <cellStyle name="Normal 3 4 3 2 9" xfId="33004"/>
    <cellStyle name="Normal 3 4 3 2 9 2" xfId="33005"/>
    <cellStyle name="Normal 3 4 3 3" xfId="33006"/>
    <cellStyle name="Normal 3 4 3 3 10" xfId="33007"/>
    <cellStyle name="Normal 3 4 3 3 11" xfId="33008"/>
    <cellStyle name="Normal 3 4 3 3 2" xfId="33009"/>
    <cellStyle name="Normal 3 4 3 3 2 2" xfId="33010"/>
    <cellStyle name="Normal 3 4 3 3 2 2 2" xfId="33011"/>
    <cellStyle name="Normal 3 4 3 3 2 2 2 2" xfId="33012"/>
    <cellStyle name="Normal 3 4 3 3 2 2 2 2 2" xfId="33013"/>
    <cellStyle name="Normal 3 4 3 3 2 2 2 3" xfId="33014"/>
    <cellStyle name="Normal 3 4 3 3 2 2 3" xfId="33015"/>
    <cellStyle name="Normal 3 4 3 3 2 2 3 2" xfId="33016"/>
    <cellStyle name="Normal 3 4 3 3 2 2 4" xfId="33017"/>
    <cellStyle name="Normal 3 4 3 3 2 3" xfId="33018"/>
    <cellStyle name="Normal 3 4 3 3 2 3 2" xfId="33019"/>
    <cellStyle name="Normal 3 4 3 3 2 3 2 2" xfId="33020"/>
    <cellStyle name="Normal 3 4 3 3 2 3 3" xfId="33021"/>
    <cellStyle name="Normal 3 4 3 3 2 4" xfId="33022"/>
    <cellStyle name="Normal 3 4 3 3 2 4 2" xfId="33023"/>
    <cellStyle name="Normal 3 4 3 3 2 5" xfId="33024"/>
    <cellStyle name="Normal 3 4 3 3 2 5 2" xfId="33025"/>
    <cellStyle name="Normal 3 4 3 3 2 6" xfId="33026"/>
    <cellStyle name="Normal 3 4 3 3 3" xfId="33027"/>
    <cellStyle name="Normal 3 4 3 3 3 2" xfId="33028"/>
    <cellStyle name="Normal 3 4 3 3 3 2 2" xfId="33029"/>
    <cellStyle name="Normal 3 4 3 3 3 2 2 2" xfId="33030"/>
    <cellStyle name="Normal 3 4 3 3 3 2 2 2 2" xfId="33031"/>
    <cellStyle name="Normal 3 4 3 3 3 2 2 3" xfId="33032"/>
    <cellStyle name="Normal 3 4 3 3 3 2 3" xfId="33033"/>
    <cellStyle name="Normal 3 4 3 3 3 2 3 2" xfId="33034"/>
    <cellStyle name="Normal 3 4 3 3 3 2 4" xfId="33035"/>
    <cellStyle name="Normal 3 4 3 3 3 3" xfId="33036"/>
    <cellStyle name="Normal 3 4 3 3 3 3 2" xfId="33037"/>
    <cellStyle name="Normal 3 4 3 3 3 3 2 2" xfId="33038"/>
    <cellStyle name="Normal 3 4 3 3 3 3 3" xfId="33039"/>
    <cellStyle name="Normal 3 4 3 3 3 4" xfId="33040"/>
    <cellStyle name="Normal 3 4 3 3 3 4 2" xfId="33041"/>
    <cellStyle name="Normal 3 4 3 3 3 5" xfId="33042"/>
    <cellStyle name="Normal 3 4 3 3 3 5 2" xfId="33043"/>
    <cellStyle name="Normal 3 4 3 3 3 6" xfId="33044"/>
    <cellStyle name="Normal 3 4 3 3 4" xfId="33045"/>
    <cellStyle name="Normal 3 4 3 3 4 2" xfId="33046"/>
    <cellStyle name="Normal 3 4 3 3 4 2 2" xfId="33047"/>
    <cellStyle name="Normal 3 4 3 3 4 2 2 2" xfId="33048"/>
    <cellStyle name="Normal 3 4 3 3 4 2 3" xfId="33049"/>
    <cellStyle name="Normal 3 4 3 3 4 3" xfId="33050"/>
    <cellStyle name="Normal 3 4 3 3 4 3 2" xfId="33051"/>
    <cellStyle name="Normal 3 4 3 3 4 4" xfId="33052"/>
    <cellStyle name="Normal 3 4 3 3 5" xfId="33053"/>
    <cellStyle name="Normal 3 4 3 3 5 2" xfId="33054"/>
    <cellStyle name="Normal 3 4 3 3 5 2 2" xfId="33055"/>
    <cellStyle name="Normal 3 4 3 3 5 3" xfId="33056"/>
    <cellStyle name="Normal 3 4 3 3 6" xfId="33057"/>
    <cellStyle name="Normal 3 4 3 3 6 2" xfId="33058"/>
    <cellStyle name="Normal 3 4 3 3 7" xfId="33059"/>
    <cellStyle name="Normal 3 4 3 3 7 2" xfId="33060"/>
    <cellStyle name="Normal 3 4 3 3 8" xfId="33061"/>
    <cellStyle name="Normal 3 4 3 3 8 2" xfId="33062"/>
    <cellStyle name="Normal 3 4 3 3 9" xfId="33063"/>
    <cellStyle name="Normal 3 4 3 3 9 2" xfId="33064"/>
    <cellStyle name="Normal 3 4 3 4" xfId="33065"/>
    <cellStyle name="Normal 3 4 3 4 2" xfId="33066"/>
    <cellStyle name="Normal 3 4 3 4 2 2" xfId="33067"/>
    <cellStyle name="Normal 3 4 3 4 2 2 2" xfId="33068"/>
    <cellStyle name="Normal 3 4 3 4 2 2 2 2" xfId="33069"/>
    <cellStyle name="Normal 3 4 3 4 2 2 2 2 2" xfId="33070"/>
    <cellStyle name="Normal 3 4 3 4 2 2 2 3" xfId="33071"/>
    <cellStyle name="Normal 3 4 3 4 2 2 3" xfId="33072"/>
    <cellStyle name="Normal 3 4 3 4 2 2 3 2" xfId="33073"/>
    <cellStyle name="Normal 3 4 3 4 2 2 4" xfId="33074"/>
    <cellStyle name="Normal 3 4 3 4 2 3" xfId="33075"/>
    <cellStyle name="Normal 3 4 3 4 2 3 2" xfId="33076"/>
    <cellStyle name="Normal 3 4 3 4 2 3 2 2" xfId="33077"/>
    <cellStyle name="Normal 3 4 3 4 2 3 3" xfId="33078"/>
    <cellStyle name="Normal 3 4 3 4 2 4" xfId="33079"/>
    <cellStyle name="Normal 3 4 3 4 2 4 2" xfId="33080"/>
    <cellStyle name="Normal 3 4 3 4 2 5" xfId="33081"/>
    <cellStyle name="Normal 3 4 3 4 2 5 2" xfId="33082"/>
    <cellStyle name="Normal 3 4 3 4 2 6" xfId="33083"/>
    <cellStyle name="Normal 3 4 3 4 3" xfId="33084"/>
    <cellStyle name="Normal 3 4 3 4 3 2" xfId="33085"/>
    <cellStyle name="Normal 3 4 3 4 3 2 2" xfId="33086"/>
    <cellStyle name="Normal 3 4 3 4 3 2 2 2" xfId="33087"/>
    <cellStyle name="Normal 3 4 3 4 3 2 2 2 2" xfId="33088"/>
    <cellStyle name="Normal 3 4 3 4 3 2 2 3" xfId="33089"/>
    <cellStyle name="Normal 3 4 3 4 3 2 3" xfId="33090"/>
    <cellStyle name="Normal 3 4 3 4 3 2 3 2" xfId="33091"/>
    <cellStyle name="Normal 3 4 3 4 3 2 4" xfId="33092"/>
    <cellStyle name="Normal 3 4 3 4 3 3" xfId="33093"/>
    <cellStyle name="Normal 3 4 3 4 3 3 2" xfId="33094"/>
    <cellStyle name="Normal 3 4 3 4 3 3 2 2" xfId="33095"/>
    <cellStyle name="Normal 3 4 3 4 3 3 3" xfId="33096"/>
    <cellStyle name="Normal 3 4 3 4 3 4" xfId="33097"/>
    <cellStyle name="Normal 3 4 3 4 3 4 2" xfId="33098"/>
    <cellStyle name="Normal 3 4 3 4 3 5" xfId="33099"/>
    <cellStyle name="Normal 3 4 3 4 3 5 2" xfId="33100"/>
    <cellStyle name="Normal 3 4 3 4 3 6" xfId="33101"/>
    <cellStyle name="Normal 3 4 3 4 4" xfId="33102"/>
    <cellStyle name="Normal 3 4 3 4 4 2" xfId="33103"/>
    <cellStyle name="Normal 3 4 3 4 4 2 2" xfId="33104"/>
    <cellStyle name="Normal 3 4 3 4 4 2 2 2" xfId="33105"/>
    <cellStyle name="Normal 3 4 3 4 4 2 3" xfId="33106"/>
    <cellStyle name="Normal 3 4 3 4 4 3" xfId="33107"/>
    <cellStyle name="Normal 3 4 3 4 4 3 2" xfId="33108"/>
    <cellStyle name="Normal 3 4 3 4 4 4" xfId="33109"/>
    <cellStyle name="Normal 3 4 3 4 5" xfId="33110"/>
    <cellStyle name="Normal 3 4 3 4 5 2" xfId="33111"/>
    <cellStyle name="Normal 3 4 3 4 5 2 2" xfId="33112"/>
    <cellStyle name="Normal 3 4 3 4 5 3" xfId="33113"/>
    <cellStyle name="Normal 3 4 3 4 6" xfId="33114"/>
    <cellStyle name="Normal 3 4 3 4 6 2" xfId="33115"/>
    <cellStyle name="Normal 3 4 3 4 7" xfId="33116"/>
    <cellStyle name="Normal 3 4 3 4 7 2" xfId="33117"/>
    <cellStyle name="Normal 3 4 3 4 8" xfId="33118"/>
    <cellStyle name="Normal 3 4 3 5" xfId="33119"/>
    <cellStyle name="Normal 3 4 3 5 2" xfId="33120"/>
    <cellStyle name="Normal 3 4 3 5 2 2" xfId="33121"/>
    <cellStyle name="Normal 3 4 3 5 2 2 2" xfId="33122"/>
    <cellStyle name="Normal 3 4 3 5 2 2 2 2" xfId="33123"/>
    <cellStyle name="Normal 3 4 3 5 2 2 3" xfId="33124"/>
    <cellStyle name="Normal 3 4 3 5 2 3" xfId="33125"/>
    <cellStyle name="Normal 3 4 3 5 2 3 2" xfId="33126"/>
    <cellStyle name="Normal 3 4 3 5 2 4" xfId="33127"/>
    <cellStyle name="Normal 3 4 3 5 3" xfId="33128"/>
    <cellStyle name="Normal 3 4 3 5 3 2" xfId="33129"/>
    <cellStyle name="Normal 3 4 3 5 3 2 2" xfId="33130"/>
    <cellStyle name="Normal 3 4 3 5 3 3" xfId="33131"/>
    <cellStyle name="Normal 3 4 3 5 4" xfId="33132"/>
    <cellStyle name="Normal 3 4 3 5 4 2" xfId="33133"/>
    <cellStyle name="Normal 3 4 3 5 5" xfId="33134"/>
    <cellStyle name="Normal 3 4 3 5 5 2" xfId="33135"/>
    <cellStyle name="Normal 3 4 3 5 6" xfId="33136"/>
    <cellStyle name="Normal 3 4 3 6" xfId="33137"/>
    <cellStyle name="Normal 3 4 3 6 2" xfId="33138"/>
    <cellStyle name="Normal 3 4 3 6 2 2" xfId="33139"/>
    <cellStyle name="Normal 3 4 3 6 2 2 2" xfId="33140"/>
    <cellStyle name="Normal 3 4 3 6 2 2 2 2" xfId="33141"/>
    <cellStyle name="Normal 3 4 3 6 2 2 3" xfId="33142"/>
    <cellStyle name="Normal 3 4 3 6 2 3" xfId="33143"/>
    <cellStyle name="Normal 3 4 3 6 2 3 2" xfId="33144"/>
    <cellStyle name="Normal 3 4 3 6 2 4" xfId="33145"/>
    <cellStyle name="Normal 3 4 3 6 3" xfId="33146"/>
    <cellStyle name="Normal 3 4 3 6 3 2" xfId="33147"/>
    <cellStyle name="Normal 3 4 3 6 3 2 2" xfId="33148"/>
    <cellStyle name="Normal 3 4 3 6 3 3" xfId="33149"/>
    <cellStyle name="Normal 3 4 3 6 4" xfId="33150"/>
    <cellStyle name="Normal 3 4 3 6 4 2" xfId="33151"/>
    <cellStyle name="Normal 3 4 3 6 5" xfId="33152"/>
    <cellStyle name="Normal 3 4 3 6 5 2" xfId="33153"/>
    <cellStyle name="Normal 3 4 3 6 6" xfId="33154"/>
    <cellStyle name="Normal 3 4 3 7" xfId="33155"/>
    <cellStyle name="Normal 3 4 3 7 2" xfId="33156"/>
    <cellStyle name="Normal 3 4 3 7 2 2" xfId="33157"/>
    <cellStyle name="Normal 3 4 3 7 2 2 2" xfId="33158"/>
    <cellStyle name="Normal 3 4 3 7 2 2 2 2" xfId="33159"/>
    <cellStyle name="Normal 3 4 3 7 2 2 3" xfId="33160"/>
    <cellStyle name="Normal 3 4 3 7 2 3" xfId="33161"/>
    <cellStyle name="Normal 3 4 3 7 2 3 2" xfId="33162"/>
    <cellStyle name="Normal 3 4 3 7 2 4" xfId="33163"/>
    <cellStyle name="Normal 3 4 3 7 3" xfId="33164"/>
    <cellStyle name="Normal 3 4 3 7 3 2" xfId="33165"/>
    <cellStyle name="Normal 3 4 3 7 3 2 2" xfId="33166"/>
    <cellStyle name="Normal 3 4 3 7 3 3" xfId="33167"/>
    <cellStyle name="Normal 3 4 3 7 4" xfId="33168"/>
    <cellStyle name="Normal 3 4 3 7 4 2" xfId="33169"/>
    <cellStyle name="Normal 3 4 3 7 5" xfId="33170"/>
    <cellStyle name="Normal 3 4 3 7 5 2" xfId="33171"/>
    <cellStyle name="Normal 3 4 3 7 6" xfId="33172"/>
    <cellStyle name="Normal 3 4 3 8" xfId="33173"/>
    <cellStyle name="Normal 3 4 3 8 2" xfId="33174"/>
    <cellStyle name="Normal 3 4 3 8 2 2" xfId="33175"/>
    <cellStyle name="Normal 3 4 3 8 2 2 2" xfId="33176"/>
    <cellStyle name="Normal 3 4 3 8 2 3" xfId="33177"/>
    <cellStyle name="Normal 3 4 3 8 3" xfId="33178"/>
    <cellStyle name="Normal 3 4 3 8 3 2" xfId="33179"/>
    <cellStyle name="Normal 3 4 3 8 4" xfId="33180"/>
    <cellStyle name="Normal 3 4 3 9" xfId="33181"/>
    <cellStyle name="Normal 3 4 3 9 2" xfId="33182"/>
    <cellStyle name="Normal 3 4 3 9 2 2" xfId="33183"/>
    <cellStyle name="Normal 3 4 3 9 3" xfId="33184"/>
    <cellStyle name="Normal 3 4 4" xfId="33185"/>
    <cellStyle name="Normal 3 4 4 2" xfId="33186"/>
    <cellStyle name="Normal 3 4 4 2 2" xfId="33187"/>
    <cellStyle name="Normal 3 4 4 2 2 2" xfId="33188"/>
    <cellStyle name="Normal 3 4 4 2 3" xfId="33189"/>
    <cellStyle name="Normal 3 4 4 2 4" xfId="33190"/>
    <cellStyle name="Normal 3 4 4 3" xfId="33191"/>
    <cellStyle name="Normal 3 4 4 3 2" xfId="33192"/>
    <cellStyle name="Normal 3 4 4 4" xfId="33193"/>
    <cellStyle name="Normal 3 4 4 5" xfId="33194"/>
    <cellStyle name="Normal 3 4 5" xfId="33195"/>
    <cellStyle name="Normal 3 4 5 2" xfId="33196"/>
    <cellStyle name="Normal 3 4 5 2 2" xfId="33197"/>
    <cellStyle name="Normal 3 4 5 3" xfId="33198"/>
    <cellStyle name="Normal 3 4 5 4" xfId="33199"/>
    <cellStyle name="Normal 3 4 6" xfId="33200"/>
    <cellStyle name="Normal 3 4 7" xfId="33201"/>
    <cellStyle name="Normal 3 4 7 2" xfId="33202"/>
    <cellStyle name="Normal 3 4 8" xfId="33203"/>
    <cellStyle name="Normal 3 4 9" xfId="33204"/>
    <cellStyle name="Normal 3 5" xfId="33205"/>
    <cellStyle name="Normal 3 5 10" xfId="33206"/>
    <cellStyle name="Normal 3 5 10 2" xfId="33207"/>
    <cellStyle name="Normal 3 5 11" xfId="33208"/>
    <cellStyle name="Normal 3 5 11 2" xfId="33209"/>
    <cellStyle name="Normal 3 5 12" xfId="33210"/>
    <cellStyle name="Normal 3 5 13" xfId="33211"/>
    <cellStyle name="Normal 3 5 13 2" xfId="33212"/>
    <cellStyle name="Normal 3 5 14" xfId="33213"/>
    <cellStyle name="Normal 3 5 14 2" xfId="33214"/>
    <cellStyle name="Normal 3 5 15" xfId="33215"/>
    <cellStyle name="Normal 3 5 16" xfId="33216"/>
    <cellStyle name="Normal 3 5 2" xfId="33217"/>
    <cellStyle name="Normal 3 5 2 10" xfId="33218"/>
    <cellStyle name="Normal 3 5 2 10 2" xfId="33219"/>
    <cellStyle name="Normal 3 5 2 11" xfId="33220"/>
    <cellStyle name="Normal 3 5 2 11 2" xfId="33221"/>
    <cellStyle name="Normal 3 5 2 12" xfId="33222"/>
    <cellStyle name="Normal 3 5 2 12 2" xfId="33223"/>
    <cellStyle name="Normal 3 5 2 13" xfId="33224"/>
    <cellStyle name="Normal 3 5 2 14" xfId="33225"/>
    <cellStyle name="Normal 3 5 2 2" xfId="33226"/>
    <cellStyle name="Normal 3 5 2 2 10" xfId="33227"/>
    <cellStyle name="Normal 3 5 2 2 11" xfId="33228"/>
    <cellStyle name="Normal 3 5 2 2 2" xfId="33229"/>
    <cellStyle name="Normal 3 5 2 2 2 2" xfId="33230"/>
    <cellStyle name="Normal 3 5 2 2 2 2 2" xfId="33231"/>
    <cellStyle name="Normal 3 5 2 2 2 2 2 2" xfId="33232"/>
    <cellStyle name="Normal 3 5 2 2 2 2 2 2 2" xfId="33233"/>
    <cellStyle name="Normal 3 5 2 2 2 2 2 3" xfId="33234"/>
    <cellStyle name="Normal 3 5 2 2 2 2 3" xfId="33235"/>
    <cellStyle name="Normal 3 5 2 2 2 2 3 2" xfId="33236"/>
    <cellStyle name="Normal 3 5 2 2 2 2 4" xfId="33237"/>
    <cellStyle name="Normal 3 5 2 2 2 3" xfId="33238"/>
    <cellStyle name="Normal 3 5 2 2 2 3 2" xfId="33239"/>
    <cellStyle name="Normal 3 5 2 2 2 3 2 2" xfId="33240"/>
    <cellStyle name="Normal 3 5 2 2 2 3 3" xfId="33241"/>
    <cellStyle name="Normal 3 5 2 2 2 4" xfId="33242"/>
    <cellStyle name="Normal 3 5 2 2 2 4 2" xfId="33243"/>
    <cellStyle name="Normal 3 5 2 2 2 5" xfId="33244"/>
    <cellStyle name="Normal 3 5 2 2 2 5 2" xfId="33245"/>
    <cellStyle name="Normal 3 5 2 2 2 6" xfId="33246"/>
    <cellStyle name="Normal 3 5 2 2 2 6 2" xfId="33247"/>
    <cellStyle name="Normal 3 5 2 2 2 7" xfId="33248"/>
    <cellStyle name="Normal 3 5 2 2 2 7 2" xfId="33249"/>
    <cellStyle name="Normal 3 5 2 2 2 8" xfId="33250"/>
    <cellStyle name="Normal 3 5 2 2 2 9" xfId="33251"/>
    <cellStyle name="Normal 3 5 2 2 3" xfId="33252"/>
    <cellStyle name="Normal 3 5 2 2 3 2" xfId="33253"/>
    <cellStyle name="Normal 3 5 2 2 3 2 2" xfId="33254"/>
    <cellStyle name="Normal 3 5 2 2 3 2 2 2" xfId="33255"/>
    <cellStyle name="Normal 3 5 2 2 3 2 2 2 2" xfId="33256"/>
    <cellStyle name="Normal 3 5 2 2 3 2 2 3" xfId="33257"/>
    <cellStyle name="Normal 3 5 2 2 3 2 3" xfId="33258"/>
    <cellStyle name="Normal 3 5 2 2 3 2 3 2" xfId="33259"/>
    <cellStyle name="Normal 3 5 2 2 3 2 4" xfId="33260"/>
    <cellStyle name="Normal 3 5 2 2 3 3" xfId="33261"/>
    <cellStyle name="Normal 3 5 2 2 3 3 2" xfId="33262"/>
    <cellStyle name="Normal 3 5 2 2 3 3 2 2" xfId="33263"/>
    <cellStyle name="Normal 3 5 2 2 3 3 3" xfId="33264"/>
    <cellStyle name="Normal 3 5 2 2 3 4" xfId="33265"/>
    <cellStyle name="Normal 3 5 2 2 3 4 2" xfId="33266"/>
    <cellStyle name="Normal 3 5 2 2 3 5" xfId="33267"/>
    <cellStyle name="Normal 3 5 2 2 3 5 2" xfId="33268"/>
    <cellStyle name="Normal 3 5 2 2 3 6" xfId="33269"/>
    <cellStyle name="Normal 3 5 2 2 4" xfId="33270"/>
    <cellStyle name="Normal 3 5 2 2 4 2" xfId="33271"/>
    <cellStyle name="Normal 3 5 2 2 4 2 2" xfId="33272"/>
    <cellStyle name="Normal 3 5 2 2 4 2 2 2" xfId="33273"/>
    <cellStyle name="Normal 3 5 2 2 4 2 3" xfId="33274"/>
    <cellStyle name="Normal 3 5 2 2 4 3" xfId="33275"/>
    <cellStyle name="Normal 3 5 2 2 4 3 2" xfId="33276"/>
    <cellStyle name="Normal 3 5 2 2 4 4" xfId="33277"/>
    <cellStyle name="Normal 3 5 2 2 5" xfId="33278"/>
    <cellStyle name="Normal 3 5 2 2 5 2" xfId="33279"/>
    <cellStyle name="Normal 3 5 2 2 5 2 2" xfId="33280"/>
    <cellStyle name="Normal 3 5 2 2 5 3" xfId="33281"/>
    <cellStyle name="Normal 3 5 2 2 6" xfId="33282"/>
    <cellStyle name="Normal 3 5 2 2 6 2" xfId="33283"/>
    <cellStyle name="Normal 3 5 2 2 7" xfId="33284"/>
    <cellStyle name="Normal 3 5 2 2 7 2" xfId="33285"/>
    <cellStyle name="Normal 3 5 2 2 8" xfId="33286"/>
    <cellStyle name="Normal 3 5 2 2 8 2" xfId="33287"/>
    <cellStyle name="Normal 3 5 2 2 9" xfId="33288"/>
    <cellStyle name="Normal 3 5 2 2 9 2" xfId="33289"/>
    <cellStyle name="Normal 3 5 2 3" xfId="33290"/>
    <cellStyle name="Normal 3 5 2 3 10" xfId="33291"/>
    <cellStyle name="Normal 3 5 2 3 11" xfId="33292"/>
    <cellStyle name="Normal 3 5 2 3 2" xfId="33293"/>
    <cellStyle name="Normal 3 5 2 3 2 2" xfId="33294"/>
    <cellStyle name="Normal 3 5 2 3 2 2 2" xfId="33295"/>
    <cellStyle name="Normal 3 5 2 3 2 2 2 2" xfId="33296"/>
    <cellStyle name="Normal 3 5 2 3 2 2 2 2 2" xfId="33297"/>
    <cellStyle name="Normal 3 5 2 3 2 2 2 3" xfId="33298"/>
    <cellStyle name="Normal 3 5 2 3 2 2 3" xfId="33299"/>
    <cellStyle name="Normal 3 5 2 3 2 2 3 2" xfId="33300"/>
    <cellStyle name="Normal 3 5 2 3 2 2 4" xfId="33301"/>
    <cellStyle name="Normal 3 5 2 3 2 3" xfId="33302"/>
    <cellStyle name="Normal 3 5 2 3 2 3 2" xfId="33303"/>
    <cellStyle name="Normal 3 5 2 3 2 3 2 2" xfId="33304"/>
    <cellStyle name="Normal 3 5 2 3 2 3 3" xfId="33305"/>
    <cellStyle name="Normal 3 5 2 3 2 4" xfId="33306"/>
    <cellStyle name="Normal 3 5 2 3 2 4 2" xfId="33307"/>
    <cellStyle name="Normal 3 5 2 3 2 5" xfId="33308"/>
    <cellStyle name="Normal 3 5 2 3 2 5 2" xfId="33309"/>
    <cellStyle name="Normal 3 5 2 3 2 6" xfId="33310"/>
    <cellStyle name="Normal 3 5 2 3 3" xfId="33311"/>
    <cellStyle name="Normal 3 5 2 3 3 2" xfId="33312"/>
    <cellStyle name="Normal 3 5 2 3 3 2 2" xfId="33313"/>
    <cellStyle name="Normal 3 5 2 3 3 2 2 2" xfId="33314"/>
    <cellStyle name="Normal 3 5 2 3 3 2 2 2 2" xfId="33315"/>
    <cellStyle name="Normal 3 5 2 3 3 2 2 3" xfId="33316"/>
    <cellStyle name="Normal 3 5 2 3 3 2 3" xfId="33317"/>
    <cellStyle name="Normal 3 5 2 3 3 2 3 2" xfId="33318"/>
    <cellStyle name="Normal 3 5 2 3 3 2 4" xfId="33319"/>
    <cellStyle name="Normal 3 5 2 3 3 3" xfId="33320"/>
    <cellStyle name="Normal 3 5 2 3 3 3 2" xfId="33321"/>
    <cellStyle name="Normal 3 5 2 3 3 3 2 2" xfId="33322"/>
    <cellStyle name="Normal 3 5 2 3 3 3 3" xfId="33323"/>
    <cellStyle name="Normal 3 5 2 3 3 4" xfId="33324"/>
    <cellStyle name="Normal 3 5 2 3 3 4 2" xfId="33325"/>
    <cellStyle name="Normal 3 5 2 3 3 5" xfId="33326"/>
    <cellStyle name="Normal 3 5 2 3 3 5 2" xfId="33327"/>
    <cellStyle name="Normal 3 5 2 3 3 6" xfId="33328"/>
    <cellStyle name="Normal 3 5 2 3 4" xfId="33329"/>
    <cellStyle name="Normal 3 5 2 3 4 2" xfId="33330"/>
    <cellStyle name="Normal 3 5 2 3 4 2 2" xfId="33331"/>
    <cellStyle name="Normal 3 5 2 3 4 2 2 2" xfId="33332"/>
    <cellStyle name="Normal 3 5 2 3 4 2 3" xfId="33333"/>
    <cellStyle name="Normal 3 5 2 3 4 3" xfId="33334"/>
    <cellStyle name="Normal 3 5 2 3 4 3 2" xfId="33335"/>
    <cellStyle name="Normal 3 5 2 3 4 4" xfId="33336"/>
    <cellStyle name="Normal 3 5 2 3 5" xfId="33337"/>
    <cellStyle name="Normal 3 5 2 3 5 2" xfId="33338"/>
    <cellStyle name="Normal 3 5 2 3 5 2 2" xfId="33339"/>
    <cellStyle name="Normal 3 5 2 3 5 3" xfId="33340"/>
    <cellStyle name="Normal 3 5 2 3 6" xfId="33341"/>
    <cellStyle name="Normal 3 5 2 3 6 2" xfId="33342"/>
    <cellStyle name="Normal 3 5 2 3 7" xfId="33343"/>
    <cellStyle name="Normal 3 5 2 3 7 2" xfId="33344"/>
    <cellStyle name="Normal 3 5 2 3 8" xfId="33345"/>
    <cellStyle name="Normal 3 5 2 3 8 2" xfId="33346"/>
    <cellStyle name="Normal 3 5 2 3 9" xfId="33347"/>
    <cellStyle name="Normal 3 5 2 3 9 2" xfId="33348"/>
    <cellStyle name="Normal 3 5 2 4" xfId="33349"/>
    <cellStyle name="Normal 3 5 2 4 2" xfId="33350"/>
    <cellStyle name="Normal 3 5 2 4 2 2" xfId="33351"/>
    <cellStyle name="Normal 3 5 2 4 2 2 2" xfId="33352"/>
    <cellStyle name="Normal 3 5 2 4 2 2 2 2" xfId="33353"/>
    <cellStyle name="Normal 3 5 2 4 2 2 3" xfId="33354"/>
    <cellStyle name="Normal 3 5 2 4 2 3" xfId="33355"/>
    <cellStyle name="Normal 3 5 2 4 2 3 2" xfId="33356"/>
    <cellStyle name="Normal 3 5 2 4 2 4" xfId="33357"/>
    <cellStyle name="Normal 3 5 2 4 3" xfId="33358"/>
    <cellStyle name="Normal 3 5 2 4 3 2" xfId="33359"/>
    <cellStyle name="Normal 3 5 2 4 3 2 2" xfId="33360"/>
    <cellStyle name="Normal 3 5 2 4 3 3" xfId="33361"/>
    <cellStyle name="Normal 3 5 2 4 4" xfId="33362"/>
    <cellStyle name="Normal 3 5 2 4 4 2" xfId="33363"/>
    <cellStyle name="Normal 3 5 2 4 5" xfId="33364"/>
    <cellStyle name="Normal 3 5 2 4 5 2" xfId="33365"/>
    <cellStyle name="Normal 3 5 2 4 6" xfId="33366"/>
    <cellStyle name="Normal 3 5 2 5" xfId="33367"/>
    <cellStyle name="Normal 3 5 2 5 2" xfId="33368"/>
    <cellStyle name="Normal 3 5 2 5 2 2" xfId="33369"/>
    <cellStyle name="Normal 3 5 2 5 2 2 2" xfId="33370"/>
    <cellStyle name="Normal 3 5 2 5 2 2 2 2" xfId="33371"/>
    <cellStyle name="Normal 3 5 2 5 2 2 3" xfId="33372"/>
    <cellStyle name="Normal 3 5 2 5 2 3" xfId="33373"/>
    <cellStyle name="Normal 3 5 2 5 2 3 2" xfId="33374"/>
    <cellStyle name="Normal 3 5 2 5 2 4" xfId="33375"/>
    <cellStyle name="Normal 3 5 2 5 3" xfId="33376"/>
    <cellStyle name="Normal 3 5 2 5 3 2" xfId="33377"/>
    <cellStyle name="Normal 3 5 2 5 3 2 2" xfId="33378"/>
    <cellStyle name="Normal 3 5 2 5 3 3" xfId="33379"/>
    <cellStyle name="Normal 3 5 2 5 4" xfId="33380"/>
    <cellStyle name="Normal 3 5 2 5 4 2" xfId="33381"/>
    <cellStyle name="Normal 3 5 2 5 5" xfId="33382"/>
    <cellStyle name="Normal 3 5 2 5 5 2" xfId="33383"/>
    <cellStyle name="Normal 3 5 2 5 6" xfId="33384"/>
    <cellStyle name="Normal 3 5 2 6" xfId="33385"/>
    <cellStyle name="Normal 3 5 2 6 2" xfId="33386"/>
    <cellStyle name="Normal 3 5 2 6 2 2" xfId="33387"/>
    <cellStyle name="Normal 3 5 2 6 2 2 2" xfId="33388"/>
    <cellStyle name="Normal 3 5 2 6 2 2 2 2" xfId="33389"/>
    <cellStyle name="Normal 3 5 2 6 2 2 3" xfId="33390"/>
    <cellStyle name="Normal 3 5 2 6 2 3" xfId="33391"/>
    <cellStyle name="Normal 3 5 2 6 2 3 2" xfId="33392"/>
    <cellStyle name="Normal 3 5 2 6 2 4" xfId="33393"/>
    <cellStyle name="Normal 3 5 2 6 3" xfId="33394"/>
    <cellStyle name="Normal 3 5 2 6 3 2" xfId="33395"/>
    <cellStyle name="Normal 3 5 2 6 3 2 2" xfId="33396"/>
    <cellStyle name="Normal 3 5 2 6 3 3" xfId="33397"/>
    <cellStyle name="Normal 3 5 2 6 4" xfId="33398"/>
    <cellStyle name="Normal 3 5 2 6 4 2" xfId="33399"/>
    <cellStyle name="Normal 3 5 2 6 5" xfId="33400"/>
    <cellStyle name="Normal 3 5 2 6 5 2" xfId="33401"/>
    <cellStyle name="Normal 3 5 2 6 6" xfId="33402"/>
    <cellStyle name="Normal 3 5 2 7" xfId="33403"/>
    <cellStyle name="Normal 3 5 2 7 2" xfId="33404"/>
    <cellStyle name="Normal 3 5 2 7 2 2" xfId="33405"/>
    <cellStyle name="Normal 3 5 2 7 2 2 2" xfId="33406"/>
    <cellStyle name="Normal 3 5 2 7 2 3" xfId="33407"/>
    <cellStyle name="Normal 3 5 2 7 3" xfId="33408"/>
    <cellStyle name="Normal 3 5 2 7 3 2" xfId="33409"/>
    <cellStyle name="Normal 3 5 2 7 4" xfId="33410"/>
    <cellStyle name="Normal 3 5 2 8" xfId="33411"/>
    <cellStyle name="Normal 3 5 2 8 2" xfId="33412"/>
    <cellStyle name="Normal 3 5 2 8 2 2" xfId="33413"/>
    <cellStyle name="Normal 3 5 2 8 3" xfId="33414"/>
    <cellStyle name="Normal 3 5 2 9" xfId="33415"/>
    <cellStyle name="Normal 3 5 2 9 2" xfId="33416"/>
    <cellStyle name="Normal 3 5 3" xfId="33417"/>
    <cellStyle name="Normal 3 5 3 10" xfId="33418"/>
    <cellStyle name="Normal 3 5 3 11" xfId="33419"/>
    <cellStyle name="Normal 3 5 3 2" xfId="33420"/>
    <cellStyle name="Normal 3 5 3 2 2" xfId="33421"/>
    <cellStyle name="Normal 3 5 3 2 2 2" xfId="33422"/>
    <cellStyle name="Normal 3 5 3 2 2 2 2" xfId="33423"/>
    <cellStyle name="Normal 3 5 3 2 2 2 2 2" xfId="33424"/>
    <cellStyle name="Normal 3 5 3 2 2 2 3" xfId="33425"/>
    <cellStyle name="Normal 3 5 3 2 2 3" xfId="33426"/>
    <cellStyle name="Normal 3 5 3 2 2 3 2" xfId="33427"/>
    <cellStyle name="Normal 3 5 3 2 2 4" xfId="33428"/>
    <cellStyle name="Normal 3 5 3 2 2 4 2" xfId="33429"/>
    <cellStyle name="Normal 3 5 3 2 2 5" xfId="33430"/>
    <cellStyle name="Normal 3 5 3 2 2 5 2" xfId="33431"/>
    <cellStyle name="Normal 3 5 3 2 2 6" xfId="33432"/>
    <cellStyle name="Normal 3 5 3 2 2 7" xfId="33433"/>
    <cellStyle name="Normal 3 5 3 2 3" xfId="33434"/>
    <cellStyle name="Normal 3 5 3 2 3 2" xfId="33435"/>
    <cellStyle name="Normal 3 5 3 2 3 2 2" xfId="33436"/>
    <cellStyle name="Normal 3 5 3 2 3 3" xfId="33437"/>
    <cellStyle name="Normal 3 5 3 2 4" xfId="33438"/>
    <cellStyle name="Normal 3 5 3 2 4 2" xfId="33439"/>
    <cellStyle name="Normal 3 5 3 2 5" xfId="33440"/>
    <cellStyle name="Normal 3 5 3 2 5 2" xfId="33441"/>
    <cellStyle name="Normal 3 5 3 2 6" xfId="33442"/>
    <cellStyle name="Normal 3 5 3 2 6 2" xfId="33443"/>
    <cellStyle name="Normal 3 5 3 2 7" xfId="33444"/>
    <cellStyle name="Normal 3 5 3 2 7 2" xfId="33445"/>
    <cellStyle name="Normal 3 5 3 2 8" xfId="33446"/>
    <cellStyle name="Normal 3 5 3 2 9" xfId="33447"/>
    <cellStyle name="Normal 3 5 3 3" xfId="33448"/>
    <cellStyle name="Normal 3 5 3 3 2" xfId="33449"/>
    <cellStyle name="Normal 3 5 3 3 2 2" xfId="33450"/>
    <cellStyle name="Normal 3 5 3 3 2 2 2" xfId="33451"/>
    <cellStyle name="Normal 3 5 3 3 2 2 2 2" xfId="33452"/>
    <cellStyle name="Normal 3 5 3 3 2 2 3" xfId="33453"/>
    <cellStyle name="Normal 3 5 3 3 2 3" xfId="33454"/>
    <cellStyle name="Normal 3 5 3 3 2 3 2" xfId="33455"/>
    <cellStyle name="Normal 3 5 3 3 2 4" xfId="33456"/>
    <cellStyle name="Normal 3 5 3 3 3" xfId="33457"/>
    <cellStyle name="Normal 3 5 3 3 3 2" xfId="33458"/>
    <cellStyle name="Normal 3 5 3 3 3 2 2" xfId="33459"/>
    <cellStyle name="Normal 3 5 3 3 3 3" xfId="33460"/>
    <cellStyle name="Normal 3 5 3 3 4" xfId="33461"/>
    <cellStyle name="Normal 3 5 3 3 4 2" xfId="33462"/>
    <cellStyle name="Normal 3 5 3 3 5" xfId="33463"/>
    <cellStyle name="Normal 3 5 3 3 5 2" xfId="33464"/>
    <cellStyle name="Normal 3 5 3 3 6" xfId="33465"/>
    <cellStyle name="Normal 3 5 3 3 6 2" xfId="33466"/>
    <cellStyle name="Normal 3 5 3 3 7" xfId="33467"/>
    <cellStyle name="Normal 3 5 3 3 7 2" xfId="33468"/>
    <cellStyle name="Normal 3 5 3 3 8" xfId="33469"/>
    <cellStyle name="Normal 3 5 3 3 9" xfId="33470"/>
    <cellStyle name="Normal 3 5 3 4" xfId="33471"/>
    <cellStyle name="Normal 3 5 3 4 2" xfId="33472"/>
    <cellStyle name="Normal 3 5 3 4 2 2" xfId="33473"/>
    <cellStyle name="Normal 3 5 3 4 2 2 2" xfId="33474"/>
    <cellStyle name="Normal 3 5 3 4 2 3" xfId="33475"/>
    <cellStyle name="Normal 3 5 3 4 3" xfId="33476"/>
    <cellStyle name="Normal 3 5 3 4 3 2" xfId="33477"/>
    <cellStyle name="Normal 3 5 3 4 4" xfId="33478"/>
    <cellStyle name="Normal 3 5 3 5" xfId="33479"/>
    <cellStyle name="Normal 3 5 3 5 2" xfId="33480"/>
    <cellStyle name="Normal 3 5 3 5 2 2" xfId="33481"/>
    <cellStyle name="Normal 3 5 3 5 3" xfId="33482"/>
    <cellStyle name="Normal 3 5 3 6" xfId="33483"/>
    <cellStyle name="Normal 3 5 3 6 2" xfId="33484"/>
    <cellStyle name="Normal 3 5 3 7" xfId="33485"/>
    <cellStyle name="Normal 3 5 3 7 2" xfId="33486"/>
    <cellStyle name="Normal 3 5 3 8" xfId="33487"/>
    <cellStyle name="Normal 3 5 3 8 2" xfId="33488"/>
    <cellStyle name="Normal 3 5 3 9" xfId="33489"/>
    <cellStyle name="Normal 3 5 3 9 2" xfId="33490"/>
    <cellStyle name="Normal 3 5 4" xfId="33491"/>
    <cellStyle name="Normal 3 5 4 10" xfId="33492"/>
    <cellStyle name="Normal 3 5 4 11" xfId="33493"/>
    <cellStyle name="Normal 3 5 4 2" xfId="33494"/>
    <cellStyle name="Normal 3 5 4 2 2" xfId="33495"/>
    <cellStyle name="Normal 3 5 4 2 2 2" xfId="33496"/>
    <cellStyle name="Normal 3 5 4 2 2 2 2" xfId="33497"/>
    <cellStyle name="Normal 3 5 4 2 2 2 2 2" xfId="33498"/>
    <cellStyle name="Normal 3 5 4 2 2 2 3" xfId="33499"/>
    <cellStyle name="Normal 3 5 4 2 2 3" xfId="33500"/>
    <cellStyle name="Normal 3 5 4 2 2 3 2" xfId="33501"/>
    <cellStyle name="Normal 3 5 4 2 2 4" xfId="33502"/>
    <cellStyle name="Normal 3 5 4 2 3" xfId="33503"/>
    <cellStyle name="Normal 3 5 4 2 3 2" xfId="33504"/>
    <cellStyle name="Normal 3 5 4 2 3 2 2" xfId="33505"/>
    <cellStyle name="Normal 3 5 4 2 3 3" xfId="33506"/>
    <cellStyle name="Normal 3 5 4 2 4" xfId="33507"/>
    <cellStyle name="Normal 3 5 4 2 4 2" xfId="33508"/>
    <cellStyle name="Normal 3 5 4 2 5" xfId="33509"/>
    <cellStyle name="Normal 3 5 4 2 5 2" xfId="33510"/>
    <cellStyle name="Normal 3 5 4 2 6" xfId="33511"/>
    <cellStyle name="Normal 3 5 4 2 6 2" xfId="33512"/>
    <cellStyle name="Normal 3 5 4 2 7" xfId="33513"/>
    <cellStyle name="Normal 3 5 4 2 7 2" xfId="33514"/>
    <cellStyle name="Normal 3 5 4 2 8" xfId="33515"/>
    <cellStyle name="Normal 3 5 4 2 9" xfId="33516"/>
    <cellStyle name="Normal 3 5 4 3" xfId="33517"/>
    <cellStyle name="Normal 3 5 4 3 2" xfId="33518"/>
    <cellStyle name="Normal 3 5 4 3 2 2" xfId="33519"/>
    <cellStyle name="Normal 3 5 4 3 2 2 2" xfId="33520"/>
    <cellStyle name="Normal 3 5 4 3 2 2 2 2" xfId="33521"/>
    <cellStyle name="Normal 3 5 4 3 2 2 3" xfId="33522"/>
    <cellStyle name="Normal 3 5 4 3 2 3" xfId="33523"/>
    <cellStyle name="Normal 3 5 4 3 2 3 2" xfId="33524"/>
    <cellStyle name="Normal 3 5 4 3 2 4" xfId="33525"/>
    <cellStyle name="Normal 3 5 4 3 3" xfId="33526"/>
    <cellStyle name="Normal 3 5 4 3 3 2" xfId="33527"/>
    <cellStyle name="Normal 3 5 4 3 3 2 2" xfId="33528"/>
    <cellStyle name="Normal 3 5 4 3 3 3" xfId="33529"/>
    <cellStyle name="Normal 3 5 4 3 4" xfId="33530"/>
    <cellStyle name="Normal 3 5 4 3 4 2" xfId="33531"/>
    <cellStyle name="Normal 3 5 4 3 5" xfId="33532"/>
    <cellStyle name="Normal 3 5 4 3 5 2" xfId="33533"/>
    <cellStyle name="Normal 3 5 4 3 6" xfId="33534"/>
    <cellStyle name="Normal 3 5 4 4" xfId="33535"/>
    <cellStyle name="Normal 3 5 4 4 2" xfId="33536"/>
    <cellStyle name="Normal 3 5 4 4 2 2" xfId="33537"/>
    <cellStyle name="Normal 3 5 4 4 2 2 2" xfId="33538"/>
    <cellStyle name="Normal 3 5 4 4 2 3" xfId="33539"/>
    <cellStyle name="Normal 3 5 4 4 3" xfId="33540"/>
    <cellStyle name="Normal 3 5 4 4 3 2" xfId="33541"/>
    <cellStyle name="Normal 3 5 4 4 4" xfId="33542"/>
    <cellStyle name="Normal 3 5 4 5" xfId="33543"/>
    <cellStyle name="Normal 3 5 4 5 2" xfId="33544"/>
    <cellStyle name="Normal 3 5 4 5 2 2" xfId="33545"/>
    <cellStyle name="Normal 3 5 4 5 3" xfId="33546"/>
    <cellStyle name="Normal 3 5 4 6" xfId="33547"/>
    <cellStyle name="Normal 3 5 4 6 2" xfId="33548"/>
    <cellStyle name="Normal 3 5 4 7" xfId="33549"/>
    <cellStyle name="Normal 3 5 4 7 2" xfId="33550"/>
    <cellStyle name="Normal 3 5 4 8" xfId="33551"/>
    <cellStyle name="Normal 3 5 4 8 2" xfId="33552"/>
    <cellStyle name="Normal 3 5 4 9" xfId="33553"/>
    <cellStyle name="Normal 3 5 4 9 2" xfId="33554"/>
    <cellStyle name="Normal 3 5 5" xfId="33555"/>
    <cellStyle name="Normal 3 5 5 2" xfId="33556"/>
    <cellStyle name="Normal 3 5 5 2 2" xfId="33557"/>
    <cellStyle name="Normal 3 5 5 2 2 2" xfId="33558"/>
    <cellStyle name="Normal 3 5 5 2 2 2 2" xfId="33559"/>
    <cellStyle name="Normal 3 5 5 2 2 3" xfId="33560"/>
    <cellStyle name="Normal 3 5 5 2 3" xfId="33561"/>
    <cellStyle name="Normal 3 5 5 2 3 2" xfId="33562"/>
    <cellStyle name="Normal 3 5 5 2 4" xfId="33563"/>
    <cellStyle name="Normal 3 5 5 3" xfId="33564"/>
    <cellStyle name="Normal 3 5 5 3 2" xfId="33565"/>
    <cellStyle name="Normal 3 5 5 3 2 2" xfId="33566"/>
    <cellStyle name="Normal 3 5 5 3 3" xfId="33567"/>
    <cellStyle name="Normal 3 5 5 4" xfId="33568"/>
    <cellStyle name="Normal 3 5 5 4 2" xfId="33569"/>
    <cellStyle name="Normal 3 5 5 5" xfId="33570"/>
    <cellStyle name="Normal 3 5 5 5 2" xfId="33571"/>
    <cellStyle name="Normal 3 5 5 6" xfId="33572"/>
    <cellStyle name="Normal 3 5 5 6 2" xfId="33573"/>
    <cellStyle name="Normal 3 5 5 7" xfId="33574"/>
    <cellStyle name="Normal 3 5 5 7 2" xfId="33575"/>
    <cellStyle name="Normal 3 5 5 8" xfId="33576"/>
    <cellStyle name="Normal 3 5 5 9" xfId="33577"/>
    <cellStyle name="Normal 3 5 6" xfId="33578"/>
    <cellStyle name="Normal 3 5 6 2" xfId="33579"/>
    <cellStyle name="Normal 3 5 6 2 2" xfId="33580"/>
    <cellStyle name="Normal 3 5 6 2 2 2" xfId="33581"/>
    <cellStyle name="Normal 3 5 6 2 2 2 2" xfId="33582"/>
    <cellStyle name="Normal 3 5 6 2 2 3" xfId="33583"/>
    <cellStyle name="Normal 3 5 6 2 3" xfId="33584"/>
    <cellStyle name="Normal 3 5 6 2 3 2" xfId="33585"/>
    <cellStyle name="Normal 3 5 6 2 4" xfId="33586"/>
    <cellStyle name="Normal 3 5 6 3" xfId="33587"/>
    <cellStyle name="Normal 3 5 6 3 2" xfId="33588"/>
    <cellStyle name="Normal 3 5 6 3 2 2" xfId="33589"/>
    <cellStyle name="Normal 3 5 6 3 3" xfId="33590"/>
    <cellStyle name="Normal 3 5 6 4" xfId="33591"/>
    <cellStyle name="Normal 3 5 6 4 2" xfId="33592"/>
    <cellStyle name="Normal 3 5 6 5" xfId="33593"/>
    <cellStyle name="Normal 3 5 6 5 2" xfId="33594"/>
    <cellStyle name="Normal 3 5 6 6" xfId="33595"/>
    <cellStyle name="Normal 3 5 7" xfId="33596"/>
    <cellStyle name="Normal 3 5 7 2" xfId="33597"/>
    <cellStyle name="Normal 3 5 7 2 2" xfId="33598"/>
    <cellStyle name="Normal 3 5 7 2 2 2" xfId="33599"/>
    <cellStyle name="Normal 3 5 7 2 2 2 2" xfId="33600"/>
    <cellStyle name="Normal 3 5 7 2 2 3" xfId="33601"/>
    <cellStyle name="Normal 3 5 7 2 3" xfId="33602"/>
    <cellStyle name="Normal 3 5 7 2 3 2" xfId="33603"/>
    <cellStyle name="Normal 3 5 7 2 4" xfId="33604"/>
    <cellStyle name="Normal 3 5 7 3" xfId="33605"/>
    <cellStyle name="Normal 3 5 7 3 2" xfId="33606"/>
    <cellStyle name="Normal 3 5 7 3 2 2" xfId="33607"/>
    <cellStyle name="Normal 3 5 7 3 3" xfId="33608"/>
    <cellStyle name="Normal 3 5 7 4" xfId="33609"/>
    <cellStyle name="Normal 3 5 7 4 2" xfId="33610"/>
    <cellStyle name="Normal 3 5 7 5" xfId="33611"/>
    <cellStyle name="Normal 3 5 7 5 2" xfId="33612"/>
    <cellStyle name="Normal 3 5 7 6" xfId="33613"/>
    <cellStyle name="Normal 3 5 8" xfId="33614"/>
    <cellStyle name="Normal 3 5 8 2" xfId="33615"/>
    <cellStyle name="Normal 3 5 8 2 2" xfId="33616"/>
    <cellStyle name="Normal 3 5 8 2 2 2" xfId="33617"/>
    <cellStyle name="Normal 3 5 8 2 3" xfId="33618"/>
    <cellStyle name="Normal 3 5 8 3" xfId="33619"/>
    <cellStyle name="Normal 3 5 8 3 2" xfId="33620"/>
    <cellStyle name="Normal 3 5 8 4" xfId="33621"/>
    <cellStyle name="Normal 3 5 9" xfId="33622"/>
    <cellStyle name="Normal 3 5 9 2" xfId="33623"/>
    <cellStyle name="Normal 3 5 9 2 2" xfId="33624"/>
    <cellStyle name="Normal 3 5 9 3" xfId="33625"/>
    <cellStyle name="Normal 3 5 9 4" xfId="33626"/>
    <cellStyle name="Normal 3 6" xfId="33627"/>
    <cellStyle name="Normal 3 7" xfId="33628"/>
    <cellStyle name="Normal 3 7 10" xfId="33629"/>
    <cellStyle name="Normal 3 7 10 2" xfId="33630"/>
    <cellStyle name="Normal 3 7 11" xfId="33631"/>
    <cellStyle name="Normal 3 7 11 2" xfId="33632"/>
    <cellStyle name="Normal 3 7 12" xfId="33633"/>
    <cellStyle name="Normal 3 7 12 2" xfId="33634"/>
    <cellStyle name="Normal 3 7 13" xfId="33635"/>
    <cellStyle name="Normal 3 7 13 2" xfId="33636"/>
    <cellStyle name="Normal 3 7 14" xfId="33637"/>
    <cellStyle name="Normal 3 7 15" xfId="33638"/>
    <cellStyle name="Normal 3 7 2" xfId="33639"/>
    <cellStyle name="Normal 3 7 2 10" xfId="33640"/>
    <cellStyle name="Normal 3 7 2 10 2" xfId="33641"/>
    <cellStyle name="Normal 3 7 2 11" xfId="33642"/>
    <cellStyle name="Normal 3 7 2 11 2" xfId="33643"/>
    <cellStyle name="Normal 3 7 2 12" xfId="33644"/>
    <cellStyle name="Normal 3 7 2 12 2" xfId="33645"/>
    <cellStyle name="Normal 3 7 2 13" xfId="33646"/>
    <cellStyle name="Normal 3 7 2 14" xfId="33647"/>
    <cellStyle name="Normal 3 7 2 2" xfId="33648"/>
    <cellStyle name="Normal 3 7 2 2 10" xfId="33649"/>
    <cellStyle name="Normal 3 7 2 2 11" xfId="33650"/>
    <cellStyle name="Normal 3 7 2 2 2" xfId="33651"/>
    <cellStyle name="Normal 3 7 2 2 2 2" xfId="33652"/>
    <cellStyle name="Normal 3 7 2 2 2 2 2" xfId="33653"/>
    <cellStyle name="Normal 3 7 2 2 2 2 2 2" xfId="33654"/>
    <cellStyle name="Normal 3 7 2 2 2 2 2 2 2" xfId="33655"/>
    <cellStyle name="Normal 3 7 2 2 2 2 2 3" xfId="33656"/>
    <cellStyle name="Normal 3 7 2 2 2 2 3" xfId="33657"/>
    <cellStyle name="Normal 3 7 2 2 2 2 3 2" xfId="33658"/>
    <cellStyle name="Normal 3 7 2 2 2 2 4" xfId="33659"/>
    <cellStyle name="Normal 3 7 2 2 2 3" xfId="33660"/>
    <cellStyle name="Normal 3 7 2 2 2 3 2" xfId="33661"/>
    <cellStyle name="Normal 3 7 2 2 2 3 2 2" xfId="33662"/>
    <cellStyle name="Normal 3 7 2 2 2 3 3" xfId="33663"/>
    <cellStyle name="Normal 3 7 2 2 2 4" xfId="33664"/>
    <cellStyle name="Normal 3 7 2 2 2 4 2" xfId="33665"/>
    <cellStyle name="Normal 3 7 2 2 2 5" xfId="33666"/>
    <cellStyle name="Normal 3 7 2 2 2 5 2" xfId="33667"/>
    <cellStyle name="Normal 3 7 2 2 2 6" xfId="33668"/>
    <cellStyle name="Normal 3 7 2 2 3" xfId="33669"/>
    <cellStyle name="Normal 3 7 2 2 3 2" xfId="33670"/>
    <cellStyle name="Normal 3 7 2 2 3 2 2" xfId="33671"/>
    <cellStyle name="Normal 3 7 2 2 3 2 2 2" xfId="33672"/>
    <cellStyle name="Normal 3 7 2 2 3 2 2 2 2" xfId="33673"/>
    <cellStyle name="Normal 3 7 2 2 3 2 2 3" xfId="33674"/>
    <cellStyle name="Normal 3 7 2 2 3 2 3" xfId="33675"/>
    <cellStyle name="Normal 3 7 2 2 3 2 3 2" xfId="33676"/>
    <cellStyle name="Normal 3 7 2 2 3 2 4" xfId="33677"/>
    <cellStyle name="Normal 3 7 2 2 3 3" xfId="33678"/>
    <cellStyle name="Normal 3 7 2 2 3 3 2" xfId="33679"/>
    <cellStyle name="Normal 3 7 2 2 3 3 2 2" xfId="33680"/>
    <cellStyle name="Normal 3 7 2 2 3 3 3" xfId="33681"/>
    <cellStyle name="Normal 3 7 2 2 3 4" xfId="33682"/>
    <cellStyle name="Normal 3 7 2 2 3 4 2" xfId="33683"/>
    <cellStyle name="Normal 3 7 2 2 3 5" xfId="33684"/>
    <cellStyle name="Normal 3 7 2 2 3 5 2" xfId="33685"/>
    <cellStyle name="Normal 3 7 2 2 3 6" xfId="33686"/>
    <cellStyle name="Normal 3 7 2 2 4" xfId="33687"/>
    <cellStyle name="Normal 3 7 2 2 4 2" xfId="33688"/>
    <cellStyle name="Normal 3 7 2 2 4 2 2" xfId="33689"/>
    <cellStyle name="Normal 3 7 2 2 4 2 2 2" xfId="33690"/>
    <cellStyle name="Normal 3 7 2 2 4 2 3" xfId="33691"/>
    <cellStyle name="Normal 3 7 2 2 4 3" xfId="33692"/>
    <cellStyle name="Normal 3 7 2 2 4 3 2" xfId="33693"/>
    <cellStyle name="Normal 3 7 2 2 4 4" xfId="33694"/>
    <cellStyle name="Normal 3 7 2 2 5" xfId="33695"/>
    <cellStyle name="Normal 3 7 2 2 5 2" xfId="33696"/>
    <cellStyle name="Normal 3 7 2 2 5 2 2" xfId="33697"/>
    <cellStyle name="Normal 3 7 2 2 5 3" xfId="33698"/>
    <cellStyle name="Normal 3 7 2 2 6" xfId="33699"/>
    <cellStyle name="Normal 3 7 2 2 6 2" xfId="33700"/>
    <cellStyle name="Normal 3 7 2 2 7" xfId="33701"/>
    <cellStyle name="Normal 3 7 2 2 7 2" xfId="33702"/>
    <cellStyle name="Normal 3 7 2 2 8" xfId="33703"/>
    <cellStyle name="Normal 3 7 2 2 8 2" xfId="33704"/>
    <cellStyle name="Normal 3 7 2 2 9" xfId="33705"/>
    <cellStyle name="Normal 3 7 2 2 9 2" xfId="33706"/>
    <cellStyle name="Normal 3 7 2 3" xfId="33707"/>
    <cellStyle name="Normal 3 7 2 3 2" xfId="33708"/>
    <cellStyle name="Normal 3 7 2 3 2 2" xfId="33709"/>
    <cellStyle name="Normal 3 7 2 3 2 2 2" xfId="33710"/>
    <cellStyle name="Normal 3 7 2 3 2 2 2 2" xfId="33711"/>
    <cellStyle name="Normal 3 7 2 3 2 2 2 2 2" xfId="33712"/>
    <cellStyle name="Normal 3 7 2 3 2 2 2 3" xfId="33713"/>
    <cellStyle name="Normal 3 7 2 3 2 2 3" xfId="33714"/>
    <cellStyle name="Normal 3 7 2 3 2 2 3 2" xfId="33715"/>
    <cellStyle name="Normal 3 7 2 3 2 2 4" xfId="33716"/>
    <cellStyle name="Normal 3 7 2 3 2 3" xfId="33717"/>
    <cellStyle name="Normal 3 7 2 3 2 3 2" xfId="33718"/>
    <cellStyle name="Normal 3 7 2 3 2 3 2 2" xfId="33719"/>
    <cellStyle name="Normal 3 7 2 3 2 3 3" xfId="33720"/>
    <cellStyle name="Normal 3 7 2 3 2 4" xfId="33721"/>
    <cellStyle name="Normal 3 7 2 3 2 4 2" xfId="33722"/>
    <cellStyle name="Normal 3 7 2 3 2 5" xfId="33723"/>
    <cellStyle name="Normal 3 7 2 3 2 5 2" xfId="33724"/>
    <cellStyle name="Normal 3 7 2 3 2 6" xfId="33725"/>
    <cellStyle name="Normal 3 7 2 3 3" xfId="33726"/>
    <cellStyle name="Normal 3 7 2 3 3 2" xfId="33727"/>
    <cellStyle name="Normal 3 7 2 3 3 2 2" xfId="33728"/>
    <cellStyle name="Normal 3 7 2 3 3 2 2 2" xfId="33729"/>
    <cellStyle name="Normal 3 7 2 3 3 2 2 2 2" xfId="33730"/>
    <cellStyle name="Normal 3 7 2 3 3 2 2 3" xfId="33731"/>
    <cellStyle name="Normal 3 7 2 3 3 2 3" xfId="33732"/>
    <cellStyle name="Normal 3 7 2 3 3 2 3 2" xfId="33733"/>
    <cellStyle name="Normal 3 7 2 3 3 2 4" xfId="33734"/>
    <cellStyle name="Normal 3 7 2 3 3 3" xfId="33735"/>
    <cellStyle name="Normal 3 7 2 3 3 3 2" xfId="33736"/>
    <cellStyle name="Normal 3 7 2 3 3 3 2 2" xfId="33737"/>
    <cellStyle name="Normal 3 7 2 3 3 3 3" xfId="33738"/>
    <cellStyle name="Normal 3 7 2 3 3 4" xfId="33739"/>
    <cellStyle name="Normal 3 7 2 3 3 4 2" xfId="33740"/>
    <cellStyle name="Normal 3 7 2 3 3 5" xfId="33741"/>
    <cellStyle name="Normal 3 7 2 3 3 5 2" xfId="33742"/>
    <cellStyle name="Normal 3 7 2 3 3 6" xfId="33743"/>
    <cellStyle name="Normal 3 7 2 3 4" xfId="33744"/>
    <cellStyle name="Normal 3 7 2 3 4 2" xfId="33745"/>
    <cellStyle name="Normal 3 7 2 3 4 2 2" xfId="33746"/>
    <cellStyle name="Normal 3 7 2 3 4 2 2 2" xfId="33747"/>
    <cellStyle name="Normal 3 7 2 3 4 2 3" xfId="33748"/>
    <cellStyle name="Normal 3 7 2 3 4 3" xfId="33749"/>
    <cellStyle name="Normal 3 7 2 3 4 3 2" xfId="33750"/>
    <cellStyle name="Normal 3 7 2 3 4 4" xfId="33751"/>
    <cellStyle name="Normal 3 7 2 3 5" xfId="33752"/>
    <cellStyle name="Normal 3 7 2 3 5 2" xfId="33753"/>
    <cellStyle name="Normal 3 7 2 3 5 2 2" xfId="33754"/>
    <cellStyle name="Normal 3 7 2 3 5 3" xfId="33755"/>
    <cellStyle name="Normal 3 7 2 3 6" xfId="33756"/>
    <cellStyle name="Normal 3 7 2 3 6 2" xfId="33757"/>
    <cellStyle name="Normal 3 7 2 3 7" xfId="33758"/>
    <cellStyle name="Normal 3 7 2 3 7 2" xfId="33759"/>
    <cellStyle name="Normal 3 7 2 3 8" xfId="33760"/>
    <cellStyle name="Normal 3 7 2 4" xfId="33761"/>
    <cellStyle name="Normal 3 7 2 4 2" xfId="33762"/>
    <cellStyle name="Normal 3 7 2 4 2 2" xfId="33763"/>
    <cellStyle name="Normal 3 7 2 4 2 2 2" xfId="33764"/>
    <cellStyle name="Normal 3 7 2 4 2 2 2 2" xfId="33765"/>
    <cellStyle name="Normal 3 7 2 4 2 2 3" xfId="33766"/>
    <cellStyle name="Normal 3 7 2 4 2 3" xfId="33767"/>
    <cellStyle name="Normal 3 7 2 4 2 3 2" xfId="33768"/>
    <cellStyle name="Normal 3 7 2 4 2 4" xfId="33769"/>
    <cellStyle name="Normal 3 7 2 4 3" xfId="33770"/>
    <cellStyle name="Normal 3 7 2 4 3 2" xfId="33771"/>
    <cellStyle name="Normal 3 7 2 4 3 2 2" xfId="33772"/>
    <cellStyle name="Normal 3 7 2 4 3 3" xfId="33773"/>
    <cellStyle name="Normal 3 7 2 4 4" xfId="33774"/>
    <cellStyle name="Normal 3 7 2 4 4 2" xfId="33775"/>
    <cellStyle name="Normal 3 7 2 4 5" xfId="33776"/>
    <cellStyle name="Normal 3 7 2 4 5 2" xfId="33777"/>
    <cellStyle name="Normal 3 7 2 4 6" xfId="33778"/>
    <cellStyle name="Normal 3 7 2 5" xfId="33779"/>
    <cellStyle name="Normal 3 7 2 5 2" xfId="33780"/>
    <cellStyle name="Normal 3 7 2 5 2 2" xfId="33781"/>
    <cellStyle name="Normal 3 7 2 5 2 2 2" xfId="33782"/>
    <cellStyle name="Normal 3 7 2 5 2 2 2 2" xfId="33783"/>
    <cellStyle name="Normal 3 7 2 5 2 2 3" xfId="33784"/>
    <cellStyle name="Normal 3 7 2 5 2 3" xfId="33785"/>
    <cellStyle name="Normal 3 7 2 5 2 3 2" xfId="33786"/>
    <cellStyle name="Normal 3 7 2 5 2 4" xfId="33787"/>
    <cellStyle name="Normal 3 7 2 5 3" xfId="33788"/>
    <cellStyle name="Normal 3 7 2 5 3 2" xfId="33789"/>
    <cellStyle name="Normal 3 7 2 5 3 2 2" xfId="33790"/>
    <cellStyle name="Normal 3 7 2 5 3 3" xfId="33791"/>
    <cellStyle name="Normal 3 7 2 5 4" xfId="33792"/>
    <cellStyle name="Normal 3 7 2 5 4 2" xfId="33793"/>
    <cellStyle name="Normal 3 7 2 5 5" xfId="33794"/>
    <cellStyle name="Normal 3 7 2 5 5 2" xfId="33795"/>
    <cellStyle name="Normal 3 7 2 5 6" xfId="33796"/>
    <cellStyle name="Normal 3 7 2 6" xfId="33797"/>
    <cellStyle name="Normal 3 7 2 6 2" xfId="33798"/>
    <cellStyle name="Normal 3 7 2 6 2 2" xfId="33799"/>
    <cellStyle name="Normal 3 7 2 6 2 2 2" xfId="33800"/>
    <cellStyle name="Normal 3 7 2 6 2 2 2 2" xfId="33801"/>
    <cellStyle name="Normal 3 7 2 6 2 2 3" xfId="33802"/>
    <cellStyle name="Normal 3 7 2 6 2 3" xfId="33803"/>
    <cellStyle name="Normal 3 7 2 6 2 3 2" xfId="33804"/>
    <cellStyle name="Normal 3 7 2 6 2 4" xfId="33805"/>
    <cellStyle name="Normal 3 7 2 6 3" xfId="33806"/>
    <cellStyle name="Normal 3 7 2 6 3 2" xfId="33807"/>
    <cellStyle name="Normal 3 7 2 6 3 2 2" xfId="33808"/>
    <cellStyle name="Normal 3 7 2 6 3 3" xfId="33809"/>
    <cellStyle name="Normal 3 7 2 6 4" xfId="33810"/>
    <cellStyle name="Normal 3 7 2 6 4 2" xfId="33811"/>
    <cellStyle name="Normal 3 7 2 6 5" xfId="33812"/>
    <cellStyle name="Normal 3 7 2 6 5 2" xfId="33813"/>
    <cellStyle name="Normal 3 7 2 6 6" xfId="33814"/>
    <cellStyle name="Normal 3 7 2 7" xfId="33815"/>
    <cellStyle name="Normal 3 7 2 7 2" xfId="33816"/>
    <cellStyle name="Normal 3 7 2 7 2 2" xfId="33817"/>
    <cellStyle name="Normal 3 7 2 7 2 2 2" xfId="33818"/>
    <cellStyle name="Normal 3 7 2 7 2 3" xfId="33819"/>
    <cellStyle name="Normal 3 7 2 7 3" xfId="33820"/>
    <cellStyle name="Normal 3 7 2 7 3 2" xfId="33821"/>
    <cellStyle name="Normal 3 7 2 7 4" xfId="33822"/>
    <cellStyle name="Normal 3 7 2 8" xfId="33823"/>
    <cellStyle name="Normal 3 7 2 8 2" xfId="33824"/>
    <cellStyle name="Normal 3 7 2 8 2 2" xfId="33825"/>
    <cellStyle name="Normal 3 7 2 8 3" xfId="33826"/>
    <cellStyle name="Normal 3 7 2 9" xfId="33827"/>
    <cellStyle name="Normal 3 7 2 9 2" xfId="33828"/>
    <cellStyle name="Normal 3 7 3" xfId="33829"/>
    <cellStyle name="Normal 3 7 3 10" xfId="33830"/>
    <cellStyle name="Normal 3 7 3 11" xfId="33831"/>
    <cellStyle name="Normal 3 7 3 2" xfId="33832"/>
    <cellStyle name="Normal 3 7 3 2 2" xfId="33833"/>
    <cellStyle name="Normal 3 7 3 2 2 2" xfId="33834"/>
    <cellStyle name="Normal 3 7 3 2 2 2 2" xfId="33835"/>
    <cellStyle name="Normal 3 7 3 2 2 2 2 2" xfId="33836"/>
    <cellStyle name="Normal 3 7 3 2 2 2 3" xfId="33837"/>
    <cellStyle name="Normal 3 7 3 2 2 3" xfId="33838"/>
    <cellStyle name="Normal 3 7 3 2 2 3 2" xfId="33839"/>
    <cellStyle name="Normal 3 7 3 2 2 4" xfId="33840"/>
    <cellStyle name="Normal 3 7 3 2 3" xfId="33841"/>
    <cellStyle name="Normal 3 7 3 2 3 2" xfId="33842"/>
    <cellStyle name="Normal 3 7 3 2 3 2 2" xfId="33843"/>
    <cellStyle name="Normal 3 7 3 2 3 3" xfId="33844"/>
    <cellStyle name="Normal 3 7 3 2 4" xfId="33845"/>
    <cellStyle name="Normal 3 7 3 2 4 2" xfId="33846"/>
    <cellStyle name="Normal 3 7 3 2 5" xfId="33847"/>
    <cellStyle name="Normal 3 7 3 2 5 2" xfId="33848"/>
    <cellStyle name="Normal 3 7 3 2 6" xfId="33849"/>
    <cellStyle name="Normal 3 7 3 3" xfId="33850"/>
    <cellStyle name="Normal 3 7 3 3 2" xfId="33851"/>
    <cellStyle name="Normal 3 7 3 3 2 2" xfId="33852"/>
    <cellStyle name="Normal 3 7 3 3 2 2 2" xfId="33853"/>
    <cellStyle name="Normal 3 7 3 3 2 2 2 2" xfId="33854"/>
    <cellStyle name="Normal 3 7 3 3 2 2 3" xfId="33855"/>
    <cellStyle name="Normal 3 7 3 3 2 3" xfId="33856"/>
    <cellStyle name="Normal 3 7 3 3 2 3 2" xfId="33857"/>
    <cellStyle name="Normal 3 7 3 3 2 4" xfId="33858"/>
    <cellStyle name="Normal 3 7 3 3 3" xfId="33859"/>
    <cellStyle name="Normal 3 7 3 3 3 2" xfId="33860"/>
    <cellStyle name="Normal 3 7 3 3 3 2 2" xfId="33861"/>
    <cellStyle name="Normal 3 7 3 3 3 3" xfId="33862"/>
    <cellStyle name="Normal 3 7 3 3 4" xfId="33863"/>
    <cellStyle name="Normal 3 7 3 3 4 2" xfId="33864"/>
    <cellStyle name="Normal 3 7 3 3 5" xfId="33865"/>
    <cellStyle name="Normal 3 7 3 3 5 2" xfId="33866"/>
    <cellStyle name="Normal 3 7 3 3 6" xfId="33867"/>
    <cellStyle name="Normal 3 7 3 4" xfId="33868"/>
    <cellStyle name="Normal 3 7 3 4 2" xfId="33869"/>
    <cellStyle name="Normal 3 7 3 4 2 2" xfId="33870"/>
    <cellStyle name="Normal 3 7 3 4 2 2 2" xfId="33871"/>
    <cellStyle name="Normal 3 7 3 4 2 3" xfId="33872"/>
    <cellStyle name="Normal 3 7 3 4 3" xfId="33873"/>
    <cellStyle name="Normal 3 7 3 4 3 2" xfId="33874"/>
    <cellStyle name="Normal 3 7 3 4 4" xfId="33875"/>
    <cellStyle name="Normal 3 7 3 5" xfId="33876"/>
    <cellStyle name="Normal 3 7 3 5 2" xfId="33877"/>
    <cellStyle name="Normal 3 7 3 5 2 2" xfId="33878"/>
    <cellStyle name="Normal 3 7 3 5 3" xfId="33879"/>
    <cellStyle name="Normal 3 7 3 6" xfId="33880"/>
    <cellStyle name="Normal 3 7 3 6 2" xfId="33881"/>
    <cellStyle name="Normal 3 7 3 7" xfId="33882"/>
    <cellStyle name="Normal 3 7 3 7 2" xfId="33883"/>
    <cellStyle name="Normal 3 7 3 8" xfId="33884"/>
    <cellStyle name="Normal 3 7 3 8 2" xfId="33885"/>
    <cellStyle name="Normal 3 7 3 9" xfId="33886"/>
    <cellStyle name="Normal 3 7 3 9 2" xfId="33887"/>
    <cellStyle name="Normal 3 7 4" xfId="33888"/>
    <cellStyle name="Normal 3 7 4 2" xfId="33889"/>
    <cellStyle name="Normal 3 7 4 2 2" xfId="33890"/>
    <cellStyle name="Normal 3 7 4 2 2 2" xfId="33891"/>
    <cellStyle name="Normal 3 7 4 2 2 2 2" xfId="33892"/>
    <cellStyle name="Normal 3 7 4 2 2 2 2 2" xfId="33893"/>
    <cellStyle name="Normal 3 7 4 2 2 2 3" xfId="33894"/>
    <cellStyle name="Normal 3 7 4 2 2 3" xfId="33895"/>
    <cellStyle name="Normal 3 7 4 2 2 3 2" xfId="33896"/>
    <cellStyle name="Normal 3 7 4 2 2 4" xfId="33897"/>
    <cellStyle name="Normal 3 7 4 2 3" xfId="33898"/>
    <cellStyle name="Normal 3 7 4 2 3 2" xfId="33899"/>
    <cellStyle name="Normal 3 7 4 2 3 2 2" xfId="33900"/>
    <cellStyle name="Normal 3 7 4 2 3 3" xfId="33901"/>
    <cellStyle name="Normal 3 7 4 2 4" xfId="33902"/>
    <cellStyle name="Normal 3 7 4 2 4 2" xfId="33903"/>
    <cellStyle name="Normal 3 7 4 2 5" xfId="33904"/>
    <cellStyle name="Normal 3 7 4 2 5 2" xfId="33905"/>
    <cellStyle name="Normal 3 7 4 2 6" xfId="33906"/>
    <cellStyle name="Normal 3 7 4 3" xfId="33907"/>
    <cellStyle name="Normal 3 7 4 3 2" xfId="33908"/>
    <cellStyle name="Normal 3 7 4 3 2 2" xfId="33909"/>
    <cellStyle name="Normal 3 7 4 3 2 2 2" xfId="33910"/>
    <cellStyle name="Normal 3 7 4 3 2 2 2 2" xfId="33911"/>
    <cellStyle name="Normal 3 7 4 3 2 2 3" xfId="33912"/>
    <cellStyle name="Normal 3 7 4 3 2 3" xfId="33913"/>
    <cellStyle name="Normal 3 7 4 3 2 3 2" xfId="33914"/>
    <cellStyle name="Normal 3 7 4 3 2 4" xfId="33915"/>
    <cellStyle name="Normal 3 7 4 3 3" xfId="33916"/>
    <cellStyle name="Normal 3 7 4 3 3 2" xfId="33917"/>
    <cellStyle name="Normal 3 7 4 3 3 2 2" xfId="33918"/>
    <cellStyle name="Normal 3 7 4 3 3 3" xfId="33919"/>
    <cellStyle name="Normal 3 7 4 3 4" xfId="33920"/>
    <cellStyle name="Normal 3 7 4 3 4 2" xfId="33921"/>
    <cellStyle name="Normal 3 7 4 3 5" xfId="33922"/>
    <cellStyle name="Normal 3 7 4 3 5 2" xfId="33923"/>
    <cellStyle name="Normal 3 7 4 3 6" xfId="33924"/>
    <cellStyle name="Normal 3 7 4 4" xfId="33925"/>
    <cellStyle name="Normal 3 7 4 4 2" xfId="33926"/>
    <cellStyle name="Normal 3 7 4 4 2 2" xfId="33927"/>
    <cellStyle name="Normal 3 7 4 4 2 2 2" xfId="33928"/>
    <cellStyle name="Normal 3 7 4 4 2 3" xfId="33929"/>
    <cellStyle name="Normal 3 7 4 4 3" xfId="33930"/>
    <cellStyle name="Normal 3 7 4 4 3 2" xfId="33931"/>
    <cellStyle name="Normal 3 7 4 4 4" xfId="33932"/>
    <cellStyle name="Normal 3 7 4 5" xfId="33933"/>
    <cellStyle name="Normal 3 7 4 5 2" xfId="33934"/>
    <cellStyle name="Normal 3 7 4 5 2 2" xfId="33935"/>
    <cellStyle name="Normal 3 7 4 5 3" xfId="33936"/>
    <cellStyle name="Normal 3 7 4 6" xfId="33937"/>
    <cellStyle name="Normal 3 7 4 6 2" xfId="33938"/>
    <cellStyle name="Normal 3 7 4 7" xfId="33939"/>
    <cellStyle name="Normal 3 7 4 7 2" xfId="33940"/>
    <cellStyle name="Normal 3 7 4 8" xfId="33941"/>
    <cellStyle name="Normal 3 7 5" xfId="33942"/>
    <cellStyle name="Normal 3 7 5 2" xfId="33943"/>
    <cellStyle name="Normal 3 7 5 2 2" xfId="33944"/>
    <cellStyle name="Normal 3 7 5 2 2 2" xfId="33945"/>
    <cellStyle name="Normal 3 7 5 2 2 2 2" xfId="33946"/>
    <cellStyle name="Normal 3 7 5 2 2 3" xfId="33947"/>
    <cellStyle name="Normal 3 7 5 2 3" xfId="33948"/>
    <cellStyle name="Normal 3 7 5 2 3 2" xfId="33949"/>
    <cellStyle name="Normal 3 7 5 2 4" xfId="33950"/>
    <cellStyle name="Normal 3 7 5 3" xfId="33951"/>
    <cellStyle name="Normal 3 7 5 3 2" xfId="33952"/>
    <cellStyle name="Normal 3 7 5 3 2 2" xfId="33953"/>
    <cellStyle name="Normal 3 7 5 3 3" xfId="33954"/>
    <cellStyle name="Normal 3 7 5 4" xfId="33955"/>
    <cellStyle name="Normal 3 7 5 4 2" xfId="33956"/>
    <cellStyle name="Normal 3 7 5 5" xfId="33957"/>
    <cellStyle name="Normal 3 7 5 5 2" xfId="33958"/>
    <cellStyle name="Normal 3 7 5 6" xfId="33959"/>
    <cellStyle name="Normal 3 7 6" xfId="33960"/>
    <cellStyle name="Normal 3 7 6 2" xfId="33961"/>
    <cellStyle name="Normal 3 7 6 2 2" xfId="33962"/>
    <cellStyle name="Normal 3 7 6 2 2 2" xfId="33963"/>
    <cellStyle name="Normal 3 7 6 2 2 2 2" xfId="33964"/>
    <cellStyle name="Normal 3 7 6 2 2 3" xfId="33965"/>
    <cellStyle name="Normal 3 7 6 2 3" xfId="33966"/>
    <cellStyle name="Normal 3 7 6 2 3 2" xfId="33967"/>
    <cellStyle name="Normal 3 7 6 2 4" xfId="33968"/>
    <cellStyle name="Normal 3 7 6 3" xfId="33969"/>
    <cellStyle name="Normal 3 7 6 3 2" xfId="33970"/>
    <cellStyle name="Normal 3 7 6 3 2 2" xfId="33971"/>
    <cellStyle name="Normal 3 7 6 3 3" xfId="33972"/>
    <cellStyle name="Normal 3 7 6 4" xfId="33973"/>
    <cellStyle name="Normal 3 7 6 4 2" xfId="33974"/>
    <cellStyle name="Normal 3 7 6 5" xfId="33975"/>
    <cellStyle name="Normal 3 7 6 5 2" xfId="33976"/>
    <cellStyle name="Normal 3 7 6 6" xfId="33977"/>
    <cellStyle name="Normal 3 7 7" xfId="33978"/>
    <cellStyle name="Normal 3 7 7 2" xfId="33979"/>
    <cellStyle name="Normal 3 7 7 2 2" xfId="33980"/>
    <cellStyle name="Normal 3 7 7 2 2 2" xfId="33981"/>
    <cellStyle name="Normal 3 7 7 2 2 2 2" xfId="33982"/>
    <cellStyle name="Normal 3 7 7 2 2 3" xfId="33983"/>
    <cellStyle name="Normal 3 7 7 2 3" xfId="33984"/>
    <cellStyle name="Normal 3 7 7 2 3 2" xfId="33985"/>
    <cellStyle name="Normal 3 7 7 2 4" xfId="33986"/>
    <cellStyle name="Normal 3 7 7 3" xfId="33987"/>
    <cellStyle name="Normal 3 7 7 3 2" xfId="33988"/>
    <cellStyle name="Normal 3 7 7 3 2 2" xfId="33989"/>
    <cellStyle name="Normal 3 7 7 3 3" xfId="33990"/>
    <cellStyle name="Normal 3 7 7 4" xfId="33991"/>
    <cellStyle name="Normal 3 7 7 4 2" xfId="33992"/>
    <cellStyle name="Normal 3 7 7 5" xfId="33993"/>
    <cellStyle name="Normal 3 7 7 5 2" xfId="33994"/>
    <cellStyle name="Normal 3 7 7 6" xfId="33995"/>
    <cellStyle name="Normal 3 7 8" xfId="33996"/>
    <cellStyle name="Normal 3 7 8 2" xfId="33997"/>
    <cellStyle name="Normal 3 7 8 2 2" xfId="33998"/>
    <cellStyle name="Normal 3 7 8 2 2 2" xfId="33999"/>
    <cellStyle name="Normal 3 7 8 2 3" xfId="34000"/>
    <cellStyle name="Normal 3 7 8 3" xfId="34001"/>
    <cellStyle name="Normal 3 7 8 3 2" xfId="34002"/>
    <cellStyle name="Normal 3 7 8 4" xfId="34003"/>
    <cellStyle name="Normal 3 7 9" xfId="34004"/>
    <cellStyle name="Normal 3 7 9 2" xfId="34005"/>
    <cellStyle name="Normal 3 7 9 2 2" xfId="34006"/>
    <cellStyle name="Normal 3 7 9 3" xfId="34007"/>
    <cellStyle name="Normal 3 8" xfId="34008"/>
    <cellStyle name="Normal 3 8 2" xfId="34009"/>
    <cellStyle name="Normal 3 8 2 2" xfId="34010"/>
    <cellStyle name="Normal 3 8 2 2 2" xfId="34011"/>
    <cellStyle name="Normal 3 8 2 2 2 2" xfId="34012"/>
    <cellStyle name="Normal 3 8 2 2 3" xfId="34013"/>
    <cellStyle name="Normal 3 8 2 2 4" xfId="34014"/>
    <cellStyle name="Normal 3 8 2 3" xfId="34015"/>
    <cellStyle name="Normal 3 8 2 3 2" xfId="34016"/>
    <cellStyle name="Normal 3 8 2 4" xfId="34017"/>
    <cellStyle name="Normal 3 8 2 5" xfId="34018"/>
    <cellStyle name="Normal 3 8 3" xfId="34019"/>
    <cellStyle name="Normal 3 8 3 2" xfId="34020"/>
    <cellStyle name="Normal 3 8 3 2 2" xfId="34021"/>
    <cellStyle name="Normal 3 8 3 3" xfId="34022"/>
    <cellStyle name="Normal 3 8 3 4" xfId="34023"/>
    <cellStyle name="Normal 3 8 4" xfId="34024"/>
    <cellStyle name="Normal 3 8 4 2" xfId="34025"/>
    <cellStyle name="Normal 3 8 5" xfId="34026"/>
    <cellStyle name="Normal 3 8 6" xfId="34027"/>
    <cellStyle name="Normal 3 9" xfId="34028"/>
    <cellStyle name="Normal 3 9 2" xfId="34029"/>
    <cellStyle name="Normal 3 9 2 2" xfId="34030"/>
    <cellStyle name="Normal 3 9 2 2 2" xfId="34031"/>
    <cellStyle name="Normal 3 9 2 3" xfId="34032"/>
    <cellStyle name="Normal 3 9 2 4" xfId="34033"/>
    <cellStyle name="Normal 3 9 3" xfId="34034"/>
    <cellStyle name="Normal 3 9 3 2" xfId="34035"/>
    <cellStyle name="Normal 3 9 4" xfId="34036"/>
    <cellStyle name="Normal 3 9 5" xfId="34037"/>
    <cellStyle name="Normal 3_ASSESSMENT SHEET" xfId="34038"/>
    <cellStyle name="Normal 30" xfId="34039"/>
    <cellStyle name="Normal 31" xfId="34040"/>
    <cellStyle name="Normal 32" xfId="34041"/>
    <cellStyle name="Normal 32 2" xfId="34042"/>
    <cellStyle name="Normal 33" xfId="34043"/>
    <cellStyle name="Normal 34" xfId="34044"/>
    <cellStyle name="Normal 34 2" xfId="34045"/>
    <cellStyle name="Normal 35" xfId="34046"/>
    <cellStyle name="Normal 35 2" xfId="34047"/>
    <cellStyle name="Normal 36" xfId="34048"/>
    <cellStyle name="Normal 37" xfId="34049"/>
    <cellStyle name="Normal 38" xfId="34050"/>
    <cellStyle name="Normal 39" xfId="34051"/>
    <cellStyle name="Normal 4" xfId="130"/>
    <cellStyle name="Normal 4 2" xfId="131"/>
    <cellStyle name="Normal 4 2 10" xfId="34052"/>
    <cellStyle name="Normal 4 2 10 2" xfId="34053"/>
    <cellStyle name="Normal 4 2 10 2 2" xfId="34054"/>
    <cellStyle name="Normal 4 2 10 2 2 2" xfId="34055"/>
    <cellStyle name="Normal 4 2 10 2 2 2 2" xfId="34056"/>
    <cellStyle name="Normal 4 2 10 2 2 3" xfId="34057"/>
    <cellStyle name="Normal 4 2 10 2 3" xfId="34058"/>
    <cellStyle name="Normal 4 2 10 2 3 2" xfId="34059"/>
    <cellStyle name="Normal 4 2 10 2 4" xfId="34060"/>
    <cellStyle name="Normal 4 2 10 3" xfId="34061"/>
    <cellStyle name="Normal 4 2 10 3 2" xfId="34062"/>
    <cellStyle name="Normal 4 2 10 3 2 2" xfId="34063"/>
    <cellStyle name="Normal 4 2 10 3 3" xfId="34064"/>
    <cellStyle name="Normal 4 2 10 4" xfId="34065"/>
    <cellStyle name="Normal 4 2 10 4 2" xfId="34066"/>
    <cellStyle name="Normal 4 2 10 5" xfId="34067"/>
    <cellStyle name="Normal 4 2 10 5 2" xfId="34068"/>
    <cellStyle name="Normal 4 2 10 6" xfId="34069"/>
    <cellStyle name="Normal 4 2 11" xfId="34070"/>
    <cellStyle name="Normal 4 2 11 2" xfId="34071"/>
    <cellStyle name="Normal 4 2 11 2 2" xfId="34072"/>
    <cellStyle name="Normal 4 2 11 2 2 2" xfId="34073"/>
    <cellStyle name="Normal 4 2 11 2 2 2 2" xfId="34074"/>
    <cellStyle name="Normal 4 2 11 2 2 3" xfId="34075"/>
    <cellStyle name="Normal 4 2 11 2 3" xfId="34076"/>
    <cellStyle name="Normal 4 2 11 2 3 2" xfId="34077"/>
    <cellStyle name="Normal 4 2 11 2 4" xfId="34078"/>
    <cellStyle name="Normal 4 2 11 3" xfId="34079"/>
    <cellStyle name="Normal 4 2 11 3 2" xfId="34080"/>
    <cellStyle name="Normal 4 2 11 3 2 2" xfId="34081"/>
    <cellStyle name="Normal 4 2 11 3 3" xfId="34082"/>
    <cellStyle name="Normal 4 2 11 4" xfId="34083"/>
    <cellStyle name="Normal 4 2 11 4 2" xfId="34084"/>
    <cellStyle name="Normal 4 2 11 5" xfId="34085"/>
    <cellStyle name="Normal 4 2 11 5 2" xfId="34086"/>
    <cellStyle name="Normal 4 2 11 6" xfId="34087"/>
    <cellStyle name="Normal 4 2 12" xfId="34088"/>
    <cellStyle name="Normal 4 2 12 2" xfId="34089"/>
    <cellStyle name="Normal 4 2 12 2 2" xfId="34090"/>
    <cellStyle name="Normal 4 2 12 2 2 2" xfId="34091"/>
    <cellStyle name="Normal 4 2 12 2 2 2 2" xfId="34092"/>
    <cellStyle name="Normal 4 2 12 2 2 3" xfId="34093"/>
    <cellStyle name="Normal 4 2 12 2 3" xfId="34094"/>
    <cellStyle name="Normal 4 2 12 2 3 2" xfId="34095"/>
    <cellStyle name="Normal 4 2 12 2 4" xfId="34096"/>
    <cellStyle name="Normal 4 2 12 3" xfId="34097"/>
    <cellStyle name="Normal 4 2 12 3 2" xfId="34098"/>
    <cellStyle name="Normal 4 2 12 3 2 2" xfId="34099"/>
    <cellStyle name="Normal 4 2 12 3 3" xfId="34100"/>
    <cellStyle name="Normal 4 2 12 4" xfId="34101"/>
    <cellStyle name="Normal 4 2 12 4 2" xfId="34102"/>
    <cellStyle name="Normal 4 2 12 5" xfId="34103"/>
    <cellStyle name="Normal 4 2 12 5 2" xfId="34104"/>
    <cellStyle name="Normal 4 2 12 6" xfId="34105"/>
    <cellStyle name="Normal 4 2 13" xfId="34106"/>
    <cellStyle name="Normal 4 2 13 2" xfId="34107"/>
    <cellStyle name="Normal 4 2 13 2 2" xfId="34108"/>
    <cellStyle name="Normal 4 2 13 2 2 2" xfId="34109"/>
    <cellStyle name="Normal 4 2 13 2 3" xfId="34110"/>
    <cellStyle name="Normal 4 2 13 3" xfId="34111"/>
    <cellStyle name="Normal 4 2 13 3 2" xfId="34112"/>
    <cellStyle name="Normal 4 2 13 4" xfId="34113"/>
    <cellStyle name="Normal 4 2 14" xfId="34114"/>
    <cellStyle name="Normal 4 2 14 2" xfId="34115"/>
    <cellStyle name="Normal 4 2 14 2 2" xfId="34116"/>
    <cellStyle name="Normal 4 2 14 3" xfId="34117"/>
    <cellStyle name="Normal 4 2 15" xfId="34118"/>
    <cellStyle name="Normal 4 2 15 2" xfId="34119"/>
    <cellStyle name="Normal 4 2 16" xfId="34120"/>
    <cellStyle name="Normal 4 2 16 2" xfId="34121"/>
    <cellStyle name="Normal 4 2 17" xfId="34122"/>
    <cellStyle name="Normal 4 2 17 2" xfId="34123"/>
    <cellStyle name="Normal 4 2 18" xfId="593"/>
    <cellStyle name="Normal 4 2 2" xfId="132"/>
    <cellStyle name="Normal 4 2 2 10" xfId="34125"/>
    <cellStyle name="Normal 4 2 2 10 2" xfId="34126"/>
    <cellStyle name="Normal 4 2 2 10 2 2" xfId="34127"/>
    <cellStyle name="Normal 4 2 2 10 2 2 2" xfId="34128"/>
    <cellStyle name="Normal 4 2 2 10 2 2 2 2" xfId="34129"/>
    <cellStyle name="Normal 4 2 2 10 2 2 3" xfId="34130"/>
    <cellStyle name="Normal 4 2 2 10 2 3" xfId="34131"/>
    <cellStyle name="Normal 4 2 2 10 2 3 2" xfId="34132"/>
    <cellStyle name="Normal 4 2 2 10 2 4" xfId="34133"/>
    <cellStyle name="Normal 4 2 2 10 3" xfId="34134"/>
    <cellStyle name="Normal 4 2 2 10 3 2" xfId="34135"/>
    <cellStyle name="Normal 4 2 2 10 3 2 2" xfId="34136"/>
    <cellStyle name="Normal 4 2 2 10 3 3" xfId="34137"/>
    <cellStyle name="Normal 4 2 2 10 4" xfId="34138"/>
    <cellStyle name="Normal 4 2 2 10 4 2" xfId="34139"/>
    <cellStyle name="Normal 4 2 2 10 5" xfId="34140"/>
    <cellStyle name="Normal 4 2 2 10 5 2" xfId="34141"/>
    <cellStyle name="Normal 4 2 2 10 6" xfId="34142"/>
    <cellStyle name="Normal 4 2 2 11" xfId="34143"/>
    <cellStyle name="Normal 4 2 2 11 2" xfId="34144"/>
    <cellStyle name="Normal 4 2 2 11 2 2" xfId="34145"/>
    <cellStyle name="Normal 4 2 2 11 2 2 2" xfId="34146"/>
    <cellStyle name="Normal 4 2 2 11 2 3" xfId="34147"/>
    <cellStyle name="Normal 4 2 2 11 3" xfId="34148"/>
    <cellStyle name="Normal 4 2 2 11 3 2" xfId="34149"/>
    <cellStyle name="Normal 4 2 2 11 4" xfId="34150"/>
    <cellStyle name="Normal 4 2 2 12" xfId="34151"/>
    <cellStyle name="Normal 4 2 2 12 2" xfId="34152"/>
    <cellStyle name="Normal 4 2 2 12 2 2" xfId="34153"/>
    <cellStyle name="Normal 4 2 2 12 3" xfId="34154"/>
    <cellStyle name="Normal 4 2 2 13" xfId="34155"/>
    <cellStyle name="Normal 4 2 2 13 2" xfId="34156"/>
    <cellStyle name="Normal 4 2 2 14" xfId="34157"/>
    <cellStyle name="Normal 4 2 2 14 2" xfId="34158"/>
    <cellStyle name="Normal 4 2 2 15" xfId="34159"/>
    <cellStyle name="Normal 4 2 2 16" xfId="34124"/>
    <cellStyle name="Normal 4 2 2 2" xfId="34160"/>
    <cellStyle name="Normal 4 2 2 2 10" xfId="34161"/>
    <cellStyle name="Normal 4 2 2 2 10 2" xfId="34162"/>
    <cellStyle name="Normal 4 2 2 2 11" xfId="34163"/>
    <cellStyle name="Normal 4 2 2 2 2" xfId="34164"/>
    <cellStyle name="Normal 4 2 2 2 2 2" xfId="34165"/>
    <cellStyle name="Normal 4 2 2 2 2 2 2" xfId="34166"/>
    <cellStyle name="Normal 4 2 2 2 2 2 2 2" xfId="34167"/>
    <cellStyle name="Normal 4 2 2 2 2 2 2 2 2" xfId="34168"/>
    <cellStyle name="Normal 4 2 2 2 2 2 2 2 2 2" xfId="34169"/>
    <cellStyle name="Normal 4 2 2 2 2 2 2 2 3" xfId="34170"/>
    <cellStyle name="Normal 4 2 2 2 2 2 2 3" xfId="34171"/>
    <cellStyle name="Normal 4 2 2 2 2 2 2 3 2" xfId="34172"/>
    <cellStyle name="Normal 4 2 2 2 2 2 2 4" xfId="34173"/>
    <cellStyle name="Normal 4 2 2 2 2 2 3" xfId="34174"/>
    <cellStyle name="Normal 4 2 2 2 2 2 3 2" xfId="34175"/>
    <cellStyle name="Normal 4 2 2 2 2 2 3 2 2" xfId="34176"/>
    <cellStyle name="Normal 4 2 2 2 2 2 3 3" xfId="34177"/>
    <cellStyle name="Normal 4 2 2 2 2 2 4" xfId="34178"/>
    <cellStyle name="Normal 4 2 2 2 2 2 4 2" xfId="34179"/>
    <cellStyle name="Normal 4 2 2 2 2 2 5" xfId="34180"/>
    <cellStyle name="Normal 4 2 2 2 2 2 5 2" xfId="34181"/>
    <cellStyle name="Normal 4 2 2 2 2 2 6" xfId="34182"/>
    <cellStyle name="Normal 4 2 2 2 2 3" xfId="34183"/>
    <cellStyle name="Normal 4 2 2 2 2 3 2" xfId="34184"/>
    <cellStyle name="Normal 4 2 2 2 2 3 2 2" xfId="34185"/>
    <cellStyle name="Normal 4 2 2 2 2 3 2 2 2" xfId="34186"/>
    <cellStyle name="Normal 4 2 2 2 2 3 2 2 2 2" xfId="34187"/>
    <cellStyle name="Normal 4 2 2 2 2 3 2 2 3" xfId="34188"/>
    <cellStyle name="Normal 4 2 2 2 2 3 2 3" xfId="34189"/>
    <cellStyle name="Normal 4 2 2 2 2 3 2 3 2" xfId="34190"/>
    <cellStyle name="Normal 4 2 2 2 2 3 2 4" xfId="34191"/>
    <cellStyle name="Normal 4 2 2 2 2 3 3" xfId="34192"/>
    <cellStyle name="Normal 4 2 2 2 2 3 3 2" xfId="34193"/>
    <cellStyle name="Normal 4 2 2 2 2 3 3 2 2" xfId="34194"/>
    <cellStyle name="Normal 4 2 2 2 2 3 3 3" xfId="34195"/>
    <cellStyle name="Normal 4 2 2 2 2 3 4" xfId="34196"/>
    <cellStyle name="Normal 4 2 2 2 2 3 4 2" xfId="34197"/>
    <cellStyle name="Normal 4 2 2 2 2 3 5" xfId="34198"/>
    <cellStyle name="Normal 4 2 2 2 2 3 5 2" xfId="34199"/>
    <cellStyle name="Normal 4 2 2 2 2 3 6" xfId="34200"/>
    <cellStyle name="Normal 4 2 2 2 2 4" xfId="34201"/>
    <cellStyle name="Normal 4 2 2 2 2 4 2" xfId="34202"/>
    <cellStyle name="Normal 4 2 2 2 2 4 2 2" xfId="34203"/>
    <cellStyle name="Normal 4 2 2 2 2 4 2 2 2" xfId="34204"/>
    <cellStyle name="Normal 4 2 2 2 2 4 2 3" xfId="34205"/>
    <cellStyle name="Normal 4 2 2 2 2 4 3" xfId="34206"/>
    <cellStyle name="Normal 4 2 2 2 2 4 3 2" xfId="34207"/>
    <cellStyle name="Normal 4 2 2 2 2 4 4" xfId="34208"/>
    <cellStyle name="Normal 4 2 2 2 2 5" xfId="34209"/>
    <cellStyle name="Normal 4 2 2 2 2 5 2" xfId="34210"/>
    <cellStyle name="Normal 4 2 2 2 2 5 2 2" xfId="34211"/>
    <cellStyle name="Normal 4 2 2 2 2 5 3" xfId="34212"/>
    <cellStyle name="Normal 4 2 2 2 2 6" xfId="34213"/>
    <cellStyle name="Normal 4 2 2 2 2 6 2" xfId="34214"/>
    <cellStyle name="Normal 4 2 2 2 2 7" xfId="34215"/>
    <cellStyle name="Normal 4 2 2 2 2 7 2" xfId="34216"/>
    <cellStyle name="Normal 4 2 2 2 2 8" xfId="34217"/>
    <cellStyle name="Normal 4 2 2 2 3" xfId="34218"/>
    <cellStyle name="Normal 4 2 2 2 3 2" xfId="34219"/>
    <cellStyle name="Normal 4 2 2 2 3 2 2" xfId="34220"/>
    <cellStyle name="Normal 4 2 2 2 3 2 2 2" xfId="34221"/>
    <cellStyle name="Normal 4 2 2 2 3 2 2 2 2" xfId="34222"/>
    <cellStyle name="Normal 4 2 2 2 3 2 2 2 2 2" xfId="34223"/>
    <cellStyle name="Normal 4 2 2 2 3 2 2 2 3" xfId="34224"/>
    <cellStyle name="Normal 4 2 2 2 3 2 2 3" xfId="34225"/>
    <cellStyle name="Normal 4 2 2 2 3 2 2 3 2" xfId="34226"/>
    <cellStyle name="Normal 4 2 2 2 3 2 2 4" xfId="34227"/>
    <cellStyle name="Normal 4 2 2 2 3 2 3" xfId="34228"/>
    <cellStyle name="Normal 4 2 2 2 3 2 3 2" xfId="34229"/>
    <cellStyle name="Normal 4 2 2 2 3 2 3 2 2" xfId="34230"/>
    <cellStyle name="Normal 4 2 2 2 3 2 3 3" xfId="34231"/>
    <cellStyle name="Normal 4 2 2 2 3 2 4" xfId="34232"/>
    <cellStyle name="Normal 4 2 2 2 3 2 4 2" xfId="34233"/>
    <cellStyle name="Normal 4 2 2 2 3 2 5" xfId="34234"/>
    <cellStyle name="Normal 4 2 2 2 3 2 5 2" xfId="34235"/>
    <cellStyle name="Normal 4 2 2 2 3 2 6" xfId="34236"/>
    <cellStyle name="Normal 4 2 2 2 3 3" xfId="34237"/>
    <cellStyle name="Normal 4 2 2 2 3 3 2" xfId="34238"/>
    <cellStyle name="Normal 4 2 2 2 3 3 2 2" xfId="34239"/>
    <cellStyle name="Normal 4 2 2 2 3 3 2 2 2" xfId="34240"/>
    <cellStyle name="Normal 4 2 2 2 3 3 2 2 2 2" xfId="34241"/>
    <cellStyle name="Normal 4 2 2 2 3 3 2 2 3" xfId="34242"/>
    <cellStyle name="Normal 4 2 2 2 3 3 2 3" xfId="34243"/>
    <cellStyle name="Normal 4 2 2 2 3 3 2 3 2" xfId="34244"/>
    <cellStyle name="Normal 4 2 2 2 3 3 2 4" xfId="34245"/>
    <cellStyle name="Normal 4 2 2 2 3 3 3" xfId="34246"/>
    <cellStyle name="Normal 4 2 2 2 3 3 3 2" xfId="34247"/>
    <cellStyle name="Normal 4 2 2 2 3 3 3 2 2" xfId="34248"/>
    <cellStyle name="Normal 4 2 2 2 3 3 3 3" xfId="34249"/>
    <cellStyle name="Normal 4 2 2 2 3 3 4" xfId="34250"/>
    <cellStyle name="Normal 4 2 2 2 3 3 4 2" xfId="34251"/>
    <cellStyle name="Normal 4 2 2 2 3 3 5" xfId="34252"/>
    <cellStyle name="Normal 4 2 2 2 3 3 5 2" xfId="34253"/>
    <cellStyle name="Normal 4 2 2 2 3 3 6" xfId="34254"/>
    <cellStyle name="Normal 4 2 2 2 3 4" xfId="34255"/>
    <cellStyle name="Normal 4 2 2 2 3 4 2" xfId="34256"/>
    <cellStyle name="Normal 4 2 2 2 3 4 2 2" xfId="34257"/>
    <cellStyle name="Normal 4 2 2 2 3 4 2 2 2" xfId="34258"/>
    <cellStyle name="Normal 4 2 2 2 3 4 2 3" xfId="34259"/>
    <cellStyle name="Normal 4 2 2 2 3 4 3" xfId="34260"/>
    <cellStyle name="Normal 4 2 2 2 3 4 3 2" xfId="34261"/>
    <cellStyle name="Normal 4 2 2 2 3 4 4" xfId="34262"/>
    <cellStyle name="Normal 4 2 2 2 3 5" xfId="34263"/>
    <cellStyle name="Normal 4 2 2 2 3 5 2" xfId="34264"/>
    <cellStyle name="Normal 4 2 2 2 3 5 2 2" xfId="34265"/>
    <cellStyle name="Normal 4 2 2 2 3 5 3" xfId="34266"/>
    <cellStyle name="Normal 4 2 2 2 3 6" xfId="34267"/>
    <cellStyle name="Normal 4 2 2 2 3 6 2" xfId="34268"/>
    <cellStyle name="Normal 4 2 2 2 3 7" xfId="34269"/>
    <cellStyle name="Normal 4 2 2 2 3 7 2" xfId="34270"/>
    <cellStyle name="Normal 4 2 2 2 3 8" xfId="34271"/>
    <cellStyle name="Normal 4 2 2 2 4" xfId="34272"/>
    <cellStyle name="Normal 4 2 2 2 4 2" xfId="34273"/>
    <cellStyle name="Normal 4 2 2 2 4 2 2" xfId="34274"/>
    <cellStyle name="Normal 4 2 2 2 4 2 2 2" xfId="34275"/>
    <cellStyle name="Normal 4 2 2 2 4 2 2 2 2" xfId="34276"/>
    <cellStyle name="Normal 4 2 2 2 4 2 2 3" xfId="34277"/>
    <cellStyle name="Normal 4 2 2 2 4 2 3" xfId="34278"/>
    <cellStyle name="Normal 4 2 2 2 4 2 3 2" xfId="34279"/>
    <cellStyle name="Normal 4 2 2 2 4 2 4" xfId="34280"/>
    <cellStyle name="Normal 4 2 2 2 4 3" xfId="34281"/>
    <cellStyle name="Normal 4 2 2 2 4 3 2" xfId="34282"/>
    <cellStyle name="Normal 4 2 2 2 4 3 2 2" xfId="34283"/>
    <cellStyle name="Normal 4 2 2 2 4 3 3" xfId="34284"/>
    <cellStyle name="Normal 4 2 2 2 4 4" xfId="34285"/>
    <cellStyle name="Normal 4 2 2 2 4 4 2" xfId="34286"/>
    <cellStyle name="Normal 4 2 2 2 4 5" xfId="34287"/>
    <cellStyle name="Normal 4 2 2 2 4 5 2" xfId="34288"/>
    <cellStyle name="Normal 4 2 2 2 4 6" xfId="34289"/>
    <cellStyle name="Normal 4 2 2 2 5" xfId="34290"/>
    <cellStyle name="Normal 4 2 2 2 5 2" xfId="34291"/>
    <cellStyle name="Normal 4 2 2 2 5 2 2" xfId="34292"/>
    <cellStyle name="Normal 4 2 2 2 5 2 2 2" xfId="34293"/>
    <cellStyle name="Normal 4 2 2 2 5 2 2 2 2" xfId="34294"/>
    <cellStyle name="Normal 4 2 2 2 5 2 2 3" xfId="34295"/>
    <cellStyle name="Normal 4 2 2 2 5 2 3" xfId="34296"/>
    <cellStyle name="Normal 4 2 2 2 5 2 3 2" xfId="34297"/>
    <cellStyle name="Normal 4 2 2 2 5 2 4" xfId="34298"/>
    <cellStyle name="Normal 4 2 2 2 5 3" xfId="34299"/>
    <cellStyle name="Normal 4 2 2 2 5 3 2" xfId="34300"/>
    <cellStyle name="Normal 4 2 2 2 5 3 2 2" xfId="34301"/>
    <cellStyle name="Normal 4 2 2 2 5 3 3" xfId="34302"/>
    <cellStyle name="Normal 4 2 2 2 5 4" xfId="34303"/>
    <cellStyle name="Normal 4 2 2 2 5 4 2" xfId="34304"/>
    <cellStyle name="Normal 4 2 2 2 5 5" xfId="34305"/>
    <cellStyle name="Normal 4 2 2 2 5 5 2" xfId="34306"/>
    <cellStyle name="Normal 4 2 2 2 5 6" xfId="34307"/>
    <cellStyle name="Normal 4 2 2 2 6" xfId="34308"/>
    <cellStyle name="Normal 4 2 2 2 6 2" xfId="34309"/>
    <cellStyle name="Normal 4 2 2 2 6 2 2" xfId="34310"/>
    <cellStyle name="Normal 4 2 2 2 6 2 2 2" xfId="34311"/>
    <cellStyle name="Normal 4 2 2 2 6 2 2 2 2" xfId="34312"/>
    <cellStyle name="Normal 4 2 2 2 6 2 2 3" xfId="34313"/>
    <cellStyle name="Normal 4 2 2 2 6 2 3" xfId="34314"/>
    <cellStyle name="Normal 4 2 2 2 6 2 3 2" xfId="34315"/>
    <cellStyle name="Normal 4 2 2 2 6 2 4" xfId="34316"/>
    <cellStyle name="Normal 4 2 2 2 6 3" xfId="34317"/>
    <cellStyle name="Normal 4 2 2 2 6 3 2" xfId="34318"/>
    <cellStyle name="Normal 4 2 2 2 6 3 2 2" xfId="34319"/>
    <cellStyle name="Normal 4 2 2 2 6 3 3" xfId="34320"/>
    <cellStyle name="Normal 4 2 2 2 6 4" xfId="34321"/>
    <cellStyle name="Normal 4 2 2 2 6 4 2" xfId="34322"/>
    <cellStyle name="Normal 4 2 2 2 6 5" xfId="34323"/>
    <cellStyle name="Normal 4 2 2 2 6 5 2" xfId="34324"/>
    <cellStyle name="Normal 4 2 2 2 6 6" xfId="34325"/>
    <cellStyle name="Normal 4 2 2 2 7" xfId="34326"/>
    <cellStyle name="Normal 4 2 2 2 7 2" xfId="34327"/>
    <cellStyle name="Normal 4 2 2 2 7 2 2" xfId="34328"/>
    <cellStyle name="Normal 4 2 2 2 7 2 2 2" xfId="34329"/>
    <cellStyle name="Normal 4 2 2 2 7 2 3" xfId="34330"/>
    <cellStyle name="Normal 4 2 2 2 7 3" xfId="34331"/>
    <cellStyle name="Normal 4 2 2 2 7 3 2" xfId="34332"/>
    <cellStyle name="Normal 4 2 2 2 7 4" xfId="34333"/>
    <cellStyle name="Normal 4 2 2 2 8" xfId="34334"/>
    <cellStyle name="Normal 4 2 2 2 8 2" xfId="34335"/>
    <cellStyle name="Normal 4 2 2 2 8 2 2" xfId="34336"/>
    <cellStyle name="Normal 4 2 2 2 8 3" xfId="34337"/>
    <cellStyle name="Normal 4 2 2 2 9" xfId="34338"/>
    <cellStyle name="Normal 4 2 2 2 9 2" xfId="34339"/>
    <cellStyle name="Normal 4 2 2 3" xfId="34340"/>
    <cellStyle name="Normal 4 2 2 3 10" xfId="34341"/>
    <cellStyle name="Normal 4 2 2 3 10 2" xfId="34342"/>
    <cellStyle name="Normal 4 2 2 3 11" xfId="34343"/>
    <cellStyle name="Normal 4 2 2 3 2" xfId="34344"/>
    <cellStyle name="Normal 4 2 2 3 2 2" xfId="34345"/>
    <cellStyle name="Normal 4 2 2 3 2 2 2" xfId="34346"/>
    <cellStyle name="Normal 4 2 2 3 2 2 2 2" xfId="34347"/>
    <cellStyle name="Normal 4 2 2 3 2 2 2 2 2" xfId="34348"/>
    <cellStyle name="Normal 4 2 2 3 2 2 2 2 2 2" xfId="34349"/>
    <cellStyle name="Normal 4 2 2 3 2 2 2 2 3" xfId="34350"/>
    <cellStyle name="Normal 4 2 2 3 2 2 2 3" xfId="34351"/>
    <cellStyle name="Normal 4 2 2 3 2 2 2 3 2" xfId="34352"/>
    <cellStyle name="Normal 4 2 2 3 2 2 2 4" xfId="34353"/>
    <cellStyle name="Normal 4 2 2 3 2 2 3" xfId="34354"/>
    <cellStyle name="Normal 4 2 2 3 2 2 3 2" xfId="34355"/>
    <cellStyle name="Normal 4 2 2 3 2 2 3 2 2" xfId="34356"/>
    <cellStyle name="Normal 4 2 2 3 2 2 3 3" xfId="34357"/>
    <cellStyle name="Normal 4 2 2 3 2 2 4" xfId="34358"/>
    <cellStyle name="Normal 4 2 2 3 2 2 4 2" xfId="34359"/>
    <cellStyle name="Normal 4 2 2 3 2 2 5" xfId="34360"/>
    <cellStyle name="Normal 4 2 2 3 2 2 5 2" xfId="34361"/>
    <cellStyle name="Normal 4 2 2 3 2 2 6" xfId="34362"/>
    <cellStyle name="Normal 4 2 2 3 2 3" xfId="34363"/>
    <cellStyle name="Normal 4 2 2 3 2 3 2" xfId="34364"/>
    <cellStyle name="Normal 4 2 2 3 2 3 2 2" xfId="34365"/>
    <cellStyle name="Normal 4 2 2 3 2 3 2 2 2" xfId="34366"/>
    <cellStyle name="Normal 4 2 2 3 2 3 2 2 2 2" xfId="34367"/>
    <cellStyle name="Normal 4 2 2 3 2 3 2 2 3" xfId="34368"/>
    <cellStyle name="Normal 4 2 2 3 2 3 2 3" xfId="34369"/>
    <cellStyle name="Normal 4 2 2 3 2 3 2 3 2" xfId="34370"/>
    <cellStyle name="Normal 4 2 2 3 2 3 2 4" xfId="34371"/>
    <cellStyle name="Normal 4 2 2 3 2 3 3" xfId="34372"/>
    <cellStyle name="Normal 4 2 2 3 2 3 3 2" xfId="34373"/>
    <cellStyle name="Normal 4 2 2 3 2 3 3 2 2" xfId="34374"/>
    <cellStyle name="Normal 4 2 2 3 2 3 3 3" xfId="34375"/>
    <cellStyle name="Normal 4 2 2 3 2 3 4" xfId="34376"/>
    <cellStyle name="Normal 4 2 2 3 2 3 4 2" xfId="34377"/>
    <cellStyle name="Normal 4 2 2 3 2 3 5" xfId="34378"/>
    <cellStyle name="Normal 4 2 2 3 2 3 5 2" xfId="34379"/>
    <cellStyle name="Normal 4 2 2 3 2 3 6" xfId="34380"/>
    <cellStyle name="Normal 4 2 2 3 2 4" xfId="34381"/>
    <cellStyle name="Normal 4 2 2 3 2 4 2" xfId="34382"/>
    <cellStyle name="Normal 4 2 2 3 2 4 2 2" xfId="34383"/>
    <cellStyle name="Normal 4 2 2 3 2 4 2 2 2" xfId="34384"/>
    <cellStyle name="Normal 4 2 2 3 2 4 2 3" xfId="34385"/>
    <cellStyle name="Normal 4 2 2 3 2 4 3" xfId="34386"/>
    <cellStyle name="Normal 4 2 2 3 2 4 3 2" xfId="34387"/>
    <cellStyle name="Normal 4 2 2 3 2 4 4" xfId="34388"/>
    <cellStyle name="Normal 4 2 2 3 2 5" xfId="34389"/>
    <cellStyle name="Normal 4 2 2 3 2 5 2" xfId="34390"/>
    <cellStyle name="Normal 4 2 2 3 2 5 2 2" xfId="34391"/>
    <cellStyle name="Normal 4 2 2 3 2 5 3" xfId="34392"/>
    <cellStyle name="Normal 4 2 2 3 2 6" xfId="34393"/>
    <cellStyle name="Normal 4 2 2 3 2 6 2" xfId="34394"/>
    <cellStyle name="Normal 4 2 2 3 2 7" xfId="34395"/>
    <cellStyle name="Normal 4 2 2 3 2 7 2" xfId="34396"/>
    <cellStyle name="Normal 4 2 2 3 2 8" xfId="34397"/>
    <cellStyle name="Normal 4 2 2 3 3" xfId="34398"/>
    <cellStyle name="Normal 4 2 2 3 3 2" xfId="34399"/>
    <cellStyle name="Normal 4 2 2 3 3 2 2" xfId="34400"/>
    <cellStyle name="Normal 4 2 2 3 3 2 2 2" xfId="34401"/>
    <cellStyle name="Normal 4 2 2 3 3 2 2 2 2" xfId="34402"/>
    <cellStyle name="Normal 4 2 2 3 3 2 2 2 2 2" xfId="34403"/>
    <cellStyle name="Normal 4 2 2 3 3 2 2 2 3" xfId="34404"/>
    <cellStyle name="Normal 4 2 2 3 3 2 2 3" xfId="34405"/>
    <cellStyle name="Normal 4 2 2 3 3 2 2 3 2" xfId="34406"/>
    <cellStyle name="Normal 4 2 2 3 3 2 2 4" xfId="34407"/>
    <cellStyle name="Normal 4 2 2 3 3 2 3" xfId="34408"/>
    <cellStyle name="Normal 4 2 2 3 3 2 3 2" xfId="34409"/>
    <cellStyle name="Normal 4 2 2 3 3 2 3 2 2" xfId="34410"/>
    <cellStyle name="Normal 4 2 2 3 3 2 3 3" xfId="34411"/>
    <cellStyle name="Normal 4 2 2 3 3 2 4" xfId="34412"/>
    <cellStyle name="Normal 4 2 2 3 3 2 4 2" xfId="34413"/>
    <cellStyle name="Normal 4 2 2 3 3 2 5" xfId="34414"/>
    <cellStyle name="Normal 4 2 2 3 3 2 5 2" xfId="34415"/>
    <cellStyle name="Normal 4 2 2 3 3 2 6" xfId="34416"/>
    <cellStyle name="Normal 4 2 2 3 3 3" xfId="34417"/>
    <cellStyle name="Normal 4 2 2 3 3 3 2" xfId="34418"/>
    <cellStyle name="Normal 4 2 2 3 3 3 2 2" xfId="34419"/>
    <cellStyle name="Normal 4 2 2 3 3 3 2 2 2" xfId="34420"/>
    <cellStyle name="Normal 4 2 2 3 3 3 2 2 2 2" xfId="34421"/>
    <cellStyle name="Normal 4 2 2 3 3 3 2 2 3" xfId="34422"/>
    <cellStyle name="Normal 4 2 2 3 3 3 2 3" xfId="34423"/>
    <cellStyle name="Normal 4 2 2 3 3 3 2 3 2" xfId="34424"/>
    <cellStyle name="Normal 4 2 2 3 3 3 2 4" xfId="34425"/>
    <cellStyle name="Normal 4 2 2 3 3 3 3" xfId="34426"/>
    <cellStyle name="Normal 4 2 2 3 3 3 3 2" xfId="34427"/>
    <cellStyle name="Normal 4 2 2 3 3 3 3 2 2" xfId="34428"/>
    <cellStyle name="Normal 4 2 2 3 3 3 3 3" xfId="34429"/>
    <cellStyle name="Normal 4 2 2 3 3 3 4" xfId="34430"/>
    <cellStyle name="Normal 4 2 2 3 3 3 4 2" xfId="34431"/>
    <cellStyle name="Normal 4 2 2 3 3 3 5" xfId="34432"/>
    <cellStyle name="Normal 4 2 2 3 3 3 5 2" xfId="34433"/>
    <cellStyle name="Normal 4 2 2 3 3 3 6" xfId="34434"/>
    <cellStyle name="Normal 4 2 2 3 3 4" xfId="34435"/>
    <cellStyle name="Normal 4 2 2 3 3 4 2" xfId="34436"/>
    <cellStyle name="Normal 4 2 2 3 3 4 2 2" xfId="34437"/>
    <cellStyle name="Normal 4 2 2 3 3 4 2 2 2" xfId="34438"/>
    <cellStyle name="Normal 4 2 2 3 3 4 2 3" xfId="34439"/>
    <cellStyle name="Normal 4 2 2 3 3 4 3" xfId="34440"/>
    <cellStyle name="Normal 4 2 2 3 3 4 3 2" xfId="34441"/>
    <cellStyle name="Normal 4 2 2 3 3 4 4" xfId="34442"/>
    <cellStyle name="Normal 4 2 2 3 3 5" xfId="34443"/>
    <cellStyle name="Normal 4 2 2 3 3 5 2" xfId="34444"/>
    <cellStyle name="Normal 4 2 2 3 3 5 2 2" xfId="34445"/>
    <cellStyle name="Normal 4 2 2 3 3 5 3" xfId="34446"/>
    <cellStyle name="Normal 4 2 2 3 3 6" xfId="34447"/>
    <cellStyle name="Normal 4 2 2 3 3 6 2" xfId="34448"/>
    <cellStyle name="Normal 4 2 2 3 3 7" xfId="34449"/>
    <cellStyle name="Normal 4 2 2 3 3 7 2" xfId="34450"/>
    <cellStyle name="Normal 4 2 2 3 3 8" xfId="34451"/>
    <cellStyle name="Normal 4 2 2 3 4" xfId="34452"/>
    <cellStyle name="Normal 4 2 2 3 4 2" xfId="34453"/>
    <cellStyle name="Normal 4 2 2 3 4 2 2" xfId="34454"/>
    <cellStyle name="Normal 4 2 2 3 4 2 2 2" xfId="34455"/>
    <cellStyle name="Normal 4 2 2 3 4 2 2 2 2" xfId="34456"/>
    <cellStyle name="Normal 4 2 2 3 4 2 2 3" xfId="34457"/>
    <cellStyle name="Normal 4 2 2 3 4 2 3" xfId="34458"/>
    <cellStyle name="Normal 4 2 2 3 4 2 3 2" xfId="34459"/>
    <cellStyle name="Normal 4 2 2 3 4 2 4" xfId="34460"/>
    <cellStyle name="Normal 4 2 2 3 4 3" xfId="34461"/>
    <cellStyle name="Normal 4 2 2 3 4 3 2" xfId="34462"/>
    <cellStyle name="Normal 4 2 2 3 4 3 2 2" xfId="34463"/>
    <cellStyle name="Normal 4 2 2 3 4 3 3" xfId="34464"/>
    <cellStyle name="Normal 4 2 2 3 4 4" xfId="34465"/>
    <cellStyle name="Normal 4 2 2 3 4 4 2" xfId="34466"/>
    <cellStyle name="Normal 4 2 2 3 4 5" xfId="34467"/>
    <cellStyle name="Normal 4 2 2 3 4 5 2" xfId="34468"/>
    <cellStyle name="Normal 4 2 2 3 4 6" xfId="34469"/>
    <cellStyle name="Normal 4 2 2 3 5" xfId="34470"/>
    <cellStyle name="Normal 4 2 2 3 5 2" xfId="34471"/>
    <cellStyle name="Normal 4 2 2 3 5 2 2" xfId="34472"/>
    <cellStyle name="Normal 4 2 2 3 5 2 2 2" xfId="34473"/>
    <cellStyle name="Normal 4 2 2 3 5 2 2 2 2" xfId="34474"/>
    <cellStyle name="Normal 4 2 2 3 5 2 2 3" xfId="34475"/>
    <cellStyle name="Normal 4 2 2 3 5 2 3" xfId="34476"/>
    <cellStyle name="Normal 4 2 2 3 5 2 3 2" xfId="34477"/>
    <cellStyle name="Normal 4 2 2 3 5 2 4" xfId="34478"/>
    <cellStyle name="Normal 4 2 2 3 5 3" xfId="34479"/>
    <cellStyle name="Normal 4 2 2 3 5 3 2" xfId="34480"/>
    <cellStyle name="Normal 4 2 2 3 5 3 2 2" xfId="34481"/>
    <cellStyle name="Normal 4 2 2 3 5 3 3" xfId="34482"/>
    <cellStyle name="Normal 4 2 2 3 5 4" xfId="34483"/>
    <cellStyle name="Normal 4 2 2 3 5 4 2" xfId="34484"/>
    <cellStyle name="Normal 4 2 2 3 5 5" xfId="34485"/>
    <cellStyle name="Normal 4 2 2 3 5 5 2" xfId="34486"/>
    <cellStyle name="Normal 4 2 2 3 5 6" xfId="34487"/>
    <cellStyle name="Normal 4 2 2 3 6" xfId="34488"/>
    <cellStyle name="Normal 4 2 2 3 6 2" xfId="34489"/>
    <cellStyle name="Normal 4 2 2 3 6 2 2" xfId="34490"/>
    <cellStyle name="Normal 4 2 2 3 6 2 2 2" xfId="34491"/>
    <cellStyle name="Normal 4 2 2 3 6 2 2 2 2" xfId="34492"/>
    <cellStyle name="Normal 4 2 2 3 6 2 2 3" xfId="34493"/>
    <cellStyle name="Normal 4 2 2 3 6 2 3" xfId="34494"/>
    <cellStyle name="Normal 4 2 2 3 6 2 3 2" xfId="34495"/>
    <cellStyle name="Normal 4 2 2 3 6 2 4" xfId="34496"/>
    <cellStyle name="Normal 4 2 2 3 6 3" xfId="34497"/>
    <cellStyle name="Normal 4 2 2 3 6 3 2" xfId="34498"/>
    <cellStyle name="Normal 4 2 2 3 6 3 2 2" xfId="34499"/>
    <cellStyle name="Normal 4 2 2 3 6 3 3" xfId="34500"/>
    <cellStyle name="Normal 4 2 2 3 6 4" xfId="34501"/>
    <cellStyle name="Normal 4 2 2 3 6 4 2" xfId="34502"/>
    <cellStyle name="Normal 4 2 2 3 6 5" xfId="34503"/>
    <cellStyle name="Normal 4 2 2 3 6 5 2" xfId="34504"/>
    <cellStyle name="Normal 4 2 2 3 6 6" xfId="34505"/>
    <cellStyle name="Normal 4 2 2 3 7" xfId="34506"/>
    <cellStyle name="Normal 4 2 2 3 7 2" xfId="34507"/>
    <cellStyle name="Normal 4 2 2 3 7 2 2" xfId="34508"/>
    <cellStyle name="Normal 4 2 2 3 7 2 2 2" xfId="34509"/>
    <cellStyle name="Normal 4 2 2 3 7 2 3" xfId="34510"/>
    <cellStyle name="Normal 4 2 2 3 7 3" xfId="34511"/>
    <cellStyle name="Normal 4 2 2 3 7 3 2" xfId="34512"/>
    <cellStyle name="Normal 4 2 2 3 7 4" xfId="34513"/>
    <cellStyle name="Normal 4 2 2 3 8" xfId="34514"/>
    <cellStyle name="Normal 4 2 2 3 8 2" xfId="34515"/>
    <cellStyle name="Normal 4 2 2 3 8 2 2" xfId="34516"/>
    <cellStyle name="Normal 4 2 2 3 8 3" xfId="34517"/>
    <cellStyle name="Normal 4 2 2 3 9" xfId="34518"/>
    <cellStyle name="Normal 4 2 2 3 9 2" xfId="34519"/>
    <cellStyle name="Normal 4 2 2 4" xfId="34520"/>
    <cellStyle name="Normal 4 2 2 4 10" xfId="34521"/>
    <cellStyle name="Normal 4 2 2 4 10 2" xfId="34522"/>
    <cellStyle name="Normal 4 2 2 4 11" xfId="34523"/>
    <cellStyle name="Normal 4 2 2 4 2" xfId="34524"/>
    <cellStyle name="Normal 4 2 2 4 2 2" xfId="34525"/>
    <cellStyle name="Normal 4 2 2 4 2 2 2" xfId="34526"/>
    <cellStyle name="Normal 4 2 2 4 2 2 2 2" xfId="34527"/>
    <cellStyle name="Normal 4 2 2 4 2 2 2 2 2" xfId="34528"/>
    <cellStyle name="Normal 4 2 2 4 2 2 2 2 2 2" xfId="34529"/>
    <cellStyle name="Normal 4 2 2 4 2 2 2 2 3" xfId="34530"/>
    <cellStyle name="Normal 4 2 2 4 2 2 2 3" xfId="34531"/>
    <cellStyle name="Normal 4 2 2 4 2 2 2 3 2" xfId="34532"/>
    <cellStyle name="Normal 4 2 2 4 2 2 2 4" xfId="34533"/>
    <cellStyle name="Normal 4 2 2 4 2 2 3" xfId="34534"/>
    <cellStyle name="Normal 4 2 2 4 2 2 3 2" xfId="34535"/>
    <cellStyle name="Normal 4 2 2 4 2 2 3 2 2" xfId="34536"/>
    <cellStyle name="Normal 4 2 2 4 2 2 3 3" xfId="34537"/>
    <cellStyle name="Normal 4 2 2 4 2 2 4" xfId="34538"/>
    <cellStyle name="Normal 4 2 2 4 2 2 4 2" xfId="34539"/>
    <cellStyle name="Normal 4 2 2 4 2 2 5" xfId="34540"/>
    <cellStyle name="Normal 4 2 2 4 2 2 5 2" xfId="34541"/>
    <cellStyle name="Normal 4 2 2 4 2 2 6" xfId="34542"/>
    <cellStyle name="Normal 4 2 2 4 2 3" xfId="34543"/>
    <cellStyle name="Normal 4 2 2 4 2 3 2" xfId="34544"/>
    <cellStyle name="Normal 4 2 2 4 2 3 2 2" xfId="34545"/>
    <cellStyle name="Normal 4 2 2 4 2 3 2 2 2" xfId="34546"/>
    <cellStyle name="Normal 4 2 2 4 2 3 2 2 2 2" xfId="34547"/>
    <cellStyle name="Normal 4 2 2 4 2 3 2 2 3" xfId="34548"/>
    <cellStyle name="Normal 4 2 2 4 2 3 2 3" xfId="34549"/>
    <cellStyle name="Normal 4 2 2 4 2 3 2 3 2" xfId="34550"/>
    <cellStyle name="Normal 4 2 2 4 2 3 2 4" xfId="34551"/>
    <cellStyle name="Normal 4 2 2 4 2 3 3" xfId="34552"/>
    <cellStyle name="Normal 4 2 2 4 2 3 3 2" xfId="34553"/>
    <cellStyle name="Normal 4 2 2 4 2 3 3 2 2" xfId="34554"/>
    <cellStyle name="Normal 4 2 2 4 2 3 3 3" xfId="34555"/>
    <cellStyle name="Normal 4 2 2 4 2 3 4" xfId="34556"/>
    <cellStyle name="Normal 4 2 2 4 2 3 4 2" xfId="34557"/>
    <cellStyle name="Normal 4 2 2 4 2 3 5" xfId="34558"/>
    <cellStyle name="Normal 4 2 2 4 2 3 5 2" xfId="34559"/>
    <cellStyle name="Normal 4 2 2 4 2 3 6" xfId="34560"/>
    <cellStyle name="Normal 4 2 2 4 2 4" xfId="34561"/>
    <cellStyle name="Normal 4 2 2 4 2 4 2" xfId="34562"/>
    <cellStyle name="Normal 4 2 2 4 2 4 2 2" xfId="34563"/>
    <cellStyle name="Normal 4 2 2 4 2 4 2 2 2" xfId="34564"/>
    <cellStyle name="Normal 4 2 2 4 2 4 2 3" xfId="34565"/>
    <cellStyle name="Normal 4 2 2 4 2 4 3" xfId="34566"/>
    <cellStyle name="Normal 4 2 2 4 2 4 3 2" xfId="34567"/>
    <cellStyle name="Normal 4 2 2 4 2 4 4" xfId="34568"/>
    <cellStyle name="Normal 4 2 2 4 2 5" xfId="34569"/>
    <cellStyle name="Normal 4 2 2 4 2 5 2" xfId="34570"/>
    <cellStyle name="Normal 4 2 2 4 2 5 2 2" xfId="34571"/>
    <cellStyle name="Normal 4 2 2 4 2 5 3" xfId="34572"/>
    <cellStyle name="Normal 4 2 2 4 2 6" xfId="34573"/>
    <cellStyle name="Normal 4 2 2 4 2 6 2" xfId="34574"/>
    <cellStyle name="Normal 4 2 2 4 2 7" xfId="34575"/>
    <cellStyle name="Normal 4 2 2 4 2 7 2" xfId="34576"/>
    <cellStyle name="Normal 4 2 2 4 2 8" xfId="34577"/>
    <cellStyle name="Normal 4 2 2 4 3" xfId="34578"/>
    <cellStyle name="Normal 4 2 2 4 3 2" xfId="34579"/>
    <cellStyle name="Normal 4 2 2 4 3 2 2" xfId="34580"/>
    <cellStyle name="Normal 4 2 2 4 3 2 2 2" xfId="34581"/>
    <cellStyle name="Normal 4 2 2 4 3 2 2 2 2" xfId="34582"/>
    <cellStyle name="Normal 4 2 2 4 3 2 2 2 2 2" xfId="34583"/>
    <cellStyle name="Normal 4 2 2 4 3 2 2 2 3" xfId="34584"/>
    <cellStyle name="Normal 4 2 2 4 3 2 2 3" xfId="34585"/>
    <cellStyle name="Normal 4 2 2 4 3 2 2 3 2" xfId="34586"/>
    <cellStyle name="Normal 4 2 2 4 3 2 2 4" xfId="34587"/>
    <cellStyle name="Normal 4 2 2 4 3 2 3" xfId="34588"/>
    <cellStyle name="Normal 4 2 2 4 3 2 3 2" xfId="34589"/>
    <cellStyle name="Normal 4 2 2 4 3 2 3 2 2" xfId="34590"/>
    <cellStyle name="Normal 4 2 2 4 3 2 3 3" xfId="34591"/>
    <cellStyle name="Normal 4 2 2 4 3 2 4" xfId="34592"/>
    <cellStyle name="Normal 4 2 2 4 3 2 4 2" xfId="34593"/>
    <cellStyle name="Normal 4 2 2 4 3 2 5" xfId="34594"/>
    <cellStyle name="Normal 4 2 2 4 3 2 5 2" xfId="34595"/>
    <cellStyle name="Normal 4 2 2 4 3 2 6" xfId="34596"/>
    <cellStyle name="Normal 4 2 2 4 3 3" xfId="34597"/>
    <cellStyle name="Normal 4 2 2 4 3 3 2" xfId="34598"/>
    <cellStyle name="Normal 4 2 2 4 3 3 2 2" xfId="34599"/>
    <cellStyle name="Normal 4 2 2 4 3 3 2 2 2" xfId="34600"/>
    <cellStyle name="Normal 4 2 2 4 3 3 2 2 2 2" xfId="34601"/>
    <cellStyle name="Normal 4 2 2 4 3 3 2 2 3" xfId="34602"/>
    <cellStyle name="Normal 4 2 2 4 3 3 2 3" xfId="34603"/>
    <cellStyle name="Normal 4 2 2 4 3 3 2 3 2" xfId="34604"/>
    <cellStyle name="Normal 4 2 2 4 3 3 2 4" xfId="34605"/>
    <cellStyle name="Normal 4 2 2 4 3 3 3" xfId="34606"/>
    <cellStyle name="Normal 4 2 2 4 3 3 3 2" xfId="34607"/>
    <cellStyle name="Normal 4 2 2 4 3 3 3 2 2" xfId="34608"/>
    <cellStyle name="Normal 4 2 2 4 3 3 3 3" xfId="34609"/>
    <cellStyle name="Normal 4 2 2 4 3 3 4" xfId="34610"/>
    <cellStyle name="Normal 4 2 2 4 3 3 4 2" xfId="34611"/>
    <cellStyle name="Normal 4 2 2 4 3 3 5" xfId="34612"/>
    <cellStyle name="Normal 4 2 2 4 3 3 5 2" xfId="34613"/>
    <cellStyle name="Normal 4 2 2 4 3 3 6" xfId="34614"/>
    <cellStyle name="Normal 4 2 2 4 3 4" xfId="34615"/>
    <cellStyle name="Normal 4 2 2 4 3 4 2" xfId="34616"/>
    <cellStyle name="Normal 4 2 2 4 3 4 2 2" xfId="34617"/>
    <cellStyle name="Normal 4 2 2 4 3 4 2 2 2" xfId="34618"/>
    <cellStyle name="Normal 4 2 2 4 3 4 2 3" xfId="34619"/>
    <cellStyle name="Normal 4 2 2 4 3 4 3" xfId="34620"/>
    <cellStyle name="Normal 4 2 2 4 3 4 3 2" xfId="34621"/>
    <cellStyle name="Normal 4 2 2 4 3 4 4" xfId="34622"/>
    <cellStyle name="Normal 4 2 2 4 3 5" xfId="34623"/>
    <cellStyle name="Normal 4 2 2 4 3 5 2" xfId="34624"/>
    <cellStyle name="Normal 4 2 2 4 3 5 2 2" xfId="34625"/>
    <cellStyle name="Normal 4 2 2 4 3 5 3" xfId="34626"/>
    <cellStyle name="Normal 4 2 2 4 3 6" xfId="34627"/>
    <cellStyle name="Normal 4 2 2 4 3 6 2" xfId="34628"/>
    <cellStyle name="Normal 4 2 2 4 3 7" xfId="34629"/>
    <cellStyle name="Normal 4 2 2 4 3 7 2" xfId="34630"/>
    <cellStyle name="Normal 4 2 2 4 3 8" xfId="34631"/>
    <cellStyle name="Normal 4 2 2 4 4" xfId="34632"/>
    <cellStyle name="Normal 4 2 2 4 4 2" xfId="34633"/>
    <cellStyle name="Normal 4 2 2 4 4 2 2" xfId="34634"/>
    <cellStyle name="Normal 4 2 2 4 4 2 2 2" xfId="34635"/>
    <cellStyle name="Normal 4 2 2 4 4 2 2 2 2" xfId="34636"/>
    <cellStyle name="Normal 4 2 2 4 4 2 2 3" xfId="34637"/>
    <cellStyle name="Normal 4 2 2 4 4 2 3" xfId="34638"/>
    <cellStyle name="Normal 4 2 2 4 4 2 3 2" xfId="34639"/>
    <cellStyle name="Normal 4 2 2 4 4 2 4" xfId="34640"/>
    <cellStyle name="Normal 4 2 2 4 4 3" xfId="34641"/>
    <cellStyle name="Normal 4 2 2 4 4 3 2" xfId="34642"/>
    <cellStyle name="Normal 4 2 2 4 4 3 2 2" xfId="34643"/>
    <cellStyle name="Normal 4 2 2 4 4 3 3" xfId="34644"/>
    <cellStyle name="Normal 4 2 2 4 4 4" xfId="34645"/>
    <cellStyle name="Normal 4 2 2 4 4 4 2" xfId="34646"/>
    <cellStyle name="Normal 4 2 2 4 4 5" xfId="34647"/>
    <cellStyle name="Normal 4 2 2 4 4 5 2" xfId="34648"/>
    <cellStyle name="Normal 4 2 2 4 4 6" xfId="34649"/>
    <cellStyle name="Normal 4 2 2 4 5" xfId="34650"/>
    <cellStyle name="Normal 4 2 2 4 5 2" xfId="34651"/>
    <cellStyle name="Normal 4 2 2 4 5 2 2" xfId="34652"/>
    <cellStyle name="Normal 4 2 2 4 5 2 2 2" xfId="34653"/>
    <cellStyle name="Normal 4 2 2 4 5 2 2 2 2" xfId="34654"/>
    <cellStyle name="Normal 4 2 2 4 5 2 2 3" xfId="34655"/>
    <cellStyle name="Normal 4 2 2 4 5 2 3" xfId="34656"/>
    <cellStyle name="Normal 4 2 2 4 5 2 3 2" xfId="34657"/>
    <cellStyle name="Normal 4 2 2 4 5 2 4" xfId="34658"/>
    <cellStyle name="Normal 4 2 2 4 5 3" xfId="34659"/>
    <cellStyle name="Normal 4 2 2 4 5 3 2" xfId="34660"/>
    <cellStyle name="Normal 4 2 2 4 5 3 2 2" xfId="34661"/>
    <cellStyle name="Normal 4 2 2 4 5 3 3" xfId="34662"/>
    <cellStyle name="Normal 4 2 2 4 5 4" xfId="34663"/>
    <cellStyle name="Normal 4 2 2 4 5 4 2" xfId="34664"/>
    <cellStyle name="Normal 4 2 2 4 5 5" xfId="34665"/>
    <cellStyle name="Normal 4 2 2 4 5 5 2" xfId="34666"/>
    <cellStyle name="Normal 4 2 2 4 5 6" xfId="34667"/>
    <cellStyle name="Normal 4 2 2 4 6" xfId="34668"/>
    <cellStyle name="Normal 4 2 2 4 6 2" xfId="34669"/>
    <cellStyle name="Normal 4 2 2 4 6 2 2" xfId="34670"/>
    <cellStyle name="Normal 4 2 2 4 6 2 2 2" xfId="34671"/>
    <cellStyle name="Normal 4 2 2 4 6 2 2 2 2" xfId="34672"/>
    <cellStyle name="Normal 4 2 2 4 6 2 2 3" xfId="34673"/>
    <cellStyle name="Normal 4 2 2 4 6 2 3" xfId="34674"/>
    <cellStyle name="Normal 4 2 2 4 6 2 3 2" xfId="34675"/>
    <cellStyle name="Normal 4 2 2 4 6 2 4" xfId="34676"/>
    <cellStyle name="Normal 4 2 2 4 6 3" xfId="34677"/>
    <cellStyle name="Normal 4 2 2 4 6 3 2" xfId="34678"/>
    <cellStyle name="Normal 4 2 2 4 6 3 2 2" xfId="34679"/>
    <cellStyle name="Normal 4 2 2 4 6 3 3" xfId="34680"/>
    <cellStyle name="Normal 4 2 2 4 6 4" xfId="34681"/>
    <cellStyle name="Normal 4 2 2 4 6 4 2" xfId="34682"/>
    <cellStyle name="Normal 4 2 2 4 6 5" xfId="34683"/>
    <cellStyle name="Normal 4 2 2 4 6 5 2" xfId="34684"/>
    <cellStyle name="Normal 4 2 2 4 6 6" xfId="34685"/>
    <cellStyle name="Normal 4 2 2 4 7" xfId="34686"/>
    <cellStyle name="Normal 4 2 2 4 7 2" xfId="34687"/>
    <cellStyle name="Normal 4 2 2 4 7 2 2" xfId="34688"/>
    <cellStyle name="Normal 4 2 2 4 7 2 2 2" xfId="34689"/>
    <cellStyle name="Normal 4 2 2 4 7 2 3" xfId="34690"/>
    <cellStyle name="Normal 4 2 2 4 7 3" xfId="34691"/>
    <cellStyle name="Normal 4 2 2 4 7 3 2" xfId="34692"/>
    <cellStyle name="Normal 4 2 2 4 7 4" xfId="34693"/>
    <cellStyle name="Normal 4 2 2 4 8" xfId="34694"/>
    <cellStyle name="Normal 4 2 2 4 8 2" xfId="34695"/>
    <cellStyle name="Normal 4 2 2 4 8 2 2" xfId="34696"/>
    <cellStyle name="Normal 4 2 2 4 8 3" xfId="34697"/>
    <cellStyle name="Normal 4 2 2 4 9" xfId="34698"/>
    <cellStyle name="Normal 4 2 2 4 9 2" xfId="34699"/>
    <cellStyle name="Normal 4 2 2 5" xfId="34700"/>
    <cellStyle name="Normal 4 2 2 5 2" xfId="34701"/>
    <cellStyle name="Normal 4 2 2 5 2 2" xfId="34702"/>
    <cellStyle name="Normal 4 2 2 5 2 2 2" xfId="34703"/>
    <cellStyle name="Normal 4 2 2 5 2 2 2 2" xfId="34704"/>
    <cellStyle name="Normal 4 2 2 5 2 2 2 2 2" xfId="34705"/>
    <cellStyle name="Normal 4 2 2 5 2 2 2 3" xfId="34706"/>
    <cellStyle name="Normal 4 2 2 5 2 2 3" xfId="34707"/>
    <cellStyle name="Normal 4 2 2 5 2 2 3 2" xfId="34708"/>
    <cellStyle name="Normal 4 2 2 5 2 2 4" xfId="34709"/>
    <cellStyle name="Normal 4 2 2 5 2 3" xfId="34710"/>
    <cellStyle name="Normal 4 2 2 5 2 3 2" xfId="34711"/>
    <cellStyle name="Normal 4 2 2 5 2 3 2 2" xfId="34712"/>
    <cellStyle name="Normal 4 2 2 5 2 3 3" xfId="34713"/>
    <cellStyle name="Normal 4 2 2 5 2 4" xfId="34714"/>
    <cellStyle name="Normal 4 2 2 5 2 4 2" xfId="34715"/>
    <cellStyle name="Normal 4 2 2 5 2 5" xfId="34716"/>
    <cellStyle name="Normal 4 2 2 5 2 5 2" xfId="34717"/>
    <cellStyle name="Normal 4 2 2 5 2 6" xfId="34718"/>
    <cellStyle name="Normal 4 2 2 5 3" xfId="34719"/>
    <cellStyle name="Normal 4 2 2 5 3 2" xfId="34720"/>
    <cellStyle name="Normal 4 2 2 5 3 2 2" xfId="34721"/>
    <cellStyle name="Normal 4 2 2 5 3 2 2 2" xfId="34722"/>
    <cellStyle name="Normal 4 2 2 5 3 2 2 2 2" xfId="34723"/>
    <cellStyle name="Normal 4 2 2 5 3 2 2 3" xfId="34724"/>
    <cellStyle name="Normal 4 2 2 5 3 2 3" xfId="34725"/>
    <cellStyle name="Normal 4 2 2 5 3 2 3 2" xfId="34726"/>
    <cellStyle name="Normal 4 2 2 5 3 2 4" xfId="34727"/>
    <cellStyle name="Normal 4 2 2 5 3 3" xfId="34728"/>
    <cellStyle name="Normal 4 2 2 5 3 3 2" xfId="34729"/>
    <cellStyle name="Normal 4 2 2 5 3 3 2 2" xfId="34730"/>
    <cellStyle name="Normal 4 2 2 5 3 3 3" xfId="34731"/>
    <cellStyle name="Normal 4 2 2 5 3 4" xfId="34732"/>
    <cellStyle name="Normal 4 2 2 5 3 4 2" xfId="34733"/>
    <cellStyle name="Normal 4 2 2 5 3 5" xfId="34734"/>
    <cellStyle name="Normal 4 2 2 5 3 5 2" xfId="34735"/>
    <cellStyle name="Normal 4 2 2 5 3 6" xfId="34736"/>
    <cellStyle name="Normal 4 2 2 5 4" xfId="34737"/>
    <cellStyle name="Normal 4 2 2 5 4 2" xfId="34738"/>
    <cellStyle name="Normal 4 2 2 5 4 2 2" xfId="34739"/>
    <cellStyle name="Normal 4 2 2 5 4 2 2 2" xfId="34740"/>
    <cellStyle name="Normal 4 2 2 5 4 2 3" xfId="34741"/>
    <cellStyle name="Normal 4 2 2 5 4 3" xfId="34742"/>
    <cellStyle name="Normal 4 2 2 5 4 3 2" xfId="34743"/>
    <cellStyle name="Normal 4 2 2 5 4 4" xfId="34744"/>
    <cellStyle name="Normal 4 2 2 5 5" xfId="34745"/>
    <cellStyle name="Normal 4 2 2 5 5 2" xfId="34746"/>
    <cellStyle name="Normal 4 2 2 5 5 2 2" xfId="34747"/>
    <cellStyle name="Normal 4 2 2 5 5 3" xfId="34748"/>
    <cellStyle name="Normal 4 2 2 5 6" xfId="34749"/>
    <cellStyle name="Normal 4 2 2 5 6 2" xfId="34750"/>
    <cellStyle name="Normal 4 2 2 5 7" xfId="34751"/>
    <cellStyle name="Normal 4 2 2 5 7 2" xfId="34752"/>
    <cellStyle name="Normal 4 2 2 5 8" xfId="34753"/>
    <cellStyle name="Normal 4 2 2 6" xfId="34754"/>
    <cellStyle name="Normal 4 2 2 6 2" xfId="34755"/>
    <cellStyle name="Normal 4 2 2 6 2 2" xfId="34756"/>
    <cellStyle name="Normal 4 2 2 6 2 2 2" xfId="34757"/>
    <cellStyle name="Normal 4 2 2 6 2 2 2 2" xfId="34758"/>
    <cellStyle name="Normal 4 2 2 6 2 2 2 2 2" xfId="34759"/>
    <cellStyle name="Normal 4 2 2 6 2 2 2 3" xfId="34760"/>
    <cellStyle name="Normal 4 2 2 6 2 2 3" xfId="34761"/>
    <cellStyle name="Normal 4 2 2 6 2 2 3 2" xfId="34762"/>
    <cellStyle name="Normal 4 2 2 6 2 2 4" xfId="34763"/>
    <cellStyle name="Normal 4 2 2 6 2 3" xfId="34764"/>
    <cellStyle name="Normal 4 2 2 6 2 3 2" xfId="34765"/>
    <cellStyle name="Normal 4 2 2 6 2 3 2 2" xfId="34766"/>
    <cellStyle name="Normal 4 2 2 6 2 3 3" xfId="34767"/>
    <cellStyle name="Normal 4 2 2 6 2 4" xfId="34768"/>
    <cellStyle name="Normal 4 2 2 6 2 4 2" xfId="34769"/>
    <cellStyle name="Normal 4 2 2 6 2 5" xfId="34770"/>
    <cellStyle name="Normal 4 2 2 6 2 5 2" xfId="34771"/>
    <cellStyle name="Normal 4 2 2 6 2 6" xfId="34772"/>
    <cellStyle name="Normal 4 2 2 6 3" xfId="34773"/>
    <cellStyle name="Normal 4 2 2 6 3 2" xfId="34774"/>
    <cellStyle name="Normal 4 2 2 6 3 2 2" xfId="34775"/>
    <cellStyle name="Normal 4 2 2 6 3 2 2 2" xfId="34776"/>
    <cellStyle name="Normal 4 2 2 6 3 2 2 2 2" xfId="34777"/>
    <cellStyle name="Normal 4 2 2 6 3 2 2 3" xfId="34778"/>
    <cellStyle name="Normal 4 2 2 6 3 2 3" xfId="34779"/>
    <cellStyle name="Normal 4 2 2 6 3 2 3 2" xfId="34780"/>
    <cellStyle name="Normal 4 2 2 6 3 2 4" xfId="34781"/>
    <cellStyle name="Normal 4 2 2 6 3 3" xfId="34782"/>
    <cellStyle name="Normal 4 2 2 6 3 3 2" xfId="34783"/>
    <cellStyle name="Normal 4 2 2 6 3 3 2 2" xfId="34784"/>
    <cellStyle name="Normal 4 2 2 6 3 3 3" xfId="34785"/>
    <cellStyle name="Normal 4 2 2 6 3 4" xfId="34786"/>
    <cellStyle name="Normal 4 2 2 6 3 4 2" xfId="34787"/>
    <cellStyle name="Normal 4 2 2 6 3 5" xfId="34788"/>
    <cellStyle name="Normal 4 2 2 6 3 5 2" xfId="34789"/>
    <cellStyle name="Normal 4 2 2 6 3 6" xfId="34790"/>
    <cellStyle name="Normal 4 2 2 6 4" xfId="34791"/>
    <cellStyle name="Normal 4 2 2 6 4 2" xfId="34792"/>
    <cellStyle name="Normal 4 2 2 6 4 2 2" xfId="34793"/>
    <cellStyle name="Normal 4 2 2 6 4 2 2 2" xfId="34794"/>
    <cellStyle name="Normal 4 2 2 6 4 2 3" xfId="34795"/>
    <cellStyle name="Normal 4 2 2 6 4 3" xfId="34796"/>
    <cellStyle name="Normal 4 2 2 6 4 3 2" xfId="34797"/>
    <cellStyle name="Normal 4 2 2 6 4 4" xfId="34798"/>
    <cellStyle name="Normal 4 2 2 6 5" xfId="34799"/>
    <cellStyle name="Normal 4 2 2 6 5 2" xfId="34800"/>
    <cellStyle name="Normal 4 2 2 6 5 2 2" xfId="34801"/>
    <cellStyle name="Normal 4 2 2 6 5 3" xfId="34802"/>
    <cellStyle name="Normal 4 2 2 6 6" xfId="34803"/>
    <cellStyle name="Normal 4 2 2 6 6 2" xfId="34804"/>
    <cellStyle name="Normal 4 2 2 6 7" xfId="34805"/>
    <cellStyle name="Normal 4 2 2 6 7 2" xfId="34806"/>
    <cellStyle name="Normal 4 2 2 6 8" xfId="34807"/>
    <cellStyle name="Normal 4 2 2 7" xfId="34808"/>
    <cellStyle name="Normal 4 2 2 7 2" xfId="34809"/>
    <cellStyle name="Normal 4 2 2 7 2 2" xfId="34810"/>
    <cellStyle name="Normal 4 2 2 7 2 2 2" xfId="34811"/>
    <cellStyle name="Normal 4 2 2 7 2 2 2 2" xfId="34812"/>
    <cellStyle name="Normal 4 2 2 7 2 2 3" xfId="34813"/>
    <cellStyle name="Normal 4 2 2 7 2 3" xfId="34814"/>
    <cellStyle name="Normal 4 2 2 7 2 3 2" xfId="34815"/>
    <cellStyle name="Normal 4 2 2 7 2 4" xfId="34816"/>
    <cellStyle name="Normal 4 2 2 7 3" xfId="34817"/>
    <cellStyle name="Normal 4 2 2 7 3 2" xfId="34818"/>
    <cellStyle name="Normal 4 2 2 7 3 2 2" xfId="34819"/>
    <cellStyle name="Normal 4 2 2 7 3 3" xfId="34820"/>
    <cellStyle name="Normal 4 2 2 7 4" xfId="34821"/>
    <cellStyle name="Normal 4 2 2 7 4 2" xfId="34822"/>
    <cellStyle name="Normal 4 2 2 7 5" xfId="34823"/>
    <cellStyle name="Normal 4 2 2 7 5 2" xfId="34824"/>
    <cellStyle name="Normal 4 2 2 7 6" xfId="34825"/>
    <cellStyle name="Normal 4 2 2 8" xfId="34826"/>
    <cellStyle name="Normal 4 2 2 8 2" xfId="34827"/>
    <cellStyle name="Normal 4 2 2 8 2 2" xfId="34828"/>
    <cellStyle name="Normal 4 2 2 8 2 2 2" xfId="34829"/>
    <cellStyle name="Normal 4 2 2 8 2 2 2 2" xfId="34830"/>
    <cellStyle name="Normal 4 2 2 8 2 2 3" xfId="34831"/>
    <cellStyle name="Normal 4 2 2 8 2 3" xfId="34832"/>
    <cellStyle name="Normal 4 2 2 8 2 3 2" xfId="34833"/>
    <cellStyle name="Normal 4 2 2 8 2 4" xfId="34834"/>
    <cellStyle name="Normal 4 2 2 8 3" xfId="34835"/>
    <cellStyle name="Normal 4 2 2 8 3 2" xfId="34836"/>
    <cellStyle name="Normal 4 2 2 8 3 2 2" xfId="34837"/>
    <cellStyle name="Normal 4 2 2 8 3 3" xfId="34838"/>
    <cellStyle name="Normal 4 2 2 8 4" xfId="34839"/>
    <cellStyle name="Normal 4 2 2 8 4 2" xfId="34840"/>
    <cellStyle name="Normal 4 2 2 8 5" xfId="34841"/>
    <cellStyle name="Normal 4 2 2 8 5 2" xfId="34842"/>
    <cellStyle name="Normal 4 2 2 8 6" xfId="34843"/>
    <cellStyle name="Normal 4 2 2 9" xfId="34844"/>
    <cellStyle name="Normal 4 2 2 9 2" xfId="34845"/>
    <cellStyle name="Normal 4 2 2 9 2 2" xfId="34846"/>
    <cellStyle name="Normal 4 2 2 9 2 2 2" xfId="34847"/>
    <cellStyle name="Normal 4 2 2 9 2 2 2 2" xfId="34848"/>
    <cellStyle name="Normal 4 2 2 9 2 2 3" xfId="34849"/>
    <cellStyle name="Normal 4 2 2 9 2 3" xfId="34850"/>
    <cellStyle name="Normal 4 2 2 9 2 3 2" xfId="34851"/>
    <cellStyle name="Normal 4 2 2 9 2 4" xfId="34852"/>
    <cellStyle name="Normal 4 2 2 9 3" xfId="34853"/>
    <cellStyle name="Normal 4 2 2 9 3 2" xfId="34854"/>
    <cellStyle name="Normal 4 2 2 9 3 2 2" xfId="34855"/>
    <cellStyle name="Normal 4 2 2 9 3 3" xfId="34856"/>
    <cellStyle name="Normal 4 2 2 9 4" xfId="34857"/>
    <cellStyle name="Normal 4 2 2 9 4 2" xfId="34858"/>
    <cellStyle name="Normal 4 2 2 9 5" xfId="34859"/>
    <cellStyle name="Normal 4 2 2 9 5 2" xfId="34860"/>
    <cellStyle name="Normal 4 2 2 9 6" xfId="34861"/>
    <cellStyle name="Normal 4 2 3" xfId="133"/>
    <cellStyle name="Normal 4 2 3 2" xfId="34862"/>
    <cellStyle name="Normal 4 2 3 2 10" xfId="34863"/>
    <cellStyle name="Normal 4 2 3 2 10 2" xfId="34864"/>
    <cellStyle name="Normal 4 2 3 2 11" xfId="34865"/>
    <cellStyle name="Normal 4 2 3 2 2" xfId="34866"/>
    <cellStyle name="Normal 4 2 3 2 2 2" xfId="34867"/>
    <cellStyle name="Normal 4 2 3 2 2 2 2" xfId="34868"/>
    <cellStyle name="Normal 4 2 3 2 2 2 2 2" xfId="34869"/>
    <cellStyle name="Normal 4 2 3 2 2 2 2 2 2" xfId="34870"/>
    <cellStyle name="Normal 4 2 3 2 2 2 2 2 2 2" xfId="34871"/>
    <cellStyle name="Normal 4 2 3 2 2 2 2 2 3" xfId="34872"/>
    <cellStyle name="Normal 4 2 3 2 2 2 2 3" xfId="34873"/>
    <cellStyle name="Normal 4 2 3 2 2 2 2 3 2" xfId="34874"/>
    <cellStyle name="Normal 4 2 3 2 2 2 2 4" xfId="34875"/>
    <cellStyle name="Normal 4 2 3 2 2 2 3" xfId="34876"/>
    <cellStyle name="Normal 4 2 3 2 2 2 3 2" xfId="34877"/>
    <cellStyle name="Normal 4 2 3 2 2 2 3 2 2" xfId="34878"/>
    <cellStyle name="Normal 4 2 3 2 2 2 3 3" xfId="34879"/>
    <cellStyle name="Normal 4 2 3 2 2 2 4" xfId="34880"/>
    <cellStyle name="Normal 4 2 3 2 2 2 4 2" xfId="34881"/>
    <cellStyle name="Normal 4 2 3 2 2 2 5" xfId="34882"/>
    <cellStyle name="Normal 4 2 3 2 2 2 5 2" xfId="34883"/>
    <cellStyle name="Normal 4 2 3 2 2 2 6" xfId="34884"/>
    <cellStyle name="Normal 4 2 3 2 2 3" xfId="34885"/>
    <cellStyle name="Normal 4 2 3 2 2 3 2" xfId="34886"/>
    <cellStyle name="Normal 4 2 3 2 2 3 2 2" xfId="34887"/>
    <cellStyle name="Normal 4 2 3 2 2 3 2 2 2" xfId="34888"/>
    <cellStyle name="Normal 4 2 3 2 2 3 2 2 2 2" xfId="34889"/>
    <cellStyle name="Normal 4 2 3 2 2 3 2 2 3" xfId="34890"/>
    <cellStyle name="Normal 4 2 3 2 2 3 2 3" xfId="34891"/>
    <cellStyle name="Normal 4 2 3 2 2 3 2 3 2" xfId="34892"/>
    <cellStyle name="Normal 4 2 3 2 2 3 2 4" xfId="34893"/>
    <cellStyle name="Normal 4 2 3 2 2 3 3" xfId="34894"/>
    <cellStyle name="Normal 4 2 3 2 2 3 3 2" xfId="34895"/>
    <cellStyle name="Normal 4 2 3 2 2 3 3 2 2" xfId="34896"/>
    <cellStyle name="Normal 4 2 3 2 2 3 3 3" xfId="34897"/>
    <cellStyle name="Normal 4 2 3 2 2 3 4" xfId="34898"/>
    <cellStyle name="Normal 4 2 3 2 2 3 4 2" xfId="34899"/>
    <cellStyle name="Normal 4 2 3 2 2 3 5" xfId="34900"/>
    <cellStyle name="Normal 4 2 3 2 2 3 5 2" xfId="34901"/>
    <cellStyle name="Normal 4 2 3 2 2 3 6" xfId="34902"/>
    <cellStyle name="Normal 4 2 3 2 2 4" xfId="34903"/>
    <cellStyle name="Normal 4 2 3 2 2 4 2" xfId="34904"/>
    <cellStyle name="Normal 4 2 3 2 2 4 2 2" xfId="34905"/>
    <cellStyle name="Normal 4 2 3 2 2 4 2 2 2" xfId="34906"/>
    <cellStyle name="Normal 4 2 3 2 2 4 2 3" xfId="34907"/>
    <cellStyle name="Normal 4 2 3 2 2 4 3" xfId="34908"/>
    <cellStyle name="Normal 4 2 3 2 2 4 3 2" xfId="34909"/>
    <cellStyle name="Normal 4 2 3 2 2 4 4" xfId="34910"/>
    <cellStyle name="Normal 4 2 3 2 2 5" xfId="34911"/>
    <cellStyle name="Normal 4 2 3 2 2 5 2" xfId="34912"/>
    <cellStyle name="Normal 4 2 3 2 2 5 2 2" xfId="34913"/>
    <cellStyle name="Normal 4 2 3 2 2 5 3" xfId="34914"/>
    <cellStyle name="Normal 4 2 3 2 2 6" xfId="34915"/>
    <cellStyle name="Normal 4 2 3 2 2 6 2" xfId="34916"/>
    <cellStyle name="Normal 4 2 3 2 2 7" xfId="34917"/>
    <cellStyle name="Normal 4 2 3 2 2 7 2" xfId="34918"/>
    <cellStyle name="Normal 4 2 3 2 2 8" xfId="34919"/>
    <cellStyle name="Normal 4 2 3 2 3" xfId="34920"/>
    <cellStyle name="Normal 4 2 3 2 3 2" xfId="34921"/>
    <cellStyle name="Normal 4 2 3 2 3 2 2" xfId="34922"/>
    <cellStyle name="Normal 4 2 3 2 3 2 2 2" xfId="34923"/>
    <cellStyle name="Normal 4 2 3 2 3 2 2 2 2" xfId="34924"/>
    <cellStyle name="Normal 4 2 3 2 3 2 2 2 2 2" xfId="34925"/>
    <cellStyle name="Normal 4 2 3 2 3 2 2 2 3" xfId="34926"/>
    <cellStyle name="Normal 4 2 3 2 3 2 2 3" xfId="34927"/>
    <cellStyle name="Normal 4 2 3 2 3 2 2 3 2" xfId="34928"/>
    <cellStyle name="Normal 4 2 3 2 3 2 2 4" xfId="34929"/>
    <cellStyle name="Normal 4 2 3 2 3 2 3" xfId="34930"/>
    <cellStyle name="Normal 4 2 3 2 3 2 3 2" xfId="34931"/>
    <cellStyle name="Normal 4 2 3 2 3 2 3 2 2" xfId="34932"/>
    <cellStyle name="Normal 4 2 3 2 3 2 3 3" xfId="34933"/>
    <cellStyle name="Normal 4 2 3 2 3 2 4" xfId="34934"/>
    <cellStyle name="Normal 4 2 3 2 3 2 4 2" xfId="34935"/>
    <cellStyle name="Normal 4 2 3 2 3 2 5" xfId="34936"/>
    <cellStyle name="Normal 4 2 3 2 3 2 5 2" xfId="34937"/>
    <cellStyle name="Normal 4 2 3 2 3 2 6" xfId="34938"/>
    <cellStyle name="Normal 4 2 3 2 3 3" xfId="34939"/>
    <cellStyle name="Normal 4 2 3 2 3 3 2" xfId="34940"/>
    <cellStyle name="Normal 4 2 3 2 3 3 2 2" xfId="34941"/>
    <cellStyle name="Normal 4 2 3 2 3 3 2 2 2" xfId="34942"/>
    <cellStyle name="Normal 4 2 3 2 3 3 2 2 2 2" xfId="34943"/>
    <cellStyle name="Normal 4 2 3 2 3 3 2 2 3" xfId="34944"/>
    <cellStyle name="Normal 4 2 3 2 3 3 2 3" xfId="34945"/>
    <cellStyle name="Normal 4 2 3 2 3 3 2 3 2" xfId="34946"/>
    <cellStyle name="Normal 4 2 3 2 3 3 2 4" xfId="34947"/>
    <cellStyle name="Normal 4 2 3 2 3 3 3" xfId="34948"/>
    <cellStyle name="Normal 4 2 3 2 3 3 3 2" xfId="34949"/>
    <cellStyle name="Normal 4 2 3 2 3 3 3 2 2" xfId="34950"/>
    <cellStyle name="Normal 4 2 3 2 3 3 3 3" xfId="34951"/>
    <cellStyle name="Normal 4 2 3 2 3 3 4" xfId="34952"/>
    <cellStyle name="Normal 4 2 3 2 3 3 4 2" xfId="34953"/>
    <cellStyle name="Normal 4 2 3 2 3 3 5" xfId="34954"/>
    <cellStyle name="Normal 4 2 3 2 3 3 5 2" xfId="34955"/>
    <cellStyle name="Normal 4 2 3 2 3 3 6" xfId="34956"/>
    <cellStyle name="Normal 4 2 3 2 3 4" xfId="34957"/>
    <cellStyle name="Normal 4 2 3 2 3 4 2" xfId="34958"/>
    <cellStyle name="Normal 4 2 3 2 3 4 2 2" xfId="34959"/>
    <cellStyle name="Normal 4 2 3 2 3 4 2 2 2" xfId="34960"/>
    <cellStyle name="Normal 4 2 3 2 3 4 2 3" xfId="34961"/>
    <cellStyle name="Normal 4 2 3 2 3 4 3" xfId="34962"/>
    <cellStyle name="Normal 4 2 3 2 3 4 3 2" xfId="34963"/>
    <cellStyle name="Normal 4 2 3 2 3 4 4" xfId="34964"/>
    <cellStyle name="Normal 4 2 3 2 3 5" xfId="34965"/>
    <cellStyle name="Normal 4 2 3 2 3 5 2" xfId="34966"/>
    <cellStyle name="Normal 4 2 3 2 3 5 2 2" xfId="34967"/>
    <cellStyle name="Normal 4 2 3 2 3 5 3" xfId="34968"/>
    <cellStyle name="Normal 4 2 3 2 3 6" xfId="34969"/>
    <cellStyle name="Normal 4 2 3 2 3 6 2" xfId="34970"/>
    <cellStyle name="Normal 4 2 3 2 3 7" xfId="34971"/>
    <cellStyle name="Normal 4 2 3 2 3 7 2" xfId="34972"/>
    <cellStyle name="Normal 4 2 3 2 3 8" xfId="34973"/>
    <cellStyle name="Normal 4 2 3 2 4" xfId="34974"/>
    <cellStyle name="Normal 4 2 3 2 4 2" xfId="34975"/>
    <cellStyle name="Normal 4 2 3 2 4 2 2" xfId="34976"/>
    <cellStyle name="Normal 4 2 3 2 4 2 2 2" xfId="34977"/>
    <cellStyle name="Normal 4 2 3 2 4 2 2 2 2" xfId="34978"/>
    <cellStyle name="Normal 4 2 3 2 4 2 2 3" xfId="34979"/>
    <cellStyle name="Normal 4 2 3 2 4 2 3" xfId="34980"/>
    <cellStyle name="Normal 4 2 3 2 4 2 3 2" xfId="34981"/>
    <cellStyle name="Normal 4 2 3 2 4 2 4" xfId="34982"/>
    <cellStyle name="Normal 4 2 3 2 4 3" xfId="34983"/>
    <cellStyle name="Normal 4 2 3 2 4 3 2" xfId="34984"/>
    <cellStyle name="Normal 4 2 3 2 4 3 2 2" xfId="34985"/>
    <cellStyle name="Normal 4 2 3 2 4 3 3" xfId="34986"/>
    <cellStyle name="Normal 4 2 3 2 4 4" xfId="34987"/>
    <cellStyle name="Normal 4 2 3 2 4 4 2" xfId="34988"/>
    <cellStyle name="Normal 4 2 3 2 4 5" xfId="34989"/>
    <cellStyle name="Normal 4 2 3 2 4 5 2" xfId="34990"/>
    <cellStyle name="Normal 4 2 3 2 4 6" xfId="34991"/>
    <cellStyle name="Normal 4 2 3 2 5" xfId="34992"/>
    <cellStyle name="Normal 4 2 3 2 5 2" xfId="34993"/>
    <cellStyle name="Normal 4 2 3 2 5 2 2" xfId="34994"/>
    <cellStyle name="Normal 4 2 3 2 5 2 2 2" xfId="34995"/>
    <cellStyle name="Normal 4 2 3 2 5 2 2 2 2" xfId="34996"/>
    <cellStyle name="Normal 4 2 3 2 5 2 2 3" xfId="34997"/>
    <cellStyle name="Normal 4 2 3 2 5 2 3" xfId="34998"/>
    <cellStyle name="Normal 4 2 3 2 5 2 3 2" xfId="34999"/>
    <cellStyle name="Normal 4 2 3 2 5 2 4" xfId="35000"/>
    <cellStyle name="Normal 4 2 3 2 5 3" xfId="35001"/>
    <cellStyle name="Normal 4 2 3 2 5 3 2" xfId="35002"/>
    <cellStyle name="Normal 4 2 3 2 5 3 2 2" xfId="35003"/>
    <cellStyle name="Normal 4 2 3 2 5 3 3" xfId="35004"/>
    <cellStyle name="Normal 4 2 3 2 5 4" xfId="35005"/>
    <cellStyle name="Normal 4 2 3 2 5 4 2" xfId="35006"/>
    <cellStyle name="Normal 4 2 3 2 5 5" xfId="35007"/>
    <cellStyle name="Normal 4 2 3 2 5 5 2" xfId="35008"/>
    <cellStyle name="Normal 4 2 3 2 5 6" xfId="35009"/>
    <cellStyle name="Normal 4 2 3 2 6" xfId="35010"/>
    <cellStyle name="Normal 4 2 3 2 6 2" xfId="35011"/>
    <cellStyle name="Normal 4 2 3 2 6 2 2" xfId="35012"/>
    <cellStyle name="Normal 4 2 3 2 6 2 2 2" xfId="35013"/>
    <cellStyle name="Normal 4 2 3 2 6 2 2 2 2" xfId="35014"/>
    <cellStyle name="Normal 4 2 3 2 6 2 2 3" xfId="35015"/>
    <cellStyle name="Normal 4 2 3 2 6 2 3" xfId="35016"/>
    <cellStyle name="Normal 4 2 3 2 6 2 3 2" xfId="35017"/>
    <cellStyle name="Normal 4 2 3 2 6 2 4" xfId="35018"/>
    <cellStyle name="Normal 4 2 3 2 6 3" xfId="35019"/>
    <cellStyle name="Normal 4 2 3 2 6 3 2" xfId="35020"/>
    <cellStyle name="Normal 4 2 3 2 6 3 2 2" xfId="35021"/>
    <cellStyle name="Normal 4 2 3 2 6 3 3" xfId="35022"/>
    <cellStyle name="Normal 4 2 3 2 6 4" xfId="35023"/>
    <cellStyle name="Normal 4 2 3 2 6 4 2" xfId="35024"/>
    <cellStyle name="Normal 4 2 3 2 6 5" xfId="35025"/>
    <cellStyle name="Normal 4 2 3 2 6 5 2" xfId="35026"/>
    <cellStyle name="Normal 4 2 3 2 6 6" xfId="35027"/>
    <cellStyle name="Normal 4 2 3 2 7" xfId="35028"/>
    <cellStyle name="Normal 4 2 3 2 7 2" xfId="35029"/>
    <cellStyle name="Normal 4 2 3 2 7 2 2" xfId="35030"/>
    <cellStyle name="Normal 4 2 3 2 7 2 2 2" xfId="35031"/>
    <cellStyle name="Normal 4 2 3 2 7 2 3" xfId="35032"/>
    <cellStyle name="Normal 4 2 3 2 7 3" xfId="35033"/>
    <cellStyle name="Normal 4 2 3 2 7 3 2" xfId="35034"/>
    <cellStyle name="Normal 4 2 3 2 7 4" xfId="35035"/>
    <cellStyle name="Normal 4 2 3 2 8" xfId="35036"/>
    <cellStyle name="Normal 4 2 3 2 8 2" xfId="35037"/>
    <cellStyle name="Normal 4 2 3 2 8 2 2" xfId="35038"/>
    <cellStyle name="Normal 4 2 3 2 8 3" xfId="35039"/>
    <cellStyle name="Normal 4 2 3 2 9" xfId="35040"/>
    <cellStyle name="Normal 4 2 3 2 9 2" xfId="35041"/>
    <cellStyle name="Normal 4 2 3 3" xfId="35042"/>
    <cellStyle name="Normal 4 2 3 3 10" xfId="35043"/>
    <cellStyle name="Normal 4 2 3 3 10 2" xfId="35044"/>
    <cellStyle name="Normal 4 2 3 3 11" xfId="35045"/>
    <cellStyle name="Normal 4 2 3 3 2" xfId="35046"/>
    <cellStyle name="Normal 4 2 3 3 2 2" xfId="35047"/>
    <cellStyle name="Normal 4 2 3 3 2 2 2" xfId="35048"/>
    <cellStyle name="Normal 4 2 3 3 2 2 2 2" xfId="35049"/>
    <cellStyle name="Normal 4 2 3 3 2 2 2 2 2" xfId="35050"/>
    <cellStyle name="Normal 4 2 3 3 2 2 2 2 2 2" xfId="35051"/>
    <cellStyle name="Normal 4 2 3 3 2 2 2 2 3" xfId="35052"/>
    <cellStyle name="Normal 4 2 3 3 2 2 2 3" xfId="35053"/>
    <cellStyle name="Normal 4 2 3 3 2 2 2 3 2" xfId="35054"/>
    <cellStyle name="Normal 4 2 3 3 2 2 2 4" xfId="35055"/>
    <cellStyle name="Normal 4 2 3 3 2 2 3" xfId="35056"/>
    <cellStyle name="Normal 4 2 3 3 2 2 3 2" xfId="35057"/>
    <cellStyle name="Normal 4 2 3 3 2 2 3 2 2" xfId="35058"/>
    <cellStyle name="Normal 4 2 3 3 2 2 3 3" xfId="35059"/>
    <cellStyle name="Normal 4 2 3 3 2 2 4" xfId="35060"/>
    <cellStyle name="Normal 4 2 3 3 2 2 4 2" xfId="35061"/>
    <cellStyle name="Normal 4 2 3 3 2 2 5" xfId="35062"/>
    <cellStyle name="Normal 4 2 3 3 2 2 5 2" xfId="35063"/>
    <cellStyle name="Normal 4 2 3 3 2 2 6" xfId="35064"/>
    <cellStyle name="Normal 4 2 3 3 2 3" xfId="35065"/>
    <cellStyle name="Normal 4 2 3 3 2 3 2" xfId="35066"/>
    <cellStyle name="Normal 4 2 3 3 2 3 2 2" xfId="35067"/>
    <cellStyle name="Normal 4 2 3 3 2 3 2 2 2" xfId="35068"/>
    <cellStyle name="Normal 4 2 3 3 2 3 2 2 2 2" xfId="35069"/>
    <cellStyle name="Normal 4 2 3 3 2 3 2 2 3" xfId="35070"/>
    <cellStyle name="Normal 4 2 3 3 2 3 2 3" xfId="35071"/>
    <cellStyle name="Normal 4 2 3 3 2 3 2 3 2" xfId="35072"/>
    <cellStyle name="Normal 4 2 3 3 2 3 2 4" xfId="35073"/>
    <cellStyle name="Normal 4 2 3 3 2 3 3" xfId="35074"/>
    <cellStyle name="Normal 4 2 3 3 2 3 3 2" xfId="35075"/>
    <cellStyle name="Normal 4 2 3 3 2 3 3 2 2" xfId="35076"/>
    <cellStyle name="Normal 4 2 3 3 2 3 3 3" xfId="35077"/>
    <cellStyle name="Normal 4 2 3 3 2 3 4" xfId="35078"/>
    <cellStyle name="Normal 4 2 3 3 2 3 4 2" xfId="35079"/>
    <cellStyle name="Normal 4 2 3 3 2 3 5" xfId="35080"/>
    <cellStyle name="Normal 4 2 3 3 2 3 5 2" xfId="35081"/>
    <cellStyle name="Normal 4 2 3 3 2 3 6" xfId="35082"/>
    <cellStyle name="Normal 4 2 3 3 2 4" xfId="35083"/>
    <cellStyle name="Normal 4 2 3 3 2 4 2" xfId="35084"/>
    <cellStyle name="Normal 4 2 3 3 2 4 2 2" xfId="35085"/>
    <cellStyle name="Normal 4 2 3 3 2 4 2 2 2" xfId="35086"/>
    <cellStyle name="Normal 4 2 3 3 2 4 2 3" xfId="35087"/>
    <cellStyle name="Normal 4 2 3 3 2 4 3" xfId="35088"/>
    <cellStyle name="Normal 4 2 3 3 2 4 3 2" xfId="35089"/>
    <cellStyle name="Normal 4 2 3 3 2 4 4" xfId="35090"/>
    <cellStyle name="Normal 4 2 3 3 2 5" xfId="35091"/>
    <cellStyle name="Normal 4 2 3 3 2 5 2" xfId="35092"/>
    <cellStyle name="Normal 4 2 3 3 2 5 2 2" xfId="35093"/>
    <cellStyle name="Normal 4 2 3 3 2 5 3" xfId="35094"/>
    <cellStyle name="Normal 4 2 3 3 2 6" xfId="35095"/>
    <cellStyle name="Normal 4 2 3 3 2 6 2" xfId="35096"/>
    <cellStyle name="Normal 4 2 3 3 2 7" xfId="35097"/>
    <cellStyle name="Normal 4 2 3 3 2 7 2" xfId="35098"/>
    <cellStyle name="Normal 4 2 3 3 2 8" xfId="35099"/>
    <cellStyle name="Normal 4 2 3 3 3" xfId="35100"/>
    <cellStyle name="Normal 4 2 3 3 3 2" xfId="35101"/>
    <cellStyle name="Normal 4 2 3 3 3 2 2" xfId="35102"/>
    <cellStyle name="Normal 4 2 3 3 3 2 2 2" xfId="35103"/>
    <cellStyle name="Normal 4 2 3 3 3 2 2 2 2" xfId="35104"/>
    <cellStyle name="Normal 4 2 3 3 3 2 2 2 2 2" xfId="35105"/>
    <cellStyle name="Normal 4 2 3 3 3 2 2 2 3" xfId="35106"/>
    <cellStyle name="Normal 4 2 3 3 3 2 2 3" xfId="35107"/>
    <cellStyle name="Normal 4 2 3 3 3 2 2 3 2" xfId="35108"/>
    <cellStyle name="Normal 4 2 3 3 3 2 2 4" xfId="35109"/>
    <cellStyle name="Normal 4 2 3 3 3 2 3" xfId="35110"/>
    <cellStyle name="Normal 4 2 3 3 3 2 3 2" xfId="35111"/>
    <cellStyle name="Normal 4 2 3 3 3 2 3 2 2" xfId="35112"/>
    <cellStyle name="Normal 4 2 3 3 3 2 3 3" xfId="35113"/>
    <cellStyle name="Normal 4 2 3 3 3 2 4" xfId="35114"/>
    <cellStyle name="Normal 4 2 3 3 3 2 4 2" xfId="35115"/>
    <cellStyle name="Normal 4 2 3 3 3 2 5" xfId="35116"/>
    <cellStyle name="Normal 4 2 3 3 3 2 5 2" xfId="35117"/>
    <cellStyle name="Normal 4 2 3 3 3 2 6" xfId="35118"/>
    <cellStyle name="Normal 4 2 3 3 3 3" xfId="35119"/>
    <cellStyle name="Normal 4 2 3 3 3 3 2" xfId="35120"/>
    <cellStyle name="Normal 4 2 3 3 3 3 2 2" xfId="35121"/>
    <cellStyle name="Normal 4 2 3 3 3 3 2 2 2" xfId="35122"/>
    <cellStyle name="Normal 4 2 3 3 3 3 2 2 2 2" xfId="35123"/>
    <cellStyle name="Normal 4 2 3 3 3 3 2 2 3" xfId="35124"/>
    <cellStyle name="Normal 4 2 3 3 3 3 2 3" xfId="35125"/>
    <cellStyle name="Normal 4 2 3 3 3 3 2 3 2" xfId="35126"/>
    <cellStyle name="Normal 4 2 3 3 3 3 2 4" xfId="35127"/>
    <cellStyle name="Normal 4 2 3 3 3 3 3" xfId="35128"/>
    <cellStyle name="Normal 4 2 3 3 3 3 3 2" xfId="35129"/>
    <cellStyle name="Normal 4 2 3 3 3 3 3 2 2" xfId="35130"/>
    <cellStyle name="Normal 4 2 3 3 3 3 3 3" xfId="35131"/>
    <cellStyle name="Normal 4 2 3 3 3 3 4" xfId="35132"/>
    <cellStyle name="Normal 4 2 3 3 3 3 4 2" xfId="35133"/>
    <cellStyle name="Normal 4 2 3 3 3 3 5" xfId="35134"/>
    <cellStyle name="Normal 4 2 3 3 3 3 5 2" xfId="35135"/>
    <cellStyle name="Normal 4 2 3 3 3 3 6" xfId="35136"/>
    <cellStyle name="Normal 4 2 3 3 3 4" xfId="35137"/>
    <cellStyle name="Normal 4 2 3 3 3 4 2" xfId="35138"/>
    <cellStyle name="Normal 4 2 3 3 3 4 2 2" xfId="35139"/>
    <cellStyle name="Normal 4 2 3 3 3 4 2 2 2" xfId="35140"/>
    <cellStyle name="Normal 4 2 3 3 3 4 2 3" xfId="35141"/>
    <cellStyle name="Normal 4 2 3 3 3 4 3" xfId="35142"/>
    <cellStyle name="Normal 4 2 3 3 3 4 3 2" xfId="35143"/>
    <cellStyle name="Normal 4 2 3 3 3 4 4" xfId="35144"/>
    <cellStyle name="Normal 4 2 3 3 3 5" xfId="35145"/>
    <cellStyle name="Normal 4 2 3 3 3 5 2" xfId="35146"/>
    <cellStyle name="Normal 4 2 3 3 3 5 2 2" xfId="35147"/>
    <cellStyle name="Normal 4 2 3 3 3 5 3" xfId="35148"/>
    <cellStyle name="Normal 4 2 3 3 3 6" xfId="35149"/>
    <cellStyle name="Normal 4 2 3 3 3 6 2" xfId="35150"/>
    <cellStyle name="Normal 4 2 3 3 3 7" xfId="35151"/>
    <cellStyle name="Normal 4 2 3 3 3 7 2" xfId="35152"/>
    <cellStyle name="Normal 4 2 3 3 3 8" xfId="35153"/>
    <cellStyle name="Normal 4 2 3 3 4" xfId="35154"/>
    <cellStyle name="Normal 4 2 3 3 4 2" xfId="35155"/>
    <cellStyle name="Normal 4 2 3 3 4 2 2" xfId="35156"/>
    <cellStyle name="Normal 4 2 3 3 4 2 2 2" xfId="35157"/>
    <cellStyle name="Normal 4 2 3 3 4 2 2 2 2" xfId="35158"/>
    <cellStyle name="Normal 4 2 3 3 4 2 2 3" xfId="35159"/>
    <cellStyle name="Normal 4 2 3 3 4 2 3" xfId="35160"/>
    <cellStyle name="Normal 4 2 3 3 4 2 3 2" xfId="35161"/>
    <cellStyle name="Normal 4 2 3 3 4 2 4" xfId="35162"/>
    <cellStyle name="Normal 4 2 3 3 4 3" xfId="35163"/>
    <cellStyle name="Normal 4 2 3 3 4 3 2" xfId="35164"/>
    <cellStyle name="Normal 4 2 3 3 4 3 2 2" xfId="35165"/>
    <cellStyle name="Normal 4 2 3 3 4 3 3" xfId="35166"/>
    <cellStyle name="Normal 4 2 3 3 4 4" xfId="35167"/>
    <cellStyle name="Normal 4 2 3 3 4 4 2" xfId="35168"/>
    <cellStyle name="Normal 4 2 3 3 4 5" xfId="35169"/>
    <cellStyle name="Normal 4 2 3 3 4 5 2" xfId="35170"/>
    <cellStyle name="Normal 4 2 3 3 4 6" xfId="35171"/>
    <cellStyle name="Normal 4 2 3 3 5" xfId="35172"/>
    <cellStyle name="Normal 4 2 3 3 5 2" xfId="35173"/>
    <cellStyle name="Normal 4 2 3 3 5 2 2" xfId="35174"/>
    <cellStyle name="Normal 4 2 3 3 5 2 2 2" xfId="35175"/>
    <cellStyle name="Normal 4 2 3 3 5 2 2 2 2" xfId="35176"/>
    <cellStyle name="Normal 4 2 3 3 5 2 2 3" xfId="35177"/>
    <cellStyle name="Normal 4 2 3 3 5 2 3" xfId="35178"/>
    <cellStyle name="Normal 4 2 3 3 5 2 3 2" xfId="35179"/>
    <cellStyle name="Normal 4 2 3 3 5 2 4" xfId="35180"/>
    <cellStyle name="Normal 4 2 3 3 5 3" xfId="35181"/>
    <cellStyle name="Normal 4 2 3 3 5 3 2" xfId="35182"/>
    <cellStyle name="Normal 4 2 3 3 5 3 2 2" xfId="35183"/>
    <cellStyle name="Normal 4 2 3 3 5 3 3" xfId="35184"/>
    <cellStyle name="Normal 4 2 3 3 5 4" xfId="35185"/>
    <cellStyle name="Normal 4 2 3 3 5 4 2" xfId="35186"/>
    <cellStyle name="Normal 4 2 3 3 5 5" xfId="35187"/>
    <cellStyle name="Normal 4 2 3 3 5 5 2" xfId="35188"/>
    <cellStyle name="Normal 4 2 3 3 5 6" xfId="35189"/>
    <cellStyle name="Normal 4 2 3 3 6" xfId="35190"/>
    <cellStyle name="Normal 4 2 3 3 6 2" xfId="35191"/>
    <cellStyle name="Normal 4 2 3 3 6 2 2" xfId="35192"/>
    <cellStyle name="Normal 4 2 3 3 6 2 2 2" xfId="35193"/>
    <cellStyle name="Normal 4 2 3 3 6 2 2 2 2" xfId="35194"/>
    <cellStyle name="Normal 4 2 3 3 6 2 2 3" xfId="35195"/>
    <cellStyle name="Normal 4 2 3 3 6 2 3" xfId="35196"/>
    <cellStyle name="Normal 4 2 3 3 6 2 3 2" xfId="35197"/>
    <cellStyle name="Normal 4 2 3 3 6 2 4" xfId="35198"/>
    <cellStyle name="Normal 4 2 3 3 6 3" xfId="35199"/>
    <cellStyle name="Normal 4 2 3 3 6 3 2" xfId="35200"/>
    <cellStyle name="Normal 4 2 3 3 6 3 2 2" xfId="35201"/>
    <cellStyle name="Normal 4 2 3 3 6 3 3" xfId="35202"/>
    <cellStyle name="Normal 4 2 3 3 6 4" xfId="35203"/>
    <cellStyle name="Normal 4 2 3 3 6 4 2" xfId="35204"/>
    <cellStyle name="Normal 4 2 3 3 6 5" xfId="35205"/>
    <cellStyle name="Normal 4 2 3 3 6 5 2" xfId="35206"/>
    <cellStyle name="Normal 4 2 3 3 6 6" xfId="35207"/>
    <cellStyle name="Normal 4 2 3 3 7" xfId="35208"/>
    <cellStyle name="Normal 4 2 3 3 7 2" xfId="35209"/>
    <cellStyle name="Normal 4 2 3 3 7 2 2" xfId="35210"/>
    <cellStyle name="Normal 4 2 3 3 7 2 2 2" xfId="35211"/>
    <cellStyle name="Normal 4 2 3 3 7 2 3" xfId="35212"/>
    <cellStyle name="Normal 4 2 3 3 7 3" xfId="35213"/>
    <cellStyle name="Normal 4 2 3 3 7 3 2" xfId="35214"/>
    <cellStyle name="Normal 4 2 3 3 7 4" xfId="35215"/>
    <cellStyle name="Normal 4 2 3 3 8" xfId="35216"/>
    <cellStyle name="Normal 4 2 3 3 8 2" xfId="35217"/>
    <cellStyle name="Normal 4 2 3 3 8 2 2" xfId="35218"/>
    <cellStyle name="Normal 4 2 3 3 8 3" xfId="35219"/>
    <cellStyle name="Normal 4 2 3 3 9" xfId="35220"/>
    <cellStyle name="Normal 4 2 3 3 9 2" xfId="35221"/>
    <cellStyle name="Normal 4 2 3 4" xfId="35222"/>
    <cellStyle name="Normal 4 2 3 4 2" xfId="35223"/>
    <cellStyle name="Normal 4 2 3 4 2 2" xfId="35224"/>
    <cellStyle name="Normal 4 2 3 4 2 2 2" xfId="35225"/>
    <cellStyle name="Normal 4 2 3 4 2 2 2 2" xfId="35226"/>
    <cellStyle name="Normal 4 2 3 4 2 2 2 2 2" xfId="35227"/>
    <cellStyle name="Normal 4 2 3 4 2 2 2 3" xfId="35228"/>
    <cellStyle name="Normal 4 2 3 4 2 2 3" xfId="35229"/>
    <cellStyle name="Normal 4 2 3 4 2 2 3 2" xfId="35230"/>
    <cellStyle name="Normal 4 2 3 4 2 2 4" xfId="35231"/>
    <cellStyle name="Normal 4 2 3 4 2 3" xfId="35232"/>
    <cellStyle name="Normal 4 2 3 4 2 3 2" xfId="35233"/>
    <cellStyle name="Normal 4 2 3 4 2 3 2 2" xfId="35234"/>
    <cellStyle name="Normal 4 2 3 4 2 3 3" xfId="35235"/>
    <cellStyle name="Normal 4 2 3 4 2 4" xfId="35236"/>
    <cellStyle name="Normal 4 2 3 4 2 4 2" xfId="35237"/>
    <cellStyle name="Normal 4 2 3 4 2 5" xfId="35238"/>
    <cellStyle name="Normal 4 2 3 4 2 5 2" xfId="35239"/>
    <cellStyle name="Normal 4 2 3 4 2 6" xfId="35240"/>
    <cellStyle name="Normal 4 2 3 4 3" xfId="35241"/>
    <cellStyle name="Normal 4 2 3 4 3 2" xfId="35242"/>
    <cellStyle name="Normal 4 2 3 4 3 2 2" xfId="35243"/>
    <cellStyle name="Normal 4 2 3 4 3 2 2 2" xfId="35244"/>
    <cellStyle name="Normal 4 2 3 4 3 2 2 2 2" xfId="35245"/>
    <cellStyle name="Normal 4 2 3 4 3 2 2 3" xfId="35246"/>
    <cellStyle name="Normal 4 2 3 4 3 2 3" xfId="35247"/>
    <cellStyle name="Normal 4 2 3 4 3 2 3 2" xfId="35248"/>
    <cellStyle name="Normal 4 2 3 4 3 2 4" xfId="35249"/>
    <cellStyle name="Normal 4 2 3 4 3 3" xfId="35250"/>
    <cellStyle name="Normal 4 2 3 4 3 3 2" xfId="35251"/>
    <cellStyle name="Normal 4 2 3 4 3 3 2 2" xfId="35252"/>
    <cellStyle name="Normal 4 2 3 4 3 3 3" xfId="35253"/>
    <cellStyle name="Normal 4 2 3 4 3 4" xfId="35254"/>
    <cellStyle name="Normal 4 2 3 4 3 4 2" xfId="35255"/>
    <cellStyle name="Normal 4 2 3 4 3 5" xfId="35256"/>
    <cellStyle name="Normal 4 2 3 4 3 5 2" xfId="35257"/>
    <cellStyle name="Normal 4 2 3 4 3 6" xfId="35258"/>
    <cellStyle name="Normal 4 2 3 4 4" xfId="35259"/>
    <cellStyle name="Normal 4 2 3 4 4 2" xfId="35260"/>
    <cellStyle name="Normal 4 2 3 4 4 2 2" xfId="35261"/>
    <cellStyle name="Normal 4 2 3 4 4 2 2 2" xfId="35262"/>
    <cellStyle name="Normal 4 2 3 4 4 2 3" xfId="35263"/>
    <cellStyle name="Normal 4 2 3 4 4 3" xfId="35264"/>
    <cellStyle name="Normal 4 2 3 4 4 3 2" xfId="35265"/>
    <cellStyle name="Normal 4 2 3 4 4 4" xfId="35266"/>
    <cellStyle name="Normal 4 2 3 4 5" xfId="35267"/>
    <cellStyle name="Normal 4 2 3 4 5 2" xfId="35268"/>
    <cellStyle name="Normal 4 2 3 4 5 2 2" xfId="35269"/>
    <cellStyle name="Normal 4 2 3 4 5 3" xfId="35270"/>
    <cellStyle name="Normal 4 2 3 4 6" xfId="35271"/>
    <cellStyle name="Normal 4 2 3 4 6 2" xfId="35272"/>
    <cellStyle name="Normal 4 2 3 4 7" xfId="35273"/>
    <cellStyle name="Normal 4 2 3 4 7 2" xfId="35274"/>
    <cellStyle name="Normal 4 2 3 4 8" xfId="35275"/>
    <cellStyle name="Normal 4 2 3 5" xfId="35276"/>
    <cellStyle name="Normal 4 2 3 5 2" xfId="35277"/>
    <cellStyle name="Normal 4 2 3 5 2 2" xfId="35278"/>
    <cellStyle name="Normal 4 2 3 5 2 2 2" xfId="35279"/>
    <cellStyle name="Normal 4 2 3 5 2 2 2 2" xfId="35280"/>
    <cellStyle name="Normal 4 2 3 5 2 2 2 2 2" xfId="35281"/>
    <cellStyle name="Normal 4 2 3 5 2 2 2 3" xfId="35282"/>
    <cellStyle name="Normal 4 2 3 5 2 2 3" xfId="35283"/>
    <cellStyle name="Normal 4 2 3 5 2 2 3 2" xfId="35284"/>
    <cellStyle name="Normal 4 2 3 5 2 2 4" xfId="35285"/>
    <cellStyle name="Normal 4 2 3 5 2 3" xfId="35286"/>
    <cellStyle name="Normal 4 2 3 5 2 3 2" xfId="35287"/>
    <cellStyle name="Normal 4 2 3 5 2 3 2 2" xfId="35288"/>
    <cellStyle name="Normal 4 2 3 5 2 3 3" xfId="35289"/>
    <cellStyle name="Normal 4 2 3 5 2 4" xfId="35290"/>
    <cellStyle name="Normal 4 2 3 5 2 4 2" xfId="35291"/>
    <cellStyle name="Normal 4 2 3 5 2 5" xfId="35292"/>
    <cellStyle name="Normal 4 2 3 5 2 5 2" xfId="35293"/>
    <cellStyle name="Normal 4 2 3 5 2 6" xfId="35294"/>
    <cellStyle name="Normal 4 2 3 5 3" xfId="35295"/>
    <cellStyle name="Normal 4 2 3 5 3 2" xfId="35296"/>
    <cellStyle name="Normal 4 2 3 5 3 2 2" xfId="35297"/>
    <cellStyle name="Normal 4 2 3 5 3 2 2 2" xfId="35298"/>
    <cellStyle name="Normal 4 2 3 5 3 2 2 2 2" xfId="35299"/>
    <cellStyle name="Normal 4 2 3 5 3 2 2 3" xfId="35300"/>
    <cellStyle name="Normal 4 2 3 5 3 2 3" xfId="35301"/>
    <cellStyle name="Normal 4 2 3 5 3 2 3 2" xfId="35302"/>
    <cellStyle name="Normal 4 2 3 5 3 2 4" xfId="35303"/>
    <cellStyle name="Normal 4 2 3 5 3 3" xfId="35304"/>
    <cellStyle name="Normal 4 2 3 5 3 3 2" xfId="35305"/>
    <cellStyle name="Normal 4 2 3 5 3 3 2 2" xfId="35306"/>
    <cellStyle name="Normal 4 2 3 5 3 3 3" xfId="35307"/>
    <cellStyle name="Normal 4 2 3 5 3 4" xfId="35308"/>
    <cellStyle name="Normal 4 2 3 5 3 4 2" xfId="35309"/>
    <cellStyle name="Normal 4 2 3 5 3 5" xfId="35310"/>
    <cellStyle name="Normal 4 2 3 5 3 5 2" xfId="35311"/>
    <cellStyle name="Normal 4 2 3 5 3 6" xfId="35312"/>
    <cellStyle name="Normal 4 2 3 5 4" xfId="35313"/>
    <cellStyle name="Normal 4 2 3 5 4 2" xfId="35314"/>
    <cellStyle name="Normal 4 2 3 5 4 2 2" xfId="35315"/>
    <cellStyle name="Normal 4 2 3 5 4 2 2 2" xfId="35316"/>
    <cellStyle name="Normal 4 2 3 5 4 2 3" xfId="35317"/>
    <cellStyle name="Normal 4 2 3 5 4 3" xfId="35318"/>
    <cellStyle name="Normal 4 2 3 5 4 3 2" xfId="35319"/>
    <cellStyle name="Normal 4 2 3 5 4 4" xfId="35320"/>
    <cellStyle name="Normal 4 2 3 5 5" xfId="35321"/>
    <cellStyle name="Normal 4 2 3 5 5 2" xfId="35322"/>
    <cellStyle name="Normal 4 2 3 5 5 2 2" xfId="35323"/>
    <cellStyle name="Normal 4 2 3 5 5 3" xfId="35324"/>
    <cellStyle name="Normal 4 2 3 5 6" xfId="35325"/>
    <cellStyle name="Normal 4 2 3 5 6 2" xfId="35326"/>
    <cellStyle name="Normal 4 2 3 5 7" xfId="35327"/>
    <cellStyle name="Normal 4 2 3 5 7 2" xfId="35328"/>
    <cellStyle name="Normal 4 2 3 5 8" xfId="35329"/>
    <cellStyle name="Normal 4 2 3 6" xfId="35330"/>
    <cellStyle name="Normal 4 2 3 6 2" xfId="35331"/>
    <cellStyle name="Normal 4 2 3 6 2 2" xfId="35332"/>
    <cellStyle name="Normal 4 2 3 6 2 2 2" xfId="35333"/>
    <cellStyle name="Normal 4 2 3 6 2 2 2 2" xfId="35334"/>
    <cellStyle name="Normal 4 2 3 6 2 2 3" xfId="35335"/>
    <cellStyle name="Normal 4 2 3 6 2 3" xfId="35336"/>
    <cellStyle name="Normal 4 2 3 6 2 3 2" xfId="35337"/>
    <cellStyle name="Normal 4 2 3 6 2 4" xfId="35338"/>
    <cellStyle name="Normal 4 2 3 6 3" xfId="35339"/>
    <cellStyle name="Normal 4 2 3 6 3 2" xfId="35340"/>
    <cellStyle name="Normal 4 2 3 6 3 2 2" xfId="35341"/>
    <cellStyle name="Normal 4 2 3 6 3 3" xfId="35342"/>
    <cellStyle name="Normal 4 2 3 6 4" xfId="35343"/>
    <cellStyle name="Normal 4 2 3 6 4 2" xfId="35344"/>
    <cellStyle name="Normal 4 2 3 6 5" xfId="35345"/>
    <cellStyle name="Normal 4 2 3 6 5 2" xfId="35346"/>
    <cellStyle name="Normal 4 2 3 6 6" xfId="35347"/>
    <cellStyle name="Normal 4 2 4" xfId="35348"/>
    <cellStyle name="Normal 4 2 4 10" xfId="35349"/>
    <cellStyle name="Normal 4 2 4 10 2" xfId="35350"/>
    <cellStyle name="Normal 4 2 4 11" xfId="35351"/>
    <cellStyle name="Normal 4 2 4 11 2" xfId="35352"/>
    <cellStyle name="Normal 4 2 4 12" xfId="35353"/>
    <cellStyle name="Normal 4 2 4 2" xfId="35354"/>
    <cellStyle name="Normal 4 2 4 3" xfId="35355"/>
    <cellStyle name="Normal 4 2 4 3 2" xfId="35356"/>
    <cellStyle name="Normal 4 2 4 3 2 2" xfId="35357"/>
    <cellStyle name="Normal 4 2 4 3 2 2 2" xfId="35358"/>
    <cellStyle name="Normal 4 2 4 3 2 2 2 2" xfId="35359"/>
    <cellStyle name="Normal 4 2 4 3 2 2 2 2 2" xfId="35360"/>
    <cellStyle name="Normal 4 2 4 3 2 2 2 3" xfId="35361"/>
    <cellStyle name="Normal 4 2 4 3 2 2 3" xfId="35362"/>
    <cellStyle name="Normal 4 2 4 3 2 2 3 2" xfId="35363"/>
    <cellStyle name="Normal 4 2 4 3 2 2 4" xfId="35364"/>
    <cellStyle name="Normal 4 2 4 3 2 3" xfId="35365"/>
    <cellStyle name="Normal 4 2 4 3 2 3 2" xfId="35366"/>
    <cellStyle name="Normal 4 2 4 3 2 3 2 2" xfId="35367"/>
    <cellStyle name="Normal 4 2 4 3 2 3 3" xfId="35368"/>
    <cellStyle name="Normal 4 2 4 3 2 4" xfId="35369"/>
    <cellStyle name="Normal 4 2 4 3 2 4 2" xfId="35370"/>
    <cellStyle name="Normal 4 2 4 3 2 5" xfId="35371"/>
    <cellStyle name="Normal 4 2 4 3 2 5 2" xfId="35372"/>
    <cellStyle name="Normal 4 2 4 3 2 6" xfId="35373"/>
    <cellStyle name="Normal 4 2 4 3 3" xfId="35374"/>
    <cellStyle name="Normal 4 2 4 3 3 2" xfId="35375"/>
    <cellStyle name="Normal 4 2 4 3 3 2 2" xfId="35376"/>
    <cellStyle name="Normal 4 2 4 3 3 2 2 2" xfId="35377"/>
    <cellStyle name="Normal 4 2 4 3 3 2 2 2 2" xfId="35378"/>
    <cellStyle name="Normal 4 2 4 3 3 2 2 3" xfId="35379"/>
    <cellStyle name="Normal 4 2 4 3 3 2 3" xfId="35380"/>
    <cellStyle name="Normal 4 2 4 3 3 2 3 2" xfId="35381"/>
    <cellStyle name="Normal 4 2 4 3 3 2 4" xfId="35382"/>
    <cellStyle name="Normal 4 2 4 3 3 3" xfId="35383"/>
    <cellStyle name="Normal 4 2 4 3 3 3 2" xfId="35384"/>
    <cellStyle name="Normal 4 2 4 3 3 3 2 2" xfId="35385"/>
    <cellStyle name="Normal 4 2 4 3 3 3 3" xfId="35386"/>
    <cellStyle name="Normal 4 2 4 3 3 4" xfId="35387"/>
    <cellStyle name="Normal 4 2 4 3 3 4 2" xfId="35388"/>
    <cellStyle name="Normal 4 2 4 3 3 5" xfId="35389"/>
    <cellStyle name="Normal 4 2 4 3 3 5 2" xfId="35390"/>
    <cellStyle name="Normal 4 2 4 3 3 6" xfId="35391"/>
    <cellStyle name="Normal 4 2 4 3 4" xfId="35392"/>
    <cellStyle name="Normal 4 2 4 3 4 2" xfId="35393"/>
    <cellStyle name="Normal 4 2 4 3 4 2 2" xfId="35394"/>
    <cellStyle name="Normal 4 2 4 3 4 2 2 2" xfId="35395"/>
    <cellStyle name="Normal 4 2 4 3 4 2 3" xfId="35396"/>
    <cellStyle name="Normal 4 2 4 3 4 3" xfId="35397"/>
    <cellStyle name="Normal 4 2 4 3 4 3 2" xfId="35398"/>
    <cellStyle name="Normal 4 2 4 3 4 4" xfId="35399"/>
    <cellStyle name="Normal 4 2 4 3 5" xfId="35400"/>
    <cellStyle name="Normal 4 2 4 3 5 2" xfId="35401"/>
    <cellStyle name="Normal 4 2 4 3 5 2 2" xfId="35402"/>
    <cellStyle name="Normal 4 2 4 3 5 3" xfId="35403"/>
    <cellStyle name="Normal 4 2 4 3 6" xfId="35404"/>
    <cellStyle name="Normal 4 2 4 3 6 2" xfId="35405"/>
    <cellStyle name="Normal 4 2 4 3 7" xfId="35406"/>
    <cellStyle name="Normal 4 2 4 3 7 2" xfId="35407"/>
    <cellStyle name="Normal 4 2 4 3 8" xfId="35408"/>
    <cellStyle name="Normal 4 2 4 4" xfId="35409"/>
    <cellStyle name="Normal 4 2 4 4 2" xfId="35410"/>
    <cellStyle name="Normal 4 2 4 4 2 2" xfId="35411"/>
    <cellStyle name="Normal 4 2 4 4 2 2 2" xfId="35412"/>
    <cellStyle name="Normal 4 2 4 4 2 2 2 2" xfId="35413"/>
    <cellStyle name="Normal 4 2 4 4 2 2 2 2 2" xfId="35414"/>
    <cellStyle name="Normal 4 2 4 4 2 2 2 3" xfId="35415"/>
    <cellStyle name="Normal 4 2 4 4 2 2 3" xfId="35416"/>
    <cellStyle name="Normal 4 2 4 4 2 2 3 2" xfId="35417"/>
    <cellStyle name="Normal 4 2 4 4 2 2 4" xfId="35418"/>
    <cellStyle name="Normal 4 2 4 4 2 3" xfId="35419"/>
    <cellStyle name="Normal 4 2 4 4 2 3 2" xfId="35420"/>
    <cellStyle name="Normal 4 2 4 4 2 3 2 2" xfId="35421"/>
    <cellStyle name="Normal 4 2 4 4 2 3 3" xfId="35422"/>
    <cellStyle name="Normal 4 2 4 4 2 4" xfId="35423"/>
    <cellStyle name="Normal 4 2 4 4 2 4 2" xfId="35424"/>
    <cellStyle name="Normal 4 2 4 4 2 5" xfId="35425"/>
    <cellStyle name="Normal 4 2 4 4 2 5 2" xfId="35426"/>
    <cellStyle name="Normal 4 2 4 4 2 6" xfId="35427"/>
    <cellStyle name="Normal 4 2 4 4 3" xfId="35428"/>
    <cellStyle name="Normal 4 2 4 4 3 2" xfId="35429"/>
    <cellStyle name="Normal 4 2 4 4 3 2 2" xfId="35430"/>
    <cellStyle name="Normal 4 2 4 4 3 2 2 2" xfId="35431"/>
    <cellStyle name="Normal 4 2 4 4 3 2 2 2 2" xfId="35432"/>
    <cellStyle name="Normal 4 2 4 4 3 2 2 3" xfId="35433"/>
    <cellStyle name="Normal 4 2 4 4 3 2 3" xfId="35434"/>
    <cellStyle name="Normal 4 2 4 4 3 2 3 2" xfId="35435"/>
    <cellStyle name="Normal 4 2 4 4 3 2 4" xfId="35436"/>
    <cellStyle name="Normal 4 2 4 4 3 3" xfId="35437"/>
    <cellStyle name="Normal 4 2 4 4 3 3 2" xfId="35438"/>
    <cellStyle name="Normal 4 2 4 4 3 3 2 2" xfId="35439"/>
    <cellStyle name="Normal 4 2 4 4 3 3 3" xfId="35440"/>
    <cellStyle name="Normal 4 2 4 4 3 4" xfId="35441"/>
    <cellStyle name="Normal 4 2 4 4 3 4 2" xfId="35442"/>
    <cellStyle name="Normal 4 2 4 4 3 5" xfId="35443"/>
    <cellStyle name="Normal 4 2 4 4 3 5 2" xfId="35444"/>
    <cellStyle name="Normal 4 2 4 4 3 6" xfId="35445"/>
    <cellStyle name="Normal 4 2 4 4 4" xfId="35446"/>
    <cellStyle name="Normal 4 2 4 4 4 2" xfId="35447"/>
    <cellStyle name="Normal 4 2 4 4 4 2 2" xfId="35448"/>
    <cellStyle name="Normal 4 2 4 4 4 2 2 2" xfId="35449"/>
    <cellStyle name="Normal 4 2 4 4 4 2 3" xfId="35450"/>
    <cellStyle name="Normal 4 2 4 4 4 3" xfId="35451"/>
    <cellStyle name="Normal 4 2 4 4 4 3 2" xfId="35452"/>
    <cellStyle name="Normal 4 2 4 4 4 4" xfId="35453"/>
    <cellStyle name="Normal 4 2 4 4 5" xfId="35454"/>
    <cellStyle name="Normal 4 2 4 4 5 2" xfId="35455"/>
    <cellStyle name="Normal 4 2 4 4 5 2 2" xfId="35456"/>
    <cellStyle name="Normal 4 2 4 4 5 3" xfId="35457"/>
    <cellStyle name="Normal 4 2 4 4 6" xfId="35458"/>
    <cellStyle name="Normal 4 2 4 4 6 2" xfId="35459"/>
    <cellStyle name="Normal 4 2 4 4 7" xfId="35460"/>
    <cellStyle name="Normal 4 2 4 4 7 2" xfId="35461"/>
    <cellStyle name="Normal 4 2 4 4 8" xfId="35462"/>
    <cellStyle name="Normal 4 2 4 5" xfId="35463"/>
    <cellStyle name="Normal 4 2 4 5 2" xfId="35464"/>
    <cellStyle name="Normal 4 2 4 5 2 2" xfId="35465"/>
    <cellStyle name="Normal 4 2 4 5 2 2 2" xfId="35466"/>
    <cellStyle name="Normal 4 2 4 5 2 2 2 2" xfId="35467"/>
    <cellStyle name="Normal 4 2 4 5 2 2 3" xfId="35468"/>
    <cellStyle name="Normal 4 2 4 5 2 3" xfId="35469"/>
    <cellStyle name="Normal 4 2 4 5 2 3 2" xfId="35470"/>
    <cellStyle name="Normal 4 2 4 5 2 4" xfId="35471"/>
    <cellStyle name="Normal 4 2 4 5 3" xfId="35472"/>
    <cellStyle name="Normal 4 2 4 5 3 2" xfId="35473"/>
    <cellStyle name="Normal 4 2 4 5 3 2 2" xfId="35474"/>
    <cellStyle name="Normal 4 2 4 5 3 3" xfId="35475"/>
    <cellStyle name="Normal 4 2 4 5 4" xfId="35476"/>
    <cellStyle name="Normal 4 2 4 5 4 2" xfId="35477"/>
    <cellStyle name="Normal 4 2 4 5 5" xfId="35478"/>
    <cellStyle name="Normal 4 2 4 5 5 2" xfId="35479"/>
    <cellStyle name="Normal 4 2 4 5 6" xfId="35480"/>
    <cellStyle name="Normal 4 2 4 6" xfId="35481"/>
    <cellStyle name="Normal 4 2 4 6 2" xfId="35482"/>
    <cellStyle name="Normal 4 2 4 6 2 2" xfId="35483"/>
    <cellStyle name="Normal 4 2 4 6 2 2 2" xfId="35484"/>
    <cellStyle name="Normal 4 2 4 6 2 2 2 2" xfId="35485"/>
    <cellStyle name="Normal 4 2 4 6 2 2 3" xfId="35486"/>
    <cellStyle name="Normal 4 2 4 6 2 3" xfId="35487"/>
    <cellStyle name="Normal 4 2 4 6 2 3 2" xfId="35488"/>
    <cellStyle name="Normal 4 2 4 6 2 4" xfId="35489"/>
    <cellStyle name="Normal 4 2 4 6 3" xfId="35490"/>
    <cellStyle name="Normal 4 2 4 6 3 2" xfId="35491"/>
    <cellStyle name="Normal 4 2 4 6 3 2 2" xfId="35492"/>
    <cellStyle name="Normal 4 2 4 6 3 3" xfId="35493"/>
    <cellStyle name="Normal 4 2 4 6 4" xfId="35494"/>
    <cellStyle name="Normal 4 2 4 6 4 2" xfId="35495"/>
    <cellStyle name="Normal 4 2 4 6 5" xfId="35496"/>
    <cellStyle name="Normal 4 2 4 6 5 2" xfId="35497"/>
    <cellStyle name="Normal 4 2 4 6 6" xfId="35498"/>
    <cellStyle name="Normal 4 2 4 7" xfId="35499"/>
    <cellStyle name="Normal 4 2 4 7 2" xfId="35500"/>
    <cellStyle name="Normal 4 2 4 7 2 2" xfId="35501"/>
    <cellStyle name="Normal 4 2 4 7 2 2 2" xfId="35502"/>
    <cellStyle name="Normal 4 2 4 7 2 2 2 2" xfId="35503"/>
    <cellStyle name="Normal 4 2 4 7 2 2 3" xfId="35504"/>
    <cellStyle name="Normal 4 2 4 7 2 3" xfId="35505"/>
    <cellStyle name="Normal 4 2 4 7 2 3 2" xfId="35506"/>
    <cellStyle name="Normal 4 2 4 7 2 4" xfId="35507"/>
    <cellStyle name="Normal 4 2 4 7 3" xfId="35508"/>
    <cellStyle name="Normal 4 2 4 7 3 2" xfId="35509"/>
    <cellStyle name="Normal 4 2 4 7 3 2 2" xfId="35510"/>
    <cellStyle name="Normal 4 2 4 7 3 3" xfId="35511"/>
    <cellStyle name="Normal 4 2 4 7 4" xfId="35512"/>
    <cellStyle name="Normal 4 2 4 7 4 2" xfId="35513"/>
    <cellStyle name="Normal 4 2 4 7 5" xfId="35514"/>
    <cellStyle name="Normal 4 2 4 7 5 2" xfId="35515"/>
    <cellStyle name="Normal 4 2 4 7 6" xfId="35516"/>
    <cellStyle name="Normal 4 2 4 8" xfId="35517"/>
    <cellStyle name="Normal 4 2 4 8 2" xfId="35518"/>
    <cellStyle name="Normal 4 2 4 8 2 2" xfId="35519"/>
    <cellStyle name="Normal 4 2 4 8 2 2 2" xfId="35520"/>
    <cellStyle name="Normal 4 2 4 8 2 3" xfId="35521"/>
    <cellStyle name="Normal 4 2 4 8 3" xfId="35522"/>
    <cellStyle name="Normal 4 2 4 8 3 2" xfId="35523"/>
    <cellStyle name="Normal 4 2 4 8 4" xfId="35524"/>
    <cellStyle name="Normal 4 2 4 9" xfId="35525"/>
    <cellStyle name="Normal 4 2 4 9 2" xfId="35526"/>
    <cellStyle name="Normal 4 2 4 9 2 2" xfId="35527"/>
    <cellStyle name="Normal 4 2 4 9 3" xfId="35528"/>
    <cellStyle name="Normal 4 2 5" xfId="35529"/>
    <cellStyle name="Normal 4 2 5 10" xfId="35530"/>
    <cellStyle name="Normal 4 2 5 10 2" xfId="35531"/>
    <cellStyle name="Normal 4 2 5 11" xfId="35532"/>
    <cellStyle name="Normal 4 2 5 2" xfId="35533"/>
    <cellStyle name="Normal 4 2 5 2 2" xfId="35534"/>
    <cellStyle name="Normal 4 2 5 2 2 2" xfId="35535"/>
    <cellStyle name="Normal 4 2 5 2 2 2 2" xfId="35536"/>
    <cellStyle name="Normal 4 2 5 2 2 2 2 2" xfId="35537"/>
    <cellStyle name="Normal 4 2 5 2 2 2 2 2 2" xfId="35538"/>
    <cellStyle name="Normal 4 2 5 2 2 2 2 3" xfId="35539"/>
    <cellStyle name="Normal 4 2 5 2 2 2 3" xfId="35540"/>
    <cellStyle name="Normal 4 2 5 2 2 2 3 2" xfId="35541"/>
    <cellStyle name="Normal 4 2 5 2 2 2 4" xfId="35542"/>
    <cellStyle name="Normal 4 2 5 2 2 3" xfId="35543"/>
    <cellStyle name="Normal 4 2 5 2 2 3 2" xfId="35544"/>
    <cellStyle name="Normal 4 2 5 2 2 3 2 2" xfId="35545"/>
    <cellStyle name="Normal 4 2 5 2 2 3 3" xfId="35546"/>
    <cellStyle name="Normal 4 2 5 2 2 4" xfId="35547"/>
    <cellStyle name="Normal 4 2 5 2 2 4 2" xfId="35548"/>
    <cellStyle name="Normal 4 2 5 2 2 5" xfId="35549"/>
    <cellStyle name="Normal 4 2 5 2 2 5 2" xfId="35550"/>
    <cellStyle name="Normal 4 2 5 2 2 6" xfId="35551"/>
    <cellStyle name="Normal 4 2 5 2 3" xfId="35552"/>
    <cellStyle name="Normal 4 2 5 2 3 2" xfId="35553"/>
    <cellStyle name="Normal 4 2 5 2 3 2 2" xfId="35554"/>
    <cellStyle name="Normal 4 2 5 2 3 2 2 2" xfId="35555"/>
    <cellStyle name="Normal 4 2 5 2 3 2 2 2 2" xfId="35556"/>
    <cellStyle name="Normal 4 2 5 2 3 2 2 3" xfId="35557"/>
    <cellStyle name="Normal 4 2 5 2 3 2 3" xfId="35558"/>
    <cellStyle name="Normal 4 2 5 2 3 2 3 2" xfId="35559"/>
    <cellStyle name="Normal 4 2 5 2 3 2 4" xfId="35560"/>
    <cellStyle name="Normal 4 2 5 2 3 3" xfId="35561"/>
    <cellStyle name="Normal 4 2 5 2 3 3 2" xfId="35562"/>
    <cellStyle name="Normal 4 2 5 2 3 3 2 2" xfId="35563"/>
    <cellStyle name="Normal 4 2 5 2 3 3 3" xfId="35564"/>
    <cellStyle name="Normal 4 2 5 2 3 4" xfId="35565"/>
    <cellStyle name="Normal 4 2 5 2 3 4 2" xfId="35566"/>
    <cellStyle name="Normal 4 2 5 2 3 5" xfId="35567"/>
    <cellStyle name="Normal 4 2 5 2 3 5 2" xfId="35568"/>
    <cellStyle name="Normal 4 2 5 2 3 6" xfId="35569"/>
    <cellStyle name="Normal 4 2 5 2 4" xfId="35570"/>
    <cellStyle name="Normal 4 2 5 2 4 2" xfId="35571"/>
    <cellStyle name="Normal 4 2 5 2 4 2 2" xfId="35572"/>
    <cellStyle name="Normal 4 2 5 2 4 2 2 2" xfId="35573"/>
    <cellStyle name="Normal 4 2 5 2 4 2 3" xfId="35574"/>
    <cellStyle name="Normal 4 2 5 2 4 3" xfId="35575"/>
    <cellStyle name="Normal 4 2 5 2 4 3 2" xfId="35576"/>
    <cellStyle name="Normal 4 2 5 2 4 4" xfId="35577"/>
    <cellStyle name="Normal 4 2 5 2 5" xfId="35578"/>
    <cellStyle name="Normal 4 2 5 2 5 2" xfId="35579"/>
    <cellStyle name="Normal 4 2 5 2 5 2 2" xfId="35580"/>
    <cellStyle name="Normal 4 2 5 2 5 3" xfId="35581"/>
    <cellStyle name="Normal 4 2 5 2 6" xfId="35582"/>
    <cellStyle name="Normal 4 2 5 2 6 2" xfId="35583"/>
    <cellStyle name="Normal 4 2 5 2 7" xfId="35584"/>
    <cellStyle name="Normal 4 2 5 2 7 2" xfId="35585"/>
    <cellStyle name="Normal 4 2 5 2 8" xfId="35586"/>
    <cellStyle name="Normal 4 2 5 3" xfId="35587"/>
    <cellStyle name="Normal 4 2 5 3 2" xfId="35588"/>
    <cellStyle name="Normal 4 2 5 3 2 2" xfId="35589"/>
    <cellStyle name="Normal 4 2 5 3 2 2 2" xfId="35590"/>
    <cellStyle name="Normal 4 2 5 3 2 2 2 2" xfId="35591"/>
    <cellStyle name="Normal 4 2 5 3 2 2 2 2 2" xfId="35592"/>
    <cellStyle name="Normal 4 2 5 3 2 2 2 3" xfId="35593"/>
    <cellStyle name="Normal 4 2 5 3 2 2 3" xfId="35594"/>
    <cellStyle name="Normal 4 2 5 3 2 2 3 2" xfId="35595"/>
    <cellStyle name="Normal 4 2 5 3 2 2 4" xfId="35596"/>
    <cellStyle name="Normal 4 2 5 3 2 3" xfId="35597"/>
    <cellStyle name="Normal 4 2 5 3 2 3 2" xfId="35598"/>
    <cellStyle name="Normal 4 2 5 3 2 3 2 2" xfId="35599"/>
    <cellStyle name="Normal 4 2 5 3 2 3 3" xfId="35600"/>
    <cellStyle name="Normal 4 2 5 3 2 4" xfId="35601"/>
    <cellStyle name="Normal 4 2 5 3 2 4 2" xfId="35602"/>
    <cellStyle name="Normal 4 2 5 3 2 5" xfId="35603"/>
    <cellStyle name="Normal 4 2 5 3 2 5 2" xfId="35604"/>
    <cellStyle name="Normal 4 2 5 3 2 6" xfId="35605"/>
    <cellStyle name="Normal 4 2 5 3 3" xfId="35606"/>
    <cellStyle name="Normal 4 2 5 3 3 2" xfId="35607"/>
    <cellStyle name="Normal 4 2 5 3 3 2 2" xfId="35608"/>
    <cellStyle name="Normal 4 2 5 3 3 2 2 2" xfId="35609"/>
    <cellStyle name="Normal 4 2 5 3 3 2 2 2 2" xfId="35610"/>
    <cellStyle name="Normal 4 2 5 3 3 2 2 3" xfId="35611"/>
    <cellStyle name="Normal 4 2 5 3 3 2 3" xfId="35612"/>
    <cellStyle name="Normal 4 2 5 3 3 2 3 2" xfId="35613"/>
    <cellStyle name="Normal 4 2 5 3 3 2 4" xfId="35614"/>
    <cellStyle name="Normal 4 2 5 3 3 3" xfId="35615"/>
    <cellStyle name="Normal 4 2 5 3 3 3 2" xfId="35616"/>
    <cellStyle name="Normal 4 2 5 3 3 3 2 2" xfId="35617"/>
    <cellStyle name="Normal 4 2 5 3 3 3 3" xfId="35618"/>
    <cellStyle name="Normal 4 2 5 3 3 4" xfId="35619"/>
    <cellStyle name="Normal 4 2 5 3 3 4 2" xfId="35620"/>
    <cellStyle name="Normal 4 2 5 3 3 5" xfId="35621"/>
    <cellStyle name="Normal 4 2 5 3 3 5 2" xfId="35622"/>
    <cellStyle name="Normal 4 2 5 3 3 6" xfId="35623"/>
    <cellStyle name="Normal 4 2 5 3 4" xfId="35624"/>
    <cellStyle name="Normal 4 2 5 3 4 2" xfId="35625"/>
    <cellStyle name="Normal 4 2 5 3 4 2 2" xfId="35626"/>
    <cellStyle name="Normal 4 2 5 3 4 2 2 2" xfId="35627"/>
    <cellStyle name="Normal 4 2 5 3 4 2 3" xfId="35628"/>
    <cellStyle name="Normal 4 2 5 3 4 3" xfId="35629"/>
    <cellStyle name="Normal 4 2 5 3 4 3 2" xfId="35630"/>
    <cellStyle name="Normal 4 2 5 3 4 4" xfId="35631"/>
    <cellStyle name="Normal 4 2 5 3 5" xfId="35632"/>
    <cellStyle name="Normal 4 2 5 3 5 2" xfId="35633"/>
    <cellStyle name="Normal 4 2 5 3 5 2 2" xfId="35634"/>
    <cellStyle name="Normal 4 2 5 3 5 3" xfId="35635"/>
    <cellStyle name="Normal 4 2 5 3 6" xfId="35636"/>
    <cellStyle name="Normal 4 2 5 3 6 2" xfId="35637"/>
    <cellStyle name="Normal 4 2 5 3 7" xfId="35638"/>
    <cellStyle name="Normal 4 2 5 3 7 2" xfId="35639"/>
    <cellStyle name="Normal 4 2 5 3 8" xfId="35640"/>
    <cellStyle name="Normal 4 2 5 4" xfId="35641"/>
    <cellStyle name="Normal 4 2 5 4 2" xfId="35642"/>
    <cellStyle name="Normal 4 2 5 4 2 2" xfId="35643"/>
    <cellStyle name="Normal 4 2 5 4 2 2 2" xfId="35644"/>
    <cellStyle name="Normal 4 2 5 4 2 2 2 2" xfId="35645"/>
    <cellStyle name="Normal 4 2 5 4 2 2 3" xfId="35646"/>
    <cellStyle name="Normal 4 2 5 4 2 3" xfId="35647"/>
    <cellStyle name="Normal 4 2 5 4 2 3 2" xfId="35648"/>
    <cellStyle name="Normal 4 2 5 4 2 4" xfId="35649"/>
    <cellStyle name="Normal 4 2 5 4 3" xfId="35650"/>
    <cellStyle name="Normal 4 2 5 4 3 2" xfId="35651"/>
    <cellStyle name="Normal 4 2 5 4 3 2 2" xfId="35652"/>
    <cellStyle name="Normal 4 2 5 4 3 3" xfId="35653"/>
    <cellStyle name="Normal 4 2 5 4 4" xfId="35654"/>
    <cellStyle name="Normal 4 2 5 4 4 2" xfId="35655"/>
    <cellStyle name="Normal 4 2 5 4 5" xfId="35656"/>
    <cellStyle name="Normal 4 2 5 4 5 2" xfId="35657"/>
    <cellStyle name="Normal 4 2 5 4 6" xfId="35658"/>
    <cellStyle name="Normal 4 2 5 5" xfId="35659"/>
    <cellStyle name="Normal 4 2 5 5 2" xfId="35660"/>
    <cellStyle name="Normal 4 2 5 5 2 2" xfId="35661"/>
    <cellStyle name="Normal 4 2 5 5 2 2 2" xfId="35662"/>
    <cellStyle name="Normal 4 2 5 5 2 2 2 2" xfId="35663"/>
    <cellStyle name="Normal 4 2 5 5 2 2 3" xfId="35664"/>
    <cellStyle name="Normal 4 2 5 5 2 3" xfId="35665"/>
    <cellStyle name="Normal 4 2 5 5 2 3 2" xfId="35666"/>
    <cellStyle name="Normal 4 2 5 5 2 4" xfId="35667"/>
    <cellStyle name="Normal 4 2 5 5 3" xfId="35668"/>
    <cellStyle name="Normal 4 2 5 5 3 2" xfId="35669"/>
    <cellStyle name="Normal 4 2 5 5 3 2 2" xfId="35670"/>
    <cellStyle name="Normal 4 2 5 5 3 3" xfId="35671"/>
    <cellStyle name="Normal 4 2 5 5 4" xfId="35672"/>
    <cellStyle name="Normal 4 2 5 5 4 2" xfId="35673"/>
    <cellStyle name="Normal 4 2 5 5 5" xfId="35674"/>
    <cellStyle name="Normal 4 2 5 5 5 2" xfId="35675"/>
    <cellStyle name="Normal 4 2 5 5 6" xfId="35676"/>
    <cellStyle name="Normal 4 2 5 6" xfId="35677"/>
    <cellStyle name="Normal 4 2 5 6 2" xfId="35678"/>
    <cellStyle name="Normal 4 2 5 6 2 2" xfId="35679"/>
    <cellStyle name="Normal 4 2 5 6 2 2 2" xfId="35680"/>
    <cellStyle name="Normal 4 2 5 6 2 2 2 2" xfId="35681"/>
    <cellStyle name="Normal 4 2 5 6 2 2 3" xfId="35682"/>
    <cellStyle name="Normal 4 2 5 6 2 3" xfId="35683"/>
    <cellStyle name="Normal 4 2 5 6 2 3 2" xfId="35684"/>
    <cellStyle name="Normal 4 2 5 6 2 4" xfId="35685"/>
    <cellStyle name="Normal 4 2 5 6 3" xfId="35686"/>
    <cellStyle name="Normal 4 2 5 6 3 2" xfId="35687"/>
    <cellStyle name="Normal 4 2 5 6 3 2 2" xfId="35688"/>
    <cellStyle name="Normal 4 2 5 6 3 3" xfId="35689"/>
    <cellStyle name="Normal 4 2 5 6 4" xfId="35690"/>
    <cellStyle name="Normal 4 2 5 6 4 2" xfId="35691"/>
    <cellStyle name="Normal 4 2 5 6 5" xfId="35692"/>
    <cellStyle name="Normal 4 2 5 6 5 2" xfId="35693"/>
    <cellStyle name="Normal 4 2 5 6 6" xfId="35694"/>
    <cellStyle name="Normal 4 2 5 7" xfId="35695"/>
    <cellStyle name="Normal 4 2 5 7 2" xfId="35696"/>
    <cellStyle name="Normal 4 2 5 7 2 2" xfId="35697"/>
    <cellStyle name="Normal 4 2 5 7 2 2 2" xfId="35698"/>
    <cellStyle name="Normal 4 2 5 7 2 3" xfId="35699"/>
    <cellStyle name="Normal 4 2 5 7 3" xfId="35700"/>
    <cellStyle name="Normal 4 2 5 7 3 2" xfId="35701"/>
    <cellStyle name="Normal 4 2 5 7 4" xfId="35702"/>
    <cellStyle name="Normal 4 2 5 8" xfId="35703"/>
    <cellStyle name="Normal 4 2 5 8 2" xfId="35704"/>
    <cellStyle name="Normal 4 2 5 8 2 2" xfId="35705"/>
    <cellStyle name="Normal 4 2 5 8 3" xfId="35706"/>
    <cellStyle name="Normal 4 2 5 9" xfId="35707"/>
    <cellStyle name="Normal 4 2 5 9 2" xfId="35708"/>
    <cellStyle name="Normal 4 2 6" xfId="35709"/>
    <cellStyle name="Normal 4 2 6 10" xfId="35710"/>
    <cellStyle name="Normal 4 2 6 10 2" xfId="35711"/>
    <cellStyle name="Normal 4 2 6 11" xfId="35712"/>
    <cellStyle name="Normal 4 2 6 2" xfId="35713"/>
    <cellStyle name="Normal 4 2 6 2 2" xfId="35714"/>
    <cellStyle name="Normal 4 2 6 2 2 2" xfId="35715"/>
    <cellStyle name="Normal 4 2 6 2 2 2 2" xfId="35716"/>
    <cellStyle name="Normal 4 2 6 2 2 2 2 2" xfId="35717"/>
    <cellStyle name="Normal 4 2 6 2 2 2 2 2 2" xfId="35718"/>
    <cellStyle name="Normal 4 2 6 2 2 2 2 3" xfId="35719"/>
    <cellStyle name="Normal 4 2 6 2 2 2 3" xfId="35720"/>
    <cellStyle name="Normal 4 2 6 2 2 2 3 2" xfId="35721"/>
    <cellStyle name="Normal 4 2 6 2 2 2 4" xfId="35722"/>
    <cellStyle name="Normal 4 2 6 2 2 3" xfId="35723"/>
    <cellStyle name="Normal 4 2 6 2 2 3 2" xfId="35724"/>
    <cellStyle name="Normal 4 2 6 2 2 3 2 2" xfId="35725"/>
    <cellStyle name="Normal 4 2 6 2 2 3 3" xfId="35726"/>
    <cellStyle name="Normal 4 2 6 2 2 4" xfId="35727"/>
    <cellStyle name="Normal 4 2 6 2 2 4 2" xfId="35728"/>
    <cellStyle name="Normal 4 2 6 2 2 5" xfId="35729"/>
    <cellStyle name="Normal 4 2 6 2 2 5 2" xfId="35730"/>
    <cellStyle name="Normal 4 2 6 2 2 6" xfId="35731"/>
    <cellStyle name="Normal 4 2 6 2 3" xfId="35732"/>
    <cellStyle name="Normal 4 2 6 2 3 2" xfId="35733"/>
    <cellStyle name="Normal 4 2 6 2 3 2 2" xfId="35734"/>
    <cellStyle name="Normal 4 2 6 2 3 2 2 2" xfId="35735"/>
    <cellStyle name="Normal 4 2 6 2 3 2 2 2 2" xfId="35736"/>
    <cellStyle name="Normal 4 2 6 2 3 2 2 3" xfId="35737"/>
    <cellStyle name="Normal 4 2 6 2 3 2 3" xfId="35738"/>
    <cellStyle name="Normal 4 2 6 2 3 2 3 2" xfId="35739"/>
    <cellStyle name="Normal 4 2 6 2 3 2 4" xfId="35740"/>
    <cellStyle name="Normal 4 2 6 2 3 3" xfId="35741"/>
    <cellStyle name="Normal 4 2 6 2 3 3 2" xfId="35742"/>
    <cellStyle name="Normal 4 2 6 2 3 3 2 2" xfId="35743"/>
    <cellStyle name="Normal 4 2 6 2 3 3 3" xfId="35744"/>
    <cellStyle name="Normal 4 2 6 2 3 4" xfId="35745"/>
    <cellStyle name="Normal 4 2 6 2 3 4 2" xfId="35746"/>
    <cellStyle name="Normal 4 2 6 2 3 5" xfId="35747"/>
    <cellStyle name="Normal 4 2 6 2 3 5 2" xfId="35748"/>
    <cellStyle name="Normal 4 2 6 2 3 6" xfId="35749"/>
    <cellStyle name="Normal 4 2 6 2 4" xfId="35750"/>
    <cellStyle name="Normal 4 2 6 2 4 2" xfId="35751"/>
    <cellStyle name="Normal 4 2 6 2 4 2 2" xfId="35752"/>
    <cellStyle name="Normal 4 2 6 2 4 2 2 2" xfId="35753"/>
    <cellStyle name="Normal 4 2 6 2 4 2 3" xfId="35754"/>
    <cellStyle name="Normal 4 2 6 2 4 3" xfId="35755"/>
    <cellStyle name="Normal 4 2 6 2 4 3 2" xfId="35756"/>
    <cellStyle name="Normal 4 2 6 2 4 4" xfId="35757"/>
    <cellStyle name="Normal 4 2 6 2 5" xfId="35758"/>
    <cellStyle name="Normal 4 2 6 2 5 2" xfId="35759"/>
    <cellStyle name="Normal 4 2 6 2 5 2 2" xfId="35760"/>
    <cellStyle name="Normal 4 2 6 2 5 3" xfId="35761"/>
    <cellStyle name="Normal 4 2 6 2 6" xfId="35762"/>
    <cellStyle name="Normal 4 2 6 2 6 2" xfId="35763"/>
    <cellStyle name="Normal 4 2 6 2 7" xfId="35764"/>
    <cellStyle name="Normal 4 2 6 2 7 2" xfId="35765"/>
    <cellStyle name="Normal 4 2 6 2 8" xfId="35766"/>
    <cellStyle name="Normal 4 2 6 3" xfId="35767"/>
    <cellStyle name="Normal 4 2 6 3 2" xfId="35768"/>
    <cellStyle name="Normal 4 2 6 3 2 2" xfId="35769"/>
    <cellStyle name="Normal 4 2 6 3 2 2 2" xfId="35770"/>
    <cellStyle name="Normal 4 2 6 3 2 2 2 2" xfId="35771"/>
    <cellStyle name="Normal 4 2 6 3 2 2 2 2 2" xfId="35772"/>
    <cellStyle name="Normal 4 2 6 3 2 2 2 3" xfId="35773"/>
    <cellStyle name="Normal 4 2 6 3 2 2 3" xfId="35774"/>
    <cellStyle name="Normal 4 2 6 3 2 2 3 2" xfId="35775"/>
    <cellStyle name="Normal 4 2 6 3 2 2 4" xfId="35776"/>
    <cellStyle name="Normal 4 2 6 3 2 3" xfId="35777"/>
    <cellStyle name="Normal 4 2 6 3 2 3 2" xfId="35778"/>
    <cellStyle name="Normal 4 2 6 3 2 3 2 2" xfId="35779"/>
    <cellStyle name="Normal 4 2 6 3 2 3 3" xfId="35780"/>
    <cellStyle name="Normal 4 2 6 3 2 4" xfId="35781"/>
    <cellStyle name="Normal 4 2 6 3 2 4 2" xfId="35782"/>
    <cellStyle name="Normal 4 2 6 3 2 5" xfId="35783"/>
    <cellStyle name="Normal 4 2 6 3 2 5 2" xfId="35784"/>
    <cellStyle name="Normal 4 2 6 3 2 6" xfId="35785"/>
    <cellStyle name="Normal 4 2 6 3 3" xfId="35786"/>
    <cellStyle name="Normal 4 2 6 3 3 2" xfId="35787"/>
    <cellStyle name="Normal 4 2 6 3 3 2 2" xfId="35788"/>
    <cellStyle name="Normal 4 2 6 3 3 2 2 2" xfId="35789"/>
    <cellStyle name="Normal 4 2 6 3 3 2 2 2 2" xfId="35790"/>
    <cellStyle name="Normal 4 2 6 3 3 2 2 3" xfId="35791"/>
    <cellStyle name="Normal 4 2 6 3 3 2 3" xfId="35792"/>
    <cellStyle name="Normal 4 2 6 3 3 2 3 2" xfId="35793"/>
    <cellStyle name="Normal 4 2 6 3 3 2 4" xfId="35794"/>
    <cellStyle name="Normal 4 2 6 3 3 3" xfId="35795"/>
    <cellStyle name="Normal 4 2 6 3 3 3 2" xfId="35796"/>
    <cellStyle name="Normal 4 2 6 3 3 3 2 2" xfId="35797"/>
    <cellStyle name="Normal 4 2 6 3 3 3 3" xfId="35798"/>
    <cellStyle name="Normal 4 2 6 3 3 4" xfId="35799"/>
    <cellStyle name="Normal 4 2 6 3 3 4 2" xfId="35800"/>
    <cellStyle name="Normal 4 2 6 3 3 5" xfId="35801"/>
    <cellStyle name="Normal 4 2 6 3 3 5 2" xfId="35802"/>
    <cellStyle name="Normal 4 2 6 3 3 6" xfId="35803"/>
    <cellStyle name="Normal 4 2 6 3 4" xfId="35804"/>
    <cellStyle name="Normal 4 2 6 3 4 2" xfId="35805"/>
    <cellStyle name="Normal 4 2 6 3 4 2 2" xfId="35806"/>
    <cellStyle name="Normal 4 2 6 3 4 2 2 2" xfId="35807"/>
    <cellStyle name="Normal 4 2 6 3 4 2 3" xfId="35808"/>
    <cellStyle name="Normal 4 2 6 3 4 3" xfId="35809"/>
    <cellStyle name="Normal 4 2 6 3 4 3 2" xfId="35810"/>
    <cellStyle name="Normal 4 2 6 3 4 4" xfId="35811"/>
    <cellStyle name="Normal 4 2 6 3 5" xfId="35812"/>
    <cellStyle name="Normal 4 2 6 3 5 2" xfId="35813"/>
    <cellStyle name="Normal 4 2 6 3 5 2 2" xfId="35814"/>
    <cellStyle name="Normal 4 2 6 3 5 3" xfId="35815"/>
    <cellStyle name="Normal 4 2 6 3 6" xfId="35816"/>
    <cellStyle name="Normal 4 2 6 3 6 2" xfId="35817"/>
    <cellStyle name="Normal 4 2 6 3 7" xfId="35818"/>
    <cellStyle name="Normal 4 2 6 3 7 2" xfId="35819"/>
    <cellStyle name="Normal 4 2 6 3 8" xfId="35820"/>
    <cellStyle name="Normal 4 2 6 4" xfId="35821"/>
    <cellStyle name="Normal 4 2 6 4 2" xfId="35822"/>
    <cellStyle name="Normal 4 2 6 4 2 2" xfId="35823"/>
    <cellStyle name="Normal 4 2 6 4 2 2 2" xfId="35824"/>
    <cellStyle name="Normal 4 2 6 4 2 2 2 2" xfId="35825"/>
    <cellStyle name="Normal 4 2 6 4 2 2 3" xfId="35826"/>
    <cellStyle name="Normal 4 2 6 4 2 3" xfId="35827"/>
    <cellStyle name="Normal 4 2 6 4 2 3 2" xfId="35828"/>
    <cellStyle name="Normal 4 2 6 4 2 4" xfId="35829"/>
    <cellStyle name="Normal 4 2 6 4 3" xfId="35830"/>
    <cellStyle name="Normal 4 2 6 4 3 2" xfId="35831"/>
    <cellStyle name="Normal 4 2 6 4 3 2 2" xfId="35832"/>
    <cellStyle name="Normal 4 2 6 4 3 3" xfId="35833"/>
    <cellStyle name="Normal 4 2 6 4 4" xfId="35834"/>
    <cellStyle name="Normal 4 2 6 4 4 2" xfId="35835"/>
    <cellStyle name="Normal 4 2 6 4 5" xfId="35836"/>
    <cellStyle name="Normal 4 2 6 4 5 2" xfId="35837"/>
    <cellStyle name="Normal 4 2 6 4 6" xfId="35838"/>
    <cellStyle name="Normal 4 2 6 5" xfId="35839"/>
    <cellStyle name="Normal 4 2 6 5 2" xfId="35840"/>
    <cellStyle name="Normal 4 2 6 5 2 2" xfId="35841"/>
    <cellStyle name="Normal 4 2 6 5 2 2 2" xfId="35842"/>
    <cellStyle name="Normal 4 2 6 5 2 2 2 2" xfId="35843"/>
    <cellStyle name="Normal 4 2 6 5 2 2 3" xfId="35844"/>
    <cellStyle name="Normal 4 2 6 5 2 3" xfId="35845"/>
    <cellStyle name="Normal 4 2 6 5 2 3 2" xfId="35846"/>
    <cellStyle name="Normal 4 2 6 5 2 4" xfId="35847"/>
    <cellStyle name="Normal 4 2 6 5 3" xfId="35848"/>
    <cellStyle name="Normal 4 2 6 5 3 2" xfId="35849"/>
    <cellStyle name="Normal 4 2 6 5 3 2 2" xfId="35850"/>
    <cellStyle name="Normal 4 2 6 5 3 3" xfId="35851"/>
    <cellStyle name="Normal 4 2 6 5 4" xfId="35852"/>
    <cellStyle name="Normal 4 2 6 5 4 2" xfId="35853"/>
    <cellStyle name="Normal 4 2 6 5 5" xfId="35854"/>
    <cellStyle name="Normal 4 2 6 5 5 2" xfId="35855"/>
    <cellStyle name="Normal 4 2 6 5 6" xfId="35856"/>
    <cellStyle name="Normal 4 2 6 6" xfId="35857"/>
    <cellStyle name="Normal 4 2 6 6 2" xfId="35858"/>
    <cellStyle name="Normal 4 2 6 6 2 2" xfId="35859"/>
    <cellStyle name="Normal 4 2 6 6 2 2 2" xfId="35860"/>
    <cellStyle name="Normal 4 2 6 6 2 2 2 2" xfId="35861"/>
    <cellStyle name="Normal 4 2 6 6 2 2 3" xfId="35862"/>
    <cellStyle name="Normal 4 2 6 6 2 3" xfId="35863"/>
    <cellStyle name="Normal 4 2 6 6 2 3 2" xfId="35864"/>
    <cellStyle name="Normal 4 2 6 6 2 4" xfId="35865"/>
    <cellStyle name="Normal 4 2 6 6 3" xfId="35866"/>
    <cellStyle name="Normal 4 2 6 6 3 2" xfId="35867"/>
    <cellStyle name="Normal 4 2 6 6 3 2 2" xfId="35868"/>
    <cellStyle name="Normal 4 2 6 6 3 3" xfId="35869"/>
    <cellStyle name="Normal 4 2 6 6 4" xfId="35870"/>
    <cellStyle name="Normal 4 2 6 6 4 2" xfId="35871"/>
    <cellStyle name="Normal 4 2 6 6 5" xfId="35872"/>
    <cellStyle name="Normal 4 2 6 6 5 2" xfId="35873"/>
    <cellStyle name="Normal 4 2 6 6 6" xfId="35874"/>
    <cellStyle name="Normal 4 2 6 7" xfId="35875"/>
    <cellStyle name="Normal 4 2 6 7 2" xfId="35876"/>
    <cellStyle name="Normal 4 2 6 7 2 2" xfId="35877"/>
    <cellStyle name="Normal 4 2 6 7 2 2 2" xfId="35878"/>
    <cellStyle name="Normal 4 2 6 7 2 3" xfId="35879"/>
    <cellStyle name="Normal 4 2 6 7 3" xfId="35880"/>
    <cellStyle name="Normal 4 2 6 7 3 2" xfId="35881"/>
    <cellStyle name="Normal 4 2 6 7 4" xfId="35882"/>
    <cellStyle name="Normal 4 2 6 8" xfId="35883"/>
    <cellStyle name="Normal 4 2 6 8 2" xfId="35884"/>
    <cellStyle name="Normal 4 2 6 8 2 2" xfId="35885"/>
    <cellStyle name="Normal 4 2 6 8 3" xfId="35886"/>
    <cellStyle name="Normal 4 2 6 9" xfId="35887"/>
    <cellStyle name="Normal 4 2 6 9 2" xfId="35888"/>
    <cellStyle name="Normal 4 2 7" xfId="35889"/>
    <cellStyle name="Normal 4 2 7 2" xfId="35890"/>
    <cellStyle name="Normal 4 2 7 2 2" xfId="35891"/>
    <cellStyle name="Normal 4 2 7 2 2 2" xfId="35892"/>
    <cellStyle name="Normal 4 2 7 2 2 2 2" xfId="35893"/>
    <cellStyle name="Normal 4 2 7 2 2 2 2 2" xfId="35894"/>
    <cellStyle name="Normal 4 2 7 2 2 2 3" xfId="35895"/>
    <cellStyle name="Normal 4 2 7 2 2 3" xfId="35896"/>
    <cellStyle name="Normal 4 2 7 2 2 3 2" xfId="35897"/>
    <cellStyle name="Normal 4 2 7 2 2 4" xfId="35898"/>
    <cellStyle name="Normal 4 2 7 2 3" xfId="35899"/>
    <cellStyle name="Normal 4 2 7 2 3 2" xfId="35900"/>
    <cellStyle name="Normal 4 2 7 2 3 2 2" xfId="35901"/>
    <cellStyle name="Normal 4 2 7 2 3 3" xfId="35902"/>
    <cellStyle name="Normal 4 2 7 2 4" xfId="35903"/>
    <cellStyle name="Normal 4 2 7 2 4 2" xfId="35904"/>
    <cellStyle name="Normal 4 2 7 2 5" xfId="35905"/>
    <cellStyle name="Normal 4 2 7 2 5 2" xfId="35906"/>
    <cellStyle name="Normal 4 2 7 2 6" xfId="35907"/>
    <cellStyle name="Normal 4 2 7 3" xfId="35908"/>
    <cellStyle name="Normal 4 2 7 3 2" xfId="35909"/>
    <cellStyle name="Normal 4 2 7 3 2 2" xfId="35910"/>
    <cellStyle name="Normal 4 2 7 3 2 2 2" xfId="35911"/>
    <cellStyle name="Normal 4 2 7 3 2 2 2 2" xfId="35912"/>
    <cellStyle name="Normal 4 2 7 3 2 2 3" xfId="35913"/>
    <cellStyle name="Normal 4 2 7 3 2 3" xfId="35914"/>
    <cellStyle name="Normal 4 2 7 3 2 3 2" xfId="35915"/>
    <cellStyle name="Normal 4 2 7 3 2 4" xfId="35916"/>
    <cellStyle name="Normal 4 2 7 3 3" xfId="35917"/>
    <cellStyle name="Normal 4 2 7 3 3 2" xfId="35918"/>
    <cellStyle name="Normal 4 2 7 3 3 2 2" xfId="35919"/>
    <cellStyle name="Normal 4 2 7 3 3 3" xfId="35920"/>
    <cellStyle name="Normal 4 2 7 3 4" xfId="35921"/>
    <cellStyle name="Normal 4 2 7 3 4 2" xfId="35922"/>
    <cellStyle name="Normal 4 2 7 3 5" xfId="35923"/>
    <cellStyle name="Normal 4 2 7 3 5 2" xfId="35924"/>
    <cellStyle name="Normal 4 2 7 3 6" xfId="35925"/>
    <cellStyle name="Normal 4 2 7 4" xfId="35926"/>
    <cellStyle name="Normal 4 2 7 4 2" xfId="35927"/>
    <cellStyle name="Normal 4 2 7 4 2 2" xfId="35928"/>
    <cellStyle name="Normal 4 2 7 4 2 2 2" xfId="35929"/>
    <cellStyle name="Normal 4 2 7 4 2 3" xfId="35930"/>
    <cellStyle name="Normal 4 2 7 4 3" xfId="35931"/>
    <cellStyle name="Normal 4 2 7 4 3 2" xfId="35932"/>
    <cellStyle name="Normal 4 2 7 4 4" xfId="35933"/>
    <cellStyle name="Normal 4 2 7 5" xfId="35934"/>
    <cellStyle name="Normal 4 2 7 5 2" xfId="35935"/>
    <cellStyle name="Normal 4 2 7 5 2 2" xfId="35936"/>
    <cellStyle name="Normal 4 2 7 5 3" xfId="35937"/>
    <cellStyle name="Normal 4 2 7 6" xfId="35938"/>
    <cellStyle name="Normal 4 2 7 6 2" xfId="35939"/>
    <cellStyle name="Normal 4 2 7 7" xfId="35940"/>
    <cellStyle name="Normal 4 2 7 7 2" xfId="35941"/>
    <cellStyle name="Normal 4 2 7 8" xfId="35942"/>
    <cellStyle name="Normal 4 2 8" xfId="35943"/>
    <cellStyle name="Normal 4 2 8 2" xfId="35944"/>
    <cellStyle name="Normal 4 2 8 2 2" xfId="35945"/>
    <cellStyle name="Normal 4 2 8 2 2 2" xfId="35946"/>
    <cellStyle name="Normal 4 2 8 2 2 2 2" xfId="35947"/>
    <cellStyle name="Normal 4 2 8 2 2 2 2 2" xfId="35948"/>
    <cellStyle name="Normal 4 2 8 2 2 2 3" xfId="35949"/>
    <cellStyle name="Normal 4 2 8 2 2 3" xfId="35950"/>
    <cellStyle name="Normal 4 2 8 2 2 3 2" xfId="35951"/>
    <cellStyle name="Normal 4 2 8 2 2 4" xfId="35952"/>
    <cellStyle name="Normal 4 2 8 2 3" xfId="35953"/>
    <cellStyle name="Normal 4 2 8 2 3 2" xfId="35954"/>
    <cellStyle name="Normal 4 2 8 2 3 2 2" xfId="35955"/>
    <cellStyle name="Normal 4 2 8 2 3 3" xfId="35956"/>
    <cellStyle name="Normal 4 2 8 2 4" xfId="35957"/>
    <cellStyle name="Normal 4 2 8 2 4 2" xfId="35958"/>
    <cellStyle name="Normal 4 2 8 2 5" xfId="35959"/>
    <cellStyle name="Normal 4 2 8 2 5 2" xfId="35960"/>
    <cellStyle name="Normal 4 2 8 2 6" xfId="35961"/>
    <cellStyle name="Normal 4 2 8 3" xfId="35962"/>
    <cellStyle name="Normal 4 2 8 3 2" xfId="35963"/>
    <cellStyle name="Normal 4 2 8 3 2 2" xfId="35964"/>
    <cellStyle name="Normal 4 2 8 3 2 2 2" xfId="35965"/>
    <cellStyle name="Normal 4 2 8 3 2 2 2 2" xfId="35966"/>
    <cellStyle name="Normal 4 2 8 3 2 2 3" xfId="35967"/>
    <cellStyle name="Normal 4 2 8 3 2 3" xfId="35968"/>
    <cellStyle name="Normal 4 2 8 3 2 3 2" xfId="35969"/>
    <cellStyle name="Normal 4 2 8 3 2 4" xfId="35970"/>
    <cellStyle name="Normal 4 2 8 3 3" xfId="35971"/>
    <cellStyle name="Normal 4 2 8 3 3 2" xfId="35972"/>
    <cellStyle name="Normal 4 2 8 3 3 2 2" xfId="35973"/>
    <cellStyle name="Normal 4 2 8 3 3 3" xfId="35974"/>
    <cellStyle name="Normal 4 2 8 3 4" xfId="35975"/>
    <cellStyle name="Normal 4 2 8 3 4 2" xfId="35976"/>
    <cellStyle name="Normal 4 2 8 3 5" xfId="35977"/>
    <cellStyle name="Normal 4 2 8 3 5 2" xfId="35978"/>
    <cellStyle name="Normal 4 2 8 3 6" xfId="35979"/>
    <cellStyle name="Normal 4 2 8 4" xfId="35980"/>
    <cellStyle name="Normal 4 2 8 4 2" xfId="35981"/>
    <cellStyle name="Normal 4 2 8 4 2 2" xfId="35982"/>
    <cellStyle name="Normal 4 2 8 4 2 2 2" xfId="35983"/>
    <cellStyle name="Normal 4 2 8 4 2 3" xfId="35984"/>
    <cellStyle name="Normal 4 2 8 4 3" xfId="35985"/>
    <cellStyle name="Normal 4 2 8 4 3 2" xfId="35986"/>
    <cellStyle name="Normal 4 2 8 4 4" xfId="35987"/>
    <cellStyle name="Normal 4 2 8 5" xfId="35988"/>
    <cellStyle name="Normal 4 2 8 5 2" xfId="35989"/>
    <cellStyle name="Normal 4 2 8 5 2 2" xfId="35990"/>
    <cellStyle name="Normal 4 2 8 5 3" xfId="35991"/>
    <cellStyle name="Normal 4 2 8 6" xfId="35992"/>
    <cellStyle name="Normal 4 2 8 6 2" xfId="35993"/>
    <cellStyle name="Normal 4 2 8 7" xfId="35994"/>
    <cellStyle name="Normal 4 2 8 7 2" xfId="35995"/>
    <cellStyle name="Normal 4 2 8 8" xfId="35996"/>
    <cellStyle name="Normal 4 2 9" xfId="35997"/>
    <cellStyle name="Normal 4 2 9 2" xfId="35998"/>
    <cellStyle name="Normal 4 2 9 2 2" xfId="35999"/>
    <cellStyle name="Normal 4 2 9 2 2 2" xfId="36000"/>
    <cellStyle name="Normal 4 2 9 2 2 2 2" xfId="36001"/>
    <cellStyle name="Normal 4 2 9 2 2 3" xfId="36002"/>
    <cellStyle name="Normal 4 2 9 2 3" xfId="36003"/>
    <cellStyle name="Normal 4 2 9 2 3 2" xfId="36004"/>
    <cellStyle name="Normal 4 2 9 2 4" xfId="36005"/>
    <cellStyle name="Normal 4 2 9 3" xfId="36006"/>
    <cellStyle name="Normal 4 2 9 3 2" xfId="36007"/>
    <cellStyle name="Normal 4 2 9 3 2 2" xfId="36008"/>
    <cellStyle name="Normal 4 2 9 3 3" xfId="36009"/>
    <cellStyle name="Normal 4 2 9 4" xfId="36010"/>
    <cellStyle name="Normal 4 2 9 4 2" xfId="36011"/>
    <cellStyle name="Normal 4 2 9 5" xfId="36012"/>
    <cellStyle name="Normal 4 2 9 5 2" xfId="36013"/>
    <cellStyle name="Normal 4 2 9 6" xfId="36014"/>
    <cellStyle name="Normal 4 3" xfId="134"/>
    <cellStyle name="Normal 4 3 2" xfId="36015"/>
    <cellStyle name="Normal 4 4" xfId="36016"/>
    <cellStyle name="Normal 4 4 2" xfId="36017"/>
    <cellStyle name="Normal 4 5" xfId="36018"/>
    <cellStyle name="Normal 4 5 2" xfId="36019"/>
    <cellStyle name="Normal 4 6" xfId="36020"/>
    <cellStyle name="Normal 4 7" xfId="36021"/>
    <cellStyle name="Normal 4 7 2" xfId="36022"/>
    <cellStyle name="Normal 4 7 2 2" xfId="36023"/>
    <cellStyle name="Normal 4 7 3" xfId="36024"/>
    <cellStyle name="Normal 4 8" xfId="36025"/>
    <cellStyle name="Normal 4 9" xfId="347"/>
    <cellStyle name="Normal 4_Analysis" xfId="135"/>
    <cellStyle name="Normal 40" xfId="36026"/>
    <cellStyle name="Normal 41" xfId="36027"/>
    <cellStyle name="Normal 42" xfId="36028"/>
    <cellStyle name="Normal 43" xfId="36029"/>
    <cellStyle name="Normal 44" xfId="36030"/>
    <cellStyle name="Normal 45" xfId="36031"/>
    <cellStyle name="Normal 46" xfId="36032"/>
    <cellStyle name="Normal 47" xfId="36033"/>
    <cellStyle name="Normal 48" xfId="36034"/>
    <cellStyle name="Normal 49" xfId="36035"/>
    <cellStyle name="Normal 5" xfId="136"/>
    <cellStyle name="Normal 5 10" xfId="36036"/>
    <cellStyle name="Normal 5 10 2" xfId="36037"/>
    <cellStyle name="Normal 5 11" xfId="36038"/>
    <cellStyle name="Normal 5 12" xfId="36039"/>
    <cellStyle name="Normal 5 13" xfId="479"/>
    <cellStyle name="Normal 5 2" xfId="339"/>
    <cellStyle name="Normal 5 2 10" xfId="36040"/>
    <cellStyle name="Normal 5 2 11" xfId="594"/>
    <cellStyle name="Normal 5 2 2" xfId="595"/>
    <cellStyle name="Normal 5 2 2 10" xfId="36041"/>
    <cellStyle name="Normal 5 2 2 10 2" xfId="36042"/>
    <cellStyle name="Normal 5 2 2 11" xfId="36043"/>
    <cellStyle name="Normal 5 2 2 11 2" xfId="36044"/>
    <cellStyle name="Normal 5 2 2 12" xfId="36045"/>
    <cellStyle name="Normal 5 2 2 12 2" xfId="36046"/>
    <cellStyle name="Normal 5 2 2 13" xfId="36047"/>
    <cellStyle name="Normal 5 2 2 13 2" xfId="36048"/>
    <cellStyle name="Normal 5 2 2 14" xfId="36049"/>
    <cellStyle name="Normal 5 2 2 15" xfId="36050"/>
    <cellStyle name="Normal 5 2 2 2" xfId="36051"/>
    <cellStyle name="Normal 5 2 2 2 10" xfId="36052"/>
    <cellStyle name="Normal 5 2 2 2 10 2" xfId="36053"/>
    <cellStyle name="Normal 5 2 2 2 11" xfId="36054"/>
    <cellStyle name="Normal 5 2 2 2 11 2" xfId="36055"/>
    <cellStyle name="Normal 5 2 2 2 12" xfId="36056"/>
    <cellStyle name="Normal 5 2 2 2 12 2" xfId="36057"/>
    <cellStyle name="Normal 5 2 2 2 13" xfId="36058"/>
    <cellStyle name="Normal 5 2 2 2 14" xfId="36059"/>
    <cellStyle name="Normal 5 2 2 2 2" xfId="36060"/>
    <cellStyle name="Normal 5 2 2 2 2 10" xfId="36061"/>
    <cellStyle name="Normal 5 2 2 2 2 11" xfId="36062"/>
    <cellStyle name="Normal 5 2 2 2 2 2" xfId="36063"/>
    <cellStyle name="Normal 5 2 2 2 2 2 2" xfId="36064"/>
    <cellStyle name="Normal 5 2 2 2 2 2 2 2" xfId="36065"/>
    <cellStyle name="Normal 5 2 2 2 2 2 2 2 2" xfId="36066"/>
    <cellStyle name="Normal 5 2 2 2 2 2 2 2 2 2" xfId="36067"/>
    <cellStyle name="Normal 5 2 2 2 2 2 2 2 3" xfId="36068"/>
    <cellStyle name="Normal 5 2 2 2 2 2 2 3" xfId="36069"/>
    <cellStyle name="Normal 5 2 2 2 2 2 2 3 2" xfId="36070"/>
    <cellStyle name="Normal 5 2 2 2 2 2 2 4" xfId="36071"/>
    <cellStyle name="Normal 5 2 2 2 2 2 3" xfId="36072"/>
    <cellStyle name="Normal 5 2 2 2 2 2 3 2" xfId="36073"/>
    <cellStyle name="Normal 5 2 2 2 2 2 3 2 2" xfId="36074"/>
    <cellStyle name="Normal 5 2 2 2 2 2 3 3" xfId="36075"/>
    <cellStyle name="Normal 5 2 2 2 2 2 4" xfId="36076"/>
    <cellStyle name="Normal 5 2 2 2 2 2 4 2" xfId="36077"/>
    <cellStyle name="Normal 5 2 2 2 2 2 5" xfId="36078"/>
    <cellStyle name="Normal 5 2 2 2 2 2 5 2" xfId="36079"/>
    <cellStyle name="Normal 5 2 2 2 2 2 6" xfId="36080"/>
    <cellStyle name="Normal 5 2 2 2 2 2 6 2" xfId="36081"/>
    <cellStyle name="Normal 5 2 2 2 2 2 7" xfId="36082"/>
    <cellStyle name="Normal 5 2 2 2 2 2 7 2" xfId="36083"/>
    <cellStyle name="Normal 5 2 2 2 2 2 8" xfId="36084"/>
    <cellStyle name="Normal 5 2 2 2 2 2 9" xfId="36085"/>
    <cellStyle name="Normal 5 2 2 2 2 3" xfId="36086"/>
    <cellStyle name="Normal 5 2 2 2 2 3 2" xfId="36087"/>
    <cellStyle name="Normal 5 2 2 2 2 3 2 2" xfId="36088"/>
    <cellStyle name="Normal 5 2 2 2 2 3 2 2 2" xfId="36089"/>
    <cellStyle name="Normal 5 2 2 2 2 3 2 2 2 2" xfId="36090"/>
    <cellStyle name="Normal 5 2 2 2 2 3 2 2 3" xfId="36091"/>
    <cellStyle name="Normal 5 2 2 2 2 3 2 3" xfId="36092"/>
    <cellStyle name="Normal 5 2 2 2 2 3 2 3 2" xfId="36093"/>
    <cellStyle name="Normal 5 2 2 2 2 3 2 4" xfId="36094"/>
    <cellStyle name="Normal 5 2 2 2 2 3 3" xfId="36095"/>
    <cellStyle name="Normal 5 2 2 2 2 3 3 2" xfId="36096"/>
    <cellStyle name="Normal 5 2 2 2 2 3 3 2 2" xfId="36097"/>
    <cellStyle name="Normal 5 2 2 2 2 3 3 3" xfId="36098"/>
    <cellStyle name="Normal 5 2 2 2 2 3 4" xfId="36099"/>
    <cellStyle name="Normal 5 2 2 2 2 3 4 2" xfId="36100"/>
    <cellStyle name="Normal 5 2 2 2 2 3 5" xfId="36101"/>
    <cellStyle name="Normal 5 2 2 2 2 3 5 2" xfId="36102"/>
    <cellStyle name="Normal 5 2 2 2 2 3 6" xfId="36103"/>
    <cellStyle name="Normal 5 2 2 2 2 4" xfId="36104"/>
    <cellStyle name="Normal 5 2 2 2 2 4 2" xfId="36105"/>
    <cellStyle name="Normal 5 2 2 2 2 4 2 2" xfId="36106"/>
    <cellStyle name="Normal 5 2 2 2 2 4 2 2 2" xfId="36107"/>
    <cellStyle name="Normal 5 2 2 2 2 4 2 3" xfId="36108"/>
    <cellStyle name="Normal 5 2 2 2 2 4 3" xfId="36109"/>
    <cellStyle name="Normal 5 2 2 2 2 4 3 2" xfId="36110"/>
    <cellStyle name="Normal 5 2 2 2 2 4 4" xfId="36111"/>
    <cellStyle name="Normal 5 2 2 2 2 5" xfId="36112"/>
    <cellStyle name="Normal 5 2 2 2 2 5 2" xfId="36113"/>
    <cellStyle name="Normal 5 2 2 2 2 5 2 2" xfId="36114"/>
    <cellStyle name="Normal 5 2 2 2 2 5 3" xfId="36115"/>
    <cellStyle name="Normal 5 2 2 2 2 6" xfId="36116"/>
    <cellStyle name="Normal 5 2 2 2 2 6 2" xfId="36117"/>
    <cellStyle name="Normal 5 2 2 2 2 7" xfId="36118"/>
    <cellStyle name="Normal 5 2 2 2 2 7 2" xfId="36119"/>
    <cellStyle name="Normal 5 2 2 2 2 8" xfId="36120"/>
    <cellStyle name="Normal 5 2 2 2 2 8 2" xfId="36121"/>
    <cellStyle name="Normal 5 2 2 2 2 9" xfId="36122"/>
    <cellStyle name="Normal 5 2 2 2 2 9 2" xfId="36123"/>
    <cellStyle name="Normal 5 2 2 2 3" xfId="36124"/>
    <cellStyle name="Normal 5 2 2 2 3 10" xfId="36125"/>
    <cellStyle name="Normal 5 2 2 2 3 11" xfId="36126"/>
    <cellStyle name="Normal 5 2 2 2 3 2" xfId="36127"/>
    <cellStyle name="Normal 5 2 2 2 3 2 2" xfId="36128"/>
    <cellStyle name="Normal 5 2 2 2 3 2 2 2" xfId="36129"/>
    <cellStyle name="Normal 5 2 2 2 3 2 2 2 2" xfId="36130"/>
    <cellStyle name="Normal 5 2 2 2 3 2 2 2 2 2" xfId="36131"/>
    <cellStyle name="Normal 5 2 2 2 3 2 2 2 3" xfId="36132"/>
    <cellStyle name="Normal 5 2 2 2 3 2 2 3" xfId="36133"/>
    <cellStyle name="Normal 5 2 2 2 3 2 2 3 2" xfId="36134"/>
    <cellStyle name="Normal 5 2 2 2 3 2 2 4" xfId="36135"/>
    <cellStyle name="Normal 5 2 2 2 3 2 3" xfId="36136"/>
    <cellStyle name="Normal 5 2 2 2 3 2 3 2" xfId="36137"/>
    <cellStyle name="Normal 5 2 2 2 3 2 3 2 2" xfId="36138"/>
    <cellStyle name="Normal 5 2 2 2 3 2 3 3" xfId="36139"/>
    <cellStyle name="Normal 5 2 2 2 3 2 4" xfId="36140"/>
    <cellStyle name="Normal 5 2 2 2 3 2 4 2" xfId="36141"/>
    <cellStyle name="Normal 5 2 2 2 3 2 5" xfId="36142"/>
    <cellStyle name="Normal 5 2 2 2 3 2 5 2" xfId="36143"/>
    <cellStyle name="Normal 5 2 2 2 3 2 6" xfId="36144"/>
    <cellStyle name="Normal 5 2 2 2 3 3" xfId="36145"/>
    <cellStyle name="Normal 5 2 2 2 3 3 2" xfId="36146"/>
    <cellStyle name="Normal 5 2 2 2 3 3 2 2" xfId="36147"/>
    <cellStyle name="Normal 5 2 2 2 3 3 2 2 2" xfId="36148"/>
    <cellStyle name="Normal 5 2 2 2 3 3 2 2 2 2" xfId="36149"/>
    <cellStyle name="Normal 5 2 2 2 3 3 2 2 3" xfId="36150"/>
    <cellStyle name="Normal 5 2 2 2 3 3 2 3" xfId="36151"/>
    <cellStyle name="Normal 5 2 2 2 3 3 2 3 2" xfId="36152"/>
    <cellStyle name="Normal 5 2 2 2 3 3 2 4" xfId="36153"/>
    <cellStyle name="Normal 5 2 2 2 3 3 3" xfId="36154"/>
    <cellStyle name="Normal 5 2 2 2 3 3 3 2" xfId="36155"/>
    <cellStyle name="Normal 5 2 2 2 3 3 3 2 2" xfId="36156"/>
    <cellStyle name="Normal 5 2 2 2 3 3 3 3" xfId="36157"/>
    <cellStyle name="Normal 5 2 2 2 3 3 4" xfId="36158"/>
    <cellStyle name="Normal 5 2 2 2 3 3 4 2" xfId="36159"/>
    <cellStyle name="Normal 5 2 2 2 3 3 5" xfId="36160"/>
    <cellStyle name="Normal 5 2 2 2 3 3 5 2" xfId="36161"/>
    <cellStyle name="Normal 5 2 2 2 3 3 6" xfId="36162"/>
    <cellStyle name="Normal 5 2 2 2 3 4" xfId="36163"/>
    <cellStyle name="Normal 5 2 2 2 3 4 2" xfId="36164"/>
    <cellStyle name="Normal 5 2 2 2 3 4 2 2" xfId="36165"/>
    <cellStyle name="Normal 5 2 2 2 3 4 2 2 2" xfId="36166"/>
    <cellStyle name="Normal 5 2 2 2 3 4 2 3" xfId="36167"/>
    <cellStyle name="Normal 5 2 2 2 3 4 3" xfId="36168"/>
    <cellStyle name="Normal 5 2 2 2 3 4 3 2" xfId="36169"/>
    <cellStyle name="Normal 5 2 2 2 3 4 4" xfId="36170"/>
    <cellStyle name="Normal 5 2 2 2 3 5" xfId="36171"/>
    <cellStyle name="Normal 5 2 2 2 3 5 2" xfId="36172"/>
    <cellStyle name="Normal 5 2 2 2 3 5 2 2" xfId="36173"/>
    <cellStyle name="Normal 5 2 2 2 3 5 3" xfId="36174"/>
    <cellStyle name="Normal 5 2 2 2 3 6" xfId="36175"/>
    <cellStyle name="Normal 5 2 2 2 3 6 2" xfId="36176"/>
    <cellStyle name="Normal 5 2 2 2 3 7" xfId="36177"/>
    <cellStyle name="Normal 5 2 2 2 3 7 2" xfId="36178"/>
    <cellStyle name="Normal 5 2 2 2 3 8" xfId="36179"/>
    <cellStyle name="Normal 5 2 2 2 3 8 2" xfId="36180"/>
    <cellStyle name="Normal 5 2 2 2 3 9" xfId="36181"/>
    <cellStyle name="Normal 5 2 2 2 3 9 2" xfId="36182"/>
    <cellStyle name="Normal 5 2 2 2 4" xfId="36183"/>
    <cellStyle name="Normal 5 2 2 2 4 2" xfId="36184"/>
    <cellStyle name="Normal 5 2 2 2 4 2 2" xfId="36185"/>
    <cellStyle name="Normal 5 2 2 2 4 2 2 2" xfId="36186"/>
    <cellStyle name="Normal 5 2 2 2 4 2 2 2 2" xfId="36187"/>
    <cellStyle name="Normal 5 2 2 2 4 2 2 3" xfId="36188"/>
    <cellStyle name="Normal 5 2 2 2 4 2 3" xfId="36189"/>
    <cellStyle name="Normal 5 2 2 2 4 2 3 2" xfId="36190"/>
    <cellStyle name="Normal 5 2 2 2 4 2 4" xfId="36191"/>
    <cellStyle name="Normal 5 2 2 2 4 3" xfId="36192"/>
    <cellStyle name="Normal 5 2 2 2 4 3 2" xfId="36193"/>
    <cellStyle name="Normal 5 2 2 2 4 3 2 2" xfId="36194"/>
    <cellStyle name="Normal 5 2 2 2 4 3 3" xfId="36195"/>
    <cellStyle name="Normal 5 2 2 2 4 4" xfId="36196"/>
    <cellStyle name="Normal 5 2 2 2 4 4 2" xfId="36197"/>
    <cellStyle name="Normal 5 2 2 2 4 5" xfId="36198"/>
    <cellStyle name="Normal 5 2 2 2 4 5 2" xfId="36199"/>
    <cellStyle name="Normal 5 2 2 2 4 6" xfId="36200"/>
    <cellStyle name="Normal 5 2 2 2 5" xfId="36201"/>
    <cellStyle name="Normal 5 2 2 2 5 2" xfId="36202"/>
    <cellStyle name="Normal 5 2 2 2 5 2 2" xfId="36203"/>
    <cellStyle name="Normal 5 2 2 2 5 2 2 2" xfId="36204"/>
    <cellStyle name="Normal 5 2 2 2 5 2 2 2 2" xfId="36205"/>
    <cellStyle name="Normal 5 2 2 2 5 2 2 3" xfId="36206"/>
    <cellStyle name="Normal 5 2 2 2 5 2 3" xfId="36207"/>
    <cellStyle name="Normal 5 2 2 2 5 2 3 2" xfId="36208"/>
    <cellStyle name="Normal 5 2 2 2 5 2 4" xfId="36209"/>
    <cellStyle name="Normal 5 2 2 2 5 3" xfId="36210"/>
    <cellStyle name="Normal 5 2 2 2 5 3 2" xfId="36211"/>
    <cellStyle name="Normal 5 2 2 2 5 3 2 2" xfId="36212"/>
    <cellStyle name="Normal 5 2 2 2 5 3 3" xfId="36213"/>
    <cellStyle name="Normal 5 2 2 2 5 4" xfId="36214"/>
    <cellStyle name="Normal 5 2 2 2 5 4 2" xfId="36215"/>
    <cellStyle name="Normal 5 2 2 2 5 5" xfId="36216"/>
    <cellStyle name="Normal 5 2 2 2 5 5 2" xfId="36217"/>
    <cellStyle name="Normal 5 2 2 2 5 6" xfId="36218"/>
    <cellStyle name="Normal 5 2 2 2 6" xfId="36219"/>
    <cellStyle name="Normal 5 2 2 2 6 2" xfId="36220"/>
    <cellStyle name="Normal 5 2 2 2 6 2 2" xfId="36221"/>
    <cellStyle name="Normal 5 2 2 2 6 2 2 2" xfId="36222"/>
    <cellStyle name="Normal 5 2 2 2 6 2 2 2 2" xfId="36223"/>
    <cellStyle name="Normal 5 2 2 2 6 2 2 3" xfId="36224"/>
    <cellStyle name="Normal 5 2 2 2 6 2 3" xfId="36225"/>
    <cellStyle name="Normal 5 2 2 2 6 2 3 2" xfId="36226"/>
    <cellStyle name="Normal 5 2 2 2 6 2 4" xfId="36227"/>
    <cellStyle name="Normal 5 2 2 2 6 3" xfId="36228"/>
    <cellStyle name="Normal 5 2 2 2 6 3 2" xfId="36229"/>
    <cellStyle name="Normal 5 2 2 2 6 3 2 2" xfId="36230"/>
    <cellStyle name="Normal 5 2 2 2 6 3 3" xfId="36231"/>
    <cellStyle name="Normal 5 2 2 2 6 4" xfId="36232"/>
    <cellStyle name="Normal 5 2 2 2 6 4 2" xfId="36233"/>
    <cellStyle name="Normal 5 2 2 2 6 5" xfId="36234"/>
    <cellStyle name="Normal 5 2 2 2 6 5 2" xfId="36235"/>
    <cellStyle name="Normal 5 2 2 2 6 6" xfId="36236"/>
    <cellStyle name="Normal 5 2 2 2 7" xfId="36237"/>
    <cellStyle name="Normal 5 2 2 2 7 2" xfId="36238"/>
    <cellStyle name="Normal 5 2 2 2 7 2 2" xfId="36239"/>
    <cellStyle name="Normal 5 2 2 2 7 2 2 2" xfId="36240"/>
    <cellStyle name="Normal 5 2 2 2 7 2 3" xfId="36241"/>
    <cellStyle name="Normal 5 2 2 2 7 3" xfId="36242"/>
    <cellStyle name="Normal 5 2 2 2 7 3 2" xfId="36243"/>
    <cellStyle name="Normal 5 2 2 2 7 4" xfId="36244"/>
    <cellStyle name="Normal 5 2 2 2 8" xfId="36245"/>
    <cellStyle name="Normal 5 2 2 2 8 2" xfId="36246"/>
    <cellStyle name="Normal 5 2 2 2 8 2 2" xfId="36247"/>
    <cellStyle name="Normal 5 2 2 2 8 3" xfId="36248"/>
    <cellStyle name="Normal 5 2 2 2 9" xfId="36249"/>
    <cellStyle name="Normal 5 2 2 2 9 2" xfId="36250"/>
    <cellStyle name="Normal 5 2 2 3" xfId="36251"/>
    <cellStyle name="Normal 5 2 2 3 10" xfId="36252"/>
    <cellStyle name="Normal 5 2 2 3 11" xfId="36253"/>
    <cellStyle name="Normal 5 2 2 3 2" xfId="36254"/>
    <cellStyle name="Normal 5 2 2 3 2 2" xfId="36255"/>
    <cellStyle name="Normal 5 2 2 3 2 2 2" xfId="36256"/>
    <cellStyle name="Normal 5 2 2 3 2 2 2 2" xfId="36257"/>
    <cellStyle name="Normal 5 2 2 3 2 2 2 2 2" xfId="36258"/>
    <cellStyle name="Normal 5 2 2 3 2 2 2 3" xfId="36259"/>
    <cellStyle name="Normal 5 2 2 3 2 2 3" xfId="36260"/>
    <cellStyle name="Normal 5 2 2 3 2 2 3 2" xfId="36261"/>
    <cellStyle name="Normal 5 2 2 3 2 2 4" xfId="36262"/>
    <cellStyle name="Normal 5 2 2 3 2 2 4 2" xfId="36263"/>
    <cellStyle name="Normal 5 2 2 3 2 2 5" xfId="36264"/>
    <cellStyle name="Normal 5 2 2 3 2 2 5 2" xfId="36265"/>
    <cellStyle name="Normal 5 2 2 3 2 2 6" xfId="36266"/>
    <cellStyle name="Normal 5 2 2 3 2 2 7" xfId="36267"/>
    <cellStyle name="Normal 5 2 2 3 2 3" xfId="36268"/>
    <cellStyle name="Normal 5 2 2 3 2 3 2" xfId="36269"/>
    <cellStyle name="Normal 5 2 2 3 2 3 2 2" xfId="36270"/>
    <cellStyle name="Normal 5 2 2 3 2 3 3" xfId="36271"/>
    <cellStyle name="Normal 5 2 2 3 2 4" xfId="36272"/>
    <cellStyle name="Normal 5 2 2 3 2 4 2" xfId="36273"/>
    <cellStyle name="Normal 5 2 2 3 2 5" xfId="36274"/>
    <cellStyle name="Normal 5 2 2 3 2 5 2" xfId="36275"/>
    <cellStyle name="Normal 5 2 2 3 2 6" xfId="36276"/>
    <cellStyle name="Normal 5 2 2 3 2 6 2" xfId="36277"/>
    <cellStyle name="Normal 5 2 2 3 2 7" xfId="36278"/>
    <cellStyle name="Normal 5 2 2 3 2 7 2" xfId="36279"/>
    <cellStyle name="Normal 5 2 2 3 2 8" xfId="36280"/>
    <cellStyle name="Normal 5 2 2 3 2 9" xfId="36281"/>
    <cellStyle name="Normal 5 2 2 3 3" xfId="36282"/>
    <cellStyle name="Normal 5 2 2 3 3 2" xfId="36283"/>
    <cellStyle name="Normal 5 2 2 3 3 2 2" xfId="36284"/>
    <cellStyle name="Normal 5 2 2 3 3 2 2 2" xfId="36285"/>
    <cellStyle name="Normal 5 2 2 3 3 2 2 2 2" xfId="36286"/>
    <cellStyle name="Normal 5 2 2 3 3 2 2 3" xfId="36287"/>
    <cellStyle name="Normal 5 2 2 3 3 2 3" xfId="36288"/>
    <cellStyle name="Normal 5 2 2 3 3 2 3 2" xfId="36289"/>
    <cellStyle name="Normal 5 2 2 3 3 2 4" xfId="36290"/>
    <cellStyle name="Normal 5 2 2 3 3 3" xfId="36291"/>
    <cellStyle name="Normal 5 2 2 3 3 3 2" xfId="36292"/>
    <cellStyle name="Normal 5 2 2 3 3 3 2 2" xfId="36293"/>
    <cellStyle name="Normal 5 2 2 3 3 3 3" xfId="36294"/>
    <cellStyle name="Normal 5 2 2 3 3 4" xfId="36295"/>
    <cellStyle name="Normal 5 2 2 3 3 4 2" xfId="36296"/>
    <cellStyle name="Normal 5 2 2 3 3 5" xfId="36297"/>
    <cellStyle name="Normal 5 2 2 3 3 5 2" xfId="36298"/>
    <cellStyle name="Normal 5 2 2 3 3 6" xfId="36299"/>
    <cellStyle name="Normal 5 2 2 3 3 6 2" xfId="36300"/>
    <cellStyle name="Normal 5 2 2 3 3 7" xfId="36301"/>
    <cellStyle name="Normal 5 2 2 3 3 7 2" xfId="36302"/>
    <cellStyle name="Normal 5 2 2 3 3 8" xfId="36303"/>
    <cellStyle name="Normal 5 2 2 3 3 9" xfId="36304"/>
    <cellStyle name="Normal 5 2 2 3 4" xfId="36305"/>
    <cellStyle name="Normal 5 2 2 3 4 2" xfId="36306"/>
    <cellStyle name="Normal 5 2 2 3 4 2 2" xfId="36307"/>
    <cellStyle name="Normal 5 2 2 3 4 2 2 2" xfId="36308"/>
    <cellStyle name="Normal 5 2 2 3 4 2 3" xfId="36309"/>
    <cellStyle name="Normal 5 2 2 3 4 3" xfId="36310"/>
    <cellStyle name="Normal 5 2 2 3 4 3 2" xfId="36311"/>
    <cellStyle name="Normal 5 2 2 3 4 4" xfId="36312"/>
    <cellStyle name="Normal 5 2 2 3 5" xfId="36313"/>
    <cellStyle name="Normal 5 2 2 3 5 2" xfId="36314"/>
    <cellStyle name="Normal 5 2 2 3 5 2 2" xfId="36315"/>
    <cellStyle name="Normal 5 2 2 3 5 3" xfId="36316"/>
    <cellStyle name="Normal 5 2 2 3 6" xfId="36317"/>
    <cellStyle name="Normal 5 2 2 3 6 2" xfId="36318"/>
    <cellStyle name="Normal 5 2 2 3 7" xfId="36319"/>
    <cellStyle name="Normal 5 2 2 3 7 2" xfId="36320"/>
    <cellStyle name="Normal 5 2 2 3 8" xfId="36321"/>
    <cellStyle name="Normal 5 2 2 3 8 2" xfId="36322"/>
    <cellStyle name="Normal 5 2 2 3 9" xfId="36323"/>
    <cellStyle name="Normal 5 2 2 3 9 2" xfId="36324"/>
    <cellStyle name="Normal 5 2 2 4" xfId="36325"/>
    <cellStyle name="Normal 5 2 2 4 10" xfId="36326"/>
    <cellStyle name="Normal 5 2 2 4 11" xfId="36327"/>
    <cellStyle name="Normal 5 2 2 4 2" xfId="36328"/>
    <cellStyle name="Normal 5 2 2 4 2 2" xfId="36329"/>
    <cellStyle name="Normal 5 2 2 4 2 2 2" xfId="36330"/>
    <cellStyle name="Normal 5 2 2 4 2 2 2 2" xfId="36331"/>
    <cellStyle name="Normal 5 2 2 4 2 2 2 2 2" xfId="36332"/>
    <cellStyle name="Normal 5 2 2 4 2 2 2 3" xfId="36333"/>
    <cellStyle name="Normal 5 2 2 4 2 2 3" xfId="36334"/>
    <cellStyle name="Normal 5 2 2 4 2 2 3 2" xfId="36335"/>
    <cellStyle name="Normal 5 2 2 4 2 2 4" xfId="36336"/>
    <cellStyle name="Normal 5 2 2 4 2 3" xfId="36337"/>
    <cellStyle name="Normal 5 2 2 4 2 3 2" xfId="36338"/>
    <cellStyle name="Normal 5 2 2 4 2 3 2 2" xfId="36339"/>
    <cellStyle name="Normal 5 2 2 4 2 3 3" xfId="36340"/>
    <cellStyle name="Normal 5 2 2 4 2 4" xfId="36341"/>
    <cellStyle name="Normal 5 2 2 4 2 4 2" xfId="36342"/>
    <cellStyle name="Normal 5 2 2 4 2 5" xfId="36343"/>
    <cellStyle name="Normal 5 2 2 4 2 5 2" xfId="36344"/>
    <cellStyle name="Normal 5 2 2 4 2 6" xfId="36345"/>
    <cellStyle name="Normal 5 2 2 4 2 6 2" xfId="36346"/>
    <cellStyle name="Normal 5 2 2 4 2 7" xfId="36347"/>
    <cellStyle name="Normal 5 2 2 4 2 7 2" xfId="36348"/>
    <cellStyle name="Normal 5 2 2 4 2 8" xfId="36349"/>
    <cellStyle name="Normal 5 2 2 4 2 9" xfId="36350"/>
    <cellStyle name="Normal 5 2 2 4 3" xfId="36351"/>
    <cellStyle name="Normal 5 2 2 4 3 2" xfId="36352"/>
    <cellStyle name="Normal 5 2 2 4 3 2 2" xfId="36353"/>
    <cellStyle name="Normal 5 2 2 4 3 2 2 2" xfId="36354"/>
    <cellStyle name="Normal 5 2 2 4 3 2 2 2 2" xfId="36355"/>
    <cellStyle name="Normal 5 2 2 4 3 2 2 3" xfId="36356"/>
    <cellStyle name="Normal 5 2 2 4 3 2 3" xfId="36357"/>
    <cellStyle name="Normal 5 2 2 4 3 2 3 2" xfId="36358"/>
    <cellStyle name="Normal 5 2 2 4 3 2 4" xfId="36359"/>
    <cellStyle name="Normal 5 2 2 4 3 3" xfId="36360"/>
    <cellStyle name="Normal 5 2 2 4 3 3 2" xfId="36361"/>
    <cellStyle name="Normal 5 2 2 4 3 3 2 2" xfId="36362"/>
    <cellStyle name="Normal 5 2 2 4 3 3 3" xfId="36363"/>
    <cellStyle name="Normal 5 2 2 4 3 4" xfId="36364"/>
    <cellStyle name="Normal 5 2 2 4 3 4 2" xfId="36365"/>
    <cellStyle name="Normal 5 2 2 4 3 5" xfId="36366"/>
    <cellStyle name="Normal 5 2 2 4 3 5 2" xfId="36367"/>
    <cellStyle name="Normal 5 2 2 4 3 6" xfId="36368"/>
    <cellStyle name="Normal 5 2 2 4 4" xfId="36369"/>
    <cellStyle name="Normal 5 2 2 4 4 2" xfId="36370"/>
    <cellStyle name="Normal 5 2 2 4 4 2 2" xfId="36371"/>
    <cellStyle name="Normal 5 2 2 4 4 2 2 2" xfId="36372"/>
    <cellStyle name="Normal 5 2 2 4 4 2 3" xfId="36373"/>
    <cellStyle name="Normal 5 2 2 4 4 3" xfId="36374"/>
    <cellStyle name="Normal 5 2 2 4 4 3 2" xfId="36375"/>
    <cellStyle name="Normal 5 2 2 4 4 4" xfId="36376"/>
    <cellStyle name="Normal 5 2 2 4 5" xfId="36377"/>
    <cellStyle name="Normal 5 2 2 4 5 2" xfId="36378"/>
    <cellStyle name="Normal 5 2 2 4 5 2 2" xfId="36379"/>
    <cellStyle name="Normal 5 2 2 4 5 3" xfId="36380"/>
    <cellStyle name="Normal 5 2 2 4 6" xfId="36381"/>
    <cellStyle name="Normal 5 2 2 4 6 2" xfId="36382"/>
    <cellStyle name="Normal 5 2 2 4 7" xfId="36383"/>
    <cellStyle name="Normal 5 2 2 4 7 2" xfId="36384"/>
    <cellStyle name="Normal 5 2 2 4 8" xfId="36385"/>
    <cellStyle name="Normal 5 2 2 4 8 2" xfId="36386"/>
    <cellStyle name="Normal 5 2 2 4 9" xfId="36387"/>
    <cellStyle name="Normal 5 2 2 4 9 2" xfId="36388"/>
    <cellStyle name="Normal 5 2 2 5" xfId="36389"/>
    <cellStyle name="Normal 5 2 2 5 2" xfId="36390"/>
    <cellStyle name="Normal 5 2 2 5 2 2" xfId="36391"/>
    <cellStyle name="Normal 5 2 2 5 2 2 2" xfId="36392"/>
    <cellStyle name="Normal 5 2 2 5 2 2 2 2" xfId="36393"/>
    <cellStyle name="Normal 5 2 2 5 2 2 3" xfId="36394"/>
    <cellStyle name="Normal 5 2 2 5 2 3" xfId="36395"/>
    <cellStyle name="Normal 5 2 2 5 2 3 2" xfId="36396"/>
    <cellStyle name="Normal 5 2 2 5 2 4" xfId="36397"/>
    <cellStyle name="Normal 5 2 2 5 3" xfId="36398"/>
    <cellStyle name="Normal 5 2 2 5 3 2" xfId="36399"/>
    <cellStyle name="Normal 5 2 2 5 3 2 2" xfId="36400"/>
    <cellStyle name="Normal 5 2 2 5 3 3" xfId="36401"/>
    <cellStyle name="Normal 5 2 2 5 4" xfId="36402"/>
    <cellStyle name="Normal 5 2 2 5 4 2" xfId="36403"/>
    <cellStyle name="Normal 5 2 2 5 5" xfId="36404"/>
    <cellStyle name="Normal 5 2 2 5 5 2" xfId="36405"/>
    <cellStyle name="Normal 5 2 2 5 6" xfId="36406"/>
    <cellStyle name="Normal 5 2 2 5 6 2" xfId="36407"/>
    <cellStyle name="Normal 5 2 2 5 7" xfId="36408"/>
    <cellStyle name="Normal 5 2 2 5 7 2" xfId="36409"/>
    <cellStyle name="Normal 5 2 2 5 8" xfId="36410"/>
    <cellStyle name="Normal 5 2 2 5 9" xfId="36411"/>
    <cellStyle name="Normal 5 2 2 6" xfId="36412"/>
    <cellStyle name="Normal 5 2 2 6 2" xfId="36413"/>
    <cellStyle name="Normal 5 2 2 6 2 2" xfId="36414"/>
    <cellStyle name="Normal 5 2 2 6 2 2 2" xfId="36415"/>
    <cellStyle name="Normal 5 2 2 6 2 2 2 2" xfId="36416"/>
    <cellStyle name="Normal 5 2 2 6 2 2 3" xfId="36417"/>
    <cellStyle name="Normal 5 2 2 6 2 3" xfId="36418"/>
    <cellStyle name="Normal 5 2 2 6 2 3 2" xfId="36419"/>
    <cellStyle name="Normal 5 2 2 6 2 4" xfId="36420"/>
    <cellStyle name="Normal 5 2 2 6 3" xfId="36421"/>
    <cellStyle name="Normal 5 2 2 6 3 2" xfId="36422"/>
    <cellStyle name="Normal 5 2 2 6 3 2 2" xfId="36423"/>
    <cellStyle name="Normal 5 2 2 6 3 3" xfId="36424"/>
    <cellStyle name="Normal 5 2 2 6 4" xfId="36425"/>
    <cellStyle name="Normal 5 2 2 6 4 2" xfId="36426"/>
    <cellStyle name="Normal 5 2 2 6 5" xfId="36427"/>
    <cellStyle name="Normal 5 2 2 6 5 2" xfId="36428"/>
    <cellStyle name="Normal 5 2 2 6 6" xfId="36429"/>
    <cellStyle name="Normal 5 2 2 7" xfId="36430"/>
    <cellStyle name="Normal 5 2 2 7 2" xfId="36431"/>
    <cellStyle name="Normal 5 2 2 7 2 2" xfId="36432"/>
    <cellStyle name="Normal 5 2 2 7 2 2 2" xfId="36433"/>
    <cellStyle name="Normal 5 2 2 7 2 2 2 2" xfId="36434"/>
    <cellStyle name="Normal 5 2 2 7 2 2 3" xfId="36435"/>
    <cellStyle name="Normal 5 2 2 7 2 3" xfId="36436"/>
    <cellStyle name="Normal 5 2 2 7 2 3 2" xfId="36437"/>
    <cellStyle name="Normal 5 2 2 7 2 4" xfId="36438"/>
    <cellStyle name="Normal 5 2 2 7 3" xfId="36439"/>
    <cellStyle name="Normal 5 2 2 7 3 2" xfId="36440"/>
    <cellStyle name="Normal 5 2 2 7 3 2 2" xfId="36441"/>
    <cellStyle name="Normal 5 2 2 7 3 3" xfId="36442"/>
    <cellStyle name="Normal 5 2 2 7 4" xfId="36443"/>
    <cellStyle name="Normal 5 2 2 7 4 2" xfId="36444"/>
    <cellStyle name="Normal 5 2 2 7 5" xfId="36445"/>
    <cellStyle name="Normal 5 2 2 7 5 2" xfId="36446"/>
    <cellStyle name="Normal 5 2 2 7 6" xfId="36447"/>
    <cellStyle name="Normal 5 2 2 8" xfId="36448"/>
    <cellStyle name="Normal 5 2 2 8 2" xfId="36449"/>
    <cellStyle name="Normal 5 2 2 8 2 2" xfId="36450"/>
    <cellStyle name="Normal 5 2 2 8 2 2 2" xfId="36451"/>
    <cellStyle name="Normal 5 2 2 8 2 3" xfId="36452"/>
    <cellStyle name="Normal 5 2 2 8 3" xfId="36453"/>
    <cellStyle name="Normal 5 2 2 8 3 2" xfId="36454"/>
    <cellStyle name="Normal 5 2 2 8 4" xfId="36455"/>
    <cellStyle name="Normal 5 2 2 9" xfId="36456"/>
    <cellStyle name="Normal 5 2 2 9 2" xfId="36457"/>
    <cellStyle name="Normal 5 2 2 9 2 2" xfId="36458"/>
    <cellStyle name="Normal 5 2 2 9 3" xfId="36459"/>
    <cellStyle name="Normal 5 2 3" xfId="36460"/>
    <cellStyle name="Normal 5 2 3 2" xfId="36461"/>
    <cellStyle name="Normal 5 2 3 2 2" xfId="36462"/>
    <cellStyle name="Normal 5 2 3 2 2 2" xfId="36463"/>
    <cellStyle name="Normal 5 2 3 2 2 2 2" xfId="36464"/>
    <cellStyle name="Normal 5 2 3 2 2 3" xfId="36465"/>
    <cellStyle name="Normal 5 2 3 2 2 4" xfId="36466"/>
    <cellStyle name="Normal 5 2 3 2 3" xfId="36467"/>
    <cellStyle name="Normal 5 2 3 2 3 2" xfId="36468"/>
    <cellStyle name="Normal 5 2 3 2 4" xfId="36469"/>
    <cellStyle name="Normal 5 2 3 2 5" xfId="36470"/>
    <cellStyle name="Normal 5 2 3 3" xfId="36471"/>
    <cellStyle name="Normal 5 2 3 3 2" xfId="36472"/>
    <cellStyle name="Normal 5 2 3 3 2 2" xfId="36473"/>
    <cellStyle name="Normal 5 2 3 3 3" xfId="36474"/>
    <cellStyle name="Normal 5 2 3 3 4" xfId="36475"/>
    <cellStyle name="Normal 5 2 3 4" xfId="36476"/>
    <cellStyle name="Normal 5 2 3 5" xfId="36477"/>
    <cellStyle name="Normal 5 2 3 5 2" xfId="36478"/>
    <cellStyle name="Normal 5 2 3 6" xfId="36479"/>
    <cellStyle name="Normal 5 2 3 7" xfId="36480"/>
    <cellStyle name="Normal 5 2 4" xfId="36481"/>
    <cellStyle name="Normal 5 2 4 10" xfId="36482"/>
    <cellStyle name="Normal 5 2 4 10 2" xfId="36483"/>
    <cellStyle name="Normal 5 2 4 11" xfId="36484"/>
    <cellStyle name="Normal 5 2 4 11 2" xfId="36485"/>
    <cellStyle name="Normal 5 2 4 12" xfId="36486"/>
    <cellStyle name="Normal 5 2 4 12 2" xfId="36487"/>
    <cellStyle name="Normal 5 2 4 13" xfId="36488"/>
    <cellStyle name="Normal 5 2 4 13 2" xfId="36489"/>
    <cellStyle name="Normal 5 2 4 14" xfId="36490"/>
    <cellStyle name="Normal 5 2 4 15" xfId="36491"/>
    <cellStyle name="Normal 5 2 4 2" xfId="36492"/>
    <cellStyle name="Normal 5 2 4 2 10" xfId="36493"/>
    <cellStyle name="Normal 5 2 4 2 10 2" xfId="36494"/>
    <cellStyle name="Normal 5 2 4 2 11" xfId="36495"/>
    <cellStyle name="Normal 5 2 4 2 11 2" xfId="36496"/>
    <cellStyle name="Normal 5 2 4 2 12" xfId="36497"/>
    <cellStyle name="Normal 5 2 4 2 12 2" xfId="36498"/>
    <cellStyle name="Normal 5 2 4 2 13" xfId="36499"/>
    <cellStyle name="Normal 5 2 4 2 14" xfId="36500"/>
    <cellStyle name="Normal 5 2 4 2 2" xfId="36501"/>
    <cellStyle name="Normal 5 2 4 2 2 10" xfId="36502"/>
    <cellStyle name="Normal 5 2 4 2 2 11" xfId="36503"/>
    <cellStyle name="Normal 5 2 4 2 2 2" xfId="36504"/>
    <cellStyle name="Normal 5 2 4 2 2 2 2" xfId="36505"/>
    <cellStyle name="Normal 5 2 4 2 2 2 2 2" xfId="36506"/>
    <cellStyle name="Normal 5 2 4 2 2 2 2 2 2" xfId="36507"/>
    <cellStyle name="Normal 5 2 4 2 2 2 2 2 2 2" xfId="36508"/>
    <cellStyle name="Normal 5 2 4 2 2 2 2 2 3" xfId="36509"/>
    <cellStyle name="Normal 5 2 4 2 2 2 2 3" xfId="36510"/>
    <cellStyle name="Normal 5 2 4 2 2 2 2 3 2" xfId="36511"/>
    <cellStyle name="Normal 5 2 4 2 2 2 2 4" xfId="36512"/>
    <cellStyle name="Normal 5 2 4 2 2 2 3" xfId="36513"/>
    <cellStyle name="Normal 5 2 4 2 2 2 3 2" xfId="36514"/>
    <cellStyle name="Normal 5 2 4 2 2 2 3 2 2" xfId="36515"/>
    <cellStyle name="Normal 5 2 4 2 2 2 3 3" xfId="36516"/>
    <cellStyle name="Normal 5 2 4 2 2 2 4" xfId="36517"/>
    <cellStyle name="Normal 5 2 4 2 2 2 4 2" xfId="36518"/>
    <cellStyle name="Normal 5 2 4 2 2 2 5" xfId="36519"/>
    <cellStyle name="Normal 5 2 4 2 2 2 5 2" xfId="36520"/>
    <cellStyle name="Normal 5 2 4 2 2 2 6" xfId="36521"/>
    <cellStyle name="Normal 5 2 4 2 2 3" xfId="36522"/>
    <cellStyle name="Normal 5 2 4 2 2 3 2" xfId="36523"/>
    <cellStyle name="Normal 5 2 4 2 2 3 2 2" xfId="36524"/>
    <cellStyle name="Normal 5 2 4 2 2 3 2 2 2" xfId="36525"/>
    <cellStyle name="Normal 5 2 4 2 2 3 2 2 2 2" xfId="36526"/>
    <cellStyle name="Normal 5 2 4 2 2 3 2 2 3" xfId="36527"/>
    <cellStyle name="Normal 5 2 4 2 2 3 2 3" xfId="36528"/>
    <cellStyle name="Normal 5 2 4 2 2 3 2 3 2" xfId="36529"/>
    <cellStyle name="Normal 5 2 4 2 2 3 2 4" xfId="36530"/>
    <cellStyle name="Normal 5 2 4 2 2 3 3" xfId="36531"/>
    <cellStyle name="Normal 5 2 4 2 2 3 3 2" xfId="36532"/>
    <cellStyle name="Normal 5 2 4 2 2 3 3 2 2" xfId="36533"/>
    <cellStyle name="Normal 5 2 4 2 2 3 3 3" xfId="36534"/>
    <cellStyle name="Normal 5 2 4 2 2 3 4" xfId="36535"/>
    <cellStyle name="Normal 5 2 4 2 2 3 4 2" xfId="36536"/>
    <cellStyle name="Normal 5 2 4 2 2 3 5" xfId="36537"/>
    <cellStyle name="Normal 5 2 4 2 2 3 5 2" xfId="36538"/>
    <cellStyle name="Normal 5 2 4 2 2 3 6" xfId="36539"/>
    <cellStyle name="Normal 5 2 4 2 2 4" xfId="36540"/>
    <cellStyle name="Normal 5 2 4 2 2 4 2" xfId="36541"/>
    <cellStyle name="Normal 5 2 4 2 2 4 2 2" xfId="36542"/>
    <cellStyle name="Normal 5 2 4 2 2 4 2 2 2" xfId="36543"/>
    <cellStyle name="Normal 5 2 4 2 2 4 2 3" xfId="36544"/>
    <cellStyle name="Normal 5 2 4 2 2 4 3" xfId="36545"/>
    <cellStyle name="Normal 5 2 4 2 2 4 3 2" xfId="36546"/>
    <cellStyle name="Normal 5 2 4 2 2 4 4" xfId="36547"/>
    <cellStyle name="Normal 5 2 4 2 2 5" xfId="36548"/>
    <cellStyle name="Normal 5 2 4 2 2 5 2" xfId="36549"/>
    <cellStyle name="Normal 5 2 4 2 2 5 2 2" xfId="36550"/>
    <cellStyle name="Normal 5 2 4 2 2 5 3" xfId="36551"/>
    <cellStyle name="Normal 5 2 4 2 2 6" xfId="36552"/>
    <cellStyle name="Normal 5 2 4 2 2 6 2" xfId="36553"/>
    <cellStyle name="Normal 5 2 4 2 2 7" xfId="36554"/>
    <cellStyle name="Normal 5 2 4 2 2 7 2" xfId="36555"/>
    <cellStyle name="Normal 5 2 4 2 2 8" xfId="36556"/>
    <cellStyle name="Normal 5 2 4 2 2 8 2" xfId="36557"/>
    <cellStyle name="Normal 5 2 4 2 2 9" xfId="36558"/>
    <cellStyle name="Normal 5 2 4 2 2 9 2" xfId="36559"/>
    <cellStyle name="Normal 5 2 4 2 3" xfId="36560"/>
    <cellStyle name="Normal 5 2 4 2 3 2" xfId="36561"/>
    <cellStyle name="Normal 5 2 4 2 3 2 2" xfId="36562"/>
    <cellStyle name="Normal 5 2 4 2 3 2 2 2" xfId="36563"/>
    <cellStyle name="Normal 5 2 4 2 3 2 2 2 2" xfId="36564"/>
    <cellStyle name="Normal 5 2 4 2 3 2 2 2 2 2" xfId="36565"/>
    <cellStyle name="Normal 5 2 4 2 3 2 2 2 3" xfId="36566"/>
    <cellStyle name="Normal 5 2 4 2 3 2 2 3" xfId="36567"/>
    <cellStyle name="Normal 5 2 4 2 3 2 2 3 2" xfId="36568"/>
    <cellStyle name="Normal 5 2 4 2 3 2 2 4" xfId="36569"/>
    <cellStyle name="Normal 5 2 4 2 3 2 3" xfId="36570"/>
    <cellStyle name="Normal 5 2 4 2 3 2 3 2" xfId="36571"/>
    <cellStyle name="Normal 5 2 4 2 3 2 3 2 2" xfId="36572"/>
    <cellStyle name="Normal 5 2 4 2 3 2 3 3" xfId="36573"/>
    <cellStyle name="Normal 5 2 4 2 3 2 4" xfId="36574"/>
    <cellStyle name="Normal 5 2 4 2 3 2 4 2" xfId="36575"/>
    <cellStyle name="Normal 5 2 4 2 3 2 5" xfId="36576"/>
    <cellStyle name="Normal 5 2 4 2 3 2 5 2" xfId="36577"/>
    <cellStyle name="Normal 5 2 4 2 3 2 6" xfId="36578"/>
    <cellStyle name="Normal 5 2 4 2 3 3" xfId="36579"/>
    <cellStyle name="Normal 5 2 4 2 3 3 2" xfId="36580"/>
    <cellStyle name="Normal 5 2 4 2 3 3 2 2" xfId="36581"/>
    <cellStyle name="Normal 5 2 4 2 3 3 2 2 2" xfId="36582"/>
    <cellStyle name="Normal 5 2 4 2 3 3 2 2 2 2" xfId="36583"/>
    <cellStyle name="Normal 5 2 4 2 3 3 2 2 3" xfId="36584"/>
    <cellStyle name="Normal 5 2 4 2 3 3 2 3" xfId="36585"/>
    <cellStyle name="Normal 5 2 4 2 3 3 2 3 2" xfId="36586"/>
    <cellStyle name="Normal 5 2 4 2 3 3 2 4" xfId="36587"/>
    <cellStyle name="Normal 5 2 4 2 3 3 3" xfId="36588"/>
    <cellStyle name="Normal 5 2 4 2 3 3 3 2" xfId="36589"/>
    <cellStyle name="Normal 5 2 4 2 3 3 3 2 2" xfId="36590"/>
    <cellStyle name="Normal 5 2 4 2 3 3 3 3" xfId="36591"/>
    <cellStyle name="Normal 5 2 4 2 3 3 4" xfId="36592"/>
    <cellStyle name="Normal 5 2 4 2 3 3 4 2" xfId="36593"/>
    <cellStyle name="Normal 5 2 4 2 3 3 5" xfId="36594"/>
    <cellStyle name="Normal 5 2 4 2 3 3 5 2" xfId="36595"/>
    <cellStyle name="Normal 5 2 4 2 3 3 6" xfId="36596"/>
    <cellStyle name="Normal 5 2 4 2 3 4" xfId="36597"/>
    <cellStyle name="Normal 5 2 4 2 3 4 2" xfId="36598"/>
    <cellStyle name="Normal 5 2 4 2 3 4 2 2" xfId="36599"/>
    <cellStyle name="Normal 5 2 4 2 3 4 2 2 2" xfId="36600"/>
    <cellStyle name="Normal 5 2 4 2 3 4 2 3" xfId="36601"/>
    <cellStyle name="Normal 5 2 4 2 3 4 3" xfId="36602"/>
    <cellStyle name="Normal 5 2 4 2 3 4 3 2" xfId="36603"/>
    <cellStyle name="Normal 5 2 4 2 3 4 4" xfId="36604"/>
    <cellStyle name="Normal 5 2 4 2 3 5" xfId="36605"/>
    <cellStyle name="Normal 5 2 4 2 3 5 2" xfId="36606"/>
    <cellStyle name="Normal 5 2 4 2 3 5 2 2" xfId="36607"/>
    <cellStyle name="Normal 5 2 4 2 3 5 3" xfId="36608"/>
    <cellStyle name="Normal 5 2 4 2 3 6" xfId="36609"/>
    <cellStyle name="Normal 5 2 4 2 3 6 2" xfId="36610"/>
    <cellStyle name="Normal 5 2 4 2 3 7" xfId="36611"/>
    <cellStyle name="Normal 5 2 4 2 3 7 2" xfId="36612"/>
    <cellStyle name="Normal 5 2 4 2 3 8" xfId="36613"/>
    <cellStyle name="Normal 5 2 4 2 4" xfId="36614"/>
    <cellStyle name="Normal 5 2 4 2 4 2" xfId="36615"/>
    <cellStyle name="Normal 5 2 4 2 4 2 2" xfId="36616"/>
    <cellStyle name="Normal 5 2 4 2 4 2 2 2" xfId="36617"/>
    <cellStyle name="Normal 5 2 4 2 4 2 2 2 2" xfId="36618"/>
    <cellStyle name="Normal 5 2 4 2 4 2 2 3" xfId="36619"/>
    <cellStyle name="Normal 5 2 4 2 4 2 3" xfId="36620"/>
    <cellStyle name="Normal 5 2 4 2 4 2 3 2" xfId="36621"/>
    <cellStyle name="Normal 5 2 4 2 4 2 4" xfId="36622"/>
    <cellStyle name="Normal 5 2 4 2 4 3" xfId="36623"/>
    <cellStyle name="Normal 5 2 4 2 4 3 2" xfId="36624"/>
    <cellStyle name="Normal 5 2 4 2 4 3 2 2" xfId="36625"/>
    <cellStyle name="Normal 5 2 4 2 4 3 3" xfId="36626"/>
    <cellStyle name="Normal 5 2 4 2 4 4" xfId="36627"/>
    <cellStyle name="Normal 5 2 4 2 4 4 2" xfId="36628"/>
    <cellStyle name="Normal 5 2 4 2 4 5" xfId="36629"/>
    <cellStyle name="Normal 5 2 4 2 4 5 2" xfId="36630"/>
    <cellStyle name="Normal 5 2 4 2 4 6" xfId="36631"/>
    <cellStyle name="Normal 5 2 4 2 5" xfId="36632"/>
    <cellStyle name="Normal 5 2 4 2 5 2" xfId="36633"/>
    <cellStyle name="Normal 5 2 4 2 5 2 2" xfId="36634"/>
    <cellStyle name="Normal 5 2 4 2 5 2 2 2" xfId="36635"/>
    <cellStyle name="Normal 5 2 4 2 5 2 2 2 2" xfId="36636"/>
    <cellStyle name="Normal 5 2 4 2 5 2 2 3" xfId="36637"/>
    <cellStyle name="Normal 5 2 4 2 5 2 3" xfId="36638"/>
    <cellStyle name="Normal 5 2 4 2 5 2 3 2" xfId="36639"/>
    <cellStyle name="Normal 5 2 4 2 5 2 4" xfId="36640"/>
    <cellStyle name="Normal 5 2 4 2 5 3" xfId="36641"/>
    <cellStyle name="Normal 5 2 4 2 5 3 2" xfId="36642"/>
    <cellStyle name="Normal 5 2 4 2 5 3 2 2" xfId="36643"/>
    <cellStyle name="Normal 5 2 4 2 5 3 3" xfId="36644"/>
    <cellStyle name="Normal 5 2 4 2 5 4" xfId="36645"/>
    <cellStyle name="Normal 5 2 4 2 5 4 2" xfId="36646"/>
    <cellStyle name="Normal 5 2 4 2 5 5" xfId="36647"/>
    <cellStyle name="Normal 5 2 4 2 5 5 2" xfId="36648"/>
    <cellStyle name="Normal 5 2 4 2 5 6" xfId="36649"/>
    <cellStyle name="Normal 5 2 4 2 6" xfId="36650"/>
    <cellStyle name="Normal 5 2 4 2 6 2" xfId="36651"/>
    <cellStyle name="Normal 5 2 4 2 6 2 2" xfId="36652"/>
    <cellStyle name="Normal 5 2 4 2 6 2 2 2" xfId="36653"/>
    <cellStyle name="Normal 5 2 4 2 6 2 2 2 2" xfId="36654"/>
    <cellStyle name="Normal 5 2 4 2 6 2 2 3" xfId="36655"/>
    <cellStyle name="Normal 5 2 4 2 6 2 3" xfId="36656"/>
    <cellStyle name="Normal 5 2 4 2 6 2 3 2" xfId="36657"/>
    <cellStyle name="Normal 5 2 4 2 6 2 4" xfId="36658"/>
    <cellStyle name="Normal 5 2 4 2 6 3" xfId="36659"/>
    <cellStyle name="Normal 5 2 4 2 6 3 2" xfId="36660"/>
    <cellStyle name="Normal 5 2 4 2 6 3 2 2" xfId="36661"/>
    <cellStyle name="Normal 5 2 4 2 6 3 3" xfId="36662"/>
    <cellStyle name="Normal 5 2 4 2 6 4" xfId="36663"/>
    <cellStyle name="Normal 5 2 4 2 6 4 2" xfId="36664"/>
    <cellStyle name="Normal 5 2 4 2 6 5" xfId="36665"/>
    <cellStyle name="Normal 5 2 4 2 6 5 2" xfId="36666"/>
    <cellStyle name="Normal 5 2 4 2 6 6" xfId="36667"/>
    <cellStyle name="Normal 5 2 4 2 7" xfId="36668"/>
    <cellStyle name="Normal 5 2 4 2 7 2" xfId="36669"/>
    <cellStyle name="Normal 5 2 4 2 7 2 2" xfId="36670"/>
    <cellStyle name="Normal 5 2 4 2 7 2 2 2" xfId="36671"/>
    <cellStyle name="Normal 5 2 4 2 7 2 3" xfId="36672"/>
    <cellStyle name="Normal 5 2 4 2 7 3" xfId="36673"/>
    <cellStyle name="Normal 5 2 4 2 7 3 2" xfId="36674"/>
    <cellStyle name="Normal 5 2 4 2 7 4" xfId="36675"/>
    <cellStyle name="Normal 5 2 4 2 8" xfId="36676"/>
    <cellStyle name="Normal 5 2 4 2 8 2" xfId="36677"/>
    <cellStyle name="Normal 5 2 4 2 8 2 2" xfId="36678"/>
    <cellStyle name="Normal 5 2 4 2 8 3" xfId="36679"/>
    <cellStyle name="Normal 5 2 4 2 9" xfId="36680"/>
    <cellStyle name="Normal 5 2 4 2 9 2" xfId="36681"/>
    <cellStyle name="Normal 5 2 4 3" xfId="36682"/>
    <cellStyle name="Normal 5 2 4 3 10" xfId="36683"/>
    <cellStyle name="Normal 5 2 4 3 11" xfId="36684"/>
    <cellStyle name="Normal 5 2 4 3 2" xfId="36685"/>
    <cellStyle name="Normal 5 2 4 3 2 2" xfId="36686"/>
    <cellStyle name="Normal 5 2 4 3 2 2 2" xfId="36687"/>
    <cellStyle name="Normal 5 2 4 3 2 2 2 2" xfId="36688"/>
    <cellStyle name="Normal 5 2 4 3 2 2 2 2 2" xfId="36689"/>
    <cellStyle name="Normal 5 2 4 3 2 2 2 3" xfId="36690"/>
    <cellStyle name="Normal 5 2 4 3 2 2 3" xfId="36691"/>
    <cellStyle name="Normal 5 2 4 3 2 2 3 2" xfId="36692"/>
    <cellStyle name="Normal 5 2 4 3 2 2 4" xfId="36693"/>
    <cellStyle name="Normal 5 2 4 3 2 3" xfId="36694"/>
    <cellStyle name="Normal 5 2 4 3 2 3 2" xfId="36695"/>
    <cellStyle name="Normal 5 2 4 3 2 3 2 2" xfId="36696"/>
    <cellStyle name="Normal 5 2 4 3 2 3 3" xfId="36697"/>
    <cellStyle name="Normal 5 2 4 3 2 4" xfId="36698"/>
    <cellStyle name="Normal 5 2 4 3 2 4 2" xfId="36699"/>
    <cellStyle name="Normal 5 2 4 3 2 5" xfId="36700"/>
    <cellStyle name="Normal 5 2 4 3 2 5 2" xfId="36701"/>
    <cellStyle name="Normal 5 2 4 3 2 6" xfId="36702"/>
    <cellStyle name="Normal 5 2 4 3 3" xfId="36703"/>
    <cellStyle name="Normal 5 2 4 3 3 2" xfId="36704"/>
    <cellStyle name="Normal 5 2 4 3 3 2 2" xfId="36705"/>
    <cellStyle name="Normal 5 2 4 3 3 2 2 2" xfId="36706"/>
    <cellStyle name="Normal 5 2 4 3 3 2 2 2 2" xfId="36707"/>
    <cellStyle name="Normal 5 2 4 3 3 2 2 3" xfId="36708"/>
    <cellStyle name="Normal 5 2 4 3 3 2 3" xfId="36709"/>
    <cellStyle name="Normal 5 2 4 3 3 2 3 2" xfId="36710"/>
    <cellStyle name="Normal 5 2 4 3 3 2 4" xfId="36711"/>
    <cellStyle name="Normal 5 2 4 3 3 3" xfId="36712"/>
    <cellStyle name="Normal 5 2 4 3 3 3 2" xfId="36713"/>
    <cellStyle name="Normal 5 2 4 3 3 3 2 2" xfId="36714"/>
    <cellStyle name="Normal 5 2 4 3 3 3 3" xfId="36715"/>
    <cellStyle name="Normal 5 2 4 3 3 4" xfId="36716"/>
    <cellStyle name="Normal 5 2 4 3 3 4 2" xfId="36717"/>
    <cellStyle name="Normal 5 2 4 3 3 5" xfId="36718"/>
    <cellStyle name="Normal 5 2 4 3 3 5 2" xfId="36719"/>
    <cellStyle name="Normal 5 2 4 3 3 6" xfId="36720"/>
    <cellStyle name="Normal 5 2 4 3 4" xfId="36721"/>
    <cellStyle name="Normal 5 2 4 3 4 2" xfId="36722"/>
    <cellStyle name="Normal 5 2 4 3 4 2 2" xfId="36723"/>
    <cellStyle name="Normal 5 2 4 3 4 2 2 2" xfId="36724"/>
    <cellStyle name="Normal 5 2 4 3 4 2 3" xfId="36725"/>
    <cellStyle name="Normal 5 2 4 3 4 3" xfId="36726"/>
    <cellStyle name="Normal 5 2 4 3 4 3 2" xfId="36727"/>
    <cellStyle name="Normal 5 2 4 3 4 4" xfId="36728"/>
    <cellStyle name="Normal 5 2 4 3 5" xfId="36729"/>
    <cellStyle name="Normal 5 2 4 3 5 2" xfId="36730"/>
    <cellStyle name="Normal 5 2 4 3 5 2 2" xfId="36731"/>
    <cellStyle name="Normal 5 2 4 3 5 3" xfId="36732"/>
    <cellStyle name="Normal 5 2 4 3 6" xfId="36733"/>
    <cellStyle name="Normal 5 2 4 3 6 2" xfId="36734"/>
    <cellStyle name="Normal 5 2 4 3 7" xfId="36735"/>
    <cellStyle name="Normal 5 2 4 3 7 2" xfId="36736"/>
    <cellStyle name="Normal 5 2 4 3 8" xfId="36737"/>
    <cellStyle name="Normal 5 2 4 3 8 2" xfId="36738"/>
    <cellStyle name="Normal 5 2 4 3 9" xfId="36739"/>
    <cellStyle name="Normal 5 2 4 3 9 2" xfId="36740"/>
    <cellStyle name="Normal 5 2 4 4" xfId="36741"/>
    <cellStyle name="Normal 5 2 4 4 2" xfId="36742"/>
    <cellStyle name="Normal 5 2 4 4 2 2" xfId="36743"/>
    <cellStyle name="Normal 5 2 4 4 2 2 2" xfId="36744"/>
    <cellStyle name="Normal 5 2 4 4 2 2 2 2" xfId="36745"/>
    <cellStyle name="Normal 5 2 4 4 2 2 2 2 2" xfId="36746"/>
    <cellStyle name="Normal 5 2 4 4 2 2 2 3" xfId="36747"/>
    <cellStyle name="Normal 5 2 4 4 2 2 3" xfId="36748"/>
    <cellStyle name="Normal 5 2 4 4 2 2 3 2" xfId="36749"/>
    <cellStyle name="Normal 5 2 4 4 2 2 4" xfId="36750"/>
    <cellStyle name="Normal 5 2 4 4 2 3" xfId="36751"/>
    <cellStyle name="Normal 5 2 4 4 2 3 2" xfId="36752"/>
    <cellStyle name="Normal 5 2 4 4 2 3 2 2" xfId="36753"/>
    <cellStyle name="Normal 5 2 4 4 2 3 3" xfId="36754"/>
    <cellStyle name="Normal 5 2 4 4 2 4" xfId="36755"/>
    <cellStyle name="Normal 5 2 4 4 2 4 2" xfId="36756"/>
    <cellStyle name="Normal 5 2 4 4 2 5" xfId="36757"/>
    <cellStyle name="Normal 5 2 4 4 2 5 2" xfId="36758"/>
    <cellStyle name="Normal 5 2 4 4 2 6" xfId="36759"/>
    <cellStyle name="Normal 5 2 4 4 3" xfId="36760"/>
    <cellStyle name="Normal 5 2 4 4 3 2" xfId="36761"/>
    <cellStyle name="Normal 5 2 4 4 3 2 2" xfId="36762"/>
    <cellStyle name="Normal 5 2 4 4 3 2 2 2" xfId="36763"/>
    <cellStyle name="Normal 5 2 4 4 3 2 2 2 2" xfId="36764"/>
    <cellStyle name="Normal 5 2 4 4 3 2 2 3" xfId="36765"/>
    <cellStyle name="Normal 5 2 4 4 3 2 3" xfId="36766"/>
    <cellStyle name="Normal 5 2 4 4 3 2 3 2" xfId="36767"/>
    <cellStyle name="Normal 5 2 4 4 3 2 4" xfId="36768"/>
    <cellStyle name="Normal 5 2 4 4 3 3" xfId="36769"/>
    <cellStyle name="Normal 5 2 4 4 3 3 2" xfId="36770"/>
    <cellStyle name="Normal 5 2 4 4 3 3 2 2" xfId="36771"/>
    <cellStyle name="Normal 5 2 4 4 3 3 3" xfId="36772"/>
    <cellStyle name="Normal 5 2 4 4 3 4" xfId="36773"/>
    <cellStyle name="Normal 5 2 4 4 3 4 2" xfId="36774"/>
    <cellStyle name="Normal 5 2 4 4 3 5" xfId="36775"/>
    <cellStyle name="Normal 5 2 4 4 3 5 2" xfId="36776"/>
    <cellStyle name="Normal 5 2 4 4 3 6" xfId="36777"/>
    <cellStyle name="Normal 5 2 4 4 4" xfId="36778"/>
    <cellStyle name="Normal 5 2 4 4 4 2" xfId="36779"/>
    <cellStyle name="Normal 5 2 4 4 4 2 2" xfId="36780"/>
    <cellStyle name="Normal 5 2 4 4 4 2 2 2" xfId="36781"/>
    <cellStyle name="Normal 5 2 4 4 4 2 3" xfId="36782"/>
    <cellStyle name="Normal 5 2 4 4 4 3" xfId="36783"/>
    <cellStyle name="Normal 5 2 4 4 4 3 2" xfId="36784"/>
    <cellStyle name="Normal 5 2 4 4 4 4" xfId="36785"/>
    <cellStyle name="Normal 5 2 4 4 5" xfId="36786"/>
    <cellStyle name="Normal 5 2 4 4 5 2" xfId="36787"/>
    <cellStyle name="Normal 5 2 4 4 5 2 2" xfId="36788"/>
    <cellStyle name="Normal 5 2 4 4 5 3" xfId="36789"/>
    <cellStyle name="Normal 5 2 4 4 6" xfId="36790"/>
    <cellStyle name="Normal 5 2 4 4 6 2" xfId="36791"/>
    <cellStyle name="Normal 5 2 4 4 7" xfId="36792"/>
    <cellStyle name="Normal 5 2 4 4 7 2" xfId="36793"/>
    <cellStyle name="Normal 5 2 4 4 8" xfId="36794"/>
    <cellStyle name="Normal 5 2 4 5" xfId="36795"/>
    <cellStyle name="Normal 5 2 4 5 2" xfId="36796"/>
    <cellStyle name="Normal 5 2 4 5 2 2" xfId="36797"/>
    <cellStyle name="Normal 5 2 4 5 2 2 2" xfId="36798"/>
    <cellStyle name="Normal 5 2 4 5 2 2 2 2" xfId="36799"/>
    <cellStyle name="Normal 5 2 4 5 2 2 3" xfId="36800"/>
    <cellStyle name="Normal 5 2 4 5 2 3" xfId="36801"/>
    <cellStyle name="Normal 5 2 4 5 2 3 2" xfId="36802"/>
    <cellStyle name="Normal 5 2 4 5 2 4" xfId="36803"/>
    <cellStyle name="Normal 5 2 4 5 3" xfId="36804"/>
    <cellStyle name="Normal 5 2 4 5 3 2" xfId="36805"/>
    <cellStyle name="Normal 5 2 4 5 3 2 2" xfId="36806"/>
    <cellStyle name="Normal 5 2 4 5 3 3" xfId="36807"/>
    <cellStyle name="Normal 5 2 4 5 4" xfId="36808"/>
    <cellStyle name="Normal 5 2 4 5 4 2" xfId="36809"/>
    <cellStyle name="Normal 5 2 4 5 5" xfId="36810"/>
    <cellStyle name="Normal 5 2 4 5 5 2" xfId="36811"/>
    <cellStyle name="Normal 5 2 4 5 6" xfId="36812"/>
    <cellStyle name="Normal 5 2 4 6" xfId="36813"/>
    <cellStyle name="Normal 5 2 4 6 2" xfId="36814"/>
    <cellStyle name="Normal 5 2 4 6 2 2" xfId="36815"/>
    <cellStyle name="Normal 5 2 4 6 2 2 2" xfId="36816"/>
    <cellStyle name="Normal 5 2 4 6 2 2 2 2" xfId="36817"/>
    <cellStyle name="Normal 5 2 4 6 2 2 3" xfId="36818"/>
    <cellStyle name="Normal 5 2 4 6 2 3" xfId="36819"/>
    <cellStyle name="Normal 5 2 4 6 2 3 2" xfId="36820"/>
    <cellStyle name="Normal 5 2 4 6 2 4" xfId="36821"/>
    <cellStyle name="Normal 5 2 4 6 3" xfId="36822"/>
    <cellStyle name="Normal 5 2 4 6 3 2" xfId="36823"/>
    <cellStyle name="Normal 5 2 4 6 3 2 2" xfId="36824"/>
    <cellStyle name="Normal 5 2 4 6 3 3" xfId="36825"/>
    <cellStyle name="Normal 5 2 4 6 4" xfId="36826"/>
    <cellStyle name="Normal 5 2 4 6 4 2" xfId="36827"/>
    <cellStyle name="Normal 5 2 4 6 5" xfId="36828"/>
    <cellStyle name="Normal 5 2 4 6 5 2" xfId="36829"/>
    <cellStyle name="Normal 5 2 4 6 6" xfId="36830"/>
    <cellStyle name="Normal 5 2 4 7" xfId="36831"/>
    <cellStyle name="Normal 5 2 4 7 2" xfId="36832"/>
    <cellStyle name="Normal 5 2 4 7 2 2" xfId="36833"/>
    <cellStyle name="Normal 5 2 4 7 2 2 2" xfId="36834"/>
    <cellStyle name="Normal 5 2 4 7 2 2 2 2" xfId="36835"/>
    <cellStyle name="Normal 5 2 4 7 2 2 3" xfId="36836"/>
    <cellStyle name="Normal 5 2 4 7 2 3" xfId="36837"/>
    <cellStyle name="Normal 5 2 4 7 2 3 2" xfId="36838"/>
    <cellStyle name="Normal 5 2 4 7 2 4" xfId="36839"/>
    <cellStyle name="Normal 5 2 4 7 3" xfId="36840"/>
    <cellStyle name="Normal 5 2 4 7 3 2" xfId="36841"/>
    <cellStyle name="Normal 5 2 4 7 3 2 2" xfId="36842"/>
    <cellStyle name="Normal 5 2 4 7 3 3" xfId="36843"/>
    <cellStyle name="Normal 5 2 4 7 4" xfId="36844"/>
    <cellStyle name="Normal 5 2 4 7 4 2" xfId="36845"/>
    <cellStyle name="Normal 5 2 4 7 5" xfId="36846"/>
    <cellStyle name="Normal 5 2 4 7 5 2" xfId="36847"/>
    <cellStyle name="Normal 5 2 4 7 6" xfId="36848"/>
    <cellStyle name="Normal 5 2 4 8" xfId="36849"/>
    <cellStyle name="Normal 5 2 4 8 2" xfId="36850"/>
    <cellStyle name="Normal 5 2 4 8 2 2" xfId="36851"/>
    <cellStyle name="Normal 5 2 4 8 2 2 2" xfId="36852"/>
    <cellStyle name="Normal 5 2 4 8 2 3" xfId="36853"/>
    <cellStyle name="Normal 5 2 4 8 3" xfId="36854"/>
    <cellStyle name="Normal 5 2 4 8 3 2" xfId="36855"/>
    <cellStyle name="Normal 5 2 4 8 4" xfId="36856"/>
    <cellStyle name="Normal 5 2 4 9" xfId="36857"/>
    <cellStyle name="Normal 5 2 4 9 2" xfId="36858"/>
    <cellStyle name="Normal 5 2 4 9 2 2" xfId="36859"/>
    <cellStyle name="Normal 5 2 4 9 3" xfId="36860"/>
    <cellStyle name="Normal 5 2 5" xfId="36861"/>
    <cellStyle name="Normal 5 2 5 2" xfId="36862"/>
    <cellStyle name="Normal 5 2 5 2 2" xfId="36863"/>
    <cellStyle name="Normal 5 2 5 2 2 2" xfId="36864"/>
    <cellStyle name="Normal 5 2 5 2 3" xfId="36865"/>
    <cellStyle name="Normal 5 2 5 2 4" xfId="36866"/>
    <cellStyle name="Normal 5 2 5 3" xfId="36867"/>
    <cellStyle name="Normal 5 2 5 3 2" xfId="36868"/>
    <cellStyle name="Normal 5 2 5 4" xfId="36869"/>
    <cellStyle name="Normal 5 2 5 5" xfId="36870"/>
    <cellStyle name="Normal 5 2 6" xfId="36871"/>
    <cellStyle name="Normal 5 2 6 2" xfId="36872"/>
    <cellStyle name="Normal 5 2 6 2 2" xfId="36873"/>
    <cellStyle name="Normal 5 2 6 3" xfId="36874"/>
    <cellStyle name="Normal 5 2 6 4" xfId="36875"/>
    <cellStyle name="Normal 5 2 7" xfId="36876"/>
    <cellStyle name="Normal 5 2 8" xfId="36877"/>
    <cellStyle name="Normal 5 2 8 2" xfId="36878"/>
    <cellStyle name="Normal 5 2 9" xfId="36879"/>
    <cellStyle name="Normal 5 3" xfId="36880"/>
    <cellStyle name="Normal 5 3 10" xfId="36881"/>
    <cellStyle name="Normal 5 3 10 2" xfId="36882"/>
    <cellStyle name="Normal 5 3 11" xfId="36883"/>
    <cellStyle name="Normal 5 3 11 2" xfId="36884"/>
    <cellStyle name="Normal 5 3 12" xfId="36885"/>
    <cellStyle name="Normal 5 3 13" xfId="36886"/>
    <cellStyle name="Normal 5 3 13 2" xfId="36887"/>
    <cellStyle name="Normal 5 3 14" xfId="36888"/>
    <cellStyle name="Normal 5 3 14 2" xfId="36889"/>
    <cellStyle name="Normal 5 3 15" xfId="36890"/>
    <cellStyle name="Normal 5 3 16" xfId="36891"/>
    <cellStyle name="Normal 5 3 2" xfId="36892"/>
    <cellStyle name="Normal 5 3 2 10" xfId="36893"/>
    <cellStyle name="Normal 5 3 2 10 2" xfId="36894"/>
    <cellStyle name="Normal 5 3 2 11" xfId="36895"/>
    <cellStyle name="Normal 5 3 2 11 2" xfId="36896"/>
    <cellStyle name="Normal 5 3 2 12" xfId="36897"/>
    <cellStyle name="Normal 5 3 2 12 2" xfId="36898"/>
    <cellStyle name="Normal 5 3 2 13" xfId="36899"/>
    <cellStyle name="Normal 5 3 2 14" xfId="36900"/>
    <cellStyle name="Normal 5 3 2 2" xfId="36901"/>
    <cellStyle name="Normal 5 3 2 2 10" xfId="36902"/>
    <cellStyle name="Normal 5 3 2 2 11" xfId="36903"/>
    <cellStyle name="Normal 5 3 2 2 2" xfId="36904"/>
    <cellStyle name="Normal 5 3 2 2 2 2" xfId="36905"/>
    <cellStyle name="Normal 5 3 2 2 2 2 2" xfId="36906"/>
    <cellStyle name="Normal 5 3 2 2 2 2 2 2" xfId="36907"/>
    <cellStyle name="Normal 5 3 2 2 2 2 2 2 2" xfId="36908"/>
    <cellStyle name="Normal 5 3 2 2 2 2 2 3" xfId="36909"/>
    <cellStyle name="Normal 5 3 2 2 2 2 3" xfId="36910"/>
    <cellStyle name="Normal 5 3 2 2 2 2 3 2" xfId="36911"/>
    <cellStyle name="Normal 5 3 2 2 2 2 4" xfId="36912"/>
    <cellStyle name="Normal 5 3 2 2 2 3" xfId="36913"/>
    <cellStyle name="Normal 5 3 2 2 2 3 2" xfId="36914"/>
    <cellStyle name="Normal 5 3 2 2 2 3 2 2" xfId="36915"/>
    <cellStyle name="Normal 5 3 2 2 2 3 3" xfId="36916"/>
    <cellStyle name="Normal 5 3 2 2 2 4" xfId="36917"/>
    <cellStyle name="Normal 5 3 2 2 2 4 2" xfId="36918"/>
    <cellStyle name="Normal 5 3 2 2 2 5" xfId="36919"/>
    <cellStyle name="Normal 5 3 2 2 2 5 2" xfId="36920"/>
    <cellStyle name="Normal 5 3 2 2 2 6" xfId="36921"/>
    <cellStyle name="Normal 5 3 2 2 2 6 2" xfId="36922"/>
    <cellStyle name="Normal 5 3 2 2 2 7" xfId="36923"/>
    <cellStyle name="Normal 5 3 2 2 2 7 2" xfId="36924"/>
    <cellStyle name="Normal 5 3 2 2 2 8" xfId="36925"/>
    <cellStyle name="Normal 5 3 2 2 2 9" xfId="36926"/>
    <cellStyle name="Normal 5 3 2 2 3" xfId="36927"/>
    <cellStyle name="Normal 5 3 2 2 3 2" xfId="36928"/>
    <cellStyle name="Normal 5 3 2 2 3 2 2" xfId="36929"/>
    <cellStyle name="Normal 5 3 2 2 3 2 2 2" xfId="36930"/>
    <cellStyle name="Normal 5 3 2 2 3 2 2 2 2" xfId="36931"/>
    <cellStyle name="Normal 5 3 2 2 3 2 2 3" xfId="36932"/>
    <cellStyle name="Normal 5 3 2 2 3 2 3" xfId="36933"/>
    <cellStyle name="Normal 5 3 2 2 3 2 3 2" xfId="36934"/>
    <cellStyle name="Normal 5 3 2 2 3 2 4" xfId="36935"/>
    <cellStyle name="Normal 5 3 2 2 3 3" xfId="36936"/>
    <cellStyle name="Normal 5 3 2 2 3 3 2" xfId="36937"/>
    <cellStyle name="Normal 5 3 2 2 3 3 2 2" xfId="36938"/>
    <cellStyle name="Normal 5 3 2 2 3 3 3" xfId="36939"/>
    <cellStyle name="Normal 5 3 2 2 3 4" xfId="36940"/>
    <cellStyle name="Normal 5 3 2 2 3 4 2" xfId="36941"/>
    <cellStyle name="Normal 5 3 2 2 3 5" xfId="36942"/>
    <cellStyle name="Normal 5 3 2 2 3 5 2" xfId="36943"/>
    <cellStyle name="Normal 5 3 2 2 3 6" xfId="36944"/>
    <cellStyle name="Normal 5 3 2 2 4" xfId="36945"/>
    <cellStyle name="Normal 5 3 2 2 4 2" xfId="36946"/>
    <cellStyle name="Normal 5 3 2 2 4 2 2" xfId="36947"/>
    <cellStyle name="Normal 5 3 2 2 4 2 2 2" xfId="36948"/>
    <cellStyle name="Normal 5 3 2 2 4 2 3" xfId="36949"/>
    <cellStyle name="Normal 5 3 2 2 4 3" xfId="36950"/>
    <cellStyle name="Normal 5 3 2 2 4 3 2" xfId="36951"/>
    <cellStyle name="Normal 5 3 2 2 4 4" xfId="36952"/>
    <cellStyle name="Normal 5 3 2 2 5" xfId="36953"/>
    <cellStyle name="Normal 5 3 2 2 5 2" xfId="36954"/>
    <cellStyle name="Normal 5 3 2 2 5 2 2" xfId="36955"/>
    <cellStyle name="Normal 5 3 2 2 5 3" xfId="36956"/>
    <cellStyle name="Normal 5 3 2 2 6" xfId="36957"/>
    <cellStyle name="Normal 5 3 2 2 6 2" xfId="36958"/>
    <cellStyle name="Normal 5 3 2 2 7" xfId="36959"/>
    <cellStyle name="Normal 5 3 2 2 7 2" xfId="36960"/>
    <cellStyle name="Normal 5 3 2 2 8" xfId="36961"/>
    <cellStyle name="Normal 5 3 2 2 8 2" xfId="36962"/>
    <cellStyle name="Normal 5 3 2 2 9" xfId="36963"/>
    <cellStyle name="Normal 5 3 2 2 9 2" xfId="36964"/>
    <cellStyle name="Normal 5 3 2 3" xfId="36965"/>
    <cellStyle name="Normal 5 3 2 3 10" xfId="36966"/>
    <cellStyle name="Normal 5 3 2 3 11" xfId="36967"/>
    <cellStyle name="Normal 5 3 2 3 2" xfId="36968"/>
    <cellStyle name="Normal 5 3 2 3 2 2" xfId="36969"/>
    <cellStyle name="Normal 5 3 2 3 2 2 2" xfId="36970"/>
    <cellStyle name="Normal 5 3 2 3 2 2 2 2" xfId="36971"/>
    <cellStyle name="Normal 5 3 2 3 2 2 2 2 2" xfId="36972"/>
    <cellStyle name="Normal 5 3 2 3 2 2 2 3" xfId="36973"/>
    <cellStyle name="Normal 5 3 2 3 2 2 3" xfId="36974"/>
    <cellStyle name="Normal 5 3 2 3 2 2 3 2" xfId="36975"/>
    <cellStyle name="Normal 5 3 2 3 2 2 4" xfId="36976"/>
    <cellStyle name="Normal 5 3 2 3 2 3" xfId="36977"/>
    <cellStyle name="Normal 5 3 2 3 2 3 2" xfId="36978"/>
    <cellStyle name="Normal 5 3 2 3 2 3 2 2" xfId="36979"/>
    <cellStyle name="Normal 5 3 2 3 2 3 3" xfId="36980"/>
    <cellStyle name="Normal 5 3 2 3 2 4" xfId="36981"/>
    <cellStyle name="Normal 5 3 2 3 2 4 2" xfId="36982"/>
    <cellStyle name="Normal 5 3 2 3 2 5" xfId="36983"/>
    <cellStyle name="Normal 5 3 2 3 2 5 2" xfId="36984"/>
    <cellStyle name="Normal 5 3 2 3 2 6" xfId="36985"/>
    <cellStyle name="Normal 5 3 2 3 3" xfId="36986"/>
    <cellStyle name="Normal 5 3 2 3 3 2" xfId="36987"/>
    <cellStyle name="Normal 5 3 2 3 3 2 2" xfId="36988"/>
    <cellStyle name="Normal 5 3 2 3 3 2 2 2" xfId="36989"/>
    <cellStyle name="Normal 5 3 2 3 3 2 2 2 2" xfId="36990"/>
    <cellStyle name="Normal 5 3 2 3 3 2 2 3" xfId="36991"/>
    <cellStyle name="Normal 5 3 2 3 3 2 3" xfId="36992"/>
    <cellStyle name="Normal 5 3 2 3 3 2 3 2" xfId="36993"/>
    <cellStyle name="Normal 5 3 2 3 3 2 4" xfId="36994"/>
    <cellStyle name="Normal 5 3 2 3 3 3" xfId="36995"/>
    <cellStyle name="Normal 5 3 2 3 3 3 2" xfId="36996"/>
    <cellStyle name="Normal 5 3 2 3 3 3 2 2" xfId="36997"/>
    <cellStyle name="Normal 5 3 2 3 3 3 3" xfId="36998"/>
    <cellStyle name="Normal 5 3 2 3 3 4" xfId="36999"/>
    <cellStyle name="Normal 5 3 2 3 3 4 2" xfId="37000"/>
    <cellStyle name="Normal 5 3 2 3 3 5" xfId="37001"/>
    <cellStyle name="Normal 5 3 2 3 3 5 2" xfId="37002"/>
    <cellStyle name="Normal 5 3 2 3 3 6" xfId="37003"/>
    <cellStyle name="Normal 5 3 2 3 4" xfId="37004"/>
    <cellStyle name="Normal 5 3 2 3 4 2" xfId="37005"/>
    <cellStyle name="Normal 5 3 2 3 4 2 2" xfId="37006"/>
    <cellStyle name="Normal 5 3 2 3 4 2 2 2" xfId="37007"/>
    <cellStyle name="Normal 5 3 2 3 4 2 3" xfId="37008"/>
    <cellStyle name="Normal 5 3 2 3 4 3" xfId="37009"/>
    <cellStyle name="Normal 5 3 2 3 4 3 2" xfId="37010"/>
    <cellStyle name="Normal 5 3 2 3 4 4" xfId="37011"/>
    <cellStyle name="Normal 5 3 2 3 5" xfId="37012"/>
    <cellStyle name="Normal 5 3 2 3 5 2" xfId="37013"/>
    <cellStyle name="Normal 5 3 2 3 5 2 2" xfId="37014"/>
    <cellStyle name="Normal 5 3 2 3 5 3" xfId="37015"/>
    <cellStyle name="Normal 5 3 2 3 6" xfId="37016"/>
    <cellStyle name="Normal 5 3 2 3 6 2" xfId="37017"/>
    <cellStyle name="Normal 5 3 2 3 7" xfId="37018"/>
    <cellStyle name="Normal 5 3 2 3 7 2" xfId="37019"/>
    <cellStyle name="Normal 5 3 2 3 8" xfId="37020"/>
    <cellStyle name="Normal 5 3 2 3 8 2" xfId="37021"/>
    <cellStyle name="Normal 5 3 2 3 9" xfId="37022"/>
    <cellStyle name="Normal 5 3 2 3 9 2" xfId="37023"/>
    <cellStyle name="Normal 5 3 2 4" xfId="37024"/>
    <cellStyle name="Normal 5 3 2 4 2" xfId="37025"/>
    <cellStyle name="Normal 5 3 2 4 2 2" xfId="37026"/>
    <cellStyle name="Normal 5 3 2 4 2 2 2" xfId="37027"/>
    <cellStyle name="Normal 5 3 2 4 2 2 2 2" xfId="37028"/>
    <cellStyle name="Normal 5 3 2 4 2 2 3" xfId="37029"/>
    <cellStyle name="Normal 5 3 2 4 2 3" xfId="37030"/>
    <cellStyle name="Normal 5 3 2 4 2 3 2" xfId="37031"/>
    <cellStyle name="Normal 5 3 2 4 2 4" xfId="37032"/>
    <cellStyle name="Normal 5 3 2 4 3" xfId="37033"/>
    <cellStyle name="Normal 5 3 2 4 3 2" xfId="37034"/>
    <cellStyle name="Normal 5 3 2 4 3 2 2" xfId="37035"/>
    <cellStyle name="Normal 5 3 2 4 3 3" xfId="37036"/>
    <cellStyle name="Normal 5 3 2 4 4" xfId="37037"/>
    <cellStyle name="Normal 5 3 2 4 4 2" xfId="37038"/>
    <cellStyle name="Normal 5 3 2 4 5" xfId="37039"/>
    <cellStyle name="Normal 5 3 2 4 5 2" xfId="37040"/>
    <cellStyle name="Normal 5 3 2 4 6" xfId="37041"/>
    <cellStyle name="Normal 5 3 2 5" xfId="37042"/>
    <cellStyle name="Normal 5 3 2 5 2" xfId="37043"/>
    <cellStyle name="Normal 5 3 2 5 2 2" xfId="37044"/>
    <cellStyle name="Normal 5 3 2 5 2 2 2" xfId="37045"/>
    <cellStyle name="Normal 5 3 2 5 2 2 2 2" xfId="37046"/>
    <cellStyle name="Normal 5 3 2 5 2 2 3" xfId="37047"/>
    <cellStyle name="Normal 5 3 2 5 2 3" xfId="37048"/>
    <cellStyle name="Normal 5 3 2 5 2 3 2" xfId="37049"/>
    <cellStyle name="Normal 5 3 2 5 2 4" xfId="37050"/>
    <cellStyle name="Normal 5 3 2 5 3" xfId="37051"/>
    <cellStyle name="Normal 5 3 2 5 3 2" xfId="37052"/>
    <cellStyle name="Normal 5 3 2 5 3 2 2" xfId="37053"/>
    <cellStyle name="Normal 5 3 2 5 3 3" xfId="37054"/>
    <cellStyle name="Normal 5 3 2 5 4" xfId="37055"/>
    <cellStyle name="Normal 5 3 2 5 4 2" xfId="37056"/>
    <cellStyle name="Normal 5 3 2 5 5" xfId="37057"/>
    <cellStyle name="Normal 5 3 2 5 5 2" xfId="37058"/>
    <cellStyle name="Normal 5 3 2 5 6" xfId="37059"/>
    <cellStyle name="Normal 5 3 2 6" xfId="37060"/>
    <cellStyle name="Normal 5 3 2 6 2" xfId="37061"/>
    <cellStyle name="Normal 5 3 2 6 2 2" xfId="37062"/>
    <cellStyle name="Normal 5 3 2 6 2 2 2" xfId="37063"/>
    <cellStyle name="Normal 5 3 2 6 2 2 2 2" xfId="37064"/>
    <cellStyle name="Normal 5 3 2 6 2 2 3" xfId="37065"/>
    <cellStyle name="Normal 5 3 2 6 2 3" xfId="37066"/>
    <cellStyle name="Normal 5 3 2 6 2 3 2" xfId="37067"/>
    <cellStyle name="Normal 5 3 2 6 2 4" xfId="37068"/>
    <cellStyle name="Normal 5 3 2 6 3" xfId="37069"/>
    <cellStyle name="Normal 5 3 2 6 3 2" xfId="37070"/>
    <cellStyle name="Normal 5 3 2 6 3 2 2" xfId="37071"/>
    <cellStyle name="Normal 5 3 2 6 3 3" xfId="37072"/>
    <cellStyle name="Normal 5 3 2 6 4" xfId="37073"/>
    <cellStyle name="Normal 5 3 2 6 4 2" xfId="37074"/>
    <cellStyle name="Normal 5 3 2 6 5" xfId="37075"/>
    <cellStyle name="Normal 5 3 2 6 5 2" xfId="37076"/>
    <cellStyle name="Normal 5 3 2 6 6" xfId="37077"/>
    <cellStyle name="Normal 5 3 2 7" xfId="37078"/>
    <cellStyle name="Normal 5 3 2 7 2" xfId="37079"/>
    <cellStyle name="Normal 5 3 2 7 2 2" xfId="37080"/>
    <cellStyle name="Normal 5 3 2 7 2 2 2" xfId="37081"/>
    <cellStyle name="Normal 5 3 2 7 2 3" xfId="37082"/>
    <cellStyle name="Normal 5 3 2 7 3" xfId="37083"/>
    <cellStyle name="Normal 5 3 2 7 3 2" xfId="37084"/>
    <cellStyle name="Normal 5 3 2 7 4" xfId="37085"/>
    <cellStyle name="Normal 5 3 2 8" xfId="37086"/>
    <cellStyle name="Normal 5 3 2 8 2" xfId="37087"/>
    <cellStyle name="Normal 5 3 2 8 2 2" xfId="37088"/>
    <cellStyle name="Normal 5 3 2 8 3" xfId="37089"/>
    <cellStyle name="Normal 5 3 2 9" xfId="37090"/>
    <cellStyle name="Normal 5 3 2 9 2" xfId="37091"/>
    <cellStyle name="Normal 5 3 3" xfId="37092"/>
    <cellStyle name="Normal 5 3 3 10" xfId="37093"/>
    <cellStyle name="Normal 5 3 3 11" xfId="37094"/>
    <cellStyle name="Normal 5 3 3 2" xfId="37095"/>
    <cellStyle name="Normal 5 3 3 2 2" xfId="37096"/>
    <cellStyle name="Normal 5 3 3 2 2 2" xfId="37097"/>
    <cellStyle name="Normal 5 3 3 2 2 2 2" xfId="37098"/>
    <cellStyle name="Normal 5 3 3 2 2 2 2 2" xfId="37099"/>
    <cellStyle name="Normal 5 3 3 2 2 2 3" xfId="37100"/>
    <cellStyle name="Normal 5 3 3 2 2 3" xfId="37101"/>
    <cellStyle name="Normal 5 3 3 2 2 3 2" xfId="37102"/>
    <cellStyle name="Normal 5 3 3 2 2 4" xfId="37103"/>
    <cellStyle name="Normal 5 3 3 2 2 4 2" xfId="37104"/>
    <cellStyle name="Normal 5 3 3 2 2 5" xfId="37105"/>
    <cellStyle name="Normal 5 3 3 2 2 5 2" xfId="37106"/>
    <cellStyle name="Normal 5 3 3 2 2 6" xfId="37107"/>
    <cellStyle name="Normal 5 3 3 2 2 7" xfId="37108"/>
    <cellStyle name="Normal 5 3 3 2 3" xfId="37109"/>
    <cellStyle name="Normal 5 3 3 2 3 2" xfId="37110"/>
    <cellStyle name="Normal 5 3 3 2 3 2 2" xfId="37111"/>
    <cellStyle name="Normal 5 3 3 2 3 3" xfId="37112"/>
    <cellStyle name="Normal 5 3 3 2 4" xfId="37113"/>
    <cellStyle name="Normal 5 3 3 2 4 2" xfId="37114"/>
    <cellStyle name="Normal 5 3 3 2 5" xfId="37115"/>
    <cellStyle name="Normal 5 3 3 2 5 2" xfId="37116"/>
    <cellStyle name="Normal 5 3 3 2 6" xfId="37117"/>
    <cellStyle name="Normal 5 3 3 2 6 2" xfId="37118"/>
    <cellStyle name="Normal 5 3 3 2 7" xfId="37119"/>
    <cellStyle name="Normal 5 3 3 2 7 2" xfId="37120"/>
    <cellStyle name="Normal 5 3 3 2 8" xfId="37121"/>
    <cellStyle name="Normal 5 3 3 2 9" xfId="37122"/>
    <cellStyle name="Normal 5 3 3 3" xfId="37123"/>
    <cellStyle name="Normal 5 3 3 3 2" xfId="37124"/>
    <cellStyle name="Normal 5 3 3 3 2 2" xfId="37125"/>
    <cellStyle name="Normal 5 3 3 3 2 2 2" xfId="37126"/>
    <cellStyle name="Normal 5 3 3 3 2 2 2 2" xfId="37127"/>
    <cellStyle name="Normal 5 3 3 3 2 2 3" xfId="37128"/>
    <cellStyle name="Normal 5 3 3 3 2 3" xfId="37129"/>
    <cellStyle name="Normal 5 3 3 3 2 3 2" xfId="37130"/>
    <cellStyle name="Normal 5 3 3 3 2 4" xfId="37131"/>
    <cellStyle name="Normal 5 3 3 3 3" xfId="37132"/>
    <cellStyle name="Normal 5 3 3 3 3 2" xfId="37133"/>
    <cellStyle name="Normal 5 3 3 3 3 2 2" xfId="37134"/>
    <cellStyle name="Normal 5 3 3 3 3 3" xfId="37135"/>
    <cellStyle name="Normal 5 3 3 3 4" xfId="37136"/>
    <cellStyle name="Normal 5 3 3 3 4 2" xfId="37137"/>
    <cellStyle name="Normal 5 3 3 3 5" xfId="37138"/>
    <cellStyle name="Normal 5 3 3 3 5 2" xfId="37139"/>
    <cellStyle name="Normal 5 3 3 3 6" xfId="37140"/>
    <cellStyle name="Normal 5 3 3 3 6 2" xfId="37141"/>
    <cellStyle name="Normal 5 3 3 3 7" xfId="37142"/>
    <cellStyle name="Normal 5 3 3 3 7 2" xfId="37143"/>
    <cellStyle name="Normal 5 3 3 3 8" xfId="37144"/>
    <cellStyle name="Normal 5 3 3 3 9" xfId="37145"/>
    <cellStyle name="Normal 5 3 3 4" xfId="37146"/>
    <cellStyle name="Normal 5 3 3 4 2" xfId="37147"/>
    <cellStyle name="Normal 5 3 3 4 2 2" xfId="37148"/>
    <cellStyle name="Normal 5 3 3 4 2 2 2" xfId="37149"/>
    <cellStyle name="Normal 5 3 3 4 2 3" xfId="37150"/>
    <cellStyle name="Normal 5 3 3 4 3" xfId="37151"/>
    <cellStyle name="Normal 5 3 3 4 3 2" xfId="37152"/>
    <cellStyle name="Normal 5 3 3 4 4" xfId="37153"/>
    <cellStyle name="Normal 5 3 3 5" xfId="37154"/>
    <cellStyle name="Normal 5 3 3 5 2" xfId="37155"/>
    <cellStyle name="Normal 5 3 3 5 2 2" xfId="37156"/>
    <cellStyle name="Normal 5 3 3 5 3" xfId="37157"/>
    <cellStyle name="Normal 5 3 3 6" xfId="37158"/>
    <cellStyle name="Normal 5 3 3 6 2" xfId="37159"/>
    <cellStyle name="Normal 5 3 3 7" xfId="37160"/>
    <cellStyle name="Normal 5 3 3 7 2" xfId="37161"/>
    <cellStyle name="Normal 5 3 3 8" xfId="37162"/>
    <cellStyle name="Normal 5 3 3 8 2" xfId="37163"/>
    <cellStyle name="Normal 5 3 3 9" xfId="37164"/>
    <cellStyle name="Normal 5 3 3 9 2" xfId="37165"/>
    <cellStyle name="Normal 5 3 4" xfId="37166"/>
    <cellStyle name="Normal 5 3 4 10" xfId="37167"/>
    <cellStyle name="Normal 5 3 4 11" xfId="37168"/>
    <cellStyle name="Normal 5 3 4 2" xfId="37169"/>
    <cellStyle name="Normal 5 3 4 2 2" xfId="37170"/>
    <cellStyle name="Normal 5 3 4 2 2 2" xfId="37171"/>
    <cellStyle name="Normal 5 3 4 2 2 2 2" xfId="37172"/>
    <cellStyle name="Normal 5 3 4 2 2 2 2 2" xfId="37173"/>
    <cellStyle name="Normal 5 3 4 2 2 2 3" xfId="37174"/>
    <cellStyle name="Normal 5 3 4 2 2 3" xfId="37175"/>
    <cellStyle name="Normal 5 3 4 2 2 3 2" xfId="37176"/>
    <cellStyle name="Normal 5 3 4 2 2 4" xfId="37177"/>
    <cellStyle name="Normal 5 3 4 2 3" xfId="37178"/>
    <cellStyle name="Normal 5 3 4 2 3 2" xfId="37179"/>
    <cellStyle name="Normal 5 3 4 2 3 2 2" xfId="37180"/>
    <cellStyle name="Normal 5 3 4 2 3 3" xfId="37181"/>
    <cellStyle name="Normal 5 3 4 2 4" xfId="37182"/>
    <cellStyle name="Normal 5 3 4 2 4 2" xfId="37183"/>
    <cellStyle name="Normal 5 3 4 2 5" xfId="37184"/>
    <cellStyle name="Normal 5 3 4 2 5 2" xfId="37185"/>
    <cellStyle name="Normal 5 3 4 2 6" xfId="37186"/>
    <cellStyle name="Normal 5 3 4 2 6 2" xfId="37187"/>
    <cellStyle name="Normal 5 3 4 2 7" xfId="37188"/>
    <cellStyle name="Normal 5 3 4 2 7 2" xfId="37189"/>
    <cellStyle name="Normal 5 3 4 2 8" xfId="37190"/>
    <cellStyle name="Normal 5 3 4 2 9" xfId="37191"/>
    <cellStyle name="Normal 5 3 4 3" xfId="37192"/>
    <cellStyle name="Normal 5 3 4 3 2" xfId="37193"/>
    <cellStyle name="Normal 5 3 4 3 2 2" xfId="37194"/>
    <cellStyle name="Normal 5 3 4 3 2 2 2" xfId="37195"/>
    <cellStyle name="Normal 5 3 4 3 2 2 2 2" xfId="37196"/>
    <cellStyle name="Normal 5 3 4 3 2 2 3" xfId="37197"/>
    <cellStyle name="Normal 5 3 4 3 2 3" xfId="37198"/>
    <cellStyle name="Normal 5 3 4 3 2 3 2" xfId="37199"/>
    <cellStyle name="Normal 5 3 4 3 2 4" xfId="37200"/>
    <cellStyle name="Normal 5 3 4 3 3" xfId="37201"/>
    <cellStyle name="Normal 5 3 4 3 3 2" xfId="37202"/>
    <cellStyle name="Normal 5 3 4 3 3 2 2" xfId="37203"/>
    <cellStyle name="Normal 5 3 4 3 3 3" xfId="37204"/>
    <cellStyle name="Normal 5 3 4 3 4" xfId="37205"/>
    <cellStyle name="Normal 5 3 4 3 4 2" xfId="37206"/>
    <cellStyle name="Normal 5 3 4 3 5" xfId="37207"/>
    <cellStyle name="Normal 5 3 4 3 5 2" xfId="37208"/>
    <cellStyle name="Normal 5 3 4 3 6" xfId="37209"/>
    <cellStyle name="Normal 5 3 4 4" xfId="37210"/>
    <cellStyle name="Normal 5 3 4 4 2" xfId="37211"/>
    <cellStyle name="Normal 5 3 4 4 2 2" xfId="37212"/>
    <cellStyle name="Normal 5 3 4 4 2 2 2" xfId="37213"/>
    <cellStyle name="Normal 5 3 4 4 2 3" xfId="37214"/>
    <cellStyle name="Normal 5 3 4 4 3" xfId="37215"/>
    <cellStyle name="Normal 5 3 4 4 3 2" xfId="37216"/>
    <cellStyle name="Normal 5 3 4 4 4" xfId="37217"/>
    <cellStyle name="Normal 5 3 4 5" xfId="37218"/>
    <cellStyle name="Normal 5 3 4 5 2" xfId="37219"/>
    <cellStyle name="Normal 5 3 4 5 2 2" xfId="37220"/>
    <cellStyle name="Normal 5 3 4 5 3" xfId="37221"/>
    <cellStyle name="Normal 5 3 4 6" xfId="37222"/>
    <cellStyle name="Normal 5 3 4 6 2" xfId="37223"/>
    <cellStyle name="Normal 5 3 4 7" xfId="37224"/>
    <cellStyle name="Normal 5 3 4 7 2" xfId="37225"/>
    <cellStyle name="Normal 5 3 4 8" xfId="37226"/>
    <cellStyle name="Normal 5 3 4 8 2" xfId="37227"/>
    <cellStyle name="Normal 5 3 4 9" xfId="37228"/>
    <cellStyle name="Normal 5 3 4 9 2" xfId="37229"/>
    <cellStyle name="Normal 5 3 5" xfId="37230"/>
    <cellStyle name="Normal 5 3 5 2" xfId="37231"/>
    <cellStyle name="Normal 5 3 5 2 2" xfId="37232"/>
    <cellStyle name="Normal 5 3 5 2 2 2" xfId="37233"/>
    <cellStyle name="Normal 5 3 5 2 2 2 2" xfId="37234"/>
    <cellStyle name="Normal 5 3 5 2 2 3" xfId="37235"/>
    <cellStyle name="Normal 5 3 5 2 3" xfId="37236"/>
    <cellStyle name="Normal 5 3 5 2 3 2" xfId="37237"/>
    <cellStyle name="Normal 5 3 5 2 4" xfId="37238"/>
    <cellStyle name="Normal 5 3 5 3" xfId="37239"/>
    <cellStyle name="Normal 5 3 5 3 2" xfId="37240"/>
    <cellStyle name="Normal 5 3 5 3 2 2" xfId="37241"/>
    <cellStyle name="Normal 5 3 5 3 3" xfId="37242"/>
    <cellStyle name="Normal 5 3 5 4" xfId="37243"/>
    <cellStyle name="Normal 5 3 5 4 2" xfId="37244"/>
    <cellStyle name="Normal 5 3 5 5" xfId="37245"/>
    <cellStyle name="Normal 5 3 5 5 2" xfId="37246"/>
    <cellStyle name="Normal 5 3 5 6" xfId="37247"/>
    <cellStyle name="Normal 5 3 5 6 2" xfId="37248"/>
    <cellStyle name="Normal 5 3 5 7" xfId="37249"/>
    <cellStyle name="Normal 5 3 5 7 2" xfId="37250"/>
    <cellStyle name="Normal 5 3 5 8" xfId="37251"/>
    <cellStyle name="Normal 5 3 5 9" xfId="37252"/>
    <cellStyle name="Normal 5 3 6" xfId="37253"/>
    <cellStyle name="Normal 5 3 6 2" xfId="37254"/>
    <cellStyle name="Normal 5 3 6 2 2" xfId="37255"/>
    <cellStyle name="Normal 5 3 6 2 2 2" xfId="37256"/>
    <cellStyle name="Normal 5 3 6 2 2 2 2" xfId="37257"/>
    <cellStyle name="Normal 5 3 6 2 2 3" xfId="37258"/>
    <cellStyle name="Normal 5 3 6 2 3" xfId="37259"/>
    <cellStyle name="Normal 5 3 6 2 3 2" xfId="37260"/>
    <cellStyle name="Normal 5 3 6 2 4" xfId="37261"/>
    <cellStyle name="Normal 5 3 6 3" xfId="37262"/>
    <cellStyle name="Normal 5 3 6 3 2" xfId="37263"/>
    <cellStyle name="Normal 5 3 6 3 2 2" xfId="37264"/>
    <cellStyle name="Normal 5 3 6 3 3" xfId="37265"/>
    <cellStyle name="Normal 5 3 6 4" xfId="37266"/>
    <cellStyle name="Normal 5 3 6 4 2" xfId="37267"/>
    <cellStyle name="Normal 5 3 6 5" xfId="37268"/>
    <cellStyle name="Normal 5 3 6 5 2" xfId="37269"/>
    <cellStyle name="Normal 5 3 6 6" xfId="37270"/>
    <cellStyle name="Normal 5 3 7" xfId="37271"/>
    <cellStyle name="Normal 5 3 7 2" xfId="37272"/>
    <cellStyle name="Normal 5 3 7 2 2" xfId="37273"/>
    <cellStyle name="Normal 5 3 7 2 2 2" xfId="37274"/>
    <cellStyle name="Normal 5 3 7 2 2 2 2" xfId="37275"/>
    <cellStyle name="Normal 5 3 7 2 2 3" xfId="37276"/>
    <cellStyle name="Normal 5 3 7 2 3" xfId="37277"/>
    <cellStyle name="Normal 5 3 7 2 3 2" xfId="37278"/>
    <cellStyle name="Normal 5 3 7 2 4" xfId="37279"/>
    <cellStyle name="Normal 5 3 7 3" xfId="37280"/>
    <cellStyle name="Normal 5 3 7 3 2" xfId="37281"/>
    <cellStyle name="Normal 5 3 7 3 2 2" xfId="37282"/>
    <cellStyle name="Normal 5 3 7 3 3" xfId="37283"/>
    <cellStyle name="Normal 5 3 7 4" xfId="37284"/>
    <cellStyle name="Normal 5 3 7 4 2" xfId="37285"/>
    <cellStyle name="Normal 5 3 7 5" xfId="37286"/>
    <cellStyle name="Normal 5 3 7 5 2" xfId="37287"/>
    <cellStyle name="Normal 5 3 7 6" xfId="37288"/>
    <cellStyle name="Normal 5 3 8" xfId="37289"/>
    <cellStyle name="Normal 5 3 8 2" xfId="37290"/>
    <cellStyle name="Normal 5 3 8 2 2" xfId="37291"/>
    <cellStyle name="Normal 5 3 8 2 2 2" xfId="37292"/>
    <cellStyle name="Normal 5 3 8 2 3" xfId="37293"/>
    <cellStyle name="Normal 5 3 8 3" xfId="37294"/>
    <cellStyle name="Normal 5 3 8 3 2" xfId="37295"/>
    <cellStyle name="Normal 5 3 8 4" xfId="37296"/>
    <cellStyle name="Normal 5 3 9" xfId="37297"/>
    <cellStyle name="Normal 5 3 9 2" xfId="37298"/>
    <cellStyle name="Normal 5 3 9 2 2" xfId="37299"/>
    <cellStyle name="Normal 5 3 9 3" xfId="37300"/>
    <cellStyle name="Normal 5 3 9 4" xfId="37301"/>
    <cellStyle name="Normal 5 4" xfId="37302"/>
    <cellStyle name="Normal 5 4 10" xfId="37303"/>
    <cellStyle name="Normal 5 4 10 2" xfId="37304"/>
    <cellStyle name="Normal 5 4 11" xfId="37305"/>
    <cellStyle name="Normal 5 4 11 2" xfId="37306"/>
    <cellStyle name="Normal 5 4 12" xfId="37307"/>
    <cellStyle name="Normal 5 4 12 2" xfId="37308"/>
    <cellStyle name="Normal 5 4 13" xfId="37309"/>
    <cellStyle name="Normal 5 4 13 2" xfId="37310"/>
    <cellStyle name="Normal 5 4 14" xfId="37311"/>
    <cellStyle name="Normal 5 4 15" xfId="37312"/>
    <cellStyle name="Normal 5 4 2" xfId="37313"/>
    <cellStyle name="Normal 5 4 2 10" xfId="37314"/>
    <cellStyle name="Normal 5 4 2 10 2" xfId="37315"/>
    <cellStyle name="Normal 5 4 2 11" xfId="37316"/>
    <cellStyle name="Normal 5 4 2 11 2" xfId="37317"/>
    <cellStyle name="Normal 5 4 2 12" xfId="37318"/>
    <cellStyle name="Normal 5 4 2 12 2" xfId="37319"/>
    <cellStyle name="Normal 5 4 2 13" xfId="37320"/>
    <cellStyle name="Normal 5 4 2 14" xfId="37321"/>
    <cellStyle name="Normal 5 4 2 2" xfId="37322"/>
    <cellStyle name="Normal 5 4 2 2 10" xfId="37323"/>
    <cellStyle name="Normal 5 4 2 2 11" xfId="37324"/>
    <cellStyle name="Normal 5 4 2 2 2" xfId="37325"/>
    <cellStyle name="Normal 5 4 2 2 2 2" xfId="37326"/>
    <cellStyle name="Normal 5 4 2 2 2 2 2" xfId="37327"/>
    <cellStyle name="Normal 5 4 2 2 2 2 2 2" xfId="37328"/>
    <cellStyle name="Normal 5 4 2 2 2 2 2 2 2" xfId="37329"/>
    <cellStyle name="Normal 5 4 2 2 2 2 2 3" xfId="37330"/>
    <cellStyle name="Normal 5 4 2 2 2 2 3" xfId="37331"/>
    <cellStyle name="Normal 5 4 2 2 2 2 3 2" xfId="37332"/>
    <cellStyle name="Normal 5 4 2 2 2 2 4" xfId="37333"/>
    <cellStyle name="Normal 5 4 2 2 2 3" xfId="37334"/>
    <cellStyle name="Normal 5 4 2 2 2 3 2" xfId="37335"/>
    <cellStyle name="Normal 5 4 2 2 2 3 2 2" xfId="37336"/>
    <cellStyle name="Normal 5 4 2 2 2 3 3" xfId="37337"/>
    <cellStyle name="Normal 5 4 2 2 2 4" xfId="37338"/>
    <cellStyle name="Normal 5 4 2 2 2 4 2" xfId="37339"/>
    <cellStyle name="Normal 5 4 2 2 2 5" xfId="37340"/>
    <cellStyle name="Normal 5 4 2 2 2 5 2" xfId="37341"/>
    <cellStyle name="Normal 5 4 2 2 2 6" xfId="37342"/>
    <cellStyle name="Normal 5 4 2 2 2 6 2" xfId="37343"/>
    <cellStyle name="Normal 5 4 2 2 2 7" xfId="37344"/>
    <cellStyle name="Normal 5 4 2 2 2 7 2" xfId="37345"/>
    <cellStyle name="Normal 5 4 2 2 2 8" xfId="37346"/>
    <cellStyle name="Normal 5 4 2 2 2 9" xfId="37347"/>
    <cellStyle name="Normal 5 4 2 2 3" xfId="37348"/>
    <cellStyle name="Normal 5 4 2 2 3 2" xfId="37349"/>
    <cellStyle name="Normal 5 4 2 2 3 2 2" xfId="37350"/>
    <cellStyle name="Normal 5 4 2 2 3 2 2 2" xfId="37351"/>
    <cellStyle name="Normal 5 4 2 2 3 2 2 2 2" xfId="37352"/>
    <cellStyle name="Normal 5 4 2 2 3 2 2 3" xfId="37353"/>
    <cellStyle name="Normal 5 4 2 2 3 2 3" xfId="37354"/>
    <cellStyle name="Normal 5 4 2 2 3 2 3 2" xfId="37355"/>
    <cellStyle name="Normal 5 4 2 2 3 2 4" xfId="37356"/>
    <cellStyle name="Normal 5 4 2 2 3 3" xfId="37357"/>
    <cellStyle name="Normal 5 4 2 2 3 3 2" xfId="37358"/>
    <cellStyle name="Normal 5 4 2 2 3 3 2 2" xfId="37359"/>
    <cellStyle name="Normal 5 4 2 2 3 3 3" xfId="37360"/>
    <cellStyle name="Normal 5 4 2 2 3 4" xfId="37361"/>
    <cellStyle name="Normal 5 4 2 2 3 4 2" xfId="37362"/>
    <cellStyle name="Normal 5 4 2 2 3 5" xfId="37363"/>
    <cellStyle name="Normal 5 4 2 2 3 5 2" xfId="37364"/>
    <cellStyle name="Normal 5 4 2 2 3 6" xfId="37365"/>
    <cellStyle name="Normal 5 4 2 2 4" xfId="37366"/>
    <cellStyle name="Normal 5 4 2 2 4 2" xfId="37367"/>
    <cellStyle name="Normal 5 4 2 2 4 2 2" xfId="37368"/>
    <cellStyle name="Normal 5 4 2 2 4 2 2 2" xfId="37369"/>
    <cellStyle name="Normal 5 4 2 2 4 2 3" xfId="37370"/>
    <cellStyle name="Normal 5 4 2 2 4 3" xfId="37371"/>
    <cellStyle name="Normal 5 4 2 2 4 3 2" xfId="37372"/>
    <cellStyle name="Normal 5 4 2 2 4 4" xfId="37373"/>
    <cellStyle name="Normal 5 4 2 2 5" xfId="37374"/>
    <cellStyle name="Normal 5 4 2 2 5 2" xfId="37375"/>
    <cellStyle name="Normal 5 4 2 2 5 2 2" xfId="37376"/>
    <cellStyle name="Normal 5 4 2 2 5 3" xfId="37377"/>
    <cellStyle name="Normal 5 4 2 2 6" xfId="37378"/>
    <cellStyle name="Normal 5 4 2 2 6 2" xfId="37379"/>
    <cellStyle name="Normal 5 4 2 2 7" xfId="37380"/>
    <cellStyle name="Normal 5 4 2 2 7 2" xfId="37381"/>
    <cellStyle name="Normal 5 4 2 2 8" xfId="37382"/>
    <cellStyle name="Normal 5 4 2 2 8 2" xfId="37383"/>
    <cellStyle name="Normal 5 4 2 2 9" xfId="37384"/>
    <cellStyle name="Normal 5 4 2 2 9 2" xfId="37385"/>
    <cellStyle name="Normal 5 4 2 3" xfId="37386"/>
    <cellStyle name="Normal 5 4 2 3 10" xfId="37387"/>
    <cellStyle name="Normal 5 4 2 3 11" xfId="37388"/>
    <cellStyle name="Normal 5 4 2 3 2" xfId="37389"/>
    <cellStyle name="Normal 5 4 2 3 2 2" xfId="37390"/>
    <cellStyle name="Normal 5 4 2 3 2 2 2" xfId="37391"/>
    <cellStyle name="Normal 5 4 2 3 2 2 2 2" xfId="37392"/>
    <cellStyle name="Normal 5 4 2 3 2 2 2 2 2" xfId="37393"/>
    <cellStyle name="Normal 5 4 2 3 2 2 2 3" xfId="37394"/>
    <cellStyle name="Normal 5 4 2 3 2 2 3" xfId="37395"/>
    <cellStyle name="Normal 5 4 2 3 2 2 3 2" xfId="37396"/>
    <cellStyle name="Normal 5 4 2 3 2 2 4" xfId="37397"/>
    <cellStyle name="Normal 5 4 2 3 2 3" xfId="37398"/>
    <cellStyle name="Normal 5 4 2 3 2 3 2" xfId="37399"/>
    <cellStyle name="Normal 5 4 2 3 2 3 2 2" xfId="37400"/>
    <cellStyle name="Normal 5 4 2 3 2 3 3" xfId="37401"/>
    <cellStyle name="Normal 5 4 2 3 2 4" xfId="37402"/>
    <cellStyle name="Normal 5 4 2 3 2 4 2" xfId="37403"/>
    <cellStyle name="Normal 5 4 2 3 2 5" xfId="37404"/>
    <cellStyle name="Normal 5 4 2 3 2 5 2" xfId="37405"/>
    <cellStyle name="Normal 5 4 2 3 2 6" xfId="37406"/>
    <cellStyle name="Normal 5 4 2 3 3" xfId="37407"/>
    <cellStyle name="Normal 5 4 2 3 3 2" xfId="37408"/>
    <cellStyle name="Normal 5 4 2 3 3 2 2" xfId="37409"/>
    <cellStyle name="Normal 5 4 2 3 3 2 2 2" xfId="37410"/>
    <cellStyle name="Normal 5 4 2 3 3 2 2 2 2" xfId="37411"/>
    <cellStyle name="Normal 5 4 2 3 3 2 2 3" xfId="37412"/>
    <cellStyle name="Normal 5 4 2 3 3 2 3" xfId="37413"/>
    <cellStyle name="Normal 5 4 2 3 3 2 3 2" xfId="37414"/>
    <cellStyle name="Normal 5 4 2 3 3 2 4" xfId="37415"/>
    <cellStyle name="Normal 5 4 2 3 3 3" xfId="37416"/>
    <cellStyle name="Normal 5 4 2 3 3 3 2" xfId="37417"/>
    <cellStyle name="Normal 5 4 2 3 3 3 2 2" xfId="37418"/>
    <cellStyle name="Normal 5 4 2 3 3 3 3" xfId="37419"/>
    <cellStyle name="Normal 5 4 2 3 3 4" xfId="37420"/>
    <cellStyle name="Normal 5 4 2 3 3 4 2" xfId="37421"/>
    <cellStyle name="Normal 5 4 2 3 3 5" xfId="37422"/>
    <cellStyle name="Normal 5 4 2 3 3 5 2" xfId="37423"/>
    <cellStyle name="Normal 5 4 2 3 3 6" xfId="37424"/>
    <cellStyle name="Normal 5 4 2 3 4" xfId="37425"/>
    <cellStyle name="Normal 5 4 2 3 4 2" xfId="37426"/>
    <cellStyle name="Normal 5 4 2 3 4 2 2" xfId="37427"/>
    <cellStyle name="Normal 5 4 2 3 4 2 2 2" xfId="37428"/>
    <cellStyle name="Normal 5 4 2 3 4 2 3" xfId="37429"/>
    <cellStyle name="Normal 5 4 2 3 4 3" xfId="37430"/>
    <cellStyle name="Normal 5 4 2 3 4 3 2" xfId="37431"/>
    <cellStyle name="Normal 5 4 2 3 4 4" xfId="37432"/>
    <cellStyle name="Normal 5 4 2 3 5" xfId="37433"/>
    <cellStyle name="Normal 5 4 2 3 5 2" xfId="37434"/>
    <cellStyle name="Normal 5 4 2 3 5 2 2" xfId="37435"/>
    <cellStyle name="Normal 5 4 2 3 5 3" xfId="37436"/>
    <cellStyle name="Normal 5 4 2 3 6" xfId="37437"/>
    <cellStyle name="Normal 5 4 2 3 6 2" xfId="37438"/>
    <cellStyle name="Normal 5 4 2 3 7" xfId="37439"/>
    <cellStyle name="Normal 5 4 2 3 7 2" xfId="37440"/>
    <cellStyle name="Normal 5 4 2 3 8" xfId="37441"/>
    <cellStyle name="Normal 5 4 2 3 8 2" xfId="37442"/>
    <cellStyle name="Normal 5 4 2 3 9" xfId="37443"/>
    <cellStyle name="Normal 5 4 2 3 9 2" xfId="37444"/>
    <cellStyle name="Normal 5 4 2 4" xfId="37445"/>
    <cellStyle name="Normal 5 4 2 4 2" xfId="37446"/>
    <cellStyle name="Normal 5 4 2 4 2 2" xfId="37447"/>
    <cellStyle name="Normal 5 4 2 4 2 2 2" xfId="37448"/>
    <cellStyle name="Normal 5 4 2 4 2 2 2 2" xfId="37449"/>
    <cellStyle name="Normal 5 4 2 4 2 2 3" xfId="37450"/>
    <cellStyle name="Normal 5 4 2 4 2 3" xfId="37451"/>
    <cellStyle name="Normal 5 4 2 4 2 3 2" xfId="37452"/>
    <cellStyle name="Normal 5 4 2 4 2 4" xfId="37453"/>
    <cellStyle name="Normal 5 4 2 4 3" xfId="37454"/>
    <cellStyle name="Normal 5 4 2 4 3 2" xfId="37455"/>
    <cellStyle name="Normal 5 4 2 4 3 2 2" xfId="37456"/>
    <cellStyle name="Normal 5 4 2 4 3 3" xfId="37457"/>
    <cellStyle name="Normal 5 4 2 4 4" xfId="37458"/>
    <cellStyle name="Normal 5 4 2 4 4 2" xfId="37459"/>
    <cellStyle name="Normal 5 4 2 4 5" xfId="37460"/>
    <cellStyle name="Normal 5 4 2 4 5 2" xfId="37461"/>
    <cellStyle name="Normal 5 4 2 4 6" xfId="37462"/>
    <cellStyle name="Normal 5 4 2 5" xfId="37463"/>
    <cellStyle name="Normal 5 4 2 5 2" xfId="37464"/>
    <cellStyle name="Normal 5 4 2 5 2 2" xfId="37465"/>
    <cellStyle name="Normal 5 4 2 5 2 2 2" xfId="37466"/>
    <cellStyle name="Normal 5 4 2 5 2 2 2 2" xfId="37467"/>
    <cellStyle name="Normal 5 4 2 5 2 2 3" xfId="37468"/>
    <cellStyle name="Normal 5 4 2 5 2 3" xfId="37469"/>
    <cellStyle name="Normal 5 4 2 5 2 3 2" xfId="37470"/>
    <cellStyle name="Normal 5 4 2 5 2 4" xfId="37471"/>
    <cellStyle name="Normal 5 4 2 5 3" xfId="37472"/>
    <cellStyle name="Normal 5 4 2 5 3 2" xfId="37473"/>
    <cellStyle name="Normal 5 4 2 5 3 2 2" xfId="37474"/>
    <cellStyle name="Normal 5 4 2 5 3 3" xfId="37475"/>
    <cellStyle name="Normal 5 4 2 5 4" xfId="37476"/>
    <cellStyle name="Normal 5 4 2 5 4 2" xfId="37477"/>
    <cellStyle name="Normal 5 4 2 5 5" xfId="37478"/>
    <cellStyle name="Normal 5 4 2 5 5 2" xfId="37479"/>
    <cellStyle name="Normal 5 4 2 5 6" xfId="37480"/>
    <cellStyle name="Normal 5 4 2 6" xfId="37481"/>
    <cellStyle name="Normal 5 4 2 6 2" xfId="37482"/>
    <cellStyle name="Normal 5 4 2 6 2 2" xfId="37483"/>
    <cellStyle name="Normal 5 4 2 6 2 2 2" xfId="37484"/>
    <cellStyle name="Normal 5 4 2 6 2 2 2 2" xfId="37485"/>
    <cellStyle name="Normal 5 4 2 6 2 2 3" xfId="37486"/>
    <cellStyle name="Normal 5 4 2 6 2 3" xfId="37487"/>
    <cellStyle name="Normal 5 4 2 6 2 3 2" xfId="37488"/>
    <cellStyle name="Normal 5 4 2 6 2 4" xfId="37489"/>
    <cellStyle name="Normal 5 4 2 6 3" xfId="37490"/>
    <cellStyle name="Normal 5 4 2 6 3 2" xfId="37491"/>
    <cellStyle name="Normal 5 4 2 6 3 2 2" xfId="37492"/>
    <cellStyle name="Normal 5 4 2 6 3 3" xfId="37493"/>
    <cellStyle name="Normal 5 4 2 6 4" xfId="37494"/>
    <cellStyle name="Normal 5 4 2 6 4 2" xfId="37495"/>
    <cellStyle name="Normal 5 4 2 6 5" xfId="37496"/>
    <cellStyle name="Normal 5 4 2 6 5 2" xfId="37497"/>
    <cellStyle name="Normal 5 4 2 6 6" xfId="37498"/>
    <cellStyle name="Normal 5 4 2 7" xfId="37499"/>
    <cellStyle name="Normal 5 4 2 7 2" xfId="37500"/>
    <cellStyle name="Normal 5 4 2 7 2 2" xfId="37501"/>
    <cellStyle name="Normal 5 4 2 7 2 2 2" xfId="37502"/>
    <cellStyle name="Normal 5 4 2 7 2 3" xfId="37503"/>
    <cellStyle name="Normal 5 4 2 7 3" xfId="37504"/>
    <cellStyle name="Normal 5 4 2 7 3 2" xfId="37505"/>
    <cellStyle name="Normal 5 4 2 7 4" xfId="37506"/>
    <cellStyle name="Normal 5 4 2 8" xfId="37507"/>
    <cellStyle name="Normal 5 4 2 8 2" xfId="37508"/>
    <cellStyle name="Normal 5 4 2 8 2 2" xfId="37509"/>
    <cellStyle name="Normal 5 4 2 8 3" xfId="37510"/>
    <cellStyle name="Normal 5 4 2 9" xfId="37511"/>
    <cellStyle name="Normal 5 4 2 9 2" xfId="37512"/>
    <cellStyle name="Normal 5 4 3" xfId="37513"/>
    <cellStyle name="Normal 5 4 3 10" xfId="37514"/>
    <cellStyle name="Normal 5 4 3 11" xfId="37515"/>
    <cellStyle name="Normal 5 4 3 2" xfId="37516"/>
    <cellStyle name="Normal 5 4 3 2 2" xfId="37517"/>
    <cellStyle name="Normal 5 4 3 2 2 2" xfId="37518"/>
    <cellStyle name="Normal 5 4 3 2 2 2 2" xfId="37519"/>
    <cellStyle name="Normal 5 4 3 2 2 2 2 2" xfId="37520"/>
    <cellStyle name="Normal 5 4 3 2 2 2 3" xfId="37521"/>
    <cellStyle name="Normal 5 4 3 2 2 3" xfId="37522"/>
    <cellStyle name="Normal 5 4 3 2 2 3 2" xfId="37523"/>
    <cellStyle name="Normal 5 4 3 2 2 4" xfId="37524"/>
    <cellStyle name="Normal 5 4 3 2 2 4 2" xfId="37525"/>
    <cellStyle name="Normal 5 4 3 2 2 5" xfId="37526"/>
    <cellStyle name="Normal 5 4 3 2 2 5 2" xfId="37527"/>
    <cellStyle name="Normal 5 4 3 2 2 6" xfId="37528"/>
    <cellStyle name="Normal 5 4 3 2 2 7" xfId="37529"/>
    <cellStyle name="Normal 5 4 3 2 3" xfId="37530"/>
    <cellStyle name="Normal 5 4 3 2 3 2" xfId="37531"/>
    <cellStyle name="Normal 5 4 3 2 3 2 2" xfId="37532"/>
    <cellStyle name="Normal 5 4 3 2 3 3" xfId="37533"/>
    <cellStyle name="Normal 5 4 3 2 4" xfId="37534"/>
    <cellStyle name="Normal 5 4 3 2 4 2" xfId="37535"/>
    <cellStyle name="Normal 5 4 3 2 5" xfId="37536"/>
    <cellStyle name="Normal 5 4 3 2 5 2" xfId="37537"/>
    <cellStyle name="Normal 5 4 3 2 6" xfId="37538"/>
    <cellStyle name="Normal 5 4 3 2 6 2" xfId="37539"/>
    <cellStyle name="Normal 5 4 3 2 7" xfId="37540"/>
    <cellStyle name="Normal 5 4 3 2 7 2" xfId="37541"/>
    <cellStyle name="Normal 5 4 3 2 8" xfId="37542"/>
    <cellStyle name="Normal 5 4 3 2 9" xfId="37543"/>
    <cellStyle name="Normal 5 4 3 3" xfId="37544"/>
    <cellStyle name="Normal 5 4 3 3 2" xfId="37545"/>
    <cellStyle name="Normal 5 4 3 3 2 2" xfId="37546"/>
    <cellStyle name="Normal 5 4 3 3 2 2 2" xfId="37547"/>
    <cellStyle name="Normal 5 4 3 3 2 2 2 2" xfId="37548"/>
    <cellStyle name="Normal 5 4 3 3 2 2 3" xfId="37549"/>
    <cellStyle name="Normal 5 4 3 3 2 3" xfId="37550"/>
    <cellStyle name="Normal 5 4 3 3 2 3 2" xfId="37551"/>
    <cellStyle name="Normal 5 4 3 3 2 4" xfId="37552"/>
    <cellStyle name="Normal 5 4 3 3 3" xfId="37553"/>
    <cellStyle name="Normal 5 4 3 3 3 2" xfId="37554"/>
    <cellStyle name="Normal 5 4 3 3 3 2 2" xfId="37555"/>
    <cellStyle name="Normal 5 4 3 3 3 3" xfId="37556"/>
    <cellStyle name="Normal 5 4 3 3 4" xfId="37557"/>
    <cellStyle name="Normal 5 4 3 3 4 2" xfId="37558"/>
    <cellStyle name="Normal 5 4 3 3 5" xfId="37559"/>
    <cellStyle name="Normal 5 4 3 3 5 2" xfId="37560"/>
    <cellStyle name="Normal 5 4 3 3 6" xfId="37561"/>
    <cellStyle name="Normal 5 4 3 3 6 2" xfId="37562"/>
    <cellStyle name="Normal 5 4 3 3 7" xfId="37563"/>
    <cellStyle name="Normal 5 4 3 3 7 2" xfId="37564"/>
    <cellStyle name="Normal 5 4 3 3 8" xfId="37565"/>
    <cellStyle name="Normal 5 4 3 3 9" xfId="37566"/>
    <cellStyle name="Normal 5 4 3 4" xfId="37567"/>
    <cellStyle name="Normal 5 4 3 4 2" xfId="37568"/>
    <cellStyle name="Normal 5 4 3 4 2 2" xfId="37569"/>
    <cellStyle name="Normal 5 4 3 4 2 2 2" xfId="37570"/>
    <cellStyle name="Normal 5 4 3 4 2 3" xfId="37571"/>
    <cellStyle name="Normal 5 4 3 4 3" xfId="37572"/>
    <cellStyle name="Normal 5 4 3 4 3 2" xfId="37573"/>
    <cellStyle name="Normal 5 4 3 4 4" xfId="37574"/>
    <cellStyle name="Normal 5 4 3 5" xfId="37575"/>
    <cellStyle name="Normal 5 4 3 5 2" xfId="37576"/>
    <cellStyle name="Normal 5 4 3 5 2 2" xfId="37577"/>
    <cellStyle name="Normal 5 4 3 5 3" xfId="37578"/>
    <cellStyle name="Normal 5 4 3 6" xfId="37579"/>
    <cellStyle name="Normal 5 4 3 6 2" xfId="37580"/>
    <cellStyle name="Normal 5 4 3 7" xfId="37581"/>
    <cellStyle name="Normal 5 4 3 7 2" xfId="37582"/>
    <cellStyle name="Normal 5 4 3 8" xfId="37583"/>
    <cellStyle name="Normal 5 4 3 8 2" xfId="37584"/>
    <cellStyle name="Normal 5 4 3 9" xfId="37585"/>
    <cellStyle name="Normal 5 4 3 9 2" xfId="37586"/>
    <cellStyle name="Normal 5 4 4" xfId="37587"/>
    <cellStyle name="Normal 5 4 4 10" xfId="37588"/>
    <cellStyle name="Normal 5 4 4 11" xfId="37589"/>
    <cellStyle name="Normal 5 4 4 2" xfId="37590"/>
    <cellStyle name="Normal 5 4 4 2 2" xfId="37591"/>
    <cellStyle name="Normal 5 4 4 2 2 2" xfId="37592"/>
    <cellStyle name="Normal 5 4 4 2 2 2 2" xfId="37593"/>
    <cellStyle name="Normal 5 4 4 2 2 2 2 2" xfId="37594"/>
    <cellStyle name="Normal 5 4 4 2 2 2 3" xfId="37595"/>
    <cellStyle name="Normal 5 4 4 2 2 3" xfId="37596"/>
    <cellStyle name="Normal 5 4 4 2 2 3 2" xfId="37597"/>
    <cellStyle name="Normal 5 4 4 2 2 4" xfId="37598"/>
    <cellStyle name="Normal 5 4 4 2 3" xfId="37599"/>
    <cellStyle name="Normal 5 4 4 2 3 2" xfId="37600"/>
    <cellStyle name="Normal 5 4 4 2 3 2 2" xfId="37601"/>
    <cellStyle name="Normal 5 4 4 2 3 3" xfId="37602"/>
    <cellStyle name="Normal 5 4 4 2 4" xfId="37603"/>
    <cellStyle name="Normal 5 4 4 2 4 2" xfId="37604"/>
    <cellStyle name="Normal 5 4 4 2 5" xfId="37605"/>
    <cellStyle name="Normal 5 4 4 2 5 2" xfId="37606"/>
    <cellStyle name="Normal 5 4 4 2 6" xfId="37607"/>
    <cellStyle name="Normal 5 4 4 2 6 2" xfId="37608"/>
    <cellStyle name="Normal 5 4 4 2 7" xfId="37609"/>
    <cellStyle name="Normal 5 4 4 2 7 2" xfId="37610"/>
    <cellStyle name="Normal 5 4 4 2 8" xfId="37611"/>
    <cellStyle name="Normal 5 4 4 2 9" xfId="37612"/>
    <cellStyle name="Normal 5 4 4 3" xfId="37613"/>
    <cellStyle name="Normal 5 4 4 3 2" xfId="37614"/>
    <cellStyle name="Normal 5 4 4 3 2 2" xfId="37615"/>
    <cellStyle name="Normal 5 4 4 3 2 2 2" xfId="37616"/>
    <cellStyle name="Normal 5 4 4 3 2 2 2 2" xfId="37617"/>
    <cellStyle name="Normal 5 4 4 3 2 2 3" xfId="37618"/>
    <cellStyle name="Normal 5 4 4 3 2 3" xfId="37619"/>
    <cellStyle name="Normal 5 4 4 3 2 3 2" xfId="37620"/>
    <cellStyle name="Normal 5 4 4 3 2 4" xfId="37621"/>
    <cellStyle name="Normal 5 4 4 3 3" xfId="37622"/>
    <cellStyle name="Normal 5 4 4 3 3 2" xfId="37623"/>
    <cellStyle name="Normal 5 4 4 3 3 2 2" xfId="37624"/>
    <cellStyle name="Normal 5 4 4 3 3 3" xfId="37625"/>
    <cellStyle name="Normal 5 4 4 3 4" xfId="37626"/>
    <cellStyle name="Normal 5 4 4 3 4 2" xfId="37627"/>
    <cellStyle name="Normal 5 4 4 3 5" xfId="37628"/>
    <cellStyle name="Normal 5 4 4 3 5 2" xfId="37629"/>
    <cellStyle name="Normal 5 4 4 3 6" xfId="37630"/>
    <cellStyle name="Normal 5 4 4 4" xfId="37631"/>
    <cellStyle name="Normal 5 4 4 4 2" xfId="37632"/>
    <cellStyle name="Normal 5 4 4 4 2 2" xfId="37633"/>
    <cellStyle name="Normal 5 4 4 4 2 2 2" xfId="37634"/>
    <cellStyle name="Normal 5 4 4 4 2 3" xfId="37635"/>
    <cellStyle name="Normal 5 4 4 4 3" xfId="37636"/>
    <cellStyle name="Normal 5 4 4 4 3 2" xfId="37637"/>
    <cellStyle name="Normal 5 4 4 4 4" xfId="37638"/>
    <cellStyle name="Normal 5 4 4 5" xfId="37639"/>
    <cellStyle name="Normal 5 4 4 5 2" xfId="37640"/>
    <cellStyle name="Normal 5 4 4 5 2 2" xfId="37641"/>
    <cellStyle name="Normal 5 4 4 5 3" xfId="37642"/>
    <cellStyle name="Normal 5 4 4 6" xfId="37643"/>
    <cellStyle name="Normal 5 4 4 6 2" xfId="37644"/>
    <cellStyle name="Normal 5 4 4 7" xfId="37645"/>
    <cellStyle name="Normal 5 4 4 7 2" xfId="37646"/>
    <cellStyle name="Normal 5 4 4 8" xfId="37647"/>
    <cellStyle name="Normal 5 4 4 8 2" xfId="37648"/>
    <cellStyle name="Normal 5 4 4 9" xfId="37649"/>
    <cellStyle name="Normal 5 4 4 9 2" xfId="37650"/>
    <cellStyle name="Normal 5 4 5" xfId="37651"/>
    <cellStyle name="Normal 5 4 5 2" xfId="37652"/>
    <cellStyle name="Normal 5 4 5 2 2" xfId="37653"/>
    <cellStyle name="Normal 5 4 5 2 2 2" xfId="37654"/>
    <cellStyle name="Normal 5 4 5 2 2 2 2" xfId="37655"/>
    <cellStyle name="Normal 5 4 5 2 2 3" xfId="37656"/>
    <cellStyle name="Normal 5 4 5 2 3" xfId="37657"/>
    <cellStyle name="Normal 5 4 5 2 3 2" xfId="37658"/>
    <cellStyle name="Normal 5 4 5 2 4" xfId="37659"/>
    <cellStyle name="Normal 5 4 5 3" xfId="37660"/>
    <cellStyle name="Normal 5 4 5 3 2" xfId="37661"/>
    <cellStyle name="Normal 5 4 5 3 2 2" xfId="37662"/>
    <cellStyle name="Normal 5 4 5 3 3" xfId="37663"/>
    <cellStyle name="Normal 5 4 5 4" xfId="37664"/>
    <cellStyle name="Normal 5 4 5 4 2" xfId="37665"/>
    <cellStyle name="Normal 5 4 5 5" xfId="37666"/>
    <cellStyle name="Normal 5 4 5 5 2" xfId="37667"/>
    <cellStyle name="Normal 5 4 5 6" xfId="37668"/>
    <cellStyle name="Normal 5 4 5 6 2" xfId="37669"/>
    <cellStyle name="Normal 5 4 5 7" xfId="37670"/>
    <cellStyle name="Normal 5 4 5 7 2" xfId="37671"/>
    <cellStyle name="Normal 5 4 5 8" xfId="37672"/>
    <cellStyle name="Normal 5 4 5 9" xfId="37673"/>
    <cellStyle name="Normal 5 4 6" xfId="37674"/>
    <cellStyle name="Normal 5 4 6 2" xfId="37675"/>
    <cellStyle name="Normal 5 4 6 2 2" xfId="37676"/>
    <cellStyle name="Normal 5 4 6 2 2 2" xfId="37677"/>
    <cellStyle name="Normal 5 4 6 2 2 2 2" xfId="37678"/>
    <cellStyle name="Normal 5 4 6 2 2 3" xfId="37679"/>
    <cellStyle name="Normal 5 4 6 2 3" xfId="37680"/>
    <cellStyle name="Normal 5 4 6 2 3 2" xfId="37681"/>
    <cellStyle name="Normal 5 4 6 2 4" xfId="37682"/>
    <cellStyle name="Normal 5 4 6 3" xfId="37683"/>
    <cellStyle name="Normal 5 4 6 3 2" xfId="37684"/>
    <cellStyle name="Normal 5 4 6 3 2 2" xfId="37685"/>
    <cellStyle name="Normal 5 4 6 3 3" xfId="37686"/>
    <cellStyle name="Normal 5 4 6 4" xfId="37687"/>
    <cellStyle name="Normal 5 4 6 4 2" xfId="37688"/>
    <cellStyle name="Normal 5 4 6 5" xfId="37689"/>
    <cellStyle name="Normal 5 4 6 5 2" xfId="37690"/>
    <cellStyle name="Normal 5 4 6 6" xfId="37691"/>
    <cellStyle name="Normal 5 4 7" xfId="37692"/>
    <cellStyle name="Normal 5 4 7 2" xfId="37693"/>
    <cellStyle name="Normal 5 4 7 2 2" xfId="37694"/>
    <cellStyle name="Normal 5 4 7 2 2 2" xfId="37695"/>
    <cellStyle name="Normal 5 4 7 2 2 2 2" xfId="37696"/>
    <cellStyle name="Normal 5 4 7 2 2 3" xfId="37697"/>
    <cellStyle name="Normal 5 4 7 2 3" xfId="37698"/>
    <cellStyle name="Normal 5 4 7 2 3 2" xfId="37699"/>
    <cellStyle name="Normal 5 4 7 2 4" xfId="37700"/>
    <cellStyle name="Normal 5 4 7 3" xfId="37701"/>
    <cellStyle name="Normal 5 4 7 3 2" xfId="37702"/>
    <cellStyle name="Normal 5 4 7 3 2 2" xfId="37703"/>
    <cellStyle name="Normal 5 4 7 3 3" xfId="37704"/>
    <cellStyle name="Normal 5 4 7 4" xfId="37705"/>
    <cellStyle name="Normal 5 4 7 4 2" xfId="37706"/>
    <cellStyle name="Normal 5 4 7 5" xfId="37707"/>
    <cellStyle name="Normal 5 4 7 5 2" xfId="37708"/>
    <cellStyle name="Normal 5 4 7 6" xfId="37709"/>
    <cellStyle name="Normal 5 4 8" xfId="37710"/>
    <cellStyle name="Normal 5 4 8 2" xfId="37711"/>
    <cellStyle name="Normal 5 4 8 2 2" xfId="37712"/>
    <cellStyle name="Normal 5 4 8 2 2 2" xfId="37713"/>
    <cellStyle name="Normal 5 4 8 2 3" xfId="37714"/>
    <cellStyle name="Normal 5 4 8 3" xfId="37715"/>
    <cellStyle name="Normal 5 4 8 3 2" xfId="37716"/>
    <cellStyle name="Normal 5 4 8 4" xfId="37717"/>
    <cellStyle name="Normal 5 4 9" xfId="37718"/>
    <cellStyle name="Normal 5 4 9 2" xfId="37719"/>
    <cellStyle name="Normal 5 4 9 2 2" xfId="37720"/>
    <cellStyle name="Normal 5 4 9 3" xfId="37721"/>
    <cellStyle name="Normal 5 5" xfId="37722"/>
    <cellStyle name="Normal 5 5 2" xfId="37723"/>
    <cellStyle name="Normal 5 5 2 2" xfId="37724"/>
    <cellStyle name="Normal 5 5 2 2 2" xfId="37725"/>
    <cellStyle name="Normal 5 5 2 2 2 2" xfId="37726"/>
    <cellStyle name="Normal 5 5 2 2 3" xfId="37727"/>
    <cellStyle name="Normal 5 5 2 2 4" xfId="37728"/>
    <cellStyle name="Normal 5 5 2 3" xfId="37729"/>
    <cellStyle name="Normal 5 5 2 3 2" xfId="37730"/>
    <cellStyle name="Normal 5 5 2 4" xfId="37731"/>
    <cellStyle name="Normal 5 5 2 5" xfId="37732"/>
    <cellStyle name="Normal 5 5 3" xfId="37733"/>
    <cellStyle name="Normal 5 5 3 2" xfId="37734"/>
    <cellStyle name="Normal 5 5 3 2 2" xfId="37735"/>
    <cellStyle name="Normal 5 5 3 3" xfId="37736"/>
    <cellStyle name="Normal 5 5 3 4" xfId="37737"/>
    <cellStyle name="Normal 5 5 4" xfId="37738"/>
    <cellStyle name="Normal 5 5 5" xfId="37739"/>
    <cellStyle name="Normal 5 5 5 2" xfId="37740"/>
    <cellStyle name="Normal 5 5 6" xfId="37741"/>
    <cellStyle name="Normal 5 5 7" xfId="37742"/>
    <cellStyle name="Normal 5 6" xfId="37743"/>
    <cellStyle name="Normal 5 6 10" xfId="37744"/>
    <cellStyle name="Normal 5 6 10 2" xfId="37745"/>
    <cellStyle name="Normal 5 6 11" xfId="37746"/>
    <cellStyle name="Normal 5 6 11 2" xfId="37747"/>
    <cellStyle name="Normal 5 6 12" xfId="37748"/>
    <cellStyle name="Normal 5 6 12 2" xfId="37749"/>
    <cellStyle name="Normal 5 6 13" xfId="37750"/>
    <cellStyle name="Normal 5 6 13 2" xfId="37751"/>
    <cellStyle name="Normal 5 6 14" xfId="37752"/>
    <cellStyle name="Normal 5 6 15" xfId="37753"/>
    <cellStyle name="Normal 5 6 2" xfId="37754"/>
    <cellStyle name="Normal 5 6 2 10" xfId="37755"/>
    <cellStyle name="Normal 5 6 2 10 2" xfId="37756"/>
    <cellStyle name="Normal 5 6 2 11" xfId="37757"/>
    <cellStyle name="Normal 5 6 2 11 2" xfId="37758"/>
    <cellStyle name="Normal 5 6 2 12" xfId="37759"/>
    <cellStyle name="Normal 5 6 2 12 2" xfId="37760"/>
    <cellStyle name="Normal 5 6 2 13" xfId="37761"/>
    <cellStyle name="Normal 5 6 2 14" xfId="37762"/>
    <cellStyle name="Normal 5 6 2 2" xfId="37763"/>
    <cellStyle name="Normal 5 6 2 2 10" xfId="37764"/>
    <cellStyle name="Normal 5 6 2 2 11" xfId="37765"/>
    <cellStyle name="Normal 5 6 2 2 2" xfId="37766"/>
    <cellStyle name="Normal 5 6 2 2 2 2" xfId="37767"/>
    <cellStyle name="Normal 5 6 2 2 2 2 2" xfId="37768"/>
    <cellStyle name="Normal 5 6 2 2 2 2 2 2" xfId="37769"/>
    <cellStyle name="Normal 5 6 2 2 2 2 2 2 2" xfId="37770"/>
    <cellStyle name="Normal 5 6 2 2 2 2 2 3" xfId="37771"/>
    <cellStyle name="Normal 5 6 2 2 2 2 3" xfId="37772"/>
    <cellStyle name="Normal 5 6 2 2 2 2 3 2" xfId="37773"/>
    <cellStyle name="Normal 5 6 2 2 2 2 4" xfId="37774"/>
    <cellStyle name="Normal 5 6 2 2 2 3" xfId="37775"/>
    <cellStyle name="Normal 5 6 2 2 2 3 2" xfId="37776"/>
    <cellStyle name="Normal 5 6 2 2 2 3 2 2" xfId="37777"/>
    <cellStyle name="Normal 5 6 2 2 2 3 3" xfId="37778"/>
    <cellStyle name="Normal 5 6 2 2 2 4" xfId="37779"/>
    <cellStyle name="Normal 5 6 2 2 2 4 2" xfId="37780"/>
    <cellStyle name="Normal 5 6 2 2 2 5" xfId="37781"/>
    <cellStyle name="Normal 5 6 2 2 2 5 2" xfId="37782"/>
    <cellStyle name="Normal 5 6 2 2 2 6" xfId="37783"/>
    <cellStyle name="Normal 5 6 2 2 3" xfId="37784"/>
    <cellStyle name="Normal 5 6 2 2 3 2" xfId="37785"/>
    <cellStyle name="Normal 5 6 2 2 3 2 2" xfId="37786"/>
    <cellStyle name="Normal 5 6 2 2 3 2 2 2" xfId="37787"/>
    <cellStyle name="Normal 5 6 2 2 3 2 2 2 2" xfId="37788"/>
    <cellStyle name="Normal 5 6 2 2 3 2 2 3" xfId="37789"/>
    <cellStyle name="Normal 5 6 2 2 3 2 3" xfId="37790"/>
    <cellStyle name="Normal 5 6 2 2 3 2 3 2" xfId="37791"/>
    <cellStyle name="Normal 5 6 2 2 3 2 4" xfId="37792"/>
    <cellStyle name="Normal 5 6 2 2 3 3" xfId="37793"/>
    <cellStyle name="Normal 5 6 2 2 3 3 2" xfId="37794"/>
    <cellStyle name="Normal 5 6 2 2 3 3 2 2" xfId="37795"/>
    <cellStyle name="Normal 5 6 2 2 3 3 3" xfId="37796"/>
    <cellStyle name="Normal 5 6 2 2 3 4" xfId="37797"/>
    <cellStyle name="Normal 5 6 2 2 3 4 2" xfId="37798"/>
    <cellStyle name="Normal 5 6 2 2 3 5" xfId="37799"/>
    <cellStyle name="Normal 5 6 2 2 3 5 2" xfId="37800"/>
    <cellStyle name="Normal 5 6 2 2 3 6" xfId="37801"/>
    <cellStyle name="Normal 5 6 2 2 4" xfId="37802"/>
    <cellStyle name="Normal 5 6 2 2 4 2" xfId="37803"/>
    <cellStyle name="Normal 5 6 2 2 4 2 2" xfId="37804"/>
    <cellStyle name="Normal 5 6 2 2 4 2 2 2" xfId="37805"/>
    <cellStyle name="Normal 5 6 2 2 4 2 3" xfId="37806"/>
    <cellStyle name="Normal 5 6 2 2 4 3" xfId="37807"/>
    <cellStyle name="Normal 5 6 2 2 4 3 2" xfId="37808"/>
    <cellStyle name="Normal 5 6 2 2 4 4" xfId="37809"/>
    <cellStyle name="Normal 5 6 2 2 5" xfId="37810"/>
    <cellStyle name="Normal 5 6 2 2 5 2" xfId="37811"/>
    <cellStyle name="Normal 5 6 2 2 5 2 2" xfId="37812"/>
    <cellStyle name="Normal 5 6 2 2 5 3" xfId="37813"/>
    <cellStyle name="Normal 5 6 2 2 6" xfId="37814"/>
    <cellStyle name="Normal 5 6 2 2 6 2" xfId="37815"/>
    <cellStyle name="Normal 5 6 2 2 7" xfId="37816"/>
    <cellStyle name="Normal 5 6 2 2 7 2" xfId="37817"/>
    <cellStyle name="Normal 5 6 2 2 8" xfId="37818"/>
    <cellStyle name="Normal 5 6 2 2 8 2" xfId="37819"/>
    <cellStyle name="Normal 5 6 2 2 9" xfId="37820"/>
    <cellStyle name="Normal 5 6 2 2 9 2" xfId="37821"/>
    <cellStyle name="Normal 5 6 2 3" xfId="37822"/>
    <cellStyle name="Normal 5 6 2 3 2" xfId="37823"/>
    <cellStyle name="Normal 5 6 2 3 2 2" xfId="37824"/>
    <cellStyle name="Normal 5 6 2 3 2 2 2" xfId="37825"/>
    <cellStyle name="Normal 5 6 2 3 2 2 2 2" xfId="37826"/>
    <cellStyle name="Normal 5 6 2 3 2 2 2 2 2" xfId="37827"/>
    <cellStyle name="Normal 5 6 2 3 2 2 2 3" xfId="37828"/>
    <cellStyle name="Normal 5 6 2 3 2 2 3" xfId="37829"/>
    <cellStyle name="Normal 5 6 2 3 2 2 3 2" xfId="37830"/>
    <cellStyle name="Normal 5 6 2 3 2 2 4" xfId="37831"/>
    <cellStyle name="Normal 5 6 2 3 2 3" xfId="37832"/>
    <cellStyle name="Normal 5 6 2 3 2 3 2" xfId="37833"/>
    <cellStyle name="Normal 5 6 2 3 2 3 2 2" xfId="37834"/>
    <cellStyle name="Normal 5 6 2 3 2 3 3" xfId="37835"/>
    <cellStyle name="Normal 5 6 2 3 2 4" xfId="37836"/>
    <cellStyle name="Normal 5 6 2 3 2 4 2" xfId="37837"/>
    <cellStyle name="Normal 5 6 2 3 2 5" xfId="37838"/>
    <cellStyle name="Normal 5 6 2 3 2 5 2" xfId="37839"/>
    <cellStyle name="Normal 5 6 2 3 2 6" xfId="37840"/>
    <cellStyle name="Normal 5 6 2 3 3" xfId="37841"/>
    <cellStyle name="Normal 5 6 2 3 3 2" xfId="37842"/>
    <cellStyle name="Normal 5 6 2 3 3 2 2" xfId="37843"/>
    <cellStyle name="Normal 5 6 2 3 3 2 2 2" xfId="37844"/>
    <cellStyle name="Normal 5 6 2 3 3 2 2 2 2" xfId="37845"/>
    <cellStyle name="Normal 5 6 2 3 3 2 2 3" xfId="37846"/>
    <cellStyle name="Normal 5 6 2 3 3 2 3" xfId="37847"/>
    <cellStyle name="Normal 5 6 2 3 3 2 3 2" xfId="37848"/>
    <cellStyle name="Normal 5 6 2 3 3 2 4" xfId="37849"/>
    <cellStyle name="Normal 5 6 2 3 3 3" xfId="37850"/>
    <cellStyle name="Normal 5 6 2 3 3 3 2" xfId="37851"/>
    <cellStyle name="Normal 5 6 2 3 3 3 2 2" xfId="37852"/>
    <cellStyle name="Normal 5 6 2 3 3 3 3" xfId="37853"/>
    <cellStyle name="Normal 5 6 2 3 3 4" xfId="37854"/>
    <cellStyle name="Normal 5 6 2 3 3 4 2" xfId="37855"/>
    <cellStyle name="Normal 5 6 2 3 3 5" xfId="37856"/>
    <cellStyle name="Normal 5 6 2 3 3 5 2" xfId="37857"/>
    <cellStyle name="Normal 5 6 2 3 3 6" xfId="37858"/>
    <cellStyle name="Normal 5 6 2 3 4" xfId="37859"/>
    <cellStyle name="Normal 5 6 2 3 4 2" xfId="37860"/>
    <cellStyle name="Normal 5 6 2 3 4 2 2" xfId="37861"/>
    <cellStyle name="Normal 5 6 2 3 4 2 2 2" xfId="37862"/>
    <cellStyle name="Normal 5 6 2 3 4 2 3" xfId="37863"/>
    <cellStyle name="Normal 5 6 2 3 4 3" xfId="37864"/>
    <cellStyle name="Normal 5 6 2 3 4 3 2" xfId="37865"/>
    <cellStyle name="Normal 5 6 2 3 4 4" xfId="37866"/>
    <cellStyle name="Normal 5 6 2 3 5" xfId="37867"/>
    <cellStyle name="Normal 5 6 2 3 5 2" xfId="37868"/>
    <cellStyle name="Normal 5 6 2 3 5 2 2" xfId="37869"/>
    <cellStyle name="Normal 5 6 2 3 5 3" xfId="37870"/>
    <cellStyle name="Normal 5 6 2 3 6" xfId="37871"/>
    <cellStyle name="Normal 5 6 2 3 6 2" xfId="37872"/>
    <cellStyle name="Normal 5 6 2 3 7" xfId="37873"/>
    <cellStyle name="Normal 5 6 2 3 7 2" xfId="37874"/>
    <cellStyle name="Normal 5 6 2 3 8" xfId="37875"/>
    <cellStyle name="Normal 5 6 2 4" xfId="37876"/>
    <cellStyle name="Normal 5 6 2 4 2" xfId="37877"/>
    <cellStyle name="Normal 5 6 2 4 2 2" xfId="37878"/>
    <cellStyle name="Normal 5 6 2 4 2 2 2" xfId="37879"/>
    <cellStyle name="Normal 5 6 2 4 2 2 2 2" xfId="37880"/>
    <cellStyle name="Normal 5 6 2 4 2 2 3" xfId="37881"/>
    <cellStyle name="Normal 5 6 2 4 2 3" xfId="37882"/>
    <cellStyle name="Normal 5 6 2 4 2 3 2" xfId="37883"/>
    <cellStyle name="Normal 5 6 2 4 2 4" xfId="37884"/>
    <cellStyle name="Normal 5 6 2 4 3" xfId="37885"/>
    <cellStyle name="Normal 5 6 2 4 3 2" xfId="37886"/>
    <cellStyle name="Normal 5 6 2 4 3 2 2" xfId="37887"/>
    <cellStyle name="Normal 5 6 2 4 3 3" xfId="37888"/>
    <cellStyle name="Normal 5 6 2 4 4" xfId="37889"/>
    <cellStyle name="Normal 5 6 2 4 4 2" xfId="37890"/>
    <cellStyle name="Normal 5 6 2 4 5" xfId="37891"/>
    <cellStyle name="Normal 5 6 2 4 5 2" xfId="37892"/>
    <cellStyle name="Normal 5 6 2 4 6" xfId="37893"/>
    <cellStyle name="Normal 5 6 2 5" xfId="37894"/>
    <cellStyle name="Normal 5 6 2 5 2" xfId="37895"/>
    <cellStyle name="Normal 5 6 2 5 2 2" xfId="37896"/>
    <cellStyle name="Normal 5 6 2 5 2 2 2" xfId="37897"/>
    <cellStyle name="Normal 5 6 2 5 2 2 2 2" xfId="37898"/>
    <cellStyle name="Normal 5 6 2 5 2 2 3" xfId="37899"/>
    <cellStyle name="Normal 5 6 2 5 2 3" xfId="37900"/>
    <cellStyle name="Normal 5 6 2 5 2 3 2" xfId="37901"/>
    <cellStyle name="Normal 5 6 2 5 2 4" xfId="37902"/>
    <cellStyle name="Normal 5 6 2 5 3" xfId="37903"/>
    <cellStyle name="Normal 5 6 2 5 3 2" xfId="37904"/>
    <cellStyle name="Normal 5 6 2 5 3 2 2" xfId="37905"/>
    <cellStyle name="Normal 5 6 2 5 3 3" xfId="37906"/>
    <cellStyle name="Normal 5 6 2 5 4" xfId="37907"/>
    <cellStyle name="Normal 5 6 2 5 4 2" xfId="37908"/>
    <cellStyle name="Normal 5 6 2 5 5" xfId="37909"/>
    <cellStyle name="Normal 5 6 2 5 5 2" xfId="37910"/>
    <cellStyle name="Normal 5 6 2 5 6" xfId="37911"/>
    <cellStyle name="Normal 5 6 2 6" xfId="37912"/>
    <cellStyle name="Normal 5 6 2 6 2" xfId="37913"/>
    <cellStyle name="Normal 5 6 2 6 2 2" xfId="37914"/>
    <cellStyle name="Normal 5 6 2 6 2 2 2" xfId="37915"/>
    <cellStyle name="Normal 5 6 2 6 2 2 2 2" xfId="37916"/>
    <cellStyle name="Normal 5 6 2 6 2 2 3" xfId="37917"/>
    <cellStyle name="Normal 5 6 2 6 2 3" xfId="37918"/>
    <cellStyle name="Normal 5 6 2 6 2 3 2" xfId="37919"/>
    <cellStyle name="Normal 5 6 2 6 2 4" xfId="37920"/>
    <cellStyle name="Normal 5 6 2 6 3" xfId="37921"/>
    <cellStyle name="Normal 5 6 2 6 3 2" xfId="37922"/>
    <cellStyle name="Normal 5 6 2 6 3 2 2" xfId="37923"/>
    <cellStyle name="Normal 5 6 2 6 3 3" xfId="37924"/>
    <cellStyle name="Normal 5 6 2 6 4" xfId="37925"/>
    <cellStyle name="Normal 5 6 2 6 4 2" xfId="37926"/>
    <cellStyle name="Normal 5 6 2 6 5" xfId="37927"/>
    <cellStyle name="Normal 5 6 2 6 5 2" xfId="37928"/>
    <cellStyle name="Normal 5 6 2 6 6" xfId="37929"/>
    <cellStyle name="Normal 5 6 2 7" xfId="37930"/>
    <cellStyle name="Normal 5 6 2 7 2" xfId="37931"/>
    <cellStyle name="Normal 5 6 2 7 2 2" xfId="37932"/>
    <cellStyle name="Normal 5 6 2 7 2 2 2" xfId="37933"/>
    <cellStyle name="Normal 5 6 2 7 2 3" xfId="37934"/>
    <cellStyle name="Normal 5 6 2 7 3" xfId="37935"/>
    <cellStyle name="Normal 5 6 2 7 3 2" xfId="37936"/>
    <cellStyle name="Normal 5 6 2 7 4" xfId="37937"/>
    <cellStyle name="Normal 5 6 2 8" xfId="37938"/>
    <cellStyle name="Normal 5 6 2 8 2" xfId="37939"/>
    <cellStyle name="Normal 5 6 2 8 2 2" xfId="37940"/>
    <cellStyle name="Normal 5 6 2 8 3" xfId="37941"/>
    <cellStyle name="Normal 5 6 2 9" xfId="37942"/>
    <cellStyle name="Normal 5 6 2 9 2" xfId="37943"/>
    <cellStyle name="Normal 5 6 3" xfId="37944"/>
    <cellStyle name="Normal 5 6 3 10" xfId="37945"/>
    <cellStyle name="Normal 5 6 3 11" xfId="37946"/>
    <cellStyle name="Normal 5 6 3 2" xfId="37947"/>
    <cellStyle name="Normal 5 6 3 2 2" xfId="37948"/>
    <cellStyle name="Normal 5 6 3 2 2 2" xfId="37949"/>
    <cellStyle name="Normal 5 6 3 2 2 2 2" xfId="37950"/>
    <cellStyle name="Normal 5 6 3 2 2 2 2 2" xfId="37951"/>
    <cellStyle name="Normal 5 6 3 2 2 2 3" xfId="37952"/>
    <cellStyle name="Normal 5 6 3 2 2 3" xfId="37953"/>
    <cellStyle name="Normal 5 6 3 2 2 3 2" xfId="37954"/>
    <cellStyle name="Normal 5 6 3 2 2 4" xfId="37955"/>
    <cellStyle name="Normal 5 6 3 2 3" xfId="37956"/>
    <cellStyle name="Normal 5 6 3 2 3 2" xfId="37957"/>
    <cellStyle name="Normal 5 6 3 2 3 2 2" xfId="37958"/>
    <cellStyle name="Normal 5 6 3 2 3 3" xfId="37959"/>
    <cellStyle name="Normal 5 6 3 2 4" xfId="37960"/>
    <cellStyle name="Normal 5 6 3 2 4 2" xfId="37961"/>
    <cellStyle name="Normal 5 6 3 2 5" xfId="37962"/>
    <cellStyle name="Normal 5 6 3 2 5 2" xfId="37963"/>
    <cellStyle name="Normal 5 6 3 2 6" xfId="37964"/>
    <cellStyle name="Normal 5 6 3 3" xfId="37965"/>
    <cellStyle name="Normal 5 6 3 3 2" xfId="37966"/>
    <cellStyle name="Normal 5 6 3 3 2 2" xfId="37967"/>
    <cellStyle name="Normal 5 6 3 3 2 2 2" xfId="37968"/>
    <cellStyle name="Normal 5 6 3 3 2 2 2 2" xfId="37969"/>
    <cellStyle name="Normal 5 6 3 3 2 2 3" xfId="37970"/>
    <cellStyle name="Normal 5 6 3 3 2 3" xfId="37971"/>
    <cellStyle name="Normal 5 6 3 3 2 3 2" xfId="37972"/>
    <cellStyle name="Normal 5 6 3 3 2 4" xfId="37973"/>
    <cellStyle name="Normal 5 6 3 3 3" xfId="37974"/>
    <cellStyle name="Normal 5 6 3 3 3 2" xfId="37975"/>
    <cellStyle name="Normal 5 6 3 3 3 2 2" xfId="37976"/>
    <cellStyle name="Normal 5 6 3 3 3 3" xfId="37977"/>
    <cellStyle name="Normal 5 6 3 3 4" xfId="37978"/>
    <cellStyle name="Normal 5 6 3 3 4 2" xfId="37979"/>
    <cellStyle name="Normal 5 6 3 3 5" xfId="37980"/>
    <cellStyle name="Normal 5 6 3 3 5 2" xfId="37981"/>
    <cellStyle name="Normal 5 6 3 3 6" xfId="37982"/>
    <cellStyle name="Normal 5 6 3 4" xfId="37983"/>
    <cellStyle name="Normal 5 6 3 4 2" xfId="37984"/>
    <cellStyle name="Normal 5 6 3 4 2 2" xfId="37985"/>
    <cellStyle name="Normal 5 6 3 4 2 2 2" xfId="37986"/>
    <cellStyle name="Normal 5 6 3 4 2 3" xfId="37987"/>
    <cellStyle name="Normal 5 6 3 4 3" xfId="37988"/>
    <cellStyle name="Normal 5 6 3 4 3 2" xfId="37989"/>
    <cellStyle name="Normal 5 6 3 4 4" xfId="37990"/>
    <cellStyle name="Normal 5 6 3 5" xfId="37991"/>
    <cellStyle name="Normal 5 6 3 5 2" xfId="37992"/>
    <cellStyle name="Normal 5 6 3 5 2 2" xfId="37993"/>
    <cellStyle name="Normal 5 6 3 5 3" xfId="37994"/>
    <cellStyle name="Normal 5 6 3 6" xfId="37995"/>
    <cellStyle name="Normal 5 6 3 6 2" xfId="37996"/>
    <cellStyle name="Normal 5 6 3 7" xfId="37997"/>
    <cellStyle name="Normal 5 6 3 7 2" xfId="37998"/>
    <cellStyle name="Normal 5 6 3 8" xfId="37999"/>
    <cellStyle name="Normal 5 6 3 8 2" xfId="38000"/>
    <cellStyle name="Normal 5 6 3 9" xfId="38001"/>
    <cellStyle name="Normal 5 6 3 9 2" xfId="38002"/>
    <cellStyle name="Normal 5 6 4" xfId="38003"/>
    <cellStyle name="Normal 5 6 4 2" xfId="38004"/>
    <cellStyle name="Normal 5 6 4 2 2" xfId="38005"/>
    <cellStyle name="Normal 5 6 4 2 2 2" xfId="38006"/>
    <cellStyle name="Normal 5 6 4 2 2 2 2" xfId="38007"/>
    <cellStyle name="Normal 5 6 4 2 2 2 2 2" xfId="38008"/>
    <cellStyle name="Normal 5 6 4 2 2 2 3" xfId="38009"/>
    <cellStyle name="Normal 5 6 4 2 2 3" xfId="38010"/>
    <cellStyle name="Normal 5 6 4 2 2 3 2" xfId="38011"/>
    <cellStyle name="Normal 5 6 4 2 2 4" xfId="38012"/>
    <cellStyle name="Normal 5 6 4 2 3" xfId="38013"/>
    <cellStyle name="Normal 5 6 4 2 3 2" xfId="38014"/>
    <cellStyle name="Normal 5 6 4 2 3 2 2" xfId="38015"/>
    <cellStyle name="Normal 5 6 4 2 3 3" xfId="38016"/>
    <cellStyle name="Normal 5 6 4 2 4" xfId="38017"/>
    <cellStyle name="Normal 5 6 4 2 4 2" xfId="38018"/>
    <cellStyle name="Normal 5 6 4 2 5" xfId="38019"/>
    <cellStyle name="Normal 5 6 4 2 5 2" xfId="38020"/>
    <cellStyle name="Normal 5 6 4 2 6" xfId="38021"/>
    <cellStyle name="Normal 5 6 4 3" xfId="38022"/>
    <cellStyle name="Normal 5 6 4 3 2" xfId="38023"/>
    <cellStyle name="Normal 5 6 4 3 2 2" xfId="38024"/>
    <cellStyle name="Normal 5 6 4 3 2 2 2" xfId="38025"/>
    <cellStyle name="Normal 5 6 4 3 2 2 2 2" xfId="38026"/>
    <cellStyle name="Normal 5 6 4 3 2 2 3" xfId="38027"/>
    <cellStyle name="Normal 5 6 4 3 2 3" xfId="38028"/>
    <cellStyle name="Normal 5 6 4 3 2 3 2" xfId="38029"/>
    <cellStyle name="Normal 5 6 4 3 2 4" xfId="38030"/>
    <cellStyle name="Normal 5 6 4 3 3" xfId="38031"/>
    <cellStyle name="Normal 5 6 4 3 3 2" xfId="38032"/>
    <cellStyle name="Normal 5 6 4 3 3 2 2" xfId="38033"/>
    <cellStyle name="Normal 5 6 4 3 3 3" xfId="38034"/>
    <cellStyle name="Normal 5 6 4 3 4" xfId="38035"/>
    <cellStyle name="Normal 5 6 4 3 4 2" xfId="38036"/>
    <cellStyle name="Normal 5 6 4 3 5" xfId="38037"/>
    <cellStyle name="Normal 5 6 4 3 5 2" xfId="38038"/>
    <cellStyle name="Normal 5 6 4 3 6" xfId="38039"/>
    <cellStyle name="Normal 5 6 4 4" xfId="38040"/>
    <cellStyle name="Normal 5 6 4 4 2" xfId="38041"/>
    <cellStyle name="Normal 5 6 4 4 2 2" xfId="38042"/>
    <cellStyle name="Normal 5 6 4 4 2 2 2" xfId="38043"/>
    <cellStyle name="Normal 5 6 4 4 2 3" xfId="38044"/>
    <cellStyle name="Normal 5 6 4 4 3" xfId="38045"/>
    <cellStyle name="Normal 5 6 4 4 3 2" xfId="38046"/>
    <cellStyle name="Normal 5 6 4 4 4" xfId="38047"/>
    <cellStyle name="Normal 5 6 4 5" xfId="38048"/>
    <cellStyle name="Normal 5 6 4 5 2" xfId="38049"/>
    <cellStyle name="Normal 5 6 4 5 2 2" xfId="38050"/>
    <cellStyle name="Normal 5 6 4 5 3" xfId="38051"/>
    <cellStyle name="Normal 5 6 4 6" xfId="38052"/>
    <cellStyle name="Normal 5 6 4 6 2" xfId="38053"/>
    <cellStyle name="Normal 5 6 4 7" xfId="38054"/>
    <cellStyle name="Normal 5 6 4 7 2" xfId="38055"/>
    <cellStyle name="Normal 5 6 4 8" xfId="38056"/>
    <cellStyle name="Normal 5 6 5" xfId="38057"/>
    <cellStyle name="Normal 5 6 5 2" xfId="38058"/>
    <cellStyle name="Normal 5 6 5 2 2" xfId="38059"/>
    <cellStyle name="Normal 5 6 5 2 2 2" xfId="38060"/>
    <cellStyle name="Normal 5 6 5 2 2 2 2" xfId="38061"/>
    <cellStyle name="Normal 5 6 5 2 2 3" xfId="38062"/>
    <cellStyle name="Normal 5 6 5 2 3" xfId="38063"/>
    <cellStyle name="Normal 5 6 5 2 3 2" xfId="38064"/>
    <cellStyle name="Normal 5 6 5 2 4" xfId="38065"/>
    <cellStyle name="Normal 5 6 5 3" xfId="38066"/>
    <cellStyle name="Normal 5 6 5 3 2" xfId="38067"/>
    <cellStyle name="Normal 5 6 5 3 2 2" xfId="38068"/>
    <cellStyle name="Normal 5 6 5 3 3" xfId="38069"/>
    <cellStyle name="Normal 5 6 5 4" xfId="38070"/>
    <cellStyle name="Normal 5 6 5 4 2" xfId="38071"/>
    <cellStyle name="Normal 5 6 5 5" xfId="38072"/>
    <cellStyle name="Normal 5 6 5 5 2" xfId="38073"/>
    <cellStyle name="Normal 5 6 5 6" xfId="38074"/>
    <cellStyle name="Normal 5 6 6" xfId="38075"/>
    <cellStyle name="Normal 5 6 6 2" xfId="38076"/>
    <cellStyle name="Normal 5 6 6 2 2" xfId="38077"/>
    <cellStyle name="Normal 5 6 6 2 2 2" xfId="38078"/>
    <cellStyle name="Normal 5 6 6 2 2 2 2" xfId="38079"/>
    <cellStyle name="Normal 5 6 6 2 2 3" xfId="38080"/>
    <cellStyle name="Normal 5 6 6 2 3" xfId="38081"/>
    <cellStyle name="Normal 5 6 6 2 3 2" xfId="38082"/>
    <cellStyle name="Normal 5 6 6 2 4" xfId="38083"/>
    <cellStyle name="Normal 5 6 6 3" xfId="38084"/>
    <cellStyle name="Normal 5 6 6 3 2" xfId="38085"/>
    <cellStyle name="Normal 5 6 6 3 2 2" xfId="38086"/>
    <cellStyle name="Normal 5 6 6 3 3" xfId="38087"/>
    <cellStyle name="Normal 5 6 6 4" xfId="38088"/>
    <cellStyle name="Normal 5 6 6 4 2" xfId="38089"/>
    <cellStyle name="Normal 5 6 6 5" xfId="38090"/>
    <cellStyle name="Normal 5 6 6 5 2" xfId="38091"/>
    <cellStyle name="Normal 5 6 6 6" xfId="38092"/>
    <cellStyle name="Normal 5 6 7" xfId="38093"/>
    <cellStyle name="Normal 5 6 7 2" xfId="38094"/>
    <cellStyle name="Normal 5 6 7 2 2" xfId="38095"/>
    <cellStyle name="Normal 5 6 7 2 2 2" xfId="38096"/>
    <cellStyle name="Normal 5 6 7 2 2 2 2" xfId="38097"/>
    <cellStyle name="Normal 5 6 7 2 2 3" xfId="38098"/>
    <cellStyle name="Normal 5 6 7 2 3" xfId="38099"/>
    <cellStyle name="Normal 5 6 7 2 3 2" xfId="38100"/>
    <cellStyle name="Normal 5 6 7 2 4" xfId="38101"/>
    <cellStyle name="Normal 5 6 7 3" xfId="38102"/>
    <cellStyle name="Normal 5 6 7 3 2" xfId="38103"/>
    <cellStyle name="Normal 5 6 7 3 2 2" xfId="38104"/>
    <cellStyle name="Normal 5 6 7 3 3" xfId="38105"/>
    <cellStyle name="Normal 5 6 7 4" xfId="38106"/>
    <cellStyle name="Normal 5 6 7 4 2" xfId="38107"/>
    <cellStyle name="Normal 5 6 7 5" xfId="38108"/>
    <cellStyle name="Normal 5 6 7 5 2" xfId="38109"/>
    <cellStyle name="Normal 5 6 7 6" xfId="38110"/>
    <cellStyle name="Normal 5 6 8" xfId="38111"/>
    <cellStyle name="Normal 5 6 8 2" xfId="38112"/>
    <cellStyle name="Normal 5 6 8 2 2" xfId="38113"/>
    <cellStyle name="Normal 5 6 8 2 2 2" xfId="38114"/>
    <cellStyle name="Normal 5 6 8 2 3" xfId="38115"/>
    <cellStyle name="Normal 5 6 8 3" xfId="38116"/>
    <cellStyle name="Normal 5 6 8 3 2" xfId="38117"/>
    <cellStyle name="Normal 5 6 8 4" xfId="38118"/>
    <cellStyle name="Normal 5 6 9" xfId="38119"/>
    <cellStyle name="Normal 5 6 9 2" xfId="38120"/>
    <cellStyle name="Normal 5 6 9 2 2" xfId="38121"/>
    <cellStyle name="Normal 5 6 9 3" xfId="38122"/>
    <cellStyle name="Normal 5 7" xfId="38123"/>
    <cellStyle name="Normal 5 7 2" xfId="38124"/>
    <cellStyle name="Normal 5 7 2 2" xfId="38125"/>
    <cellStyle name="Normal 5 7 2 2 2" xfId="38126"/>
    <cellStyle name="Normal 5 7 2 3" xfId="38127"/>
    <cellStyle name="Normal 5 7 2 4" xfId="38128"/>
    <cellStyle name="Normal 5 7 3" xfId="38129"/>
    <cellStyle name="Normal 5 7 4" xfId="38130"/>
    <cellStyle name="Normal 5 7 4 2" xfId="38131"/>
    <cellStyle name="Normal 5 7 5" xfId="38132"/>
    <cellStyle name="Normal 5 7 6" xfId="38133"/>
    <cellStyle name="Normal 5 8" xfId="38134"/>
    <cellStyle name="Normal 5 8 2" xfId="38135"/>
    <cellStyle name="Normal 5 8 2 2" xfId="38136"/>
    <cellStyle name="Normal 5 8 3" xfId="38137"/>
    <cellStyle name="Normal 5 8 4" xfId="38138"/>
    <cellStyle name="Normal 5 9" xfId="38139"/>
    <cellStyle name="Normal 50" xfId="38140"/>
    <cellStyle name="Normal 51" xfId="38141"/>
    <cellStyle name="Normal 52" xfId="38142"/>
    <cellStyle name="Normal 53" xfId="38143"/>
    <cellStyle name="Normal 54" xfId="38144"/>
    <cellStyle name="Normal 55" xfId="38145"/>
    <cellStyle name="Normal 56" xfId="38146"/>
    <cellStyle name="Normal 57" xfId="38147"/>
    <cellStyle name="Normal 58" xfId="38148"/>
    <cellStyle name="Normal 59" xfId="38149"/>
    <cellStyle name="Normal 6" xfId="137"/>
    <cellStyle name="Normal 6 10" xfId="38150"/>
    <cellStyle name="Normal 6 11" xfId="38151"/>
    <cellStyle name="Normal 6 12" xfId="480"/>
    <cellStyle name="Normal 6 2" xfId="138"/>
    <cellStyle name="Normal 6 2 10" xfId="38152"/>
    <cellStyle name="Normal 6 2 11" xfId="38153"/>
    <cellStyle name="Normal 6 2 12" xfId="596"/>
    <cellStyle name="Normal 6 2 2" xfId="597"/>
    <cellStyle name="Normal 6 2 2 2" xfId="38154"/>
    <cellStyle name="Normal 6 2 2 2 2" xfId="38155"/>
    <cellStyle name="Normal 6 2 2 2 2 2" xfId="38156"/>
    <cellStyle name="Normal 6 2 2 2 2 2 2" xfId="38157"/>
    <cellStyle name="Normal 6 2 2 2 2 2 2 2" xfId="38158"/>
    <cellStyle name="Normal 6 2 2 2 2 2 3" xfId="38159"/>
    <cellStyle name="Normal 6 2 2 2 2 2 4" xfId="38160"/>
    <cellStyle name="Normal 6 2 2 2 2 3" xfId="38161"/>
    <cellStyle name="Normal 6 2 2 2 2 3 2" xfId="38162"/>
    <cellStyle name="Normal 6 2 2 2 2 4" xfId="38163"/>
    <cellStyle name="Normal 6 2 2 2 2 5" xfId="38164"/>
    <cellStyle name="Normal 6 2 2 2 3" xfId="38165"/>
    <cellStyle name="Normal 6 2 2 2 3 2" xfId="38166"/>
    <cellStyle name="Normal 6 2 2 2 3 2 2" xfId="38167"/>
    <cellStyle name="Normal 6 2 2 2 3 3" xfId="38168"/>
    <cellStyle name="Normal 6 2 2 2 3 4" xfId="38169"/>
    <cellStyle name="Normal 6 2 2 2 4" xfId="38170"/>
    <cellStyle name="Normal 6 2 2 2 5" xfId="38171"/>
    <cellStyle name="Normal 6 2 2 2 5 2" xfId="38172"/>
    <cellStyle name="Normal 6 2 2 2 6" xfId="38173"/>
    <cellStyle name="Normal 6 2 2 2 7" xfId="38174"/>
    <cellStyle name="Normal 6 2 2 3" xfId="38175"/>
    <cellStyle name="Normal 6 2 2 3 10" xfId="38176"/>
    <cellStyle name="Normal 6 2 2 3 10 2" xfId="38177"/>
    <cellStyle name="Normal 6 2 2 3 11" xfId="38178"/>
    <cellStyle name="Normal 6 2 2 3 11 2" xfId="38179"/>
    <cellStyle name="Normal 6 2 2 3 12" xfId="38180"/>
    <cellStyle name="Normal 6 2 2 3 12 2" xfId="38181"/>
    <cellStyle name="Normal 6 2 2 3 13" xfId="38182"/>
    <cellStyle name="Normal 6 2 2 3 13 2" xfId="38183"/>
    <cellStyle name="Normal 6 2 2 3 14" xfId="38184"/>
    <cellStyle name="Normal 6 2 2 3 15" xfId="38185"/>
    <cellStyle name="Normal 6 2 2 3 2" xfId="38186"/>
    <cellStyle name="Normal 6 2 2 3 2 10" xfId="38187"/>
    <cellStyle name="Normal 6 2 2 3 2 10 2" xfId="38188"/>
    <cellStyle name="Normal 6 2 2 3 2 11" xfId="38189"/>
    <cellStyle name="Normal 6 2 2 3 2 11 2" xfId="38190"/>
    <cellStyle name="Normal 6 2 2 3 2 12" xfId="38191"/>
    <cellStyle name="Normal 6 2 2 3 2 12 2" xfId="38192"/>
    <cellStyle name="Normal 6 2 2 3 2 13" xfId="38193"/>
    <cellStyle name="Normal 6 2 2 3 2 14" xfId="38194"/>
    <cellStyle name="Normal 6 2 2 3 2 2" xfId="38195"/>
    <cellStyle name="Normal 6 2 2 3 2 2 10" xfId="38196"/>
    <cellStyle name="Normal 6 2 2 3 2 2 11" xfId="38197"/>
    <cellStyle name="Normal 6 2 2 3 2 2 2" xfId="38198"/>
    <cellStyle name="Normal 6 2 2 3 2 2 2 2" xfId="38199"/>
    <cellStyle name="Normal 6 2 2 3 2 2 2 2 2" xfId="38200"/>
    <cellStyle name="Normal 6 2 2 3 2 2 2 2 2 2" xfId="38201"/>
    <cellStyle name="Normal 6 2 2 3 2 2 2 2 2 2 2" xfId="38202"/>
    <cellStyle name="Normal 6 2 2 3 2 2 2 2 2 3" xfId="38203"/>
    <cellStyle name="Normal 6 2 2 3 2 2 2 2 3" xfId="38204"/>
    <cellStyle name="Normal 6 2 2 3 2 2 2 2 3 2" xfId="38205"/>
    <cellStyle name="Normal 6 2 2 3 2 2 2 2 4" xfId="38206"/>
    <cellStyle name="Normal 6 2 2 3 2 2 2 3" xfId="38207"/>
    <cellStyle name="Normal 6 2 2 3 2 2 2 3 2" xfId="38208"/>
    <cellStyle name="Normal 6 2 2 3 2 2 2 3 2 2" xfId="38209"/>
    <cellStyle name="Normal 6 2 2 3 2 2 2 3 3" xfId="38210"/>
    <cellStyle name="Normal 6 2 2 3 2 2 2 4" xfId="38211"/>
    <cellStyle name="Normal 6 2 2 3 2 2 2 4 2" xfId="38212"/>
    <cellStyle name="Normal 6 2 2 3 2 2 2 5" xfId="38213"/>
    <cellStyle name="Normal 6 2 2 3 2 2 2 5 2" xfId="38214"/>
    <cellStyle name="Normal 6 2 2 3 2 2 2 6" xfId="38215"/>
    <cellStyle name="Normal 6 2 2 3 2 2 3" xfId="38216"/>
    <cellStyle name="Normal 6 2 2 3 2 2 3 2" xfId="38217"/>
    <cellStyle name="Normal 6 2 2 3 2 2 3 2 2" xfId="38218"/>
    <cellStyle name="Normal 6 2 2 3 2 2 3 2 2 2" xfId="38219"/>
    <cellStyle name="Normal 6 2 2 3 2 2 3 2 2 2 2" xfId="38220"/>
    <cellStyle name="Normal 6 2 2 3 2 2 3 2 2 3" xfId="38221"/>
    <cellStyle name="Normal 6 2 2 3 2 2 3 2 3" xfId="38222"/>
    <cellStyle name="Normal 6 2 2 3 2 2 3 2 3 2" xfId="38223"/>
    <cellStyle name="Normal 6 2 2 3 2 2 3 2 4" xfId="38224"/>
    <cellStyle name="Normal 6 2 2 3 2 2 3 3" xfId="38225"/>
    <cellStyle name="Normal 6 2 2 3 2 2 3 3 2" xfId="38226"/>
    <cellStyle name="Normal 6 2 2 3 2 2 3 3 2 2" xfId="38227"/>
    <cellStyle name="Normal 6 2 2 3 2 2 3 3 3" xfId="38228"/>
    <cellStyle name="Normal 6 2 2 3 2 2 3 4" xfId="38229"/>
    <cellStyle name="Normal 6 2 2 3 2 2 3 4 2" xfId="38230"/>
    <cellStyle name="Normal 6 2 2 3 2 2 3 5" xfId="38231"/>
    <cellStyle name="Normal 6 2 2 3 2 2 3 5 2" xfId="38232"/>
    <cellStyle name="Normal 6 2 2 3 2 2 3 6" xfId="38233"/>
    <cellStyle name="Normal 6 2 2 3 2 2 4" xfId="38234"/>
    <cellStyle name="Normal 6 2 2 3 2 2 4 2" xfId="38235"/>
    <cellStyle name="Normal 6 2 2 3 2 2 4 2 2" xfId="38236"/>
    <cellStyle name="Normal 6 2 2 3 2 2 4 2 2 2" xfId="38237"/>
    <cellStyle name="Normal 6 2 2 3 2 2 4 2 3" xfId="38238"/>
    <cellStyle name="Normal 6 2 2 3 2 2 4 3" xfId="38239"/>
    <cellStyle name="Normal 6 2 2 3 2 2 4 3 2" xfId="38240"/>
    <cellStyle name="Normal 6 2 2 3 2 2 4 4" xfId="38241"/>
    <cellStyle name="Normal 6 2 2 3 2 2 5" xfId="38242"/>
    <cellStyle name="Normal 6 2 2 3 2 2 5 2" xfId="38243"/>
    <cellStyle name="Normal 6 2 2 3 2 2 5 2 2" xfId="38244"/>
    <cellStyle name="Normal 6 2 2 3 2 2 5 3" xfId="38245"/>
    <cellStyle name="Normal 6 2 2 3 2 2 6" xfId="38246"/>
    <cellStyle name="Normal 6 2 2 3 2 2 6 2" xfId="38247"/>
    <cellStyle name="Normal 6 2 2 3 2 2 7" xfId="38248"/>
    <cellStyle name="Normal 6 2 2 3 2 2 7 2" xfId="38249"/>
    <cellStyle name="Normal 6 2 2 3 2 2 8" xfId="38250"/>
    <cellStyle name="Normal 6 2 2 3 2 2 8 2" xfId="38251"/>
    <cellStyle name="Normal 6 2 2 3 2 2 9" xfId="38252"/>
    <cellStyle name="Normal 6 2 2 3 2 2 9 2" xfId="38253"/>
    <cellStyle name="Normal 6 2 2 3 2 3" xfId="38254"/>
    <cellStyle name="Normal 6 2 2 3 2 3 2" xfId="38255"/>
    <cellStyle name="Normal 6 2 2 3 2 3 2 2" xfId="38256"/>
    <cellStyle name="Normal 6 2 2 3 2 3 2 2 2" xfId="38257"/>
    <cellStyle name="Normal 6 2 2 3 2 3 2 2 2 2" xfId="38258"/>
    <cellStyle name="Normal 6 2 2 3 2 3 2 2 2 2 2" xfId="38259"/>
    <cellStyle name="Normal 6 2 2 3 2 3 2 2 2 3" xfId="38260"/>
    <cellStyle name="Normal 6 2 2 3 2 3 2 2 3" xfId="38261"/>
    <cellStyle name="Normal 6 2 2 3 2 3 2 2 3 2" xfId="38262"/>
    <cellStyle name="Normal 6 2 2 3 2 3 2 2 4" xfId="38263"/>
    <cellStyle name="Normal 6 2 2 3 2 3 2 3" xfId="38264"/>
    <cellStyle name="Normal 6 2 2 3 2 3 2 3 2" xfId="38265"/>
    <cellStyle name="Normal 6 2 2 3 2 3 2 3 2 2" xfId="38266"/>
    <cellStyle name="Normal 6 2 2 3 2 3 2 3 3" xfId="38267"/>
    <cellStyle name="Normal 6 2 2 3 2 3 2 4" xfId="38268"/>
    <cellStyle name="Normal 6 2 2 3 2 3 2 4 2" xfId="38269"/>
    <cellStyle name="Normal 6 2 2 3 2 3 2 5" xfId="38270"/>
    <cellStyle name="Normal 6 2 2 3 2 3 2 5 2" xfId="38271"/>
    <cellStyle name="Normal 6 2 2 3 2 3 2 6" xfId="38272"/>
    <cellStyle name="Normal 6 2 2 3 2 3 3" xfId="38273"/>
    <cellStyle name="Normal 6 2 2 3 2 3 3 2" xfId="38274"/>
    <cellStyle name="Normal 6 2 2 3 2 3 3 2 2" xfId="38275"/>
    <cellStyle name="Normal 6 2 2 3 2 3 3 2 2 2" xfId="38276"/>
    <cellStyle name="Normal 6 2 2 3 2 3 3 2 2 2 2" xfId="38277"/>
    <cellStyle name="Normal 6 2 2 3 2 3 3 2 2 3" xfId="38278"/>
    <cellStyle name="Normal 6 2 2 3 2 3 3 2 3" xfId="38279"/>
    <cellStyle name="Normal 6 2 2 3 2 3 3 2 3 2" xfId="38280"/>
    <cellStyle name="Normal 6 2 2 3 2 3 3 2 4" xfId="38281"/>
    <cellStyle name="Normal 6 2 2 3 2 3 3 3" xfId="38282"/>
    <cellStyle name="Normal 6 2 2 3 2 3 3 3 2" xfId="38283"/>
    <cellStyle name="Normal 6 2 2 3 2 3 3 3 2 2" xfId="38284"/>
    <cellStyle name="Normal 6 2 2 3 2 3 3 3 3" xfId="38285"/>
    <cellStyle name="Normal 6 2 2 3 2 3 3 4" xfId="38286"/>
    <cellStyle name="Normal 6 2 2 3 2 3 3 4 2" xfId="38287"/>
    <cellStyle name="Normal 6 2 2 3 2 3 3 5" xfId="38288"/>
    <cellStyle name="Normal 6 2 2 3 2 3 3 5 2" xfId="38289"/>
    <cellStyle name="Normal 6 2 2 3 2 3 3 6" xfId="38290"/>
    <cellStyle name="Normal 6 2 2 3 2 3 4" xfId="38291"/>
    <cellStyle name="Normal 6 2 2 3 2 3 4 2" xfId="38292"/>
    <cellStyle name="Normal 6 2 2 3 2 3 4 2 2" xfId="38293"/>
    <cellStyle name="Normal 6 2 2 3 2 3 4 2 2 2" xfId="38294"/>
    <cellStyle name="Normal 6 2 2 3 2 3 4 2 3" xfId="38295"/>
    <cellStyle name="Normal 6 2 2 3 2 3 4 3" xfId="38296"/>
    <cellStyle name="Normal 6 2 2 3 2 3 4 3 2" xfId="38297"/>
    <cellStyle name="Normal 6 2 2 3 2 3 4 4" xfId="38298"/>
    <cellStyle name="Normal 6 2 2 3 2 3 5" xfId="38299"/>
    <cellStyle name="Normal 6 2 2 3 2 3 5 2" xfId="38300"/>
    <cellStyle name="Normal 6 2 2 3 2 3 5 2 2" xfId="38301"/>
    <cellStyle name="Normal 6 2 2 3 2 3 5 3" xfId="38302"/>
    <cellStyle name="Normal 6 2 2 3 2 3 6" xfId="38303"/>
    <cellStyle name="Normal 6 2 2 3 2 3 6 2" xfId="38304"/>
    <cellStyle name="Normal 6 2 2 3 2 3 7" xfId="38305"/>
    <cellStyle name="Normal 6 2 2 3 2 3 7 2" xfId="38306"/>
    <cellStyle name="Normal 6 2 2 3 2 3 8" xfId="38307"/>
    <cellStyle name="Normal 6 2 2 3 2 4" xfId="38308"/>
    <cellStyle name="Normal 6 2 2 3 2 4 2" xfId="38309"/>
    <cellStyle name="Normal 6 2 2 3 2 4 2 2" xfId="38310"/>
    <cellStyle name="Normal 6 2 2 3 2 4 2 2 2" xfId="38311"/>
    <cellStyle name="Normal 6 2 2 3 2 4 2 2 2 2" xfId="38312"/>
    <cellStyle name="Normal 6 2 2 3 2 4 2 2 3" xfId="38313"/>
    <cellStyle name="Normal 6 2 2 3 2 4 2 3" xfId="38314"/>
    <cellStyle name="Normal 6 2 2 3 2 4 2 3 2" xfId="38315"/>
    <cellStyle name="Normal 6 2 2 3 2 4 2 4" xfId="38316"/>
    <cellStyle name="Normal 6 2 2 3 2 4 3" xfId="38317"/>
    <cellStyle name="Normal 6 2 2 3 2 4 3 2" xfId="38318"/>
    <cellStyle name="Normal 6 2 2 3 2 4 3 2 2" xfId="38319"/>
    <cellStyle name="Normal 6 2 2 3 2 4 3 3" xfId="38320"/>
    <cellStyle name="Normal 6 2 2 3 2 4 4" xfId="38321"/>
    <cellStyle name="Normal 6 2 2 3 2 4 4 2" xfId="38322"/>
    <cellStyle name="Normal 6 2 2 3 2 4 5" xfId="38323"/>
    <cellStyle name="Normal 6 2 2 3 2 4 5 2" xfId="38324"/>
    <cellStyle name="Normal 6 2 2 3 2 4 6" xfId="38325"/>
    <cellStyle name="Normal 6 2 2 3 2 5" xfId="38326"/>
    <cellStyle name="Normal 6 2 2 3 2 5 2" xfId="38327"/>
    <cellStyle name="Normal 6 2 2 3 2 5 2 2" xfId="38328"/>
    <cellStyle name="Normal 6 2 2 3 2 5 2 2 2" xfId="38329"/>
    <cellStyle name="Normal 6 2 2 3 2 5 2 2 2 2" xfId="38330"/>
    <cellStyle name="Normal 6 2 2 3 2 5 2 2 3" xfId="38331"/>
    <cellStyle name="Normal 6 2 2 3 2 5 2 3" xfId="38332"/>
    <cellStyle name="Normal 6 2 2 3 2 5 2 3 2" xfId="38333"/>
    <cellStyle name="Normal 6 2 2 3 2 5 2 4" xfId="38334"/>
    <cellStyle name="Normal 6 2 2 3 2 5 3" xfId="38335"/>
    <cellStyle name="Normal 6 2 2 3 2 5 3 2" xfId="38336"/>
    <cellStyle name="Normal 6 2 2 3 2 5 3 2 2" xfId="38337"/>
    <cellStyle name="Normal 6 2 2 3 2 5 3 3" xfId="38338"/>
    <cellStyle name="Normal 6 2 2 3 2 5 4" xfId="38339"/>
    <cellStyle name="Normal 6 2 2 3 2 5 4 2" xfId="38340"/>
    <cellStyle name="Normal 6 2 2 3 2 5 5" xfId="38341"/>
    <cellStyle name="Normal 6 2 2 3 2 5 5 2" xfId="38342"/>
    <cellStyle name="Normal 6 2 2 3 2 5 6" xfId="38343"/>
    <cellStyle name="Normal 6 2 2 3 2 6" xfId="38344"/>
    <cellStyle name="Normal 6 2 2 3 2 6 2" xfId="38345"/>
    <cellStyle name="Normal 6 2 2 3 2 6 2 2" xfId="38346"/>
    <cellStyle name="Normal 6 2 2 3 2 6 2 2 2" xfId="38347"/>
    <cellStyle name="Normal 6 2 2 3 2 6 2 2 2 2" xfId="38348"/>
    <cellStyle name="Normal 6 2 2 3 2 6 2 2 3" xfId="38349"/>
    <cellStyle name="Normal 6 2 2 3 2 6 2 3" xfId="38350"/>
    <cellStyle name="Normal 6 2 2 3 2 6 2 3 2" xfId="38351"/>
    <cellStyle name="Normal 6 2 2 3 2 6 2 4" xfId="38352"/>
    <cellStyle name="Normal 6 2 2 3 2 6 3" xfId="38353"/>
    <cellStyle name="Normal 6 2 2 3 2 6 3 2" xfId="38354"/>
    <cellStyle name="Normal 6 2 2 3 2 6 3 2 2" xfId="38355"/>
    <cellStyle name="Normal 6 2 2 3 2 6 3 3" xfId="38356"/>
    <cellStyle name="Normal 6 2 2 3 2 6 4" xfId="38357"/>
    <cellStyle name="Normal 6 2 2 3 2 6 4 2" xfId="38358"/>
    <cellStyle name="Normal 6 2 2 3 2 6 5" xfId="38359"/>
    <cellStyle name="Normal 6 2 2 3 2 6 5 2" xfId="38360"/>
    <cellStyle name="Normal 6 2 2 3 2 6 6" xfId="38361"/>
    <cellStyle name="Normal 6 2 2 3 2 7" xfId="38362"/>
    <cellStyle name="Normal 6 2 2 3 2 7 2" xfId="38363"/>
    <cellStyle name="Normal 6 2 2 3 2 7 2 2" xfId="38364"/>
    <cellStyle name="Normal 6 2 2 3 2 7 2 2 2" xfId="38365"/>
    <cellStyle name="Normal 6 2 2 3 2 7 2 3" xfId="38366"/>
    <cellStyle name="Normal 6 2 2 3 2 7 3" xfId="38367"/>
    <cellStyle name="Normal 6 2 2 3 2 7 3 2" xfId="38368"/>
    <cellStyle name="Normal 6 2 2 3 2 7 4" xfId="38369"/>
    <cellStyle name="Normal 6 2 2 3 2 8" xfId="38370"/>
    <cellStyle name="Normal 6 2 2 3 2 8 2" xfId="38371"/>
    <cellStyle name="Normal 6 2 2 3 2 8 2 2" xfId="38372"/>
    <cellStyle name="Normal 6 2 2 3 2 8 3" xfId="38373"/>
    <cellStyle name="Normal 6 2 2 3 2 9" xfId="38374"/>
    <cellStyle name="Normal 6 2 2 3 2 9 2" xfId="38375"/>
    <cellStyle name="Normal 6 2 2 3 3" xfId="38376"/>
    <cellStyle name="Normal 6 2 2 3 3 10" xfId="38377"/>
    <cellStyle name="Normal 6 2 2 3 3 11" xfId="38378"/>
    <cellStyle name="Normal 6 2 2 3 3 2" xfId="38379"/>
    <cellStyle name="Normal 6 2 2 3 3 2 2" xfId="38380"/>
    <cellStyle name="Normal 6 2 2 3 3 2 2 2" xfId="38381"/>
    <cellStyle name="Normal 6 2 2 3 3 2 2 2 2" xfId="38382"/>
    <cellStyle name="Normal 6 2 2 3 3 2 2 2 2 2" xfId="38383"/>
    <cellStyle name="Normal 6 2 2 3 3 2 2 2 3" xfId="38384"/>
    <cellStyle name="Normal 6 2 2 3 3 2 2 3" xfId="38385"/>
    <cellStyle name="Normal 6 2 2 3 3 2 2 3 2" xfId="38386"/>
    <cellStyle name="Normal 6 2 2 3 3 2 2 4" xfId="38387"/>
    <cellStyle name="Normal 6 2 2 3 3 2 3" xfId="38388"/>
    <cellStyle name="Normal 6 2 2 3 3 2 3 2" xfId="38389"/>
    <cellStyle name="Normal 6 2 2 3 3 2 3 2 2" xfId="38390"/>
    <cellStyle name="Normal 6 2 2 3 3 2 3 3" xfId="38391"/>
    <cellStyle name="Normal 6 2 2 3 3 2 4" xfId="38392"/>
    <cellStyle name="Normal 6 2 2 3 3 2 4 2" xfId="38393"/>
    <cellStyle name="Normal 6 2 2 3 3 2 5" xfId="38394"/>
    <cellStyle name="Normal 6 2 2 3 3 2 5 2" xfId="38395"/>
    <cellStyle name="Normal 6 2 2 3 3 2 6" xfId="38396"/>
    <cellStyle name="Normal 6 2 2 3 3 3" xfId="38397"/>
    <cellStyle name="Normal 6 2 2 3 3 3 2" xfId="38398"/>
    <cellStyle name="Normal 6 2 2 3 3 3 2 2" xfId="38399"/>
    <cellStyle name="Normal 6 2 2 3 3 3 2 2 2" xfId="38400"/>
    <cellStyle name="Normal 6 2 2 3 3 3 2 2 2 2" xfId="38401"/>
    <cellStyle name="Normal 6 2 2 3 3 3 2 2 3" xfId="38402"/>
    <cellStyle name="Normal 6 2 2 3 3 3 2 3" xfId="38403"/>
    <cellStyle name="Normal 6 2 2 3 3 3 2 3 2" xfId="38404"/>
    <cellStyle name="Normal 6 2 2 3 3 3 2 4" xfId="38405"/>
    <cellStyle name="Normal 6 2 2 3 3 3 3" xfId="38406"/>
    <cellStyle name="Normal 6 2 2 3 3 3 3 2" xfId="38407"/>
    <cellStyle name="Normal 6 2 2 3 3 3 3 2 2" xfId="38408"/>
    <cellStyle name="Normal 6 2 2 3 3 3 3 3" xfId="38409"/>
    <cellStyle name="Normal 6 2 2 3 3 3 4" xfId="38410"/>
    <cellStyle name="Normal 6 2 2 3 3 3 4 2" xfId="38411"/>
    <cellStyle name="Normal 6 2 2 3 3 3 5" xfId="38412"/>
    <cellStyle name="Normal 6 2 2 3 3 3 5 2" xfId="38413"/>
    <cellStyle name="Normal 6 2 2 3 3 3 6" xfId="38414"/>
    <cellStyle name="Normal 6 2 2 3 3 4" xfId="38415"/>
    <cellStyle name="Normal 6 2 2 3 3 4 2" xfId="38416"/>
    <cellStyle name="Normal 6 2 2 3 3 4 2 2" xfId="38417"/>
    <cellStyle name="Normal 6 2 2 3 3 4 2 2 2" xfId="38418"/>
    <cellStyle name="Normal 6 2 2 3 3 4 2 3" xfId="38419"/>
    <cellStyle name="Normal 6 2 2 3 3 4 3" xfId="38420"/>
    <cellStyle name="Normal 6 2 2 3 3 4 3 2" xfId="38421"/>
    <cellStyle name="Normal 6 2 2 3 3 4 4" xfId="38422"/>
    <cellStyle name="Normal 6 2 2 3 3 5" xfId="38423"/>
    <cellStyle name="Normal 6 2 2 3 3 5 2" xfId="38424"/>
    <cellStyle name="Normal 6 2 2 3 3 5 2 2" xfId="38425"/>
    <cellStyle name="Normal 6 2 2 3 3 5 3" xfId="38426"/>
    <cellStyle name="Normal 6 2 2 3 3 6" xfId="38427"/>
    <cellStyle name="Normal 6 2 2 3 3 6 2" xfId="38428"/>
    <cellStyle name="Normal 6 2 2 3 3 7" xfId="38429"/>
    <cellStyle name="Normal 6 2 2 3 3 7 2" xfId="38430"/>
    <cellStyle name="Normal 6 2 2 3 3 8" xfId="38431"/>
    <cellStyle name="Normal 6 2 2 3 3 8 2" xfId="38432"/>
    <cellStyle name="Normal 6 2 2 3 3 9" xfId="38433"/>
    <cellStyle name="Normal 6 2 2 3 3 9 2" xfId="38434"/>
    <cellStyle name="Normal 6 2 2 3 4" xfId="38435"/>
    <cellStyle name="Normal 6 2 2 3 4 2" xfId="38436"/>
    <cellStyle name="Normal 6 2 2 3 4 2 2" xfId="38437"/>
    <cellStyle name="Normal 6 2 2 3 4 2 2 2" xfId="38438"/>
    <cellStyle name="Normal 6 2 2 3 4 2 2 2 2" xfId="38439"/>
    <cellStyle name="Normal 6 2 2 3 4 2 2 2 2 2" xfId="38440"/>
    <cellStyle name="Normal 6 2 2 3 4 2 2 2 3" xfId="38441"/>
    <cellStyle name="Normal 6 2 2 3 4 2 2 3" xfId="38442"/>
    <cellStyle name="Normal 6 2 2 3 4 2 2 3 2" xfId="38443"/>
    <cellStyle name="Normal 6 2 2 3 4 2 2 4" xfId="38444"/>
    <cellStyle name="Normal 6 2 2 3 4 2 3" xfId="38445"/>
    <cellStyle name="Normal 6 2 2 3 4 2 3 2" xfId="38446"/>
    <cellStyle name="Normal 6 2 2 3 4 2 3 2 2" xfId="38447"/>
    <cellStyle name="Normal 6 2 2 3 4 2 3 3" xfId="38448"/>
    <cellStyle name="Normal 6 2 2 3 4 2 4" xfId="38449"/>
    <cellStyle name="Normal 6 2 2 3 4 2 4 2" xfId="38450"/>
    <cellStyle name="Normal 6 2 2 3 4 2 5" xfId="38451"/>
    <cellStyle name="Normal 6 2 2 3 4 2 5 2" xfId="38452"/>
    <cellStyle name="Normal 6 2 2 3 4 2 6" xfId="38453"/>
    <cellStyle name="Normal 6 2 2 3 4 3" xfId="38454"/>
    <cellStyle name="Normal 6 2 2 3 4 3 2" xfId="38455"/>
    <cellStyle name="Normal 6 2 2 3 4 3 2 2" xfId="38456"/>
    <cellStyle name="Normal 6 2 2 3 4 3 2 2 2" xfId="38457"/>
    <cellStyle name="Normal 6 2 2 3 4 3 2 2 2 2" xfId="38458"/>
    <cellStyle name="Normal 6 2 2 3 4 3 2 2 3" xfId="38459"/>
    <cellStyle name="Normal 6 2 2 3 4 3 2 3" xfId="38460"/>
    <cellStyle name="Normal 6 2 2 3 4 3 2 3 2" xfId="38461"/>
    <cellStyle name="Normal 6 2 2 3 4 3 2 4" xfId="38462"/>
    <cellStyle name="Normal 6 2 2 3 4 3 3" xfId="38463"/>
    <cellStyle name="Normal 6 2 2 3 4 3 3 2" xfId="38464"/>
    <cellStyle name="Normal 6 2 2 3 4 3 3 2 2" xfId="38465"/>
    <cellStyle name="Normal 6 2 2 3 4 3 3 3" xfId="38466"/>
    <cellStyle name="Normal 6 2 2 3 4 3 4" xfId="38467"/>
    <cellStyle name="Normal 6 2 2 3 4 3 4 2" xfId="38468"/>
    <cellStyle name="Normal 6 2 2 3 4 3 5" xfId="38469"/>
    <cellStyle name="Normal 6 2 2 3 4 3 5 2" xfId="38470"/>
    <cellStyle name="Normal 6 2 2 3 4 3 6" xfId="38471"/>
    <cellStyle name="Normal 6 2 2 3 4 4" xfId="38472"/>
    <cellStyle name="Normal 6 2 2 3 4 4 2" xfId="38473"/>
    <cellStyle name="Normal 6 2 2 3 4 4 2 2" xfId="38474"/>
    <cellStyle name="Normal 6 2 2 3 4 4 2 2 2" xfId="38475"/>
    <cellStyle name="Normal 6 2 2 3 4 4 2 3" xfId="38476"/>
    <cellStyle name="Normal 6 2 2 3 4 4 3" xfId="38477"/>
    <cellStyle name="Normal 6 2 2 3 4 4 3 2" xfId="38478"/>
    <cellStyle name="Normal 6 2 2 3 4 4 4" xfId="38479"/>
    <cellStyle name="Normal 6 2 2 3 4 5" xfId="38480"/>
    <cellStyle name="Normal 6 2 2 3 4 5 2" xfId="38481"/>
    <cellStyle name="Normal 6 2 2 3 4 5 2 2" xfId="38482"/>
    <cellStyle name="Normal 6 2 2 3 4 5 3" xfId="38483"/>
    <cellStyle name="Normal 6 2 2 3 4 6" xfId="38484"/>
    <cellStyle name="Normal 6 2 2 3 4 6 2" xfId="38485"/>
    <cellStyle name="Normal 6 2 2 3 4 7" xfId="38486"/>
    <cellStyle name="Normal 6 2 2 3 4 7 2" xfId="38487"/>
    <cellStyle name="Normal 6 2 2 3 4 8" xfId="38488"/>
    <cellStyle name="Normal 6 2 2 3 5" xfId="38489"/>
    <cellStyle name="Normal 6 2 2 3 5 2" xfId="38490"/>
    <cellStyle name="Normal 6 2 2 3 5 2 2" xfId="38491"/>
    <cellStyle name="Normal 6 2 2 3 5 2 2 2" xfId="38492"/>
    <cellStyle name="Normal 6 2 2 3 5 2 2 2 2" xfId="38493"/>
    <cellStyle name="Normal 6 2 2 3 5 2 2 3" xfId="38494"/>
    <cellStyle name="Normal 6 2 2 3 5 2 3" xfId="38495"/>
    <cellStyle name="Normal 6 2 2 3 5 2 3 2" xfId="38496"/>
    <cellStyle name="Normal 6 2 2 3 5 2 4" xfId="38497"/>
    <cellStyle name="Normal 6 2 2 3 5 3" xfId="38498"/>
    <cellStyle name="Normal 6 2 2 3 5 3 2" xfId="38499"/>
    <cellStyle name="Normal 6 2 2 3 5 3 2 2" xfId="38500"/>
    <cellStyle name="Normal 6 2 2 3 5 3 3" xfId="38501"/>
    <cellStyle name="Normal 6 2 2 3 5 4" xfId="38502"/>
    <cellStyle name="Normal 6 2 2 3 5 4 2" xfId="38503"/>
    <cellStyle name="Normal 6 2 2 3 5 5" xfId="38504"/>
    <cellStyle name="Normal 6 2 2 3 5 5 2" xfId="38505"/>
    <cellStyle name="Normal 6 2 2 3 5 6" xfId="38506"/>
    <cellStyle name="Normal 6 2 2 3 6" xfId="38507"/>
    <cellStyle name="Normal 6 2 2 3 6 2" xfId="38508"/>
    <cellStyle name="Normal 6 2 2 3 6 2 2" xfId="38509"/>
    <cellStyle name="Normal 6 2 2 3 6 2 2 2" xfId="38510"/>
    <cellStyle name="Normal 6 2 2 3 6 2 2 2 2" xfId="38511"/>
    <cellStyle name="Normal 6 2 2 3 6 2 2 3" xfId="38512"/>
    <cellStyle name="Normal 6 2 2 3 6 2 3" xfId="38513"/>
    <cellStyle name="Normal 6 2 2 3 6 2 3 2" xfId="38514"/>
    <cellStyle name="Normal 6 2 2 3 6 2 4" xfId="38515"/>
    <cellStyle name="Normal 6 2 2 3 6 3" xfId="38516"/>
    <cellStyle name="Normal 6 2 2 3 6 3 2" xfId="38517"/>
    <cellStyle name="Normal 6 2 2 3 6 3 2 2" xfId="38518"/>
    <cellStyle name="Normal 6 2 2 3 6 3 3" xfId="38519"/>
    <cellStyle name="Normal 6 2 2 3 6 4" xfId="38520"/>
    <cellStyle name="Normal 6 2 2 3 6 4 2" xfId="38521"/>
    <cellStyle name="Normal 6 2 2 3 6 5" xfId="38522"/>
    <cellStyle name="Normal 6 2 2 3 6 5 2" xfId="38523"/>
    <cellStyle name="Normal 6 2 2 3 6 6" xfId="38524"/>
    <cellStyle name="Normal 6 2 2 3 7" xfId="38525"/>
    <cellStyle name="Normal 6 2 2 3 7 2" xfId="38526"/>
    <cellStyle name="Normal 6 2 2 3 7 2 2" xfId="38527"/>
    <cellStyle name="Normal 6 2 2 3 7 2 2 2" xfId="38528"/>
    <cellStyle name="Normal 6 2 2 3 7 2 2 2 2" xfId="38529"/>
    <cellStyle name="Normal 6 2 2 3 7 2 2 3" xfId="38530"/>
    <cellStyle name="Normal 6 2 2 3 7 2 3" xfId="38531"/>
    <cellStyle name="Normal 6 2 2 3 7 2 3 2" xfId="38532"/>
    <cellStyle name="Normal 6 2 2 3 7 2 4" xfId="38533"/>
    <cellStyle name="Normal 6 2 2 3 7 3" xfId="38534"/>
    <cellStyle name="Normal 6 2 2 3 7 3 2" xfId="38535"/>
    <cellStyle name="Normal 6 2 2 3 7 3 2 2" xfId="38536"/>
    <cellStyle name="Normal 6 2 2 3 7 3 3" xfId="38537"/>
    <cellStyle name="Normal 6 2 2 3 7 4" xfId="38538"/>
    <cellStyle name="Normal 6 2 2 3 7 4 2" xfId="38539"/>
    <cellStyle name="Normal 6 2 2 3 7 5" xfId="38540"/>
    <cellStyle name="Normal 6 2 2 3 7 5 2" xfId="38541"/>
    <cellStyle name="Normal 6 2 2 3 7 6" xfId="38542"/>
    <cellStyle name="Normal 6 2 2 3 8" xfId="38543"/>
    <cellStyle name="Normal 6 2 2 3 8 2" xfId="38544"/>
    <cellStyle name="Normal 6 2 2 3 8 2 2" xfId="38545"/>
    <cellStyle name="Normal 6 2 2 3 8 2 2 2" xfId="38546"/>
    <cellStyle name="Normal 6 2 2 3 8 2 3" xfId="38547"/>
    <cellStyle name="Normal 6 2 2 3 8 3" xfId="38548"/>
    <cellStyle name="Normal 6 2 2 3 8 3 2" xfId="38549"/>
    <cellStyle name="Normal 6 2 2 3 8 4" xfId="38550"/>
    <cellStyle name="Normal 6 2 2 3 9" xfId="38551"/>
    <cellStyle name="Normal 6 2 2 3 9 2" xfId="38552"/>
    <cellStyle name="Normal 6 2 2 3 9 2 2" xfId="38553"/>
    <cellStyle name="Normal 6 2 2 3 9 3" xfId="38554"/>
    <cellStyle name="Normal 6 2 2 4" xfId="38555"/>
    <cellStyle name="Normal 6 2 2 4 2" xfId="38556"/>
    <cellStyle name="Normal 6 2 2 4 2 2" xfId="38557"/>
    <cellStyle name="Normal 6 2 2 4 2 2 2" xfId="38558"/>
    <cellStyle name="Normal 6 2 2 4 2 3" xfId="38559"/>
    <cellStyle name="Normal 6 2 2 4 2 4" xfId="38560"/>
    <cellStyle name="Normal 6 2 2 4 3" xfId="38561"/>
    <cellStyle name="Normal 6 2 2 4 3 2" xfId="38562"/>
    <cellStyle name="Normal 6 2 2 4 4" xfId="38563"/>
    <cellStyle name="Normal 6 2 2 4 5" xfId="38564"/>
    <cellStyle name="Normal 6 2 2 5" xfId="38565"/>
    <cellStyle name="Normal 6 2 2 5 2" xfId="38566"/>
    <cellStyle name="Normal 6 2 2 5 2 2" xfId="38567"/>
    <cellStyle name="Normal 6 2 2 5 3" xfId="38568"/>
    <cellStyle name="Normal 6 2 2 5 4" xfId="38569"/>
    <cellStyle name="Normal 6 2 2 6" xfId="38570"/>
    <cellStyle name="Normal 6 2 2 7" xfId="38571"/>
    <cellStyle name="Normal 6 2 2 7 2" xfId="38572"/>
    <cellStyle name="Normal 6 2 2 8" xfId="38573"/>
    <cellStyle name="Normal 6 2 2 9" xfId="38574"/>
    <cellStyle name="Normal 6 2 3" xfId="598"/>
    <cellStyle name="Normal 6 2 3 2" xfId="38575"/>
    <cellStyle name="Normal 6 2 3 2 2" xfId="38576"/>
    <cellStyle name="Normal 6 2 3 2 2 2" xfId="38577"/>
    <cellStyle name="Normal 6 2 3 2 2 3" xfId="38578"/>
    <cellStyle name="Normal 6 2 3 2 2 3 2" xfId="38579"/>
    <cellStyle name="Normal 6 2 3 2 2 4" xfId="38580"/>
    <cellStyle name="Normal 6 2 3 2 2 5" xfId="38581"/>
    <cellStyle name="Normal 6 2 3 2 3" xfId="38582"/>
    <cellStyle name="Normal 6 2 3 2 4" xfId="38583"/>
    <cellStyle name="Normal 6 2 3 2 5" xfId="38584"/>
    <cellStyle name="Normal 6 2 3 2 5 2" xfId="38585"/>
    <cellStyle name="Normal 6 2 3 2 6" xfId="38586"/>
    <cellStyle name="Normal 6 2 3 2 7" xfId="38587"/>
    <cellStyle name="Normal 6 2 3 3" xfId="38588"/>
    <cellStyle name="Normal 6 2 3 3 2" xfId="38589"/>
    <cellStyle name="Normal 6 2 3 3 3" xfId="38590"/>
    <cellStyle name="Normal 6 2 3 3 4" xfId="38591"/>
    <cellStyle name="Normal 6 2 3 3 4 2" xfId="38592"/>
    <cellStyle name="Normal 6 2 3 3 5" xfId="38593"/>
    <cellStyle name="Normal 6 2 3 3 6" xfId="38594"/>
    <cellStyle name="Normal 6 2 3 4" xfId="38595"/>
    <cellStyle name="Normal 6 2 3 4 2" xfId="38596"/>
    <cellStyle name="Normal 6 2 3 5" xfId="38597"/>
    <cellStyle name="Normal 6 2 3 6" xfId="38598"/>
    <cellStyle name="Normal 6 2 3 7" xfId="38599"/>
    <cellStyle name="Normal 6 2 3 7 2" xfId="38600"/>
    <cellStyle name="Normal 6 2 3 8" xfId="38601"/>
    <cellStyle name="Normal 6 2 3 9" xfId="38602"/>
    <cellStyle name="Normal 6 2 4" xfId="38603"/>
    <cellStyle name="Normal 6 2 4 2" xfId="38604"/>
    <cellStyle name="Normal 6 2 4 2 2" xfId="38605"/>
    <cellStyle name="Normal 6 2 4 2 2 2" xfId="38606"/>
    <cellStyle name="Normal 6 2 4 2 2 2 2" xfId="38607"/>
    <cellStyle name="Normal 6 2 4 2 2 3" xfId="38608"/>
    <cellStyle name="Normal 6 2 4 2 2 4" xfId="38609"/>
    <cellStyle name="Normal 6 2 4 2 3" xfId="38610"/>
    <cellStyle name="Normal 6 2 4 2 3 2" xfId="38611"/>
    <cellStyle name="Normal 6 2 4 2 4" xfId="38612"/>
    <cellStyle name="Normal 6 2 4 2 5" xfId="38613"/>
    <cellStyle name="Normal 6 2 4 3" xfId="38614"/>
    <cellStyle name="Normal 6 2 4 3 2" xfId="38615"/>
    <cellStyle name="Normal 6 2 4 3 2 2" xfId="38616"/>
    <cellStyle name="Normal 6 2 4 3 3" xfId="38617"/>
    <cellStyle name="Normal 6 2 4 3 4" xfId="38618"/>
    <cellStyle name="Normal 6 2 4 4" xfId="38619"/>
    <cellStyle name="Normal 6 2 4 5" xfId="38620"/>
    <cellStyle name="Normal 6 2 4 5 2" xfId="38621"/>
    <cellStyle name="Normal 6 2 4 6" xfId="38622"/>
    <cellStyle name="Normal 6 2 4 7" xfId="38623"/>
    <cellStyle name="Normal 6 2 5" xfId="38624"/>
    <cellStyle name="Normal 6 2 5 2" xfId="38625"/>
    <cellStyle name="Normal 6 2 5 2 2" xfId="38626"/>
    <cellStyle name="Normal 6 2 5 2 2 2" xfId="38627"/>
    <cellStyle name="Normal 6 2 5 2 3" xfId="38628"/>
    <cellStyle name="Normal 6 2 5 2 4" xfId="38629"/>
    <cellStyle name="Normal 6 2 5 3" xfId="38630"/>
    <cellStyle name="Normal 6 2 5 4" xfId="38631"/>
    <cellStyle name="Normal 6 2 5 4 2" xfId="38632"/>
    <cellStyle name="Normal 6 2 5 5" xfId="38633"/>
    <cellStyle name="Normal 6 2 5 6" xfId="38634"/>
    <cellStyle name="Normal 6 2 6" xfId="38635"/>
    <cellStyle name="Normal 6 2 6 10" xfId="38636"/>
    <cellStyle name="Normal 6 2 6 10 2" xfId="38637"/>
    <cellStyle name="Normal 6 2 6 11" xfId="38638"/>
    <cellStyle name="Normal 6 2 6 11 2" xfId="38639"/>
    <cellStyle name="Normal 6 2 6 12" xfId="38640"/>
    <cellStyle name="Normal 6 2 6 12 2" xfId="38641"/>
    <cellStyle name="Normal 6 2 6 13" xfId="38642"/>
    <cellStyle name="Normal 6 2 6 13 2" xfId="38643"/>
    <cellStyle name="Normal 6 2 6 14" xfId="38644"/>
    <cellStyle name="Normal 6 2 6 15" xfId="38645"/>
    <cellStyle name="Normal 6 2 6 2" xfId="38646"/>
    <cellStyle name="Normal 6 2 6 2 10" xfId="38647"/>
    <cellStyle name="Normal 6 2 6 2 10 2" xfId="38648"/>
    <cellStyle name="Normal 6 2 6 2 11" xfId="38649"/>
    <cellStyle name="Normal 6 2 6 2 2" xfId="38650"/>
    <cellStyle name="Normal 6 2 6 2 2 2" xfId="38651"/>
    <cellStyle name="Normal 6 2 6 2 2 2 2" xfId="38652"/>
    <cellStyle name="Normal 6 2 6 2 2 2 2 2" xfId="38653"/>
    <cellStyle name="Normal 6 2 6 2 2 2 2 2 2" xfId="38654"/>
    <cellStyle name="Normal 6 2 6 2 2 2 2 2 2 2" xfId="38655"/>
    <cellStyle name="Normal 6 2 6 2 2 2 2 2 3" xfId="38656"/>
    <cellStyle name="Normal 6 2 6 2 2 2 2 3" xfId="38657"/>
    <cellStyle name="Normal 6 2 6 2 2 2 2 3 2" xfId="38658"/>
    <cellStyle name="Normal 6 2 6 2 2 2 2 4" xfId="38659"/>
    <cellStyle name="Normal 6 2 6 2 2 2 3" xfId="38660"/>
    <cellStyle name="Normal 6 2 6 2 2 2 3 2" xfId="38661"/>
    <cellStyle name="Normal 6 2 6 2 2 2 3 2 2" xfId="38662"/>
    <cellStyle name="Normal 6 2 6 2 2 2 3 3" xfId="38663"/>
    <cellStyle name="Normal 6 2 6 2 2 2 4" xfId="38664"/>
    <cellStyle name="Normal 6 2 6 2 2 2 4 2" xfId="38665"/>
    <cellStyle name="Normal 6 2 6 2 2 2 5" xfId="38666"/>
    <cellStyle name="Normal 6 2 6 2 2 2 5 2" xfId="38667"/>
    <cellStyle name="Normal 6 2 6 2 2 2 6" xfId="38668"/>
    <cellStyle name="Normal 6 2 6 2 2 3" xfId="38669"/>
    <cellStyle name="Normal 6 2 6 2 2 3 2" xfId="38670"/>
    <cellStyle name="Normal 6 2 6 2 2 3 2 2" xfId="38671"/>
    <cellStyle name="Normal 6 2 6 2 2 3 2 2 2" xfId="38672"/>
    <cellStyle name="Normal 6 2 6 2 2 3 2 2 2 2" xfId="38673"/>
    <cellStyle name="Normal 6 2 6 2 2 3 2 2 3" xfId="38674"/>
    <cellStyle name="Normal 6 2 6 2 2 3 2 3" xfId="38675"/>
    <cellStyle name="Normal 6 2 6 2 2 3 2 3 2" xfId="38676"/>
    <cellStyle name="Normal 6 2 6 2 2 3 2 4" xfId="38677"/>
    <cellStyle name="Normal 6 2 6 2 2 3 3" xfId="38678"/>
    <cellStyle name="Normal 6 2 6 2 2 3 3 2" xfId="38679"/>
    <cellStyle name="Normal 6 2 6 2 2 3 3 2 2" xfId="38680"/>
    <cellStyle name="Normal 6 2 6 2 2 3 3 3" xfId="38681"/>
    <cellStyle name="Normal 6 2 6 2 2 3 4" xfId="38682"/>
    <cellStyle name="Normal 6 2 6 2 2 3 4 2" xfId="38683"/>
    <cellStyle name="Normal 6 2 6 2 2 3 5" xfId="38684"/>
    <cellStyle name="Normal 6 2 6 2 2 3 5 2" xfId="38685"/>
    <cellStyle name="Normal 6 2 6 2 2 3 6" xfId="38686"/>
    <cellStyle name="Normal 6 2 6 2 2 4" xfId="38687"/>
    <cellStyle name="Normal 6 2 6 2 2 4 2" xfId="38688"/>
    <cellStyle name="Normal 6 2 6 2 2 4 2 2" xfId="38689"/>
    <cellStyle name="Normal 6 2 6 2 2 4 2 2 2" xfId="38690"/>
    <cellStyle name="Normal 6 2 6 2 2 4 2 3" xfId="38691"/>
    <cellStyle name="Normal 6 2 6 2 2 4 3" xfId="38692"/>
    <cellStyle name="Normal 6 2 6 2 2 4 3 2" xfId="38693"/>
    <cellStyle name="Normal 6 2 6 2 2 4 4" xfId="38694"/>
    <cellStyle name="Normal 6 2 6 2 2 5" xfId="38695"/>
    <cellStyle name="Normal 6 2 6 2 2 5 2" xfId="38696"/>
    <cellStyle name="Normal 6 2 6 2 2 5 2 2" xfId="38697"/>
    <cellStyle name="Normal 6 2 6 2 2 5 3" xfId="38698"/>
    <cellStyle name="Normal 6 2 6 2 2 6" xfId="38699"/>
    <cellStyle name="Normal 6 2 6 2 2 6 2" xfId="38700"/>
    <cellStyle name="Normal 6 2 6 2 2 7" xfId="38701"/>
    <cellStyle name="Normal 6 2 6 2 2 7 2" xfId="38702"/>
    <cellStyle name="Normal 6 2 6 2 2 8" xfId="38703"/>
    <cellStyle name="Normal 6 2 6 2 3" xfId="38704"/>
    <cellStyle name="Normal 6 2 6 2 3 2" xfId="38705"/>
    <cellStyle name="Normal 6 2 6 2 3 2 2" xfId="38706"/>
    <cellStyle name="Normal 6 2 6 2 3 2 2 2" xfId="38707"/>
    <cellStyle name="Normal 6 2 6 2 3 2 2 2 2" xfId="38708"/>
    <cellStyle name="Normal 6 2 6 2 3 2 2 2 2 2" xfId="38709"/>
    <cellStyle name="Normal 6 2 6 2 3 2 2 2 3" xfId="38710"/>
    <cellStyle name="Normal 6 2 6 2 3 2 2 3" xfId="38711"/>
    <cellStyle name="Normal 6 2 6 2 3 2 2 3 2" xfId="38712"/>
    <cellStyle name="Normal 6 2 6 2 3 2 2 4" xfId="38713"/>
    <cellStyle name="Normal 6 2 6 2 3 2 3" xfId="38714"/>
    <cellStyle name="Normal 6 2 6 2 3 2 3 2" xfId="38715"/>
    <cellStyle name="Normal 6 2 6 2 3 2 3 2 2" xfId="38716"/>
    <cellStyle name="Normal 6 2 6 2 3 2 3 3" xfId="38717"/>
    <cellStyle name="Normal 6 2 6 2 3 2 4" xfId="38718"/>
    <cellStyle name="Normal 6 2 6 2 3 2 4 2" xfId="38719"/>
    <cellStyle name="Normal 6 2 6 2 3 2 5" xfId="38720"/>
    <cellStyle name="Normal 6 2 6 2 3 2 5 2" xfId="38721"/>
    <cellStyle name="Normal 6 2 6 2 3 2 6" xfId="38722"/>
    <cellStyle name="Normal 6 2 6 2 3 3" xfId="38723"/>
    <cellStyle name="Normal 6 2 6 2 3 3 2" xfId="38724"/>
    <cellStyle name="Normal 6 2 6 2 3 3 2 2" xfId="38725"/>
    <cellStyle name="Normal 6 2 6 2 3 3 2 2 2" xfId="38726"/>
    <cellStyle name="Normal 6 2 6 2 3 3 2 2 2 2" xfId="38727"/>
    <cellStyle name="Normal 6 2 6 2 3 3 2 2 3" xfId="38728"/>
    <cellStyle name="Normal 6 2 6 2 3 3 2 3" xfId="38729"/>
    <cellStyle name="Normal 6 2 6 2 3 3 2 3 2" xfId="38730"/>
    <cellStyle name="Normal 6 2 6 2 3 3 2 4" xfId="38731"/>
    <cellStyle name="Normal 6 2 6 2 3 3 3" xfId="38732"/>
    <cellStyle name="Normal 6 2 6 2 3 3 3 2" xfId="38733"/>
    <cellStyle name="Normal 6 2 6 2 3 3 3 2 2" xfId="38734"/>
    <cellStyle name="Normal 6 2 6 2 3 3 3 3" xfId="38735"/>
    <cellStyle name="Normal 6 2 6 2 3 3 4" xfId="38736"/>
    <cellStyle name="Normal 6 2 6 2 3 3 4 2" xfId="38737"/>
    <cellStyle name="Normal 6 2 6 2 3 3 5" xfId="38738"/>
    <cellStyle name="Normal 6 2 6 2 3 3 5 2" xfId="38739"/>
    <cellStyle name="Normal 6 2 6 2 3 3 6" xfId="38740"/>
    <cellStyle name="Normal 6 2 6 2 3 4" xfId="38741"/>
    <cellStyle name="Normal 6 2 6 2 3 4 2" xfId="38742"/>
    <cellStyle name="Normal 6 2 6 2 3 4 2 2" xfId="38743"/>
    <cellStyle name="Normal 6 2 6 2 3 4 2 2 2" xfId="38744"/>
    <cellStyle name="Normal 6 2 6 2 3 4 2 3" xfId="38745"/>
    <cellStyle name="Normal 6 2 6 2 3 4 3" xfId="38746"/>
    <cellStyle name="Normal 6 2 6 2 3 4 3 2" xfId="38747"/>
    <cellStyle name="Normal 6 2 6 2 3 4 4" xfId="38748"/>
    <cellStyle name="Normal 6 2 6 2 3 5" xfId="38749"/>
    <cellStyle name="Normal 6 2 6 2 3 5 2" xfId="38750"/>
    <cellStyle name="Normal 6 2 6 2 3 5 2 2" xfId="38751"/>
    <cellStyle name="Normal 6 2 6 2 3 5 3" xfId="38752"/>
    <cellStyle name="Normal 6 2 6 2 3 6" xfId="38753"/>
    <cellStyle name="Normal 6 2 6 2 3 6 2" xfId="38754"/>
    <cellStyle name="Normal 6 2 6 2 3 7" xfId="38755"/>
    <cellStyle name="Normal 6 2 6 2 3 7 2" xfId="38756"/>
    <cellStyle name="Normal 6 2 6 2 3 8" xfId="38757"/>
    <cellStyle name="Normal 6 2 6 2 4" xfId="38758"/>
    <cellStyle name="Normal 6 2 6 2 4 2" xfId="38759"/>
    <cellStyle name="Normal 6 2 6 2 4 2 2" xfId="38760"/>
    <cellStyle name="Normal 6 2 6 2 4 2 2 2" xfId="38761"/>
    <cellStyle name="Normal 6 2 6 2 4 2 2 2 2" xfId="38762"/>
    <cellStyle name="Normal 6 2 6 2 4 2 2 3" xfId="38763"/>
    <cellStyle name="Normal 6 2 6 2 4 2 3" xfId="38764"/>
    <cellStyle name="Normal 6 2 6 2 4 2 3 2" xfId="38765"/>
    <cellStyle name="Normal 6 2 6 2 4 2 4" xfId="38766"/>
    <cellStyle name="Normal 6 2 6 2 4 3" xfId="38767"/>
    <cellStyle name="Normal 6 2 6 2 4 3 2" xfId="38768"/>
    <cellStyle name="Normal 6 2 6 2 4 3 2 2" xfId="38769"/>
    <cellStyle name="Normal 6 2 6 2 4 3 3" xfId="38770"/>
    <cellStyle name="Normal 6 2 6 2 4 4" xfId="38771"/>
    <cellStyle name="Normal 6 2 6 2 4 4 2" xfId="38772"/>
    <cellStyle name="Normal 6 2 6 2 4 5" xfId="38773"/>
    <cellStyle name="Normal 6 2 6 2 4 5 2" xfId="38774"/>
    <cellStyle name="Normal 6 2 6 2 4 6" xfId="38775"/>
    <cellStyle name="Normal 6 2 6 2 5" xfId="38776"/>
    <cellStyle name="Normal 6 2 6 2 5 2" xfId="38777"/>
    <cellStyle name="Normal 6 2 6 2 5 2 2" xfId="38778"/>
    <cellStyle name="Normal 6 2 6 2 5 2 2 2" xfId="38779"/>
    <cellStyle name="Normal 6 2 6 2 5 2 2 2 2" xfId="38780"/>
    <cellStyle name="Normal 6 2 6 2 5 2 2 3" xfId="38781"/>
    <cellStyle name="Normal 6 2 6 2 5 2 3" xfId="38782"/>
    <cellStyle name="Normal 6 2 6 2 5 2 3 2" xfId="38783"/>
    <cellStyle name="Normal 6 2 6 2 5 2 4" xfId="38784"/>
    <cellStyle name="Normal 6 2 6 2 5 3" xfId="38785"/>
    <cellStyle name="Normal 6 2 6 2 5 3 2" xfId="38786"/>
    <cellStyle name="Normal 6 2 6 2 5 3 2 2" xfId="38787"/>
    <cellStyle name="Normal 6 2 6 2 5 3 3" xfId="38788"/>
    <cellStyle name="Normal 6 2 6 2 5 4" xfId="38789"/>
    <cellStyle name="Normal 6 2 6 2 5 4 2" xfId="38790"/>
    <cellStyle name="Normal 6 2 6 2 5 5" xfId="38791"/>
    <cellStyle name="Normal 6 2 6 2 5 5 2" xfId="38792"/>
    <cellStyle name="Normal 6 2 6 2 5 6" xfId="38793"/>
    <cellStyle name="Normal 6 2 6 2 6" xfId="38794"/>
    <cellStyle name="Normal 6 2 6 2 6 2" xfId="38795"/>
    <cellStyle name="Normal 6 2 6 2 6 2 2" xfId="38796"/>
    <cellStyle name="Normal 6 2 6 2 6 2 2 2" xfId="38797"/>
    <cellStyle name="Normal 6 2 6 2 6 2 2 2 2" xfId="38798"/>
    <cellStyle name="Normal 6 2 6 2 6 2 2 3" xfId="38799"/>
    <cellStyle name="Normal 6 2 6 2 6 2 3" xfId="38800"/>
    <cellStyle name="Normal 6 2 6 2 6 2 3 2" xfId="38801"/>
    <cellStyle name="Normal 6 2 6 2 6 2 4" xfId="38802"/>
    <cellStyle name="Normal 6 2 6 2 6 3" xfId="38803"/>
    <cellStyle name="Normal 6 2 6 2 6 3 2" xfId="38804"/>
    <cellStyle name="Normal 6 2 6 2 6 3 2 2" xfId="38805"/>
    <cellStyle name="Normal 6 2 6 2 6 3 3" xfId="38806"/>
    <cellStyle name="Normal 6 2 6 2 6 4" xfId="38807"/>
    <cellStyle name="Normal 6 2 6 2 6 4 2" xfId="38808"/>
    <cellStyle name="Normal 6 2 6 2 6 5" xfId="38809"/>
    <cellStyle name="Normal 6 2 6 2 6 5 2" xfId="38810"/>
    <cellStyle name="Normal 6 2 6 2 6 6" xfId="38811"/>
    <cellStyle name="Normal 6 2 6 2 7" xfId="38812"/>
    <cellStyle name="Normal 6 2 6 2 7 2" xfId="38813"/>
    <cellStyle name="Normal 6 2 6 2 7 2 2" xfId="38814"/>
    <cellStyle name="Normal 6 2 6 2 7 2 2 2" xfId="38815"/>
    <cellStyle name="Normal 6 2 6 2 7 2 3" xfId="38816"/>
    <cellStyle name="Normal 6 2 6 2 7 3" xfId="38817"/>
    <cellStyle name="Normal 6 2 6 2 7 3 2" xfId="38818"/>
    <cellStyle name="Normal 6 2 6 2 7 4" xfId="38819"/>
    <cellStyle name="Normal 6 2 6 2 8" xfId="38820"/>
    <cellStyle name="Normal 6 2 6 2 8 2" xfId="38821"/>
    <cellStyle name="Normal 6 2 6 2 8 2 2" xfId="38822"/>
    <cellStyle name="Normal 6 2 6 2 8 3" xfId="38823"/>
    <cellStyle name="Normal 6 2 6 2 9" xfId="38824"/>
    <cellStyle name="Normal 6 2 6 2 9 2" xfId="38825"/>
    <cellStyle name="Normal 6 2 6 3" xfId="38826"/>
    <cellStyle name="Normal 6 2 6 3 2" xfId="38827"/>
    <cellStyle name="Normal 6 2 6 3 2 2" xfId="38828"/>
    <cellStyle name="Normal 6 2 6 3 2 2 2" xfId="38829"/>
    <cellStyle name="Normal 6 2 6 3 2 2 2 2" xfId="38830"/>
    <cellStyle name="Normal 6 2 6 3 2 2 2 2 2" xfId="38831"/>
    <cellStyle name="Normal 6 2 6 3 2 2 2 3" xfId="38832"/>
    <cellStyle name="Normal 6 2 6 3 2 2 3" xfId="38833"/>
    <cellStyle name="Normal 6 2 6 3 2 2 3 2" xfId="38834"/>
    <cellStyle name="Normal 6 2 6 3 2 2 4" xfId="38835"/>
    <cellStyle name="Normal 6 2 6 3 2 3" xfId="38836"/>
    <cellStyle name="Normal 6 2 6 3 2 3 2" xfId="38837"/>
    <cellStyle name="Normal 6 2 6 3 2 3 2 2" xfId="38838"/>
    <cellStyle name="Normal 6 2 6 3 2 3 3" xfId="38839"/>
    <cellStyle name="Normal 6 2 6 3 2 4" xfId="38840"/>
    <cellStyle name="Normal 6 2 6 3 2 4 2" xfId="38841"/>
    <cellStyle name="Normal 6 2 6 3 2 5" xfId="38842"/>
    <cellStyle name="Normal 6 2 6 3 2 5 2" xfId="38843"/>
    <cellStyle name="Normal 6 2 6 3 2 6" xfId="38844"/>
    <cellStyle name="Normal 6 2 6 3 3" xfId="38845"/>
    <cellStyle name="Normal 6 2 6 3 3 2" xfId="38846"/>
    <cellStyle name="Normal 6 2 6 3 3 2 2" xfId="38847"/>
    <cellStyle name="Normal 6 2 6 3 3 2 2 2" xfId="38848"/>
    <cellStyle name="Normal 6 2 6 3 3 2 2 2 2" xfId="38849"/>
    <cellStyle name="Normal 6 2 6 3 3 2 2 3" xfId="38850"/>
    <cellStyle name="Normal 6 2 6 3 3 2 3" xfId="38851"/>
    <cellStyle name="Normal 6 2 6 3 3 2 3 2" xfId="38852"/>
    <cellStyle name="Normal 6 2 6 3 3 2 4" xfId="38853"/>
    <cellStyle name="Normal 6 2 6 3 3 3" xfId="38854"/>
    <cellStyle name="Normal 6 2 6 3 3 3 2" xfId="38855"/>
    <cellStyle name="Normal 6 2 6 3 3 3 2 2" xfId="38856"/>
    <cellStyle name="Normal 6 2 6 3 3 3 3" xfId="38857"/>
    <cellStyle name="Normal 6 2 6 3 3 4" xfId="38858"/>
    <cellStyle name="Normal 6 2 6 3 3 4 2" xfId="38859"/>
    <cellStyle name="Normal 6 2 6 3 3 5" xfId="38860"/>
    <cellStyle name="Normal 6 2 6 3 3 5 2" xfId="38861"/>
    <cellStyle name="Normal 6 2 6 3 3 6" xfId="38862"/>
    <cellStyle name="Normal 6 2 6 3 4" xfId="38863"/>
    <cellStyle name="Normal 6 2 6 3 4 2" xfId="38864"/>
    <cellStyle name="Normal 6 2 6 3 4 2 2" xfId="38865"/>
    <cellStyle name="Normal 6 2 6 3 4 2 2 2" xfId="38866"/>
    <cellStyle name="Normal 6 2 6 3 4 2 3" xfId="38867"/>
    <cellStyle name="Normal 6 2 6 3 4 3" xfId="38868"/>
    <cellStyle name="Normal 6 2 6 3 4 3 2" xfId="38869"/>
    <cellStyle name="Normal 6 2 6 3 4 4" xfId="38870"/>
    <cellStyle name="Normal 6 2 6 3 5" xfId="38871"/>
    <cellStyle name="Normal 6 2 6 3 5 2" xfId="38872"/>
    <cellStyle name="Normal 6 2 6 3 5 2 2" xfId="38873"/>
    <cellStyle name="Normal 6 2 6 3 5 3" xfId="38874"/>
    <cellStyle name="Normal 6 2 6 3 6" xfId="38875"/>
    <cellStyle name="Normal 6 2 6 3 6 2" xfId="38876"/>
    <cellStyle name="Normal 6 2 6 3 7" xfId="38877"/>
    <cellStyle name="Normal 6 2 6 3 7 2" xfId="38878"/>
    <cellStyle name="Normal 6 2 6 3 8" xfId="38879"/>
    <cellStyle name="Normal 6 2 6 4" xfId="38880"/>
    <cellStyle name="Normal 6 2 6 4 2" xfId="38881"/>
    <cellStyle name="Normal 6 2 6 4 2 2" xfId="38882"/>
    <cellStyle name="Normal 6 2 6 4 2 2 2" xfId="38883"/>
    <cellStyle name="Normal 6 2 6 4 2 2 2 2" xfId="38884"/>
    <cellStyle name="Normal 6 2 6 4 2 2 2 2 2" xfId="38885"/>
    <cellStyle name="Normal 6 2 6 4 2 2 2 3" xfId="38886"/>
    <cellStyle name="Normal 6 2 6 4 2 2 3" xfId="38887"/>
    <cellStyle name="Normal 6 2 6 4 2 2 3 2" xfId="38888"/>
    <cellStyle name="Normal 6 2 6 4 2 2 4" xfId="38889"/>
    <cellStyle name="Normal 6 2 6 4 2 3" xfId="38890"/>
    <cellStyle name="Normal 6 2 6 4 2 3 2" xfId="38891"/>
    <cellStyle name="Normal 6 2 6 4 2 3 2 2" xfId="38892"/>
    <cellStyle name="Normal 6 2 6 4 2 3 3" xfId="38893"/>
    <cellStyle name="Normal 6 2 6 4 2 4" xfId="38894"/>
    <cellStyle name="Normal 6 2 6 4 2 4 2" xfId="38895"/>
    <cellStyle name="Normal 6 2 6 4 2 5" xfId="38896"/>
    <cellStyle name="Normal 6 2 6 4 2 5 2" xfId="38897"/>
    <cellStyle name="Normal 6 2 6 4 2 6" xfId="38898"/>
    <cellStyle name="Normal 6 2 6 4 3" xfId="38899"/>
    <cellStyle name="Normal 6 2 6 4 3 2" xfId="38900"/>
    <cellStyle name="Normal 6 2 6 4 3 2 2" xfId="38901"/>
    <cellStyle name="Normal 6 2 6 4 3 2 2 2" xfId="38902"/>
    <cellStyle name="Normal 6 2 6 4 3 2 2 2 2" xfId="38903"/>
    <cellStyle name="Normal 6 2 6 4 3 2 2 3" xfId="38904"/>
    <cellStyle name="Normal 6 2 6 4 3 2 3" xfId="38905"/>
    <cellStyle name="Normal 6 2 6 4 3 2 3 2" xfId="38906"/>
    <cellStyle name="Normal 6 2 6 4 3 2 4" xfId="38907"/>
    <cellStyle name="Normal 6 2 6 4 3 3" xfId="38908"/>
    <cellStyle name="Normal 6 2 6 4 3 3 2" xfId="38909"/>
    <cellStyle name="Normal 6 2 6 4 3 3 2 2" xfId="38910"/>
    <cellStyle name="Normal 6 2 6 4 3 3 3" xfId="38911"/>
    <cellStyle name="Normal 6 2 6 4 3 4" xfId="38912"/>
    <cellStyle name="Normal 6 2 6 4 3 4 2" xfId="38913"/>
    <cellStyle name="Normal 6 2 6 4 3 5" xfId="38914"/>
    <cellStyle name="Normal 6 2 6 4 3 5 2" xfId="38915"/>
    <cellStyle name="Normal 6 2 6 4 3 6" xfId="38916"/>
    <cellStyle name="Normal 6 2 6 4 4" xfId="38917"/>
    <cellStyle name="Normal 6 2 6 4 4 2" xfId="38918"/>
    <cellStyle name="Normal 6 2 6 4 4 2 2" xfId="38919"/>
    <cellStyle name="Normal 6 2 6 4 4 2 2 2" xfId="38920"/>
    <cellStyle name="Normal 6 2 6 4 4 2 3" xfId="38921"/>
    <cellStyle name="Normal 6 2 6 4 4 3" xfId="38922"/>
    <cellStyle name="Normal 6 2 6 4 4 3 2" xfId="38923"/>
    <cellStyle name="Normal 6 2 6 4 4 4" xfId="38924"/>
    <cellStyle name="Normal 6 2 6 4 5" xfId="38925"/>
    <cellStyle name="Normal 6 2 6 4 5 2" xfId="38926"/>
    <cellStyle name="Normal 6 2 6 4 5 2 2" xfId="38927"/>
    <cellStyle name="Normal 6 2 6 4 5 3" xfId="38928"/>
    <cellStyle name="Normal 6 2 6 4 6" xfId="38929"/>
    <cellStyle name="Normal 6 2 6 4 6 2" xfId="38930"/>
    <cellStyle name="Normal 6 2 6 4 7" xfId="38931"/>
    <cellStyle name="Normal 6 2 6 4 7 2" xfId="38932"/>
    <cellStyle name="Normal 6 2 6 4 8" xfId="38933"/>
    <cellStyle name="Normal 6 2 6 5" xfId="38934"/>
    <cellStyle name="Normal 6 2 6 5 2" xfId="38935"/>
    <cellStyle name="Normal 6 2 6 5 2 2" xfId="38936"/>
    <cellStyle name="Normal 6 2 6 5 2 2 2" xfId="38937"/>
    <cellStyle name="Normal 6 2 6 5 2 2 2 2" xfId="38938"/>
    <cellStyle name="Normal 6 2 6 5 2 2 3" xfId="38939"/>
    <cellStyle name="Normal 6 2 6 5 2 3" xfId="38940"/>
    <cellStyle name="Normal 6 2 6 5 2 3 2" xfId="38941"/>
    <cellStyle name="Normal 6 2 6 5 2 4" xfId="38942"/>
    <cellStyle name="Normal 6 2 6 5 3" xfId="38943"/>
    <cellStyle name="Normal 6 2 6 5 3 2" xfId="38944"/>
    <cellStyle name="Normal 6 2 6 5 3 2 2" xfId="38945"/>
    <cellStyle name="Normal 6 2 6 5 3 3" xfId="38946"/>
    <cellStyle name="Normal 6 2 6 5 4" xfId="38947"/>
    <cellStyle name="Normal 6 2 6 5 4 2" xfId="38948"/>
    <cellStyle name="Normal 6 2 6 5 5" xfId="38949"/>
    <cellStyle name="Normal 6 2 6 5 5 2" xfId="38950"/>
    <cellStyle name="Normal 6 2 6 5 6" xfId="38951"/>
    <cellStyle name="Normal 6 2 6 6" xfId="38952"/>
    <cellStyle name="Normal 6 2 6 6 2" xfId="38953"/>
    <cellStyle name="Normal 6 2 6 6 2 2" xfId="38954"/>
    <cellStyle name="Normal 6 2 6 6 2 2 2" xfId="38955"/>
    <cellStyle name="Normal 6 2 6 6 2 2 2 2" xfId="38956"/>
    <cellStyle name="Normal 6 2 6 6 2 2 3" xfId="38957"/>
    <cellStyle name="Normal 6 2 6 6 2 3" xfId="38958"/>
    <cellStyle name="Normal 6 2 6 6 2 3 2" xfId="38959"/>
    <cellStyle name="Normal 6 2 6 6 2 4" xfId="38960"/>
    <cellStyle name="Normal 6 2 6 6 3" xfId="38961"/>
    <cellStyle name="Normal 6 2 6 6 3 2" xfId="38962"/>
    <cellStyle name="Normal 6 2 6 6 3 2 2" xfId="38963"/>
    <cellStyle name="Normal 6 2 6 6 3 3" xfId="38964"/>
    <cellStyle name="Normal 6 2 6 6 4" xfId="38965"/>
    <cellStyle name="Normal 6 2 6 6 4 2" xfId="38966"/>
    <cellStyle name="Normal 6 2 6 6 5" xfId="38967"/>
    <cellStyle name="Normal 6 2 6 6 5 2" xfId="38968"/>
    <cellStyle name="Normal 6 2 6 6 6" xfId="38969"/>
    <cellStyle name="Normal 6 2 6 7" xfId="38970"/>
    <cellStyle name="Normal 6 2 6 7 2" xfId="38971"/>
    <cellStyle name="Normal 6 2 6 7 2 2" xfId="38972"/>
    <cellStyle name="Normal 6 2 6 7 2 2 2" xfId="38973"/>
    <cellStyle name="Normal 6 2 6 7 2 2 2 2" xfId="38974"/>
    <cellStyle name="Normal 6 2 6 7 2 2 3" xfId="38975"/>
    <cellStyle name="Normal 6 2 6 7 2 3" xfId="38976"/>
    <cellStyle name="Normal 6 2 6 7 2 3 2" xfId="38977"/>
    <cellStyle name="Normal 6 2 6 7 2 4" xfId="38978"/>
    <cellStyle name="Normal 6 2 6 7 3" xfId="38979"/>
    <cellStyle name="Normal 6 2 6 7 3 2" xfId="38980"/>
    <cellStyle name="Normal 6 2 6 7 3 2 2" xfId="38981"/>
    <cellStyle name="Normal 6 2 6 7 3 3" xfId="38982"/>
    <cellStyle name="Normal 6 2 6 7 4" xfId="38983"/>
    <cellStyle name="Normal 6 2 6 7 4 2" xfId="38984"/>
    <cellStyle name="Normal 6 2 6 7 5" xfId="38985"/>
    <cellStyle name="Normal 6 2 6 7 5 2" xfId="38986"/>
    <cellStyle name="Normal 6 2 6 7 6" xfId="38987"/>
    <cellStyle name="Normal 6 2 6 8" xfId="38988"/>
    <cellStyle name="Normal 6 2 6 8 2" xfId="38989"/>
    <cellStyle name="Normal 6 2 6 8 2 2" xfId="38990"/>
    <cellStyle name="Normal 6 2 6 8 2 2 2" xfId="38991"/>
    <cellStyle name="Normal 6 2 6 8 2 3" xfId="38992"/>
    <cellStyle name="Normal 6 2 6 8 3" xfId="38993"/>
    <cellStyle name="Normal 6 2 6 8 3 2" xfId="38994"/>
    <cellStyle name="Normal 6 2 6 8 4" xfId="38995"/>
    <cellStyle name="Normal 6 2 6 9" xfId="38996"/>
    <cellStyle name="Normal 6 2 6 9 2" xfId="38997"/>
    <cellStyle name="Normal 6 2 6 9 2 2" xfId="38998"/>
    <cellStyle name="Normal 6 2 6 9 3" xfId="38999"/>
    <cellStyle name="Normal 6 2 7" xfId="39000"/>
    <cellStyle name="Normal 6 2 8" xfId="39001"/>
    <cellStyle name="Normal 6 2 9" xfId="39002"/>
    <cellStyle name="Normal 6 2 9 2" xfId="39003"/>
    <cellStyle name="Normal 6 3" xfId="599"/>
    <cellStyle name="Normal 6 3 2" xfId="600"/>
    <cellStyle name="Normal 6 3 2 2" xfId="39004"/>
    <cellStyle name="Normal 6 3 2 2 2" xfId="39005"/>
    <cellStyle name="Normal 6 3 2 2 2 2" xfId="39006"/>
    <cellStyle name="Normal 6 3 2 2 2 2 2" xfId="39007"/>
    <cellStyle name="Normal 6 3 2 2 2 3" xfId="39008"/>
    <cellStyle name="Normal 6 3 2 2 2 4" xfId="39009"/>
    <cellStyle name="Normal 6 3 2 2 3" xfId="39010"/>
    <cellStyle name="Normal 6 3 2 2 3 2" xfId="39011"/>
    <cellStyle name="Normal 6 3 2 2 4" xfId="39012"/>
    <cellStyle name="Normal 6 3 2 2 5" xfId="39013"/>
    <cellStyle name="Normal 6 3 2 3" xfId="39014"/>
    <cellStyle name="Normal 6 3 2 3 2" xfId="39015"/>
    <cellStyle name="Normal 6 3 2 3 2 2" xfId="39016"/>
    <cellStyle name="Normal 6 3 2 3 3" xfId="39017"/>
    <cellStyle name="Normal 6 3 2 3 4" xfId="39018"/>
    <cellStyle name="Normal 6 3 2 4" xfId="39019"/>
    <cellStyle name="Normal 6 3 2 5" xfId="39020"/>
    <cellStyle name="Normal 6 3 2 5 2" xfId="39021"/>
    <cellStyle name="Normal 6 3 2 6" xfId="39022"/>
    <cellStyle name="Normal 6 3 2 7" xfId="39023"/>
    <cellStyle name="Normal 6 3 3" xfId="39024"/>
    <cellStyle name="Normal 6 3 3 10" xfId="39025"/>
    <cellStyle name="Normal 6 3 3 10 2" xfId="39026"/>
    <cellStyle name="Normal 6 3 3 11" xfId="39027"/>
    <cellStyle name="Normal 6 3 3 11 2" xfId="39028"/>
    <cellStyle name="Normal 6 3 3 12" xfId="39029"/>
    <cellStyle name="Normal 6 3 3 12 2" xfId="39030"/>
    <cellStyle name="Normal 6 3 3 13" xfId="39031"/>
    <cellStyle name="Normal 6 3 3 13 2" xfId="39032"/>
    <cellStyle name="Normal 6 3 3 14" xfId="39033"/>
    <cellStyle name="Normal 6 3 3 15" xfId="39034"/>
    <cellStyle name="Normal 6 3 3 2" xfId="39035"/>
    <cellStyle name="Normal 6 3 3 2 10" xfId="39036"/>
    <cellStyle name="Normal 6 3 3 2 10 2" xfId="39037"/>
    <cellStyle name="Normal 6 3 3 2 11" xfId="39038"/>
    <cellStyle name="Normal 6 3 3 2 11 2" xfId="39039"/>
    <cellStyle name="Normal 6 3 3 2 12" xfId="39040"/>
    <cellStyle name="Normal 6 3 3 2 12 2" xfId="39041"/>
    <cellStyle name="Normal 6 3 3 2 13" xfId="39042"/>
    <cellStyle name="Normal 6 3 3 2 14" xfId="39043"/>
    <cellStyle name="Normal 6 3 3 2 2" xfId="39044"/>
    <cellStyle name="Normal 6 3 3 2 2 10" xfId="39045"/>
    <cellStyle name="Normal 6 3 3 2 2 11" xfId="39046"/>
    <cellStyle name="Normal 6 3 3 2 2 2" xfId="39047"/>
    <cellStyle name="Normal 6 3 3 2 2 2 2" xfId="39048"/>
    <cellStyle name="Normal 6 3 3 2 2 2 2 2" xfId="39049"/>
    <cellStyle name="Normal 6 3 3 2 2 2 2 2 2" xfId="39050"/>
    <cellStyle name="Normal 6 3 3 2 2 2 2 2 2 2" xfId="39051"/>
    <cellStyle name="Normal 6 3 3 2 2 2 2 2 3" xfId="39052"/>
    <cellStyle name="Normal 6 3 3 2 2 2 2 3" xfId="39053"/>
    <cellStyle name="Normal 6 3 3 2 2 2 2 3 2" xfId="39054"/>
    <cellStyle name="Normal 6 3 3 2 2 2 2 4" xfId="39055"/>
    <cellStyle name="Normal 6 3 3 2 2 2 3" xfId="39056"/>
    <cellStyle name="Normal 6 3 3 2 2 2 3 2" xfId="39057"/>
    <cellStyle name="Normal 6 3 3 2 2 2 3 2 2" xfId="39058"/>
    <cellStyle name="Normal 6 3 3 2 2 2 3 3" xfId="39059"/>
    <cellStyle name="Normal 6 3 3 2 2 2 4" xfId="39060"/>
    <cellStyle name="Normal 6 3 3 2 2 2 4 2" xfId="39061"/>
    <cellStyle name="Normal 6 3 3 2 2 2 5" xfId="39062"/>
    <cellStyle name="Normal 6 3 3 2 2 2 5 2" xfId="39063"/>
    <cellStyle name="Normal 6 3 3 2 2 2 6" xfId="39064"/>
    <cellStyle name="Normal 6 3 3 2 2 3" xfId="39065"/>
    <cellStyle name="Normal 6 3 3 2 2 3 2" xfId="39066"/>
    <cellStyle name="Normal 6 3 3 2 2 3 2 2" xfId="39067"/>
    <cellStyle name="Normal 6 3 3 2 2 3 2 2 2" xfId="39068"/>
    <cellStyle name="Normal 6 3 3 2 2 3 2 2 2 2" xfId="39069"/>
    <cellStyle name="Normal 6 3 3 2 2 3 2 2 3" xfId="39070"/>
    <cellStyle name="Normal 6 3 3 2 2 3 2 3" xfId="39071"/>
    <cellStyle name="Normal 6 3 3 2 2 3 2 3 2" xfId="39072"/>
    <cellStyle name="Normal 6 3 3 2 2 3 2 4" xfId="39073"/>
    <cellStyle name="Normal 6 3 3 2 2 3 3" xfId="39074"/>
    <cellStyle name="Normal 6 3 3 2 2 3 3 2" xfId="39075"/>
    <cellStyle name="Normal 6 3 3 2 2 3 3 2 2" xfId="39076"/>
    <cellStyle name="Normal 6 3 3 2 2 3 3 3" xfId="39077"/>
    <cellStyle name="Normal 6 3 3 2 2 3 4" xfId="39078"/>
    <cellStyle name="Normal 6 3 3 2 2 3 4 2" xfId="39079"/>
    <cellStyle name="Normal 6 3 3 2 2 3 5" xfId="39080"/>
    <cellStyle name="Normal 6 3 3 2 2 3 5 2" xfId="39081"/>
    <cellStyle name="Normal 6 3 3 2 2 3 6" xfId="39082"/>
    <cellStyle name="Normal 6 3 3 2 2 4" xfId="39083"/>
    <cellStyle name="Normal 6 3 3 2 2 4 2" xfId="39084"/>
    <cellStyle name="Normal 6 3 3 2 2 4 2 2" xfId="39085"/>
    <cellStyle name="Normal 6 3 3 2 2 4 2 2 2" xfId="39086"/>
    <cellStyle name="Normal 6 3 3 2 2 4 2 3" xfId="39087"/>
    <cellStyle name="Normal 6 3 3 2 2 4 3" xfId="39088"/>
    <cellStyle name="Normal 6 3 3 2 2 4 3 2" xfId="39089"/>
    <cellStyle name="Normal 6 3 3 2 2 4 4" xfId="39090"/>
    <cellStyle name="Normal 6 3 3 2 2 5" xfId="39091"/>
    <cellStyle name="Normal 6 3 3 2 2 5 2" xfId="39092"/>
    <cellStyle name="Normal 6 3 3 2 2 5 2 2" xfId="39093"/>
    <cellStyle name="Normal 6 3 3 2 2 5 3" xfId="39094"/>
    <cellStyle name="Normal 6 3 3 2 2 6" xfId="39095"/>
    <cellStyle name="Normal 6 3 3 2 2 6 2" xfId="39096"/>
    <cellStyle name="Normal 6 3 3 2 2 7" xfId="39097"/>
    <cellStyle name="Normal 6 3 3 2 2 7 2" xfId="39098"/>
    <cellStyle name="Normal 6 3 3 2 2 8" xfId="39099"/>
    <cellStyle name="Normal 6 3 3 2 2 8 2" xfId="39100"/>
    <cellStyle name="Normal 6 3 3 2 2 9" xfId="39101"/>
    <cellStyle name="Normal 6 3 3 2 2 9 2" xfId="39102"/>
    <cellStyle name="Normal 6 3 3 2 3" xfId="39103"/>
    <cellStyle name="Normal 6 3 3 2 3 2" xfId="39104"/>
    <cellStyle name="Normal 6 3 3 2 3 2 2" xfId="39105"/>
    <cellStyle name="Normal 6 3 3 2 3 2 2 2" xfId="39106"/>
    <cellStyle name="Normal 6 3 3 2 3 2 2 2 2" xfId="39107"/>
    <cellStyle name="Normal 6 3 3 2 3 2 2 2 2 2" xfId="39108"/>
    <cellStyle name="Normal 6 3 3 2 3 2 2 2 3" xfId="39109"/>
    <cellStyle name="Normal 6 3 3 2 3 2 2 3" xfId="39110"/>
    <cellStyle name="Normal 6 3 3 2 3 2 2 3 2" xfId="39111"/>
    <cellStyle name="Normal 6 3 3 2 3 2 2 4" xfId="39112"/>
    <cellStyle name="Normal 6 3 3 2 3 2 3" xfId="39113"/>
    <cellStyle name="Normal 6 3 3 2 3 2 3 2" xfId="39114"/>
    <cellStyle name="Normal 6 3 3 2 3 2 3 2 2" xfId="39115"/>
    <cellStyle name="Normal 6 3 3 2 3 2 3 3" xfId="39116"/>
    <cellStyle name="Normal 6 3 3 2 3 2 4" xfId="39117"/>
    <cellStyle name="Normal 6 3 3 2 3 2 4 2" xfId="39118"/>
    <cellStyle name="Normal 6 3 3 2 3 2 5" xfId="39119"/>
    <cellStyle name="Normal 6 3 3 2 3 2 5 2" xfId="39120"/>
    <cellStyle name="Normal 6 3 3 2 3 2 6" xfId="39121"/>
    <cellStyle name="Normal 6 3 3 2 3 3" xfId="39122"/>
    <cellStyle name="Normal 6 3 3 2 3 3 2" xfId="39123"/>
    <cellStyle name="Normal 6 3 3 2 3 3 2 2" xfId="39124"/>
    <cellStyle name="Normal 6 3 3 2 3 3 2 2 2" xfId="39125"/>
    <cellStyle name="Normal 6 3 3 2 3 3 2 2 2 2" xfId="39126"/>
    <cellStyle name="Normal 6 3 3 2 3 3 2 2 3" xfId="39127"/>
    <cellStyle name="Normal 6 3 3 2 3 3 2 3" xfId="39128"/>
    <cellStyle name="Normal 6 3 3 2 3 3 2 3 2" xfId="39129"/>
    <cellStyle name="Normal 6 3 3 2 3 3 2 4" xfId="39130"/>
    <cellStyle name="Normal 6 3 3 2 3 3 3" xfId="39131"/>
    <cellStyle name="Normal 6 3 3 2 3 3 3 2" xfId="39132"/>
    <cellStyle name="Normal 6 3 3 2 3 3 3 2 2" xfId="39133"/>
    <cellStyle name="Normal 6 3 3 2 3 3 3 3" xfId="39134"/>
    <cellStyle name="Normal 6 3 3 2 3 3 4" xfId="39135"/>
    <cellStyle name="Normal 6 3 3 2 3 3 4 2" xfId="39136"/>
    <cellStyle name="Normal 6 3 3 2 3 3 5" xfId="39137"/>
    <cellStyle name="Normal 6 3 3 2 3 3 5 2" xfId="39138"/>
    <cellStyle name="Normal 6 3 3 2 3 3 6" xfId="39139"/>
    <cellStyle name="Normal 6 3 3 2 3 4" xfId="39140"/>
    <cellStyle name="Normal 6 3 3 2 3 4 2" xfId="39141"/>
    <cellStyle name="Normal 6 3 3 2 3 4 2 2" xfId="39142"/>
    <cellStyle name="Normal 6 3 3 2 3 4 2 2 2" xfId="39143"/>
    <cellStyle name="Normal 6 3 3 2 3 4 2 3" xfId="39144"/>
    <cellStyle name="Normal 6 3 3 2 3 4 3" xfId="39145"/>
    <cellStyle name="Normal 6 3 3 2 3 4 3 2" xfId="39146"/>
    <cellStyle name="Normal 6 3 3 2 3 4 4" xfId="39147"/>
    <cellStyle name="Normal 6 3 3 2 3 5" xfId="39148"/>
    <cellStyle name="Normal 6 3 3 2 3 5 2" xfId="39149"/>
    <cellStyle name="Normal 6 3 3 2 3 5 2 2" xfId="39150"/>
    <cellStyle name="Normal 6 3 3 2 3 5 3" xfId="39151"/>
    <cellStyle name="Normal 6 3 3 2 3 6" xfId="39152"/>
    <cellStyle name="Normal 6 3 3 2 3 6 2" xfId="39153"/>
    <cellStyle name="Normal 6 3 3 2 3 7" xfId="39154"/>
    <cellStyle name="Normal 6 3 3 2 3 7 2" xfId="39155"/>
    <cellStyle name="Normal 6 3 3 2 3 8" xfId="39156"/>
    <cellStyle name="Normal 6 3 3 2 4" xfId="39157"/>
    <cellStyle name="Normal 6 3 3 2 4 2" xfId="39158"/>
    <cellStyle name="Normal 6 3 3 2 4 2 2" xfId="39159"/>
    <cellStyle name="Normal 6 3 3 2 4 2 2 2" xfId="39160"/>
    <cellStyle name="Normal 6 3 3 2 4 2 2 2 2" xfId="39161"/>
    <cellStyle name="Normal 6 3 3 2 4 2 2 3" xfId="39162"/>
    <cellStyle name="Normal 6 3 3 2 4 2 3" xfId="39163"/>
    <cellStyle name="Normal 6 3 3 2 4 2 3 2" xfId="39164"/>
    <cellStyle name="Normal 6 3 3 2 4 2 4" xfId="39165"/>
    <cellStyle name="Normal 6 3 3 2 4 3" xfId="39166"/>
    <cellStyle name="Normal 6 3 3 2 4 3 2" xfId="39167"/>
    <cellStyle name="Normal 6 3 3 2 4 3 2 2" xfId="39168"/>
    <cellStyle name="Normal 6 3 3 2 4 3 3" xfId="39169"/>
    <cellStyle name="Normal 6 3 3 2 4 4" xfId="39170"/>
    <cellStyle name="Normal 6 3 3 2 4 4 2" xfId="39171"/>
    <cellStyle name="Normal 6 3 3 2 4 5" xfId="39172"/>
    <cellStyle name="Normal 6 3 3 2 4 5 2" xfId="39173"/>
    <cellStyle name="Normal 6 3 3 2 4 6" xfId="39174"/>
    <cellStyle name="Normal 6 3 3 2 5" xfId="39175"/>
    <cellStyle name="Normal 6 3 3 2 5 2" xfId="39176"/>
    <cellStyle name="Normal 6 3 3 2 5 2 2" xfId="39177"/>
    <cellStyle name="Normal 6 3 3 2 5 2 2 2" xfId="39178"/>
    <cellStyle name="Normal 6 3 3 2 5 2 2 2 2" xfId="39179"/>
    <cellStyle name="Normal 6 3 3 2 5 2 2 3" xfId="39180"/>
    <cellStyle name="Normal 6 3 3 2 5 2 3" xfId="39181"/>
    <cellStyle name="Normal 6 3 3 2 5 2 3 2" xfId="39182"/>
    <cellStyle name="Normal 6 3 3 2 5 2 4" xfId="39183"/>
    <cellStyle name="Normal 6 3 3 2 5 3" xfId="39184"/>
    <cellStyle name="Normal 6 3 3 2 5 3 2" xfId="39185"/>
    <cellStyle name="Normal 6 3 3 2 5 3 2 2" xfId="39186"/>
    <cellStyle name="Normal 6 3 3 2 5 3 3" xfId="39187"/>
    <cellStyle name="Normal 6 3 3 2 5 4" xfId="39188"/>
    <cellStyle name="Normal 6 3 3 2 5 4 2" xfId="39189"/>
    <cellStyle name="Normal 6 3 3 2 5 5" xfId="39190"/>
    <cellStyle name="Normal 6 3 3 2 5 5 2" xfId="39191"/>
    <cellStyle name="Normal 6 3 3 2 5 6" xfId="39192"/>
    <cellStyle name="Normal 6 3 3 2 6" xfId="39193"/>
    <cellStyle name="Normal 6 3 3 2 6 2" xfId="39194"/>
    <cellStyle name="Normal 6 3 3 2 6 2 2" xfId="39195"/>
    <cellStyle name="Normal 6 3 3 2 6 2 2 2" xfId="39196"/>
    <cellStyle name="Normal 6 3 3 2 6 2 2 2 2" xfId="39197"/>
    <cellStyle name="Normal 6 3 3 2 6 2 2 3" xfId="39198"/>
    <cellStyle name="Normal 6 3 3 2 6 2 3" xfId="39199"/>
    <cellStyle name="Normal 6 3 3 2 6 2 3 2" xfId="39200"/>
    <cellStyle name="Normal 6 3 3 2 6 2 4" xfId="39201"/>
    <cellStyle name="Normal 6 3 3 2 6 3" xfId="39202"/>
    <cellStyle name="Normal 6 3 3 2 6 3 2" xfId="39203"/>
    <cellStyle name="Normal 6 3 3 2 6 3 2 2" xfId="39204"/>
    <cellStyle name="Normal 6 3 3 2 6 3 3" xfId="39205"/>
    <cellStyle name="Normal 6 3 3 2 6 4" xfId="39206"/>
    <cellStyle name="Normal 6 3 3 2 6 4 2" xfId="39207"/>
    <cellStyle name="Normal 6 3 3 2 6 5" xfId="39208"/>
    <cellStyle name="Normal 6 3 3 2 6 5 2" xfId="39209"/>
    <cellStyle name="Normal 6 3 3 2 6 6" xfId="39210"/>
    <cellStyle name="Normal 6 3 3 2 7" xfId="39211"/>
    <cellStyle name="Normal 6 3 3 2 7 2" xfId="39212"/>
    <cellStyle name="Normal 6 3 3 2 7 2 2" xfId="39213"/>
    <cellStyle name="Normal 6 3 3 2 7 2 2 2" xfId="39214"/>
    <cellStyle name="Normal 6 3 3 2 7 2 3" xfId="39215"/>
    <cellStyle name="Normal 6 3 3 2 7 3" xfId="39216"/>
    <cellStyle name="Normal 6 3 3 2 7 3 2" xfId="39217"/>
    <cellStyle name="Normal 6 3 3 2 7 4" xfId="39218"/>
    <cellStyle name="Normal 6 3 3 2 8" xfId="39219"/>
    <cellStyle name="Normal 6 3 3 2 8 2" xfId="39220"/>
    <cellStyle name="Normal 6 3 3 2 8 2 2" xfId="39221"/>
    <cellStyle name="Normal 6 3 3 2 8 3" xfId="39222"/>
    <cellStyle name="Normal 6 3 3 2 9" xfId="39223"/>
    <cellStyle name="Normal 6 3 3 2 9 2" xfId="39224"/>
    <cellStyle name="Normal 6 3 3 3" xfId="39225"/>
    <cellStyle name="Normal 6 3 3 3 10" xfId="39226"/>
    <cellStyle name="Normal 6 3 3 3 11" xfId="39227"/>
    <cellStyle name="Normal 6 3 3 3 2" xfId="39228"/>
    <cellStyle name="Normal 6 3 3 3 2 2" xfId="39229"/>
    <cellStyle name="Normal 6 3 3 3 2 2 2" xfId="39230"/>
    <cellStyle name="Normal 6 3 3 3 2 2 2 2" xfId="39231"/>
    <cellStyle name="Normal 6 3 3 3 2 2 2 2 2" xfId="39232"/>
    <cellStyle name="Normal 6 3 3 3 2 2 2 3" xfId="39233"/>
    <cellStyle name="Normal 6 3 3 3 2 2 3" xfId="39234"/>
    <cellStyle name="Normal 6 3 3 3 2 2 3 2" xfId="39235"/>
    <cellStyle name="Normal 6 3 3 3 2 2 4" xfId="39236"/>
    <cellStyle name="Normal 6 3 3 3 2 3" xfId="39237"/>
    <cellStyle name="Normal 6 3 3 3 2 3 2" xfId="39238"/>
    <cellStyle name="Normal 6 3 3 3 2 3 2 2" xfId="39239"/>
    <cellStyle name="Normal 6 3 3 3 2 3 3" xfId="39240"/>
    <cellStyle name="Normal 6 3 3 3 2 4" xfId="39241"/>
    <cellStyle name="Normal 6 3 3 3 2 4 2" xfId="39242"/>
    <cellStyle name="Normal 6 3 3 3 2 5" xfId="39243"/>
    <cellStyle name="Normal 6 3 3 3 2 5 2" xfId="39244"/>
    <cellStyle name="Normal 6 3 3 3 2 6" xfId="39245"/>
    <cellStyle name="Normal 6 3 3 3 3" xfId="39246"/>
    <cellStyle name="Normal 6 3 3 3 3 2" xfId="39247"/>
    <cellStyle name="Normal 6 3 3 3 3 2 2" xfId="39248"/>
    <cellStyle name="Normal 6 3 3 3 3 2 2 2" xfId="39249"/>
    <cellStyle name="Normal 6 3 3 3 3 2 2 2 2" xfId="39250"/>
    <cellStyle name="Normal 6 3 3 3 3 2 2 3" xfId="39251"/>
    <cellStyle name="Normal 6 3 3 3 3 2 3" xfId="39252"/>
    <cellStyle name="Normal 6 3 3 3 3 2 3 2" xfId="39253"/>
    <cellStyle name="Normal 6 3 3 3 3 2 4" xfId="39254"/>
    <cellStyle name="Normal 6 3 3 3 3 3" xfId="39255"/>
    <cellStyle name="Normal 6 3 3 3 3 3 2" xfId="39256"/>
    <cellStyle name="Normal 6 3 3 3 3 3 2 2" xfId="39257"/>
    <cellStyle name="Normal 6 3 3 3 3 3 3" xfId="39258"/>
    <cellStyle name="Normal 6 3 3 3 3 4" xfId="39259"/>
    <cellStyle name="Normal 6 3 3 3 3 4 2" xfId="39260"/>
    <cellStyle name="Normal 6 3 3 3 3 5" xfId="39261"/>
    <cellStyle name="Normal 6 3 3 3 3 5 2" xfId="39262"/>
    <cellStyle name="Normal 6 3 3 3 3 6" xfId="39263"/>
    <cellStyle name="Normal 6 3 3 3 4" xfId="39264"/>
    <cellStyle name="Normal 6 3 3 3 4 2" xfId="39265"/>
    <cellStyle name="Normal 6 3 3 3 4 2 2" xfId="39266"/>
    <cellStyle name="Normal 6 3 3 3 4 2 2 2" xfId="39267"/>
    <cellStyle name="Normal 6 3 3 3 4 2 3" xfId="39268"/>
    <cellStyle name="Normal 6 3 3 3 4 3" xfId="39269"/>
    <cellStyle name="Normal 6 3 3 3 4 3 2" xfId="39270"/>
    <cellStyle name="Normal 6 3 3 3 4 4" xfId="39271"/>
    <cellStyle name="Normal 6 3 3 3 5" xfId="39272"/>
    <cellStyle name="Normal 6 3 3 3 5 2" xfId="39273"/>
    <cellStyle name="Normal 6 3 3 3 5 2 2" xfId="39274"/>
    <cellStyle name="Normal 6 3 3 3 5 3" xfId="39275"/>
    <cellStyle name="Normal 6 3 3 3 6" xfId="39276"/>
    <cellStyle name="Normal 6 3 3 3 6 2" xfId="39277"/>
    <cellStyle name="Normal 6 3 3 3 7" xfId="39278"/>
    <cellStyle name="Normal 6 3 3 3 7 2" xfId="39279"/>
    <cellStyle name="Normal 6 3 3 3 8" xfId="39280"/>
    <cellStyle name="Normal 6 3 3 3 8 2" xfId="39281"/>
    <cellStyle name="Normal 6 3 3 3 9" xfId="39282"/>
    <cellStyle name="Normal 6 3 3 3 9 2" xfId="39283"/>
    <cellStyle name="Normal 6 3 3 4" xfId="39284"/>
    <cellStyle name="Normal 6 3 3 4 2" xfId="39285"/>
    <cellStyle name="Normal 6 3 3 4 2 2" xfId="39286"/>
    <cellStyle name="Normal 6 3 3 4 2 2 2" xfId="39287"/>
    <cellStyle name="Normal 6 3 3 4 2 2 2 2" xfId="39288"/>
    <cellStyle name="Normal 6 3 3 4 2 2 2 2 2" xfId="39289"/>
    <cellStyle name="Normal 6 3 3 4 2 2 2 3" xfId="39290"/>
    <cellStyle name="Normal 6 3 3 4 2 2 3" xfId="39291"/>
    <cellStyle name="Normal 6 3 3 4 2 2 3 2" xfId="39292"/>
    <cellStyle name="Normal 6 3 3 4 2 2 4" xfId="39293"/>
    <cellStyle name="Normal 6 3 3 4 2 3" xfId="39294"/>
    <cellStyle name="Normal 6 3 3 4 2 3 2" xfId="39295"/>
    <cellStyle name="Normal 6 3 3 4 2 3 2 2" xfId="39296"/>
    <cellStyle name="Normal 6 3 3 4 2 3 3" xfId="39297"/>
    <cellStyle name="Normal 6 3 3 4 2 4" xfId="39298"/>
    <cellStyle name="Normal 6 3 3 4 2 4 2" xfId="39299"/>
    <cellStyle name="Normal 6 3 3 4 2 5" xfId="39300"/>
    <cellStyle name="Normal 6 3 3 4 2 5 2" xfId="39301"/>
    <cellStyle name="Normal 6 3 3 4 2 6" xfId="39302"/>
    <cellStyle name="Normal 6 3 3 4 3" xfId="39303"/>
    <cellStyle name="Normal 6 3 3 4 3 2" xfId="39304"/>
    <cellStyle name="Normal 6 3 3 4 3 2 2" xfId="39305"/>
    <cellStyle name="Normal 6 3 3 4 3 2 2 2" xfId="39306"/>
    <cellStyle name="Normal 6 3 3 4 3 2 2 2 2" xfId="39307"/>
    <cellStyle name="Normal 6 3 3 4 3 2 2 3" xfId="39308"/>
    <cellStyle name="Normal 6 3 3 4 3 2 3" xfId="39309"/>
    <cellStyle name="Normal 6 3 3 4 3 2 3 2" xfId="39310"/>
    <cellStyle name="Normal 6 3 3 4 3 2 4" xfId="39311"/>
    <cellStyle name="Normal 6 3 3 4 3 3" xfId="39312"/>
    <cellStyle name="Normal 6 3 3 4 3 3 2" xfId="39313"/>
    <cellStyle name="Normal 6 3 3 4 3 3 2 2" xfId="39314"/>
    <cellStyle name="Normal 6 3 3 4 3 3 3" xfId="39315"/>
    <cellStyle name="Normal 6 3 3 4 3 4" xfId="39316"/>
    <cellStyle name="Normal 6 3 3 4 3 4 2" xfId="39317"/>
    <cellStyle name="Normal 6 3 3 4 3 5" xfId="39318"/>
    <cellStyle name="Normal 6 3 3 4 3 5 2" xfId="39319"/>
    <cellStyle name="Normal 6 3 3 4 3 6" xfId="39320"/>
    <cellStyle name="Normal 6 3 3 4 4" xfId="39321"/>
    <cellStyle name="Normal 6 3 3 4 4 2" xfId="39322"/>
    <cellStyle name="Normal 6 3 3 4 4 2 2" xfId="39323"/>
    <cellStyle name="Normal 6 3 3 4 4 2 2 2" xfId="39324"/>
    <cellStyle name="Normal 6 3 3 4 4 2 3" xfId="39325"/>
    <cellStyle name="Normal 6 3 3 4 4 3" xfId="39326"/>
    <cellStyle name="Normal 6 3 3 4 4 3 2" xfId="39327"/>
    <cellStyle name="Normal 6 3 3 4 4 4" xfId="39328"/>
    <cellStyle name="Normal 6 3 3 4 5" xfId="39329"/>
    <cellStyle name="Normal 6 3 3 4 5 2" xfId="39330"/>
    <cellStyle name="Normal 6 3 3 4 5 2 2" xfId="39331"/>
    <cellStyle name="Normal 6 3 3 4 5 3" xfId="39332"/>
    <cellStyle name="Normal 6 3 3 4 6" xfId="39333"/>
    <cellStyle name="Normal 6 3 3 4 6 2" xfId="39334"/>
    <cellStyle name="Normal 6 3 3 4 7" xfId="39335"/>
    <cellStyle name="Normal 6 3 3 4 7 2" xfId="39336"/>
    <cellStyle name="Normal 6 3 3 4 8" xfId="39337"/>
    <cellStyle name="Normal 6 3 3 5" xfId="39338"/>
    <cellStyle name="Normal 6 3 3 5 2" xfId="39339"/>
    <cellStyle name="Normal 6 3 3 5 2 2" xfId="39340"/>
    <cellStyle name="Normal 6 3 3 5 2 2 2" xfId="39341"/>
    <cellStyle name="Normal 6 3 3 5 2 2 2 2" xfId="39342"/>
    <cellStyle name="Normal 6 3 3 5 2 2 3" xfId="39343"/>
    <cellStyle name="Normal 6 3 3 5 2 3" xfId="39344"/>
    <cellStyle name="Normal 6 3 3 5 2 3 2" xfId="39345"/>
    <cellStyle name="Normal 6 3 3 5 2 4" xfId="39346"/>
    <cellStyle name="Normal 6 3 3 5 3" xfId="39347"/>
    <cellStyle name="Normal 6 3 3 5 3 2" xfId="39348"/>
    <cellStyle name="Normal 6 3 3 5 3 2 2" xfId="39349"/>
    <cellStyle name="Normal 6 3 3 5 3 3" xfId="39350"/>
    <cellStyle name="Normal 6 3 3 5 4" xfId="39351"/>
    <cellStyle name="Normal 6 3 3 5 4 2" xfId="39352"/>
    <cellStyle name="Normal 6 3 3 5 5" xfId="39353"/>
    <cellStyle name="Normal 6 3 3 5 5 2" xfId="39354"/>
    <cellStyle name="Normal 6 3 3 5 6" xfId="39355"/>
    <cellStyle name="Normal 6 3 3 6" xfId="39356"/>
    <cellStyle name="Normal 6 3 3 6 2" xfId="39357"/>
    <cellStyle name="Normal 6 3 3 6 2 2" xfId="39358"/>
    <cellStyle name="Normal 6 3 3 6 2 2 2" xfId="39359"/>
    <cellStyle name="Normal 6 3 3 6 2 2 2 2" xfId="39360"/>
    <cellStyle name="Normal 6 3 3 6 2 2 3" xfId="39361"/>
    <cellStyle name="Normal 6 3 3 6 2 3" xfId="39362"/>
    <cellStyle name="Normal 6 3 3 6 2 3 2" xfId="39363"/>
    <cellStyle name="Normal 6 3 3 6 2 4" xfId="39364"/>
    <cellStyle name="Normal 6 3 3 6 3" xfId="39365"/>
    <cellStyle name="Normal 6 3 3 6 3 2" xfId="39366"/>
    <cellStyle name="Normal 6 3 3 6 3 2 2" xfId="39367"/>
    <cellStyle name="Normal 6 3 3 6 3 3" xfId="39368"/>
    <cellStyle name="Normal 6 3 3 6 4" xfId="39369"/>
    <cellStyle name="Normal 6 3 3 6 4 2" xfId="39370"/>
    <cellStyle name="Normal 6 3 3 6 5" xfId="39371"/>
    <cellStyle name="Normal 6 3 3 6 5 2" xfId="39372"/>
    <cellStyle name="Normal 6 3 3 6 6" xfId="39373"/>
    <cellStyle name="Normal 6 3 3 7" xfId="39374"/>
    <cellStyle name="Normal 6 3 3 7 2" xfId="39375"/>
    <cellStyle name="Normal 6 3 3 7 2 2" xfId="39376"/>
    <cellStyle name="Normal 6 3 3 7 2 2 2" xfId="39377"/>
    <cellStyle name="Normal 6 3 3 7 2 2 2 2" xfId="39378"/>
    <cellStyle name="Normal 6 3 3 7 2 2 3" xfId="39379"/>
    <cellStyle name="Normal 6 3 3 7 2 3" xfId="39380"/>
    <cellStyle name="Normal 6 3 3 7 2 3 2" xfId="39381"/>
    <cellStyle name="Normal 6 3 3 7 2 4" xfId="39382"/>
    <cellStyle name="Normal 6 3 3 7 3" xfId="39383"/>
    <cellStyle name="Normal 6 3 3 7 3 2" xfId="39384"/>
    <cellStyle name="Normal 6 3 3 7 3 2 2" xfId="39385"/>
    <cellStyle name="Normal 6 3 3 7 3 3" xfId="39386"/>
    <cellStyle name="Normal 6 3 3 7 4" xfId="39387"/>
    <cellStyle name="Normal 6 3 3 7 4 2" xfId="39388"/>
    <cellStyle name="Normal 6 3 3 7 5" xfId="39389"/>
    <cellStyle name="Normal 6 3 3 7 5 2" xfId="39390"/>
    <cellStyle name="Normal 6 3 3 7 6" xfId="39391"/>
    <cellStyle name="Normal 6 3 3 8" xfId="39392"/>
    <cellStyle name="Normal 6 3 3 8 2" xfId="39393"/>
    <cellStyle name="Normal 6 3 3 8 2 2" xfId="39394"/>
    <cellStyle name="Normal 6 3 3 8 2 2 2" xfId="39395"/>
    <cellStyle name="Normal 6 3 3 8 2 3" xfId="39396"/>
    <cellStyle name="Normal 6 3 3 8 3" xfId="39397"/>
    <cellStyle name="Normal 6 3 3 8 3 2" xfId="39398"/>
    <cellStyle name="Normal 6 3 3 8 4" xfId="39399"/>
    <cellStyle name="Normal 6 3 3 9" xfId="39400"/>
    <cellStyle name="Normal 6 3 3 9 2" xfId="39401"/>
    <cellStyle name="Normal 6 3 3 9 2 2" xfId="39402"/>
    <cellStyle name="Normal 6 3 3 9 3" xfId="39403"/>
    <cellStyle name="Normal 6 3 4" xfId="39404"/>
    <cellStyle name="Normal 6 3 4 2" xfId="39405"/>
    <cellStyle name="Normal 6 3 4 2 2" xfId="39406"/>
    <cellStyle name="Normal 6 3 4 2 2 2" xfId="39407"/>
    <cellStyle name="Normal 6 3 4 2 3" xfId="39408"/>
    <cellStyle name="Normal 6 3 4 2 4" xfId="39409"/>
    <cellStyle name="Normal 6 3 4 3" xfId="39410"/>
    <cellStyle name="Normal 6 3 4 3 2" xfId="39411"/>
    <cellStyle name="Normal 6 3 4 4" xfId="39412"/>
    <cellStyle name="Normal 6 3 4 5" xfId="39413"/>
    <cellStyle name="Normal 6 3 5" xfId="39414"/>
    <cellStyle name="Normal 6 3 5 2" xfId="39415"/>
    <cellStyle name="Normal 6 3 5 2 2" xfId="39416"/>
    <cellStyle name="Normal 6 3 5 3" xfId="39417"/>
    <cellStyle name="Normal 6 3 5 4" xfId="39418"/>
    <cellStyle name="Normal 6 3 6" xfId="39419"/>
    <cellStyle name="Normal 6 3 7" xfId="39420"/>
    <cellStyle name="Normal 6 3 7 2" xfId="39421"/>
    <cellStyle name="Normal 6 3 8" xfId="39422"/>
    <cellStyle name="Normal 6 3 9" xfId="39423"/>
    <cellStyle name="Normal 6 4" xfId="601"/>
    <cellStyle name="Normal 6 4 2" xfId="39424"/>
    <cellStyle name="Normal 6 4 2 2" xfId="39425"/>
    <cellStyle name="Normal 6 4 2 2 2" xfId="39426"/>
    <cellStyle name="Normal 6 4 2 2 3" xfId="39427"/>
    <cellStyle name="Normal 6 4 2 2 3 2" xfId="39428"/>
    <cellStyle name="Normal 6 4 2 2 4" xfId="39429"/>
    <cellStyle name="Normal 6 4 2 2 5" xfId="39430"/>
    <cellStyle name="Normal 6 4 2 3" xfId="39431"/>
    <cellStyle name="Normal 6 4 2 4" xfId="39432"/>
    <cellStyle name="Normal 6 4 2 5" xfId="39433"/>
    <cellStyle name="Normal 6 4 2 5 2" xfId="39434"/>
    <cellStyle name="Normal 6 4 2 6" xfId="39435"/>
    <cellStyle name="Normal 6 4 2 7" xfId="39436"/>
    <cellStyle name="Normal 6 4 3" xfId="39437"/>
    <cellStyle name="Normal 6 4 3 2" xfId="39438"/>
    <cellStyle name="Normal 6 4 3 3" xfId="39439"/>
    <cellStyle name="Normal 6 4 3 4" xfId="39440"/>
    <cellStyle name="Normal 6 4 3 4 2" xfId="39441"/>
    <cellStyle name="Normal 6 4 3 5" xfId="39442"/>
    <cellStyle name="Normal 6 4 3 6" xfId="39443"/>
    <cellStyle name="Normal 6 4 4" xfId="39444"/>
    <cellStyle name="Normal 6 4 4 2" xfId="39445"/>
    <cellStyle name="Normal 6 4 5" xfId="39446"/>
    <cellStyle name="Normal 6 4 6" xfId="39447"/>
    <cellStyle name="Normal 6 4 7" xfId="39448"/>
    <cellStyle name="Normal 6 4 7 2" xfId="39449"/>
    <cellStyle name="Normal 6 4 8" xfId="39450"/>
    <cellStyle name="Normal 6 4 9" xfId="39451"/>
    <cellStyle name="Normal 6 5" xfId="39452"/>
    <cellStyle name="Normal 6 5 2" xfId="39453"/>
    <cellStyle name="Normal 6 5 2 2" xfId="39454"/>
    <cellStyle name="Normal 6 5 2 2 2" xfId="39455"/>
    <cellStyle name="Normal 6 5 2 2 2 2" xfId="39456"/>
    <cellStyle name="Normal 6 5 2 2 3" xfId="39457"/>
    <cellStyle name="Normal 6 5 2 2 4" xfId="39458"/>
    <cellStyle name="Normal 6 5 2 3" xfId="39459"/>
    <cellStyle name="Normal 6 5 2 4" xfId="39460"/>
    <cellStyle name="Normal 6 5 2 4 2" xfId="39461"/>
    <cellStyle name="Normal 6 5 2 5" xfId="39462"/>
    <cellStyle name="Normal 6 5 2 6" xfId="39463"/>
    <cellStyle name="Normal 6 5 3" xfId="39464"/>
    <cellStyle name="Normal 6 5 3 2" xfId="39465"/>
    <cellStyle name="Normal 6 5 3 2 2" xfId="39466"/>
    <cellStyle name="Normal 6 5 3 3" xfId="39467"/>
    <cellStyle name="Normal 6 5 3 4" xfId="39468"/>
    <cellStyle name="Normal 6 5 4" xfId="39469"/>
    <cellStyle name="Normal 6 5 5" xfId="39470"/>
    <cellStyle name="Normal 6 5 5 2" xfId="39471"/>
    <cellStyle name="Normal 6 5 6" xfId="39472"/>
    <cellStyle name="Normal 6 5 7" xfId="39473"/>
    <cellStyle name="Normal 6 6" xfId="39474"/>
    <cellStyle name="Normal 6 6 10" xfId="39475"/>
    <cellStyle name="Normal 6 6 10 2" xfId="39476"/>
    <cellStyle name="Normal 6 6 11" xfId="39477"/>
    <cellStyle name="Normal 6 6 11 2" xfId="39478"/>
    <cellStyle name="Normal 6 6 12" xfId="39479"/>
    <cellStyle name="Normal 6 6 12 2" xfId="39480"/>
    <cellStyle name="Normal 6 6 13" xfId="39481"/>
    <cellStyle name="Normal 6 6 13 2" xfId="39482"/>
    <cellStyle name="Normal 6 6 14" xfId="39483"/>
    <cellStyle name="Normal 6 6 15" xfId="39484"/>
    <cellStyle name="Normal 6 6 2" xfId="39485"/>
    <cellStyle name="Normal 6 6 2 10" xfId="39486"/>
    <cellStyle name="Normal 6 6 2 10 2" xfId="39487"/>
    <cellStyle name="Normal 6 6 2 11" xfId="39488"/>
    <cellStyle name="Normal 6 6 2 11 2" xfId="39489"/>
    <cellStyle name="Normal 6 6 2 12" xfId="39490"/>
    <cellStyle name="Normal 6 6 2 12 2" xfId="39491"/>
    <cellStyle name="Normal 6 6 2 13" xfId="39492"/>
    <cellStyle name="Normal 6 6 2 14" xfId="39493"/>
    <cellStyle name="Normal 6 6 2 2" xfId="39494"/>
    <cellStyle name="Normal 6 6 2 2 2" xfId="39495"/>
    <cellStyle name="Normal 6 6 2 2 2 2" xfId="39496"/>
    <cellStyle name="Normal 6 6 2 2 2 2 2" xfId="39497"/>
    <cellStyle name="Normal 6 6 2 2 2 2 2 2" xfId="39498"/>
    <cellStyle name="Normal 6 6 2 2 2 2 2 2 2" xfId="39499"/>
    <cellStyle name="Normal 6 6 2 2 2 2 2 3" xfId="39500"/>
    <cellStyle name="Normal 6 6 2 2 2 2 3" xfId="39501"/>
    <cellStyle name="Normal 6 6 2 2 2 2 3 2" xfId="39502"/>
    <cellStyle name="Normal 6 6 2 2 2 2 4" xfId="39503"/>
    <cellStyle name="Normal 6 6 2 2 2 3" xfId="39504"/>
    <cellStyle name="Normal 6 6 2 2 2 3 2" xfId="39505"/>
    <cellStyle name="Normal 6 6 2 2 2 3 2 2" xfId="39506"/>
    <cellStyle name="Normal 6 6 2 2 2 3 3" xfId="39507"/>
    <cellStyle name="Normal 6 6 2 2 2 4" xfId="39508"/>
    <cellStyle name="Normal 6 6 2 2 2 4 2" xfId="39509"/>
    <cellStyle name="Normal 6 6 2 2 2 5" xfId="39510"/>
    <cellStyle name="Normal 6 6 2 2 2 5 2" xfId="39511"/>
    <cellStyle name="Normal 6 6 2 2 2 6" xfId="39512"/>
    <cellStyle name="Normal 6 6 2 2 3" xfId="39513"/>
    <cellStyle name="Normal 6 6 2 2 3 2" xfId="39514"/>
    <cellStyle name="Normal 6 6 2 2 3 2 2" xfId="39515"/>
    <cellStyle name="Normal 6 6 2 2 3 2 2 2" xfId="39516"/>
    <cellStyle name="Normal 6 6 2 2 3 2 2 2 2" xfId="39517"/>
    <cellStyle name="Normal 6 6 2 2 3 2 2 3" xfId="39518"/>
    <cellStyle name="Normal 6 6 2 2 3 2 3" xfId="39519"/>
    <cellStyle name="Normal 6 6 2 2 3 2 3 2" xfId="39520"/>
    <cellStyle name="Normal 6 6 2 2 3 2 4" xfId="39521"/>
    <cellStyle name="Normal 6 6 2 2 3 3" xfId="39522"/>
    <cellStyle name="Normal 6 6 2 2 3 3 2" xfId="39523"/>
    <cellStyle name="Normal 6 6 2 2 3 3 2 2" xfId="39524"/>
    <cellStyle name="Normal 6 6 2 2 3 3 3" xfId="39525"/>
    <cellStyle name="Normal 6 6 2 2 3 4" xfId="39526"/>
    <cellStyle name="Normal 6 6 2 2 3 4 2" xfId="39527"/>
    <cellStyle name="Normal 6 6 2 2 3 5" xfId="39528"/>
    <cellStyle name="Normal 6 6 2 2 3 5 2" xfId="39529"/>
    <cellStyle name="Normal 6 6 2 2 3 6" xfId="39530"/>
    <cellStyle name="Normal 6 6 2 2 4" xfId="39531"/>
    <cellStyle name="Normal 6 6 2 2 4 2" xfId="39532"/>
    <cellStyle name="Normal 6 6 2 2 4 2 2" xfId="39533"/>
    <cellStyle name="Normal 6 6 2 2 4 2 2 2" xfId="39534"/>
    <cellStyle name="Normal 6 6 2 2 4 2 3" xfId="39535"/>
    <cellStyle name="Normal 6 6 2 2 4 3" xfId="39536"/>
    <cellStyle name="Normal 6 6 2 2 4 3 2" xfId="39537"/>
    <cellStyle name="Normal 6 6 2 2 4 4" xfId="39538"/>
    <cellStyle name="Normal 6 6 2 2 5" xfId="39539"/>
    <cellStyle name="Normal 6 6 2 2 5 2" xfId="39540"/>
    <cellStyle name="Normal 6 6 2 2 5 2 2" xfId="39541"/>
    <cellStyle name="Normal 6 6 2 2 5 3" xfId="39542"/>
    <cellStyle name="Normal 6 6 2 2 6" xfId="39543"/>
    <cellStyle name="Normal 6 6 2 2 6 2" xfId="39544"/>
    <cellStyle name="Normal 6 6 2 2 7" xfId="39545"/>
    <cellStyle name="Normal 6 6 2 2 7 2" xfId="39546"/>
    <cellStyle name="Normal 6 6 2 2 8" xfId="39547"/>
    <cellStyle name="Normal 6 6 2 3" xfId="39548"/>
    <cellStyle name="Normal 6 6 2 3 2" xfId="39549"/>
    <cellStyle name="Normal 6 6 2 3 2 2" xfId="39550"/>
    <cellStyle name="Normal 6 6 2 3 2 2 2" xfId="39551"/>
    <cellStyle name="Normal 6 6 2 3 2 2 2 2" xfId="39552"/>
    <cellStyle name="Normal 6 6 2 3 2 2 2 2 2" xfId="39553"/>
    <cellStyle name="Normal 6 6 2 3 2 2 2 3" xfId="39554"/>
    <cellStyle name="Normal 6 6 2 3 2 2 3" xfId="39555"/>
    <cellStyle name="Normal 6 6 2 3 2 2 3 2" xfId="39556"/>
    <cellStyle name="Normal 6 6 2 3 2 2 4" xfId="39557"/>
    <cellStyle name="Normal 6 6 2 3 2 3" xfId="39558"/>
    <cellStyle name="Normal 6 6 2 3 2 3 2" xfId="39559"/>
    <cellStyle name="Normal 6 6 2 3 2 3 2 2" xfId="39560"/>
    <cellStyle name="Normal 6 6 2 3 2 3 3" xfId="39561"/>
    <cellStyle name="Normal 6 6 2 3 2 4" xfId="39562"/>
    <cellStyle name="Normal 6 6 2 3 2 4 2" xfId="39563"/>
    <cellStyle name="Normal 6 6 2 3 2 5" xfId="39564"/>
    <cellStyle name="Normal 6 6 2 3 2 5 2" xfId="39565"/>
    <cellStyle name="Normal 6 6 2 3 2 6" xfId="39566"/>
    <cellStyle name="Normal 6 6 2 3 3" xfId="39567"/>
    <cellStyle name="Normal 6 6 2 3 3 2" xfId="39568"/>
    <cellStyle name="Normal 6 6 2 3 3 2 2" xfId="39569"/>
    <cellStyle name="Normal 6 6 2 3 3 2 2 2" xfId="39570"/>
    <cellStyle name="Normal 6 6 2 3 3 2 2 2 2" xfId="39571"/>
    <cellStyle name="Normal 6 6 2 3 3 2 2 3" xfId="39572"/>
    <cellStyle name="Normal 6 6 2 3 3 2 3" xfId="39573"/>
    <cellStyle name="Normal 6 6 2 3 3 2 3 2" xfId="39574"/>
    <cellStyle name="Normal 6 6 2 3 3 2 4" xfId="39575"/>
    <cellStyle name="Normal 6 6 2 3 3 3" xfId="39576"/>
    <cellStyle name="Normal 6 6 2 3 3 3 2" xfId="39577"/>
    <cellStyle name="Normal 6 6 2 3 3 3 2 2" xfId="39578"/>
    <cellStyle name="Normal 6 6 2 3 3 3 3" xfId="39579"/>
    <cellStyle name="Normal 6 6 2 3 3 4" xfId="39580"/>
    <cellStyle name="Normal 6 6 2 3 3 4 2" xfId="39581"/>
    <cellStyle name="Normal 6 6 2 3 3 5" xfId="39582"/>
    <cellStyle name="Normal 6 6 2 3 3 5 2" xfId="39583"/>
    <cellStyle name="Normal 6 6 2 3 3 6" xfId="39584"/>
    <cellStyle name="Normal 6 6 2 3 4" xfId="39585"/>
    <cellStyle name="Normal 6 6 2 3 4 2" xfId="39586"/>
    <cellStyle name="Normal 6 6 2 3 4 2 2" xfId="39587"/>
    <cellStyle name="Normal 6 6 2 3 4 2 2 2" xfId="39588"/>
    <cellStyle name="Normal 6 6 2 3 4 2 3" xfId="39589"/>
    <cellStyle name="Normal 6 6 2 3 4 3" xfId="39590"/>
    <cellStyle name="Normal 6 6 2 3 4 3 2" xfId="39591"/>
    <cellStyle name="Normal 6 6 2 3 4 4" xfId="39592"/>
    <cellStyle name="Normal 6 6 2 3 5" xfId="39593"/>
    <cellStyle name="Normal 6 6 2 3 5 2" xfId="39594"/>
    <cellStyle name="Normal 6 6 2 3 5 2 2" xfId="39595"/>
    <cellStyle name="Normal 6 6 2 3 5 3" xfId="39596"/>
    <cellStyle name="Normal 6 6 2 3 6" xfId="39597"/>
    <cellStyle name="Normal 6 6 2 3 6 2" xfId="39598"/>
    <cellStyle name="Normal 6 6 2 3 7" xfId="39599"/>
    <cellStyle name="Normal 6 6 2 3 7 2" xfId="39600"/>
    <cellStyle name="Normal 6 6 2 3 8" xfId="39601"/>
    <cellStyle name="Normal 6 6 2 4" xfId="39602"/>
    <cellStyle name="Normal 6 6 2 4 2" xfId="39603"/>
    <cellStyle name="Normal 6 6 2 4 2 2" xfId="39604"/>
    <cellStyle name="Normal 6 6 2 4 2 2 2" xfId="39605"/>
    <cellStyle name="Normal 6 6 2 4 2 2 2 2" xfId="39606"/>
    <cellStyle name="Normal 6 6 2 4 2 2 3" xfId="39607"/>
    <cellStyle name="Normal 6 6 2 4 2 3" xfId="39608"/>
    <cellStyle name="Normal 6 6 2 4 2 3 2" xfId="39609"/>
    <cellStyle name="Normal 6 6 2 4 2 4" xfId="39610"/>
    <cellStyle name="Normal 6 6 2 4 3" xfId="39611"/>
    <cellStyle name="Normal 6 6 2 4 3 2" xfId="39612"/>
    <cellStyle name="Normal 6 6 2 4 3 2 2" xfId="39613"/>
    <cellStyle name="Normal 6 6 2 4 3 3" xfId="39614"/>
    <cellStyle name="Normal 6 6 2 4 4" xfId="39615"/>
    <cellStyle name="Normal 6 6 2 4 4 2" xfId="39616"/>
    <cellStyle name="Normal 6 6 2 4 5" xfId="39617"/>
    <cellStyle name="Normal 6 6 2 4 5 2" xfId="39618"/>
    <cellStyle name="Normal 6 6 2 4 6" xfId="39619"/>
    <cellStyle name="Normal 6 6 2 5" xfId="39620"/>
    <cellStyle name="Normal 6 6 2 5 2" xfId="39621"/>
    <cellStyle name="Normal 6 6 2 5 2 2" xfId="39622"/>
    <cellStyle name="Normal 6 6 2 5 2 2 2" xfId="39623"/>
    <cellStyle name="Normal 6 6 2 5 2 2 2 2" xfId="39624"/>
    <cellStyle name="Normal 6 6 2 5 2 2 3" xfId="39625"/>
    <cellStyle name="Normal 6 6 2 5 2 3" xfId="39626"/>
    <cellStyle name="Normal 6 6 2 5 2 3 2" xfId="39627"/>
    <cellStyle name="Normal 6 6 2 5 2 4" xfId="39628"/>
    <cellStyle name="Normal 6 6 2 5 3" xfId="39629"/>
    <cellStyle name="Normal 6 6 2 5 3 2" xfId="39630"/>
    <cellStyle name="Normal 6 6 2 5 3 2 2" xfId="39631"/>
    <cellStyle name="Normal 6 6 2 5 3 3" xfId="39632"/>
    <cellStyle name="Normal 6 6 2 5 4" xfId="39633"/>
    <cellStyle name="Normal 6 6 2 5 4 2" xfId="39634"/>
    <cellStyle name="Normal 6 6 2 5 5" xfId="39635"/>
    <cellStyle name="Normal 6 6 2 5 5 2" xfId="39636"/>
    <cellStyle name="Normal 6 6 2 5 6" xfId="39637"/>
    <cellStyle name="Normal 6 6 2 6" xfId="39638"/>
    <cellStyle name="Normal 6 6 2 6 2" xfId="39639"/>
    <cellStyle name="Normal 6 6 2 6 2 2" xfId="39640"/>
    <cellStyle name="Normal 6 6 2 6 2 2 2" xfId="39641"/>
    <cellStyle name="Normal 6 6 2 6 2 2 2 2" xfId="39642"/>
    <cellStyle name="Normal 6 6 2 6 2 2 3" xfId="39643"/>
    <cellStyle name="Normal 6 6 2 6 2 3" xfId="39644"/>
    <cellStyle name="Normal 6 6 2 6 2 3 2" xfId="39645"/>
    <cellStyle name="Normal 6 6 2 6 2 4" xfId="39646"/>
    <cellStyle name="Normal 6 6 2 6 3" xfId="39647"/>
    <cellStyle name="Normal 6 6 2 6 3 2" xfId="39648"/>
    <cellStyle name="Normal 6 6 2 6 3 2 2" xfId="39649"/>
    <cellStyle name="Normal 6 6 2 6 3 3" xfId="39650"/>
    <cellStyle name="Normal 6 6 2 6 4" xfId="39651"/>
    <cellStyle name="Normal 6 6 2 6 4 2" xfId="39652"/>
    <cellStyle name="Normal 6 6 2 6 5" xfId="39653"/>
    <cellStyle name="Normal 6 6 2 6 5 2" xfId="39654"/>
    <cellStyle name="Normal 6 6 2 6 6" xfId="39655"/>
    <cellStyle name="Normal 6 6 2 7" xfId="39656"/>
    <cellStyle name="Normal 6 6 2 7 2" xfId="39657"/>
    <cellStyle name="Normal 6 6 2 7 2 2" xfId="39658"/>
    <cellStyle name="Normal 6 6 2 7 2 2 2" xfId="39659"/>
    <cellStyle name="Normal 6 6 2 7 2 3" xfId="39660"/>
    <cellStyle name="Normal 6 6 2 7 3" xfId="39661"/>
    <cellStyle name="Normal 6 6 2 7 3 2" xfId="39662"/>
    <cellStyle name="Normal 6 6 2 7 4" xfId="39663"/>
    <cellStyle name="Normal 6 6 2 8" xfId="39664"/>
    <cellStyle name="Normal 6 6 2 8 2" xfId="39665"/>
    <cellStyle name="Normal 6 6 2 8 2 2" xfId="39666"/>
    <cellStyle name="Normal 6 6 2 8 3" xfId="39667"/>
    <cellStyle name="Normal 6 6 2 9" xfId="39668"/>
    <cellStyle name="Normal 6 6 2 9 2" xfId="39669"/>
    <cellStyle name="Normal 6 6 3" xfId="39670"/>
    <cellStyle name="Normal 6 6 3 2" xfId="39671"/>
    <cellStyle name="Normal 6 6 3 2 2" xfId="39672"/>
    <cellStyle name="Normal 6 6 3 2 2 2" xfId="39673"/>
    <cellStyle name="Normal 6 6 3 2 2 2 2" xfId="39674"/>
    <cellStyle name="Normal 6 6 3 2 2 2 2 2" xfId="39675"/>
    <cellStyle name="Normal 6 6 3 2 2 2 3" xfId="39676"/>
    <cellStyle name="Normal 6 6 3 2 2 3" xfId="39677"/>
    <cellStyle name="Normal 6 6 3 2 2 3 2" xfId="39678"/>
    <cellStyle name="Normal 6 6 3 2 2 4" xfId="39679"/>
    <cellStyle name="Normal 6 6 3 2 3" xfId="39680"/>
    <cellStyle name="Normal 6 6 3 2 3 2" xfId="39681"/>
    <cellStyle name="Normal 6 6 3 2 3 2 2" xfId="39682"/>
    <cellStyle name="Normal 6 6 3 2 3 3" xfId="39683"/>
    <cellStyle name="Normal 6 6 3 2 4" xfId="39684"/>
    <cellStyle name="Normal 6 6 3 2 4 2" xfId="39685"/>
    <cellStyle name="Normal 6 6 3 2 5" xfId="39686"/>
    <cellStyle name="Normal 6 6 3 2 5 2" xfId="39687"/>
    <cellStyle name="Normal 6 6 3 2 6" xfId="39688"/>
    <cellStyle name="Normal 6 6 3 3" xfId="39689"/>
    <cellStyle name="Normal 6 6 3 3 2" xfId="39690"/>
    <cellStyle name="Normal 6 6 3 3 2 2" xfId="39691"/>
    <cellStyle name="Normal 6 6 3 3 2 2 2" xfId="39692"/>
    <cellStyle name="Normal 6 6 3 3 2 2 2 2" xfId="39693"/>
    <cellStyle name="Normal 6 6 3 3 2 2 3" xfId="39694"/>
    <cellStyle name="Normal 6 6 3 3 2 3" xfId="39695"/>
    <cellStyle name="Normal 6 6 3 3 2 3 2" xfId="39696"/>
    <cellStyle name="Normal 6 6 3 3 2 4" xfId="39697"/>
    <cellStyle name="Normal 6 6 3 3 3" xfId="39698"/>
    <cellStyle name="Normal 6 6 3 3 3 2" xfId="39699"/>
    <cellStyle name="Normal 6 6 3 3 3 2 2" xfId="39700"/>
    <cellStyle name="Normal 6 6 3 3 3 3" xfId="39701"/>
    <cellStyle name="Normal 6 6 3 3 4" xfId="39702"/>
    <cellStyle name="Normal 6 6 3 3 4 2" xfId="39703"/>
    <cellStyle name="Normal 6 6 3 3 5" xfId="39704"/>
    <cellStyle name="Normal 6 6 3 3 5 2" xfId="39705"/>
    <cellStyle name="Normal 6 6 3 3 6" xfId="39706"/>
    <cellStyle name="Normal 6 6 3 4" xfId="39707"/>
    <cellStyle name="Normal 6 6 3 4 2" xfId="39708"/>
    <cellStyle name="Normal 6 6 3 4 2 2" xfId="39709"/>
    <cellStyle name="Normal 6 6 3 4 2 2 2" xfId="39710"/>
    <cellStyle name="Normal 6 6 3 4 2 3" xfId="39711"/>
    <cellStyle name="Normal 6 6 3 4 3" xfId="39712"/>
    <cellStyle name="Normal 6 6 3 4 3 2" xfId="39713"/>
    <cellStyle name="Normal 6 6 3 4 4" xfId="39714"/>
    <cellStyle name="Normal 6 6 3 5" xfId="39715"/>
    <cellStyle name="Normal 6 6 3 5 2" xfId="39716"/>
    <cellStyle name="Normal 6 6 3 5 2 2" xfId="39717"/>
    <cellStyle name="Normal 6 6 3 5 3" xfId="39718"/>
    <cellStyle name="Normal 6 6 3 6" xfId="39719"/>
    <cellStyle name="Normal 6 6 3 6 2" xfId="39720"/>
    <cellStyle name="Normal 6 6 3 7" xfId="39721"/>
    <cellStyle name="Normal 6 6 3 7 2" xfId="39722"/>
    <cellStyle name="Normal 6 6 3 8" xfId="39723"/>
    <cellStyle name="Normal 6 6 4" xfId="39724"/>
    <cellStyle name="Normal 6 6 4 2" xfId="39725"/>
    <cellStyle name="Normal 6 6 4 2 2" xfId="39726"/>
    <cellStyle name="Normal 6 6 4 2 2 2" xfId="39727"/>
    <cellStyle name="Normal 6 6 4 2 2 2 2" xfId="39728"/>
    <cellStyle name="Normal 6 6 4 2 2 2 2 2" xfId="39729"/>
    <cellStyle name="Normal 6 6 4 2 2 2 3" xfId="39730"/>
    <cellStyle name="Normal 6 6 4 2 2 3" xfId="39731"/>
    <cellStyle name="Normal 6 6 4 2 2 3 2" xfId="39732"/>
    <cellStyle name="Normal 6 6 4 2 2 4" xfId="39733"/>
    <cellStyle name="Normal 6 6 4 2 3" xfId="39734"/>
    <cellStyle name="Normal 6 6 4 2 3 2" xfId="39735"/>
    <cellStyle name="Normal 6 6 4 2 3 2 2" xfId="39736"/>
    <cellStyle name="Normal 6 6 4 2 3 3" xfId="39737"/>
    <cellStyle name="Normal 6 6 4 2 4" xfId="39738"/>
    <cellStyle name="Normal 6 6 4 2 4 2" xfId="39739"/>
    <cellStyle name="Normal 6 6 4 2 5" xfId="39740"/>
    <cellStyle name="Normal 6 6 4 2 5 2" xfId="39741"/>
    <cellStyle name="Normal 6 6 4 2 6" xfId="39742"/>
    <cellStyle name="Normal 6 6 4 3" xfId="39743"/>
    <cellStyle name="Normal 6 6 4 3 2" xfId="39744"/>
    <cellStyle name="Normal 6 6 4 3 2 2" xfId="39745"/>
    <cellStyle name="Normal 6 6 4 3 2 2 2" xfId="39746"/>
    <cellStyle name="Normal 6 6 4 3 2 2 2 2" xfId="39747"/>
    <cellStyle name="Normal 6 6 4 3 2 2 3" xfId="39748"/>
    <cellStyle name="Normal 6 6 4 3 2 3" xfId="39749"/>
    <cellStyle name="Normal 6 6 4 3 2 3 2" xfId="39750"/>
    <cellStyle name="Normal 6 6 4 3 2 4" xfId="39751"/>
    <cellStyle name="Normal 6 6 4 3 3" xfId="39752"/>
    <cellStyle name="Normal 6 6 4 3 3 2" xfId="39753"/>
    <cellStyle name="Normal 6 6 4 3 3 2 2" xfId="39754"/>
    <cellStyle name="Normal 6 6 4 3 3 3" xfId="39755"/>
    <cellStyle name="Normal 6 6 4 3 4" xfId="39756"/>
    <cellStyle name="Normal 6 6 4 3 4 2" xfId="39757"/>
    <cellStyle name="Normal 6 6 4 3 5" xfId="39758"/>
    <cellStyle name="Normal 6 6 4 3 5 2" xfId="39759"/>
    <cellStyle name="Normal 6 6 4 3 6" xfId="39760"/>
    <cellStyle name="Normal 6 6 4 4" xfId="39761"/>
    <cellStyle name="Normal 6 6 4 4 2" xfId="39762"/>
    <cellStyle name="Normal 6 6 4 4 2 2" xfId="39763"/>
    <cellStyle name="Normal 6 6 4 4 2 2 2" xfId="39764"/>
    <cellStyle name="Normal 6 6 4 4 2 3" xfId="39765"/>
    <cellStyle name="Normal 6 6 4 4 3" xfId="39766"/>
    <cellStyle name="Normal 6 6 4 4 3 2" xfId="39767"/>
    <cellStyle name="Normal 6 6 4 4 4" xfId="39768"/>
    <cellStyle name="Normal 6 6 4 5" xfId="39769"/>
    <cellStyle name="Normal 6 6 4 5 2" xfId="39770"/>
    <cellStyle name="Normal 6 6 4 5 2 2" xfId="39771"/>
    <cellStyle name="Normal 6 6 4 5 3" xfId="39772"/>
    <cellStyle name="Normal 6 6 4 6" xfId="39773"/>
    <cellStyle name="Normal 6 6 4 6 2" xfId="39774"/>
    <cellStyle name="Normal 6 6 4 7" xfId="39775"/>
    <cellStyle name="Normal 6 6 4 7 2" xfId="39776"/>
    <cellStyle name="Normal 6 6 4 8" xfId="39777"/>
    <cellStyle name="Normal 6 6 5" xfId="39778"/>
    <cellStyle name="Normal 6 6 5 2" xfId="39779"/>
    <cellStyle name="Normal 6 6 5 2 2" xfId="39780"/>
    <cellStyle name="Normal 6 6 5 2 2 2" xfId="39781"/>
    <cellStyle name="Normal 6 6 5 2 2 2 2" xfId="39782"/>
    <cellStyle name="Normal 6 6 5 2 2 3" xfId="39783"/>
    <cellStyle name="Normal 6 6 5 2 3" xfId="39784"/>
    <cellStyle name="Normal 6 6 5 2 3 2" xfId="39785"/>
    <cellStyle name="Normal 6 6 5 2 4" xfId="39786"/>
    <cellStyle name="Normal 6 6 5 3" xfId="39787"/>
    <cellStyle name="Normal 6 6 5 3 2" xfId="39788"/>
    <cellStyle name="Normal 6 6 5 3 2 2" xfId="39789"/>
    <cellStyle name="Normal 6 6 5 3 3" xfId="39790"/>
    <cellStyle name="Normal 6 6 5 4" xfId="39791"/>
    <cellStyle name="Normal 6 6 5 4 2" xfId="39792"/>
    <cellStyle name="Normal 6 6 5 5" xfId="39793"/>
    <cellStyle name="Normal 6 6 5 5 2" xfId="39794"/>
    <cellStyle name="Normal 6 6 5 6" xfId="39795"/>
    <cellStyle name="Normal 6 6 6" xfId="39796"/>
    <cellStyle name="Normal 6 6 6 2" xfId="39797"/>
    <cellStyle name="Normal 6 6 6 2 2" xfId="39798"/>
    <cellStyle name="Normal 6 6 6 2 2 2" xfId="39799"/>
    <cellStyle name="Normal 6 6 6 2 2 2 2" xfId="39800"/>
    <cellStyle name="Normal 6 6 6 2 2 3" xfId="39801"/>
    <cellStyle name="Normal 6 6 6 2 3" xfId="39802"/>
    <cellStyle name="Normal 6 6 6 2 3 2" xfId="39803"/>
    <cellStyle name="Normal 6 6 6 2 4" xfId="39804"/>
    <cellStyle name="Normal 6 6 6 3" xfId="39805"/>
    <cellStyle name="Normal 6 6 6 3 2" xfId="39806"/>
    <cellStyle name="Normal 6 6 6 3 2 2" xfId="39807"/>
    <cellStyle name="Normal 6 6 6 3 3" xfId="39808"/>
    <cellStyle name="Normal 6 6 6 4" xfId="39809"/>
    <cellStyle name="Normal 6 6 6 4 2" xfId="39810"/>
    <cellStyle name="Normal 6 6 6 5" xfId="39811"/>
    <cellStyle name="Normal 6 6 6 5 2" xfId="39812"/>
    <cellStyle name="Normal 6 6 6 6" xfId="39813"/>
    <cellStyle name="Normal 6 6 7" xfId="39814"/>
    <cellStyle name="Normal 6 6 7 2" xfId="39815"/>
    <cellStyle name="Normal 6 6 7 2 2" xfId="39816"/>
    <cellStyle name="Normal 6 6 7 2 2 2" xfId="39817"/>
    <cellStyle name="Normal 6 6 7 2 2 2 2" xfId="39818"/>
    <cellStyle name="Normal 6 6 7 2 2 3" xfId="39819"/>
    <cellStyle name="Normal 6 6 7 2 3" xfId="39820"/>
    <cellStyle name="Normal 6 6 7 2 3 2" xfId="39821"/>
    <cellStyle name="Normal 6 6 7 2 4" xfId="39822"/>
    <cellStyle name="Normal 6 6 7 3" xfId="39823"/>
    <cellStyle name="Normal 6 6 7 3 2" xfId="39824"/>
    <cellStyle name="Normal 6 6 7 3 2 2" xfId="39825"/>
    <cellStyle name="Normal 6 6 7 3 3" xfId="39826"/>
    <cellStyle name="Normal 6 6 7 4" xfId="39827"/>
    <cellStyle name="Normal 6 6 7 4 2" xfId="39828"/>
    <cellStyle name="Normal 6 6 7 5" xfId="39829"/>
    <cellStyle name="Normal 6 6 7 5 2" xfId="39830"/>
    <cellStyle name="Normal 6 6 7 6" xfId="39831"/>
    <cellStyle name="Normal 6 6 8" xfId="39832"/>
    <cellStyle name="Normal 6 6 8 2" xfId="39833"/>
    <cellStyle name="Normal 6 6 8 2 2" xfId="39834"/>
    <cellStyle name="Normal 6 6 8 2 2 2" xfId="39835"/>
    <cellStyle name="Normal 6 6 8 2 3" xfId="39836"/>
    <cellStyle name="Normal 6 6 8 3" xfId="39837"/>
    <cellStyle name="Normal 6 6 8 3 2" xfId="39838"/>
    <cellStyle name="Normal 6 6 8 4" xfId="39839"/>
    <cellStyle name="Normal 6 6 9" xfId="39840"/>
    <cellStyle name="Normal 6 6 9 2" xfId="39841"/>
    <cellStyle name="Normal 6 6 9 2 2" xfId="39842"/>
    <cellStyle name="Normal 6 6 9 3" xfId="39843"/>
    <cellStyle name="Normal 6 7" xfId="39844"/>
    <cellStyle name="Normal 6 7 2" xfId="39845"/>
    <cellStyle name="Normal 6 7 2 2" xfId="39846"/>
    <cellStyle name="Normal 6 7 3" xfId="39847"/>
    <cellStyle name="Normal 6 7 4" xfId="39848"/>
    <cellStyle name="Normal 6 8" xfId="39849"/>
    <cellStyle name="Normal 6 9" xfId="39850"/>
    <cellStyle name="Normal 6 9 2" xfId="39851"/>
    <cellStyle name="Normal 6_Analysis" xfId="139"/>
    <cellStyle name="Normal 60" xfId="39852"/>
    <cellStyle name="Normal 61" xfId="39853"/>
    <cellStyle name="Normal 62" xfId="39854"/>
    <cellStyle name="Normal 63" xfId="39855"/>
    <cellStyle name="Normal 64" xfId="39856"/>
    <cellStyle name="Normal 65" xfId="39857"/>
    <cellStyle name="Normal 66" xfId="39858"/>
    <cellStyle name="Normal 67" xfId="39859"/>
    <cellStyle name="Normal 68" xfId="39860"/>
    <cellStyle name="Normal 69" xfId="39861"/>
    <cellStyle name="Normal 7" xfId="140"/>
    <cellStyle name="Normal 7 2" xfId="602"/>
    <cellStyle name="Normal 7 2 2" xfId="603"/>
    <cellStyle name="Normal 7 2 3" xfId="604"/>
    <cellStyle name="Normal 7 2 4" xfId="39862"/>
    <cellStyle name="Normal 7 2 5" xfId="39863"/>
    <cellStyle name="Normal 7 3" xfId="605"/>
    <cellStyle name="Normal 7 3 2" xfId="606"/>
    <cellStyle name="Normal 7 4" xfId="607"/>
    <cellStyle name="Normal 7 4 2" xfId="39864"/>
    <cellStyle name="Normal 7 5" xfId="39865"/>
    <cellStyle name="Normal 7 6" xfId="39866"/>
    <cellStyle name="Normal 7 7" xfId="39867"/>
    <cellStyle name="Normal 7 8" xfId="481"/>
    <cellStyle name="Normal 70" xfId="39868"/>
    <cellStyle name="Normal 71" xfId="39869"/>
    <cellStyle name="Normal 72" xfId="39870"/>
    <cellStyle name="Normal 73" xfId="39871"/>
    <cellStyle name="Normal 74" xfId="39872"/>
    <cellStyle name="Normal 75" xfId="39873"/>
    <cellStyle name="Normal 76" xfId="39874"/>
    <cellStyle name="Normal 77" xfId="39875"/>
    <cellStyle name="Normal 78" xfId="39876"/>
    <cellStyle name="Normal 79" xfId="39877"/>
    <cellStyle name="Normal 8" xfId="141"/>
    <cellStyle name="Normal 8 10" xfId="39878"/>
    <cellStyle name="Normal 8 10 2" xfId="39879"/>
    <cellStyle name="Normal 8 10 2 2" xfId="39880"/>
    <cellStyle name="Normal 8 10 2 2 2" xfId="39881"/>
    <cellStyle name="Normal 8 10 2 2 2 2" xfId="39882"/>
    <cellStyle name="Normal 8 10 2 2 3" xfId="39883"/>
    <cellStyle name="Normal 8 10 2 3" xfId="39884"/>
    <cellStyle name="Normal 8 10 2 3 2" xfId="39885"/>
    <cellStyle name="Normal 8 10 2 4" xfId="39886"/>
    <cellStyle name="Normal 8 10 3" xfId="39887"/>
    <cellStyle name="Normal 8 10 3 2" xfId="39888"/>
    <cellStyle name="Normal 8 10 3 2 2" xfId="39889"/>
    <cellStyle name="Normal 8 10 3 3" xfId="39890"/>
    <cellStyle name="Normal 8 10 4" xfId="39891"/>
    <cellStyle name="Normal 8 10 4 2" xfId="39892"/>
    <cellStyle name="Normal 8 10 5" xfId="39893"/>
    <cellStyle name="Normal 8 10 5 2" xfId="39894"/>
    <cellStyle name="Normal 8 10 6" xfId="39895"/>
    <cellStyle name="Normal 8 11" xfId="39896"/>
    <cellStyle name="Normal 8 12" xfId="39897"/>
    <cellStyle name="Normal 8 13" xfId="39898"/>
    <cellStyle name="Normal 8 13 2" xfId="39899"/>
    <cellStyle name="Normal 8 14" xfId="39900"/>
    <cellStyle name="Normal 8 15" xfId="39901"/>
    <cellStyle name="Normal 8 16" xfId="568"/>
    <cellStyle name="Normal 8 2" xfId="608"/>
    <cellStyle name="Normal 8 2 2" xfId="609"/>
    <cellStyle name="Normal 8 2 2 2" xfId="39902"/>
    <cellStyle name="Normal 8 2 2 2 2" xfId="39903"/>
    <cellStyle name="Normal 8 2 2 2 2 2" xfId="39904"/>
    <cellStyle name="Normal 8 2 2 2 2 2 2" xfId="39905"/>
    <cellStyle name="Normal 8 2 2 2 2 3" xfId="39906"/>
    <cellStyle name="Normal 8 2 2 2 2 4" xfId="39907"/>
    <cellStyle name="Normal 8 2 2 2 3" xfId="39908"/>
    <cellStyle name="Normal 8 2 2 2 3 2" xfId="39909"/>
    <cellStyle name="Normal 8 2 2 2 4" xfId="39910"/>
    <cellStyle name="Normal 8 2 2 2 5" xfId="39911"/>
    <cellStyle name="Normal 8 2 2 3" xfId="39912"/>
    <cellStyle name="Normal 8 2 2 3 2" xfId="39913"/>
    <cellStyle name="Normal 8 2 2 3 2 2" xfId="39914"/>
    <cellStyle name="Normal 8 2 2 3 3" xfId="39915"/>
    <cellStyle name="Normal 8 2 2 3 4" xfId="39916"/>
    <cellStyle name="Normal 8 2 2 4" xfId="39917"/>
    <cellStyle name="Normal 8 2 2 5" xfId="39918"/>
    <cellStyle name="Normal 8 2 2 5 2" xfId="39919"/>
    <cellStyle name="Normal 8 2 2 6" xfId="39920"/>
    <cellStyle name="Normal 8 2 2 7" xfId="39921"/>
    <cellStyle name="Normal 8 2 3" xfId="610"/>
    <cellStyle name="Normal 8 2 3 10" xfId="39922"/>
    <cellStyle name="Normal 8 2 3 10 2" xfId="39923"/>
    <cellStyle name="Normal 8 2 3 11" xfId="39924"/>
    <cellStyle name="Normal 8 2 3 11 2" xfId="39925"/>
    <cellStyle name="Normal 8 2 3 12" xfId="39926"/>
    <cellStyle name="Normal 8 2 3 12 2" xfId="39927"/>
    <cellStyle name="Normal 8 2 3 13" xfId="39928"/>
    <cellStyle name="Normal 8 2 3 13 2" xfId="39929"/>
    <cellStyle name="Normal 8 2 3 14" xfId="39930"/>
    <cellStyle name="Normal 8 2 3 15" xfId="39931"/>
    <cellStyle name="Normal 8 2 3 2" xfId="39932"/>
    <cellStyle name="Normal 8 2 3 2 10" xfId="39933"/>
    <cellStyle name="Normal 8 2 3 2 10 2" xfId="39934"/>
    <cellStyle name="Normal 8 2 3 2 11" xfId="39935"/>
    <cellStyle name="Normal 8 2 3 2 11 2" xfId="39936"/>
    <cellStyle name="Normal 8 2 3 2 12" xfId="39937"/>
    <cellStyle name="Normal 8 2 3 2 12 2" xfId="39938"/>
    <cellStyle name="Normal 8 2 3 2 13" xfId="39939"/>
    <cellStyle name="Normal 8 2 3 2 14" xfId="39940"/>
    <cellStyle name="Normal 8 2 3 2 2" xfId="39941"/>
    <cellStyle name="Normal 8 2 3 2 2 10" xfId="39942"/>
    <cellStyle name="Normal 8 2 3 2 2 11" xfId="39943"/>
    <cellStyle name="Normal 8 2 3 2 2 2" xfId="39944"/>
    <cellStyle name="Normal 8 2 3 2 2 2 2" xfId="39945"/>
    <cellStyle name="Normal 8 2 3 2 2 2 2 2" xfId="39946"/>
    <cellStyle name="Normal 8 2 3 2 2 2 2 2 2" xfId="39947"/>
    <cellStyle name="Normal 8 2 3 2 2 2 2 2 2 2" xfId="39948"/>
    <cellStyle name="Normal 8 2 3 2 2 2 2 2 3" xfId="39949"/>
    <cellStyle name="Normal 8 2 3 2 2 2 2 3" xfId="39950"/>
    <cellStyle name="Normal 8 2 3 2 2 2 2 3 2" xfId="39951"/>
    <cellStyle name="Normal 8 2 3 2 2 2 2 4" xfId="39952"/>
    <cellStyle name="Normal 8 2 3 2 2 2 3" xfId="39953"/>
    <cellStyle name="Normal 8 2 3 2 2 2 3 2" xfId="39954"/>
    <cellStyle name="Normal 8 2 3 2 2 2 3 2 2" xfId="39955"/>
    <cellStyle name="Normal 8 2 3 2 2 2 3 3" xfId="39956"/>
    <cellStyle name="Normal 8 2 3 2 2 2 4" xfId="39957"/>
    <cellStyle name="Normal 8 2 3 2 2 2 4 2" xfId="39958"/>
    <cellStyle name="Normal 8 2 3 2 2 2 5" xfId="39959"/>
    <cellStyle name="Normal 8 2 3 2 2 2 5 2" xfId="39960"/>
    <cellStyle name="Normal 8 2 3 2 2 2 6" xfId="39961"/>
    <cellStyle name="Normal 8 2 3 2 2 3" xfId="39962"/>
    <cellStyle name="Normal 8 2 3 2 2 3 2" xfId="39963"/>
    <cellStyle name="Normal 8 2 3 2 2 3 2 2" xfId="39964"/>
    <cellStyle name="Normal 8 2 3 2 2 3 2 2 2" xfId="39965"/>
    <cellStyle name="Normal 8 2 3 2 2 3 2 2 2 2" xfId="39966"/>
    <cellStyle name="Normal 8 2 3 2 2 3 2 2 3" xfId="39967"/>
    <cellStyle name="Normal 8 2 3 2 2 3 2 3" xfId="39968"/>
    <cellStyle name="Normal 8 2 3 2 2 3 2 3 2" xfId="39969"/>
    <cellStyle name="Normal 8 2 3 2 2 3 2 4" xfId="39970"/>
    <cellStyle name="Normal 8 2 3 2 2 3 3" xfId="39971"/>
    <cellStyle name="Normal 8 2 3 2 2 3 3 2" xfId="39972"/>
    <cellStyle name="Normal 8 2 3 2 2 3 3 2 2" xfId="39973"/>
    <cellStyle name="Normal 8 2 3 2 2 3 3 3" xfId="39974"/>
    <cellStyle name="Normal 8 2 3 2 2 3 4" xfId="39975"/>
    <cellStyle name="Normal 8 2 3 2 2 3 4 2" xfId="39976"/>
    <cellStyle name="Normal 8 2 3 2 2 3 5" xfId="39977"/>
    <cellStyle name="Normal 8 2 3 2 2 3 5 2" xfId="39978"/>
    <cellStyle name="Normal 8 2 3 2 2 3 6" xfId="39979"/>
    <cellStyle name="Normal 8 2 3 2 2 4" xfId="39980"/>
    <cellStyle name="Normal 8 2 3 2 2 4 2" xfId="39981"/>
    <cellStyle name="Normal 8 2 3 2 2 4 2 2" xfId="39982"/>
    <cellStyle name="Normal 8 2 3 2 2 4 2 2 2" xfId="39983"/>
    <cellStyle name="Normal 8 2 3 2 2 4 2 3" xfId="39984"/>
    <cellStyle name="Normal 8 2 3 2 2 4 3" xfId="39985"/>
    <cellStyle name="Normal 8 2 3 2 2 4 3 2" xfId="39986"/>
    <cellStyle name="Normal 8 2 3 2 2 4 4" xfId="39987"/>
    <cellStyle name="Normal 8 2 3 2 2 5" xfId="39988"/>
    <cellStyle name="Normal 8 2 3 2 2 5 2" xfId="39989"/>
    <cellStyle name="Normal 8 2 3 2 2 5 2 2" xfId="39990"/>
    <cellStyle name="Normal 8 2 3 2 2 5 3" xfId="39991"/>
    <cellStyle name="Normal 8 2 3 2 2 6" xfId="39992"/>
    <cellStyle name="Normal 8 2 3 2 2 6 2" xfId="39993"/>
    <cellStyle name="Normal 8 2 3 2 2 7" xfId="39994"/>
    <cellStyle name="Normal 8 2 3 2 2 7 2" xfId="39995"/>
    <cellStyle name="Normal 8 2 3 2 2 8" xfId="39996"/>
    <cellStyle name="Normal 8 2 3 2 2 8 2" xfId="39997"/>
    <cellStyle name="Normal 8 2 3 2 2 9" xfId="39998"/>
    <cellStyle name="Normal 8 2 3 2 2 9 2" xfId="39999"/>
    <cellStyle name="Normal 8 2 3 2 3" xfId="40000"/>
    <cellStyle name="Normal 8 2 3 2 3 2" xfId="40001"/>
    <cellStyle name="Normal 8 2 3 2 3 2 2" xfId="40002"/>
    <cellStyle name="Normal 8 2 3 2 3 2 2 2" xfId="40003"/>
    <cellStyle name="Normal 8 2 3 2 3 2 2 2 2" xfId="40004"/>
    <cellStyle name="Normal 8 2 3 2 3 2 2 2 2 2" xfId="40005"/>
    <cellStyle name="Normal 8 2 3 2 3 2 2 2 3" xfId="40006"/>
    <cellStyle name="Normal 8 2 3 2 3 2 2 3" xfId="40007"/>
    <cellStyle name="Normal 8 2 3 2 3 2 2 3 2" xfId="40008"/>
    <cellStyle name="Normal 8 2 3 2 3 2 2 4" xfId="40009"/>
    <cellStyle name="Normal 8 2 3 2 3 2 3" xfId="40010"/>
    <cellStyle name="Normal 8 2 3 2 3 2 3 2" xfId="40011"/>
    <cellStyle name="Normal 8 2 3 2 3 2 3 2 2" xfId="40012"/>
    <cellStyle name="Normal 8 2 3 2 3 2 3 3" xfId="40013"/>
    <cellStyle name="Normal 8 2 3 2 3 2 4" xfId="40014"/>
    <cellStyle name="Normal 8 2 3 2 3 2 4 2" xfId="40015"/>
    <cellStyle name="Normal 8 2 3 2 3 2 5" xfId="40016"/>
    <cellStyle name="Normal 8 2 3 2 3 2 5 2" xfId="40017"/>
    <cellStyle name="Normal 8 2 3 2 3 2 6" xfId="40018"/>
    <cellStyle name="Normal 8 2 3 2 3 3" xfId="40019"/>
    <cellStyle name="Normal 8 2 3 2 3 3 2" xfId="40020"/>
    <cellStyle name="Normal 8 2 3 2 3 3 2 2" xfId="40021"/>
    <cellStyle name="Normal 8 2 3 2 3 3 2 2 2" xfId="40022"/>
    <cellStyle name="Normal 8 2 3 2 3 3 2 2 2 2" xfId="40023"/>
    <cellStyle name="Normal 8 2 3 2 3 3 2 2 3" xfId="40024"/>
    <cellStyle name="Normal 8 2 3 2 3 3 2 3" xfId="40025"/>
    <cellStyle name="Normal 8 2 3 2 3 3 2 3 2" xfId="40026"/>
    <cellStyle name="Normal 8 2 3 2 3 3 2 4" xfId="40027"/>
    <cellStyle name="Normal 8 2 3 2 3 3 3" xfId="40028"/>
    <cellStyle name="Normal 8 2 3 2 3 3 3 2" xfId="40029"/>
    <cellStyle name="Normal 8 2 3 2 3 3 3 2 2" xfId="40030"/>
    <cellStyle name="Normal 8 2 3 2 3 3 3 3" xfId="40031"/>
    <cellStyle name="Normal 8 2 3 2 3 3 4" xfId="40032"/>
    <cellStyle name="Normal 8 2 3 2 3 3 4 2" xfId="40033"/>
    <cellStyle name="Normal 8 2 3 2 3 3 5" xfId="40034"/>
    <cellStyle name="Normal 8 2 3 2 3 3 5 2" xfId="40035"/>
    <cellStyle name="Normal 8 2 3 2 3 3 6" xfId="40036"/>
    <cellStyle name="Normal 8 2 3 2 3 4" xfId="40037"/>
    <cellStyle name="Normal 8 2 3 2 3 4 2" xfId="40038"/>
    <cellStyle name="Normal 8 2 3 2 3 4 2 2" xfId="40039"/>
    <cellStyle name="Normal 8 2 3 2 3 4 2 2 2" xfId="40040"/>
    <cellStyle name="Normal 8 2 3 2 3 4 2 3" xfId="40041"/>
    <cellStyle name="Normal 8 2 3 2 3 4 3" xfId="40042"/>
    <cellStyle name="Normal 8 2 3 2 3 4 3 2" xfId="40043"/>
    <cellStyle name="Normal 8 2 3 2 3 4 4" xfId="40044"/>
    <cellStyle name="Normal 8 2 3 2 3 5" xfId="40045"/>
    <cellStyle name="Normal 8 2 3 2 3 5 2" xfId="40046"/>
    <cellStyle name="Normal 8 2 3 2 3 5 2 2" xfId="40047"/>
    <cellStyle name="Normal 8 2 3 2 3 5 3" xfId="40048"/>
    <cellStyle name="Normal 8 2 3 2 3 6" xfId="40049"/>
    <cellStyle name="Normal 8 2 3 2 3 6 2" xfId="40050"/>
    <cellStyle name="Normal 8 2 3 2 3 7" xfId="40051"/>
    <cellStyle name="Normal 8 2 3 2 3 7 2" xfId="40052"/>
    <cellStyle name="Normal 8 2 3 2 3 8" xfId="40053"/>
    <cellStyle name="Normal 8 2 3 2 4" xfId="40054"/>
    <cellStyle name="Normal 8 2 3 2 4 2" xfId="40055"/>
    <cellStyle name="Normal 8 2 3 2 4 2 2" xfId="40056"/>
    <cellStyle name="Normal 8 2 3 2 4 2 2 2" xfId="40057"/>
    <cellStyle name="Normal 8 2 3 2 4 2 2 2 2" xfId="40058"/>
    <cellStyle name="Normal 8 2 3 2 4 2 2 3" xfId="40059"/>
    <cellStyle name="Normal 8 2 3 2 4 2 3" xfId="40060"/>
    <cellStyle name="Normal 8 2 3 2 4 2 3 2" xfId="40061"/>
    <cellStyle name="Normal 8 2 3 2 4 2 4" xfId="40062"/>
    <cellStyle name="Normal 8 2 3 2 4 3" xfId="40063"/>
    <cellStyle name="Normal 8 2 3 2 4 3 2" xfId="40064"/>
    <cellStyle name="Normal 8 2 3 2 4 3 2 2" xfId="40065"/>
    <cellStyle name="Normal 8 2 3 2 4 3 3" xfId="40066"/>
    <cellStyle name="Normal 8 2 3 2 4 4" xfId="40067"/>
    <cellStyle name="Normal 8 2 3 2 4 4 2" xfId="40068"/>
    <cellStyle name="Normal 8 2 3 2 4 5" xfId="40069"/>
    <cellStyle name="Normal 8 2 3 2 4 5 2" xfId="40070"/>
    <cellStyle name="Normal 8 2 3 2 4 6" xfId="40071"/>
    <cellStyle name="Normal 8 2 3 2 5" xfId="40072"/>
    <cellStyle name="Normal 8 2 3 2 5 2" xfId="40073"/>
    <cellStyle name="Normal 8 2 3 2 5 2 2" xfId="40074"/>
    <cellStyle name="Normal 8 2 3 2 5 2 2 2" xfId="40075"/>
    <cellStyle name="Normal 8 2 3 2 5 2 2 2 2" xfId="40076"/>
    <cellStyle name="Normal 8 2 3 2 5 2 2 3" xfId="40077"/>
    <cellStyle name="Normal 8 2 3 2 5 2 3" xfId="40078"/>
    <cellStyle name="Normal 8 2 3 2 5 2 3 2" xfId="40079"/>
    <cellStyle name="Normal 8 2 3 2 5 2 4" xfId="40080"/>
    <cellStyle name="Normal 8 2 3 2 5 3" xfId="40081"/>
    <cellStyle name="Normal 8 2 3 2 5 3 2" xfId="40082"/>
    <cellStyle name="Normal 8 2 3 2 5 3 2 2" xfId="40083"/>
    <cellStyle name="Normal 8 2 3 2 5 3 3" xfId="40084"/>
    <cellStyle name="Normal 8 2 3 2 5 4" xfId="40085"/>
    <cellStyle name="Normal 8 2 3 2 5 4 2" xfId="40086"/>
    <cellStyle name="Normal 8 2 3 2 5 5" xfId="40087"/>
    <cellStyle name="Normal 8 2 3 2 5 5 2" xfId="40088"/>
    <cellStyle name="Normal 8 2 3 2 5 6" xfId="40089"/>
    <cellStyle name="Normal 8 2 3 2 6" xfId="40090"/>
    <cellStyle name="Normal 8 2 3 2 6 2" xfId="40091"/>
    <cellStyle name="Normal 8 2 3 2 6 2 2" xfId="40092"/>
    <cellStyle name="Normal 8 2 3 2 6 2 2 2" xfId="40093"/>
    <cellStyle name="Normal 8 2 3 2 6 2 2 2 2" xfId="40094"/>
    <cellStyle name="Normal 8 2 3 2 6 2 2 3" xfId="40095"/>
    <cellStyle name="Normal 8 2 3 2 6 2 3" xfId="40096"/>
    <cellStyle name="Normal 8 2 3 2 6 2 3 2" xfId="40097"/>
    <cellStyle name="Normal 8 2 3 2 6 2 4" xfId="40098"/>
    <cellStyle name="Normal 8 2 3 2 6 3" xfId="40099"/>
    <cellStyle name="Normal 8 2 3 2 6 3 2" xfId="40100"/>
    <cellStyle name="Normal 8 2 3 2 6 3 2 2" xfId="40101"/>
    <cellStyle name="Normal 8 2 3 2 6 3 3" xfId="40102"/>
    <cellStyle name="Normal 8 2 3 2 6 4" xfId="40103"/>
    <cellStyle name="Normal 8 2 3 2 6 4 2" xfId="40104"/>
    <cellStyle name="Normal 8 2 3 2 6 5" xfId="40105"/>
    <cellStyle name="Normal 8 2 3 2 6 5 2" xfId="40106"/>
    <cellStyle name="Normal 8 2 3 2 6 6" xfId="40107"/>
    <cellStyle name="Normal 8 2 3 2 7" xfId="40108"/>
    <cellStyle name="Normal 8 2 3 2 7 2" xfId="40109"/>
    <cellStyle name="Normal 8 2 3 2 7 2 2" xfId="40110"/>
    <cellStyle name="Normal 8 2 3 2 7 2 2 2" xfId="40111"/>
    <cellStyle name="Normal 8 2 3 2 7 2 3" xfId="40112"/>
    <cellStyle name="Normal 8 2 3 2 7 3" xfId="40113"/>
    <cellStyle name="Normal 8 2 3 2 7 3 2" xfId="40114"/>
    <cellStyle name="Normal 8 2 3 2 7 4" xfId="40115"/>
    <cellStyle name="Normal 8 2 3 2 8" xfId="40116"/>
    <cellStyle name="Normal 8 2 3 2 8 2" xfId="40117"/>
    <cellStyle name="Normal 8 2 3 2 8 2 2" xfId="40118"/>
    <cellStyle name="Normal 8 2 3 2 8 3" xfId="40119"/>
    <cellStyle name="Normal 8 2 3 2 9" xfId="40120"/>
    <cellStyle name="Normal 8 2 3 2 9 2" xfId="40121"/>
    <cellStyle name="Normal 8 2 3 3" xfId="40122"/>
    <cellStyle name="Normal 8 2 3 3 10" xfId="40123"/>
    <cellStyle name="Normal 8 2 3 3 11" xfId="40124"/>
    <cellStyle name="Normal 8 2 3 3 2" xfId="40125"/>
    <cellStyle name="Normal 8 2 3 3 2 2" xfId="40126"/>
    <cellStyle name="Normal 8 2 3 3 2 2 2" xfId="40127"/>
    <cellStyle name="Normal 8 2 3 3 2 2 2 2" xfId="40128"/>
    <cellStyle name="Normal 8 2 3 3 2 2 2 2 2" xfId="40129"/>
    <cellStyle name="Normal 8 2 3 3 2 2 2 3" xfId="40130"/>
    <cellStyle name="Normal 8 2 3 3 2 2 3" xfId="40131"/>
    <cellStyle name="Normal 8 2 3 3 2 2 3 2" xfId="40132"/>
    <cellStyle name="Normal 8 2 3 3 2 2 4" xfId="40133"/>
    <cellStyle name="Normal 8 2 3 3 2 3" xfId="40134"/>
    <cellStyle name="Normal 8 2 3 3 2 3 2" xfId="40135"/>
    <cellStyle name="Normal 8 2 3 3 2 3 2 2" xfId="40136"/>
    <cellStyle name="Normal 8 2 3 3 2 3 3" xfId="40137"/>
    <cellStyle name="Normal 8 2 3 3 2 4" xfId="40138"/>
    <cellStyle name="Normal 8 2 3 3 2 4 2" xfId="40139"/>
    <cellStyle name="Normal 8 2 3 3 2 5" xfId="40140"/>
    <cellStyle name="Normal 8 2 3 3 2 5 2" xfId="40141"/>
    <cellStyle name="Normal 8 2 3 3 2 6" xfId="40142"/>
    <cellStyle name="Normal 8 2 3 3 3" xfId="40143"/>
    <cellStyle name="Normal 8 2 3 3 3 2" xfId="40144"/>
    <cellStyle name="Normal 8 2 3 3 3 2 2" xfId="40145"/>
    <cellStyle name="Normal 8 2 3 3 3 2 2 2" xfId="40146"/>
    <cellStyle name="Normal 8 2 3 3 3 2 2 2 2" xfId="40147"/>
    <cellStyle name="Normal 8 2 3 3 3 2 2 3" xfId="40148"/>
    <cellStyle name="Normal 8 2 3 3 3 2 3" xfId="40149"/>
    <cellStyle name="Normal 8 2 3 3 3 2 3 2" xfId="40150"/>
    <cellStyle name="Normal 8 2 3 3 3 2 4" xfId="40151"/>
    <cellStyle name="Normal 8 2 3 3 3 3" xfId="40152"/>
    <cellStyle name="Normal 8 2 3 3 3 3 2" xfId="40153"/>
    <cellStyle name="Normal 8 2 3 3 3 3 2 2" xfId="40154"/>
    <cellStyle name="Normal 8 2 3 3 3 3 3" xfId="40155"/>
    <cellStyle name="Normal 8 2 3 3 3 4" xfId="40156"/>
    <cellStyle name="Normal 8 2 3 3 3 4 2" xfId="40157"/>
    <cellStyle name="Normal 8 2 3 3 3 5" xfId="40158"/>
    <cellStyle name="Normal 8 2 3 3 3 5 2" xfId="40159"/>
    <cellStyle name="Normal 8 2 3 3 3 6" xfId="40160"/>
    <cellStyle name="Normal 8 2 3 3 4" xfId="40161"/>
    <cellStyle name="Normal 8 2 3 3 4 2" xfId="40162"/>
    <cellStyle name="Normal 8 2 3 3 4 2 2" xfId="40163"/>
    <cellStyle name="Normal 8 2 3 3 4 2 2 2" xfId="40164"/>
    <cellStyle name="Normal 8 2 3 3 4 2 3" xfId="40165"/>
    <cellStyle name="Normal 8 2 3 3 4 3" xfId="40166"/>
    <cellStyle name="Normal 8 2 3 3 4 3 2" xfId="40167"/>
    <cellStyle name="Normal 8 2 3 3 4 4" xfId="40168"/>
    <cellStyle name="Normal 8 2 3 3 5" xfId="40169"/>
    <cellStyle name="Normal 8 2 3 3 5 2" xfId="40170"/>
    <cellStyle name="Normal 8 2 3 3 5 2 2" xfId="40171"/>
    <cellStyle name="Normal 8 2 3 3 5 3" xfId="40172"/>
    <cellStyle name="Normal 8 2 3 3 6" xfId="40173"/>
    <cellStyle name="Normal 8 2 3 3 6 2" xfId="40174"/>
    <cellStyle name="Normal 8 2 3 3 7" xfId="40175"/>
    <cellStyle name="Normal 8 2 3 3 7 2" xfId="40176"/>
    <cellStyle name="Normal 8 2 3 3 8" xfId="40177"/>
    <cellStyle name="Normal 8 2 3 3 8 2" xfId="40178"/>
    <cellStyle name="Normal 8 2 3 3 9" xfId="40179"/>
    <cellStyle name="Normal 8 2 3 3 9 2" xfId="40180"/>
    <cellStyle name="Normal 8 2 3 4" xfId="40181"/>
    <cellStyle name="Normal 8 2 3 4 2" xfId="40182"/>
    <cellStyle name="Normal 8 2 3 4 2 2" xfId="40183"/>
    <cellStyle name="Normal 8 2 3 4 2 2 2" xfId="40184"/>
    <cellStyle name="Normal 8 2 3 4 2 2 2 2" xfId="40185"/>
    <cellStyle name="Normal 8 2 3 4 2 2 2 2 2" xfId="40186"/>
    <cellStyle name="Normal 8 2 3 4 2 2 2 3" xfId="40187"/>
    <cellStyle name="Normal 8 2 3 4 2 2 3" xfId="40188"/>
    <cellStyle name="Normal 8 2 3 4 2 2 3 2" xfId="40189"/>
    <cellStyle name="Normal 8 2 3 4 2 2 4" xfId="40190"/>
    <cellStyle name="Normal 8 2 3 4 2 3" xfId="40191"/>
    <cellStyle name="Normal 8 2 3 4 2 3 2" xfId="40192"/>
    <cellStyle name="Normal 8 2 3 4 2 3 2 2" xfId="40193"/>
    <cellStyle name="Normal 8 2 3 4 2 3 3" xfId="40194"/>
    <cellStyle name="Normal 8 2 3 4 2 4" xfId="40195"/>
    <cellStyle name="Normal 8 2 3 4 2 4 2" xfId="40196"/>
    <cellStyle name="Normal 8 2 3 4 2 5" xfId="40197"/>
    <cellStyle name="Normal 8 2 3 4 2 5 2" xfId="40198"/>
    <cellStyle name="Normal 8 2 3 4 2 6" xfId="40199"/>
    <cellStyle name="Normal 8 2 3 4 3" xfId="40200"/>
    <cellStyle name="Normal 8 2 3 4 3 2" xfId="40201"/>
    <cellStyle name="Normal 8 2 3 4 3 2 2" xfId="40202"/>
    <cellStyle name="Normal 8 2 3 4 3 2 2 2" xfId="40203"/>
    <cellStyle name="Normal 8 2 3 4 3 2 2 2 2" xfId="40204"/>
    <cellStyle name="Normal 8 2 3 4 3 2 2 3" xfId="40205"/>
    <cellStyle name="Normal 8 2 3 4 3 2 3" xfId="40206"/>
    <cellStyle name="Normal 8 2 3 4 3 2 3 2" xfId="40207"/>
    <cellStyle name="Normal 8 2 3 4 3 2 4" xfId="40208"/>
    <cellStyle name="Normal 8 2 3 4 3 3" xfId="40209"/>
    <cellStyle name="Normal 8 2 3 4 3 3 2" xfId="40210"/>
    <cellStyle name="Normal 8 2 3 4 3 3 2 2" xfId="40211"/>
    <cellStyle name="Normal 8 2 3 4 3 3 3" xfId="40212"/>
    <cellStyle name="Normal 8 2 3 4 3 4" xfId="40213"/>
    <cellStyle name="Normal 8 2 3 4 3 4 2" xfId="40214"/>
    <cellStyle name="Normal 8 2 3 4 3 5" xfId="40215"/>
    <cellStyle name="Normal 8 2 3 4 3 5 2" xfId="40216"/>
    <cellStyle name="Normal 8 2 3 4 3 6" xfId="40217"/>
    <cellStyle name="Normal 8 2 3 4 4" xfId="40218"/>
    <cellStyle name="Normal 8 2 3 4 4 2" xfId="40219"/>
    <cellStyle name="Normal 8 2 3 4 4 2 2" xfId="40220"/>
    <cellStyle name="Normal 8 2 3 4 4 2 2 2" xfId="40221"/>
    <cellStyle name="Normal 8 2 3 4 4 2 3" xfId="40222"/>
    <cellStyle name="Normal 8 2 3 4 4 3" xfId="40223"/>
    <cellStyle name="Normal 8 2 3 4 4 3 2" xfId="40224"/>
    <cellStyle name="Normal 8 2 3 4 4 4" xfId="40225"/>
    <cellStyle name="Normal 8 2 3 4 5" xfId="40226"/>
    <cellStyle name="Normal 8 2 3 4 5 2" xfId="40227"/>
    <cellStyle name="Normal 8 2 3 4 5 2 2" xfId="40228"/>
    <cellStyle name="Normal 8 2 3 4 5 3" xfId="40229"/>
    <cellStyle name="Normal 8 2 3 4 6" xfId="40230"/>
    <cellStyle name="Normal 8 2 3 4 6 2" xfId="40231"/>
    <cellStyle name="Normal 8 2 3 4 7" xfId="40232"/>
    <cellStyle name="Normal 8 2 3 4 7 2" xfId="40233"/>
    <cellStyle name="Normal 8 2 3 4 8" xfId="40234"/>
    <cellStyle name="Normal 8 2 3 5" xfId="40235"/>
    <cellStyle name="Normal 8 2 3 5 2" xfId="40236"/>
    <cellStyle name="Normal 8 2 3 5 2 2" xfId="40237"/>
    <cellStyle name="Normal 8 2 3 5 2 2 2" xfId="40238"/>
    <cellStyle name="Normal 8 2 3 5 2 2 2 2" xfId="40239"/>
    <cellStyle name="Normal 8 2 3 5 2 2 3" xfId="40240"/>
    <cellStyle name="Normal 8 2 3 5 2 3" xfId="40241"/>
    <cellStyle name="Normal 8 2 3 5 2 3 2" xfId="40242"/>
    <cellStyle name="Normal 8 2 3 5 2 4" xfId="40243"/>
    <cellStyle name="Normal 8 2 3 5 3" xfId="40244"/>
    <cellStyle name="Normal 8 2 3 5 3 2" xfId="40245"/>
    <cellStyle name="Normal 8 2 3 5 3 2 2" xfId="40246"/>
    <cellStyle name="Normal 8 2 3 5 3 3" xfId="40247"/>
    <cellStyle name="Normal 8 2 3 5 4" xfId="40248"/>
    <cellStyle name="Normal 8 2 3 5 4 2" xfId="40249"/>
    <cellStyle name="Normal 8 2 3 5 5" xfId="40250"/>
    <cellStyle name="Normal 8 2 3 5 5 2" xfId="40251"/>
    <cellStyle name="Normal 8 2 3 5 6" xfId="40252"/>
    <cellStyle name="Normal 8 2 3 6" xfId="40253"/>
    <cellStyle name="Normal 8 2 3 6 2" xfId="40254"/>
    <cellStyle name="Normal 8 2 3 6 2 2" xfId="40255"/>
    <cellStyle name="Normal 8 2 3 6 2 2 2" xfId="40256"/>
    <cellStyle name="Normal 8 2 3 6 2 2 2 2" xfId="40257"/>
    <cellStyle name="Normal 8 2 3 6 2 2 3" xfId="40258"/>
    <cellStyle name="Normal 8 2 3 6 2 3" xfId="40259"/>
    <cellStyle name="Normal 8 2 3 6 2 3 2" xfId="40260"/>
    <cellStyle name="Normal 8 2 3 6 2 4" xfId="40261"/>
    <cellStyle name="Normal 8 2 3 6 3" xfId="40262"/>
    <cellStyle name="Normal 8 2 3 6 3 2" xfId="40263"/>
    <cellStyle name="Normal 8 2 3 6 3 2 2" xfId="40264"/>
    <cellStyle name="Normal 8 2 3 6 3 3" xfId="40265"/>
    <cellStyle name="Normal 8 2 3 6 4" xfId="40266"/>
    <cellStyle name="Normal 8 2 3 6 4 2" xfId="40267"/>
    <cellStyle name="Normal 8 2 3 6 5" xfId="40268"/>
    <cellStyle name="Normal 8 2 3 6 5 2" xfId="40269"/>
    <cellStyle name="Normal 8 2 3 6 6" xfId="40270"/>
    <cellStyle name="Normal 8 2 3 7" xfId="40271"/>
    <cellStyle name="Normal 8 2 3 7 2" xfId="40272"/>
    <cellStyle name="Normal 8 2 3 7 2 2" xfId="40273"/>
    <cellStyle name="Normal 8 2 3 7 2 2 2" xfId="40274"/>
    <cellStyle name="Normal 8 2 3 7 2 2 2 2" xfId="40275"/>
    <cellStyle name="Normal 8 2 3 7 2 2 3" xfId="40276"/>
    <cellStyle name="Normal 8 2 3 7 2 3" xfId="40277"/>
    <cellStyle name="Normal 8 2 3 7 2 3 2" xfId="40278"/>
    <cellStyle name="Normal 8 2 3 7 2 4" xfId="40279"/>
    <cellStyle name="Normal 8 2 3 7 3" xfId="40280"/>
    <cellStyle name="Normal 8 2 3 7 3 2" xfId="40281"/>
    <cellStyle name="Normal 8 2 3 7 3 2 2" xfId="40282"/>
    <cellStyle name="Normal 8 2 3 7 3 3" xfId="40283"/>
    <cellStyle name="Normal 8 2 3 7 4" xfId="40284"/>
    <cellStyle name="Normal 8 2 3 7 4 2" xfId="40285"/>
    <cellStyle name="Normal 8 2 3 7 5" xfId="40286"/>
    <cellStyle name="Normal 8 2 3 7 5 2" xfId="40287"/>
    <cellStyle name="Normal 8 2 3 7 6" xfId="40288"/>
    <cellStyle name="Normal 8 2 3 8" xfId="40289"/>
    <cellStyle name="Normal 8 2 3 8 2" xfId="40290"/>
    <cellStyle name="Normal 8 2 3 8 2 2" xfId="40291"/>
    <cellStyle name="Normal 8 2 3 8 2 2 2" xfId="40292"/>
    <cellStyle name="Normal 8 2 3 8 2 3" xfId="40293"/>
    <cellStyle name="Normal 8 2 3 8 3" xfId="40294"/>
    <cellStyle name="Normal 8 2 3 8 3 2" xfId="40295"/>
    <cellStyle name="Normal 8 2 3 8 4" xfId="40296"/>
    <cellStyle name="Normal 8 2 3 9" xfId="40297"/>
    <cellStyle name="Normal 8 2 3 9 2" xfId="40298"/>
    <cellStyle name="Normal 8 2 3 9 2 2" xfId="40299"/>
    <cellStyle name="Normal 8 2 3 9 3" xfId="40300"/>
    <cellStyle name="Normal 8 2 4" xfId="40301"/>
    <cellStyle name="Normal 8 2 4 2" xfId="40302"/>
    <cellStyle name="Normal 8 2 4 2 2" xfId="40303"/>
    <cellStyle name="Normal 8 2 4 2 2 2" xfId="40304"/>
    <cellStyle name="Normal 8 2 4 2 3" xfId="40305"/>
    <cellStyle name="Normal 8 2 4 2 4" xfId="40306"/>
    <cellStyle name="Normal 8 2 4 3" xfId="40307"/>
    <cellStyle name="Normal 8 2 4 4" xfId="40308"/>
    <cellStyle name="Normal 8 2 4 4 2" xfId="40309"/>
    <cellStyle name="Normal 8 2 4 5" xfId="40310"/>
    <cellStyle name="Normal 8 2 4 6" xfId="40311"/>
    <cellStyle name="Normal 8 2 5" xfId="40312"/>
    <cellStyle name="Normal 8 2 5 2" xfId="40313"/>
    <cellStyle name="Normal 8 2 5 2 2" xfId="40314"/>
    <cellStyle name="Normal 8 2 5 3" xfId="40315"/>
    <cellStyle name="Normal 8 2 5 4" xfId="40316"/>
    <cellStyle name="Normal 8 2 6" xfId="40317"/>
    <cellStyle name="Normal 8 2 7" xfId="40318"/>
    <cellStyle name="Normal 8 2 7 2" xfId="40319"/>
    <cellStyle name="Normal 8 2 8" xfId="40320"/>
    <cellStyle name="Normal 8 2 9" xfId="40321"/>
    <cellStyle name="Normal 8 3" xfId="611"/>
    <cellStyle name="Normal 8 3 2" xfId="612"/>
    <cellStyle name="Normal 8 3 2 2" xfId="40322"/>
    <cellStyle name="Normal 8 3 2 2 2" xfId="40323"/>
    <cellStyle name="Normal 8 3 2 2 2 2" xfId="40324"/>
    <cellStyle name="Normal 8 3 2 2 3" xfId="40325"/>
    <cellStyle name="Normal 8 3 2 2 4" xfId="40326"/>
    <cellStyle name="Normal 8 3 2 3" xfId="40327"/>
    <cellStyle name="Normal 8 3 2 3 2" xfId="40328"/>
    <cellStyle name="Normal 8 3 2 4" xfId="40329"/>
    <cellStyle name="Normal 8 3 2 5" xfId="40330"/>
    <cellStyle name="Normal 8 3 3" xfId="40331"/>
    <cellStyle name="Normal 8 3 3 2" xfId="40332"/>
    <cellStyle name="Normal 8 3 3 2 2" xfId="40333"/>
    <cellStyle name="Normal 8 3 3 3" xfId="40334"/>
    <cellStyle name="Normal 8 3 3 4" xfId="40335"/>
    <cellStyle name="Normal 8 3 4" xfId="40336"/>
    <cellStyle name="Normal 8 3 5" xfId="40337"/>
    <cellStyle name="Normal 8 3 5 2" xfId="40338"/>
    <cellStyle name="Normal 8 3 6" xfId="40339"/>
    <cellStyle name="Normal 8 3 7" xfId="40340"/>
    <cellStyle name="Normal 8 4" xfId="613"/>
    <cellStyle name="Normal 8 4 2" xfId="40341"/>
    <cellStyle name="Normal 8 4 2 2" xfId="40342"/>
    <cellStyle name="Normal 8 4 2 2 2" xfId="40343"/>
    <cellStyle name="Normal 8 4 2 2 2 2" xfId="40344"/>
    <cellStyle name="Normal 8 4 2 2 3" xfId="40345"/>
    <cellStyle name="Normal 8 4 2 2 4" xfId="40346"/>
    <cellStyle name="Normal 8 4 2 3" xfId="40347"/>
    <cellStyle name="Normal 8 4 2 3 2" xfId="40348"/>
    <cellStyle name="Normal 8 4 2 4" xfId="40349"/>
    <cellStyle name="Normal 8 4 2 5" xfId="40350"/>
    <cellStyle name="Normal 8 4 3" xfId="40351"/>
    <cellStyle name="Normal 8 4 3 2" xfId="40352"/>
    <cellStyle name="Normal 8 4 3 2 2" xfId="40353"/>
    <cellStyle name="Normal 8 4 3 3" xfId="40354"/>
    <cellStyle name="Normal 8 4 3 4" xfId="40355"/>
    <cellStyle name="Normal 8 4 4" xfId="40356"/>
    <cellStyle name="Normal 8 4 5" xfId="40357"/>
    <cellStyle name="Normal 8 4 5 2" xfId="40358"/>
    <cellStyle name="Normal 8 4 6" xfId="40359"/>
    <cellStyle name="Normal 8 4 7" xfId="40360"/>
    <cellStyle name="Normal 8 5" xfId="40361"/>
    <cellStyle name="Normal 8 5 10" xfId="40362"/>
    <cellStyle name="Normal 8 5 2" xfId="40363"/>
    <cellStyle name="Normal 8 5 2 10" xfId="40364"/>
    <cellStyle name="Normal 8 5 2 10 2" xfId="40365"/>
    <cellStyle name="Normal 8 5 2 11" xfId="40366"/>
    <cellStyle name="Normal 8 5 2 11 2" xfId="40367"/>
    <cellStyle name="Normal 8 5 2 12" xfId="40368"/>
    <cellStyle name="Normal 8 5 2 12 2" xfId="40369"/>
    <cellStyle name="Normal 8 5 2 13" xfId="40370"/>
    <cellStyle name="Normal 8 5 2 14" xfId="40371"/>
    <cellStyle name="Normal 8 5 2 2" xfId="40372"/>
    <cellStyle name="Normal 8 5 2 2 2" xfId="40373"/>
    <cellStyle name="Normal 8 5 2 2 2 2" xfId="40374"/>
    <cellStyle name="Normal 8 5 2 2 2 2 2" xfId="40375"/>
    <cellStyle name="Normal 8 5 2 2 2 2 2 2" xfId="40376"/>
    <cellStyle name="Normal 8 5 2 2 2 2 2 2 2" xfId="40377"/>
    <cellStyle name="Normal 8 5 2 2 2 2 2 3" xfId="40378"/>
    <cellStyle name="Normal 8 5 2 2 2 2 3" xfId="40379"/>
    <cellStyle name="Normal 8 5 2 2 2 2 3 2" xfId="40380"/>
    <cellStyle name="Normal 8 5 2 2 2 2 4" xfId="40381"/>
    <cellStyle name="Normal 8 5 2 2 2 3" xfId="40382"/>
    <cellStyle name="Normal 8 5 2 2 2 3 2" xfId="40383"/>
    <cellStyle name="Normal 8 5 2 2 2 3 2 2" xfId="40384"/>
    <cellStyle name="Normal 8 5 2 2 2 3 3" xfId="40385"/>
    <cellStyle name="Normal 8 5 2 2 2 4" xfId="40386"/>
    <cellStyle name="Normal 8 5 2 2 2 4 2" xfId="40387"/>
    <cellStyle name="Normal 8 5 2 2 2 5" xfId="40388"/>
    <cellStyle name="Normal 8 5 2 2 2 5 2" xfId="40389"/>
    <cellStyle name="Normal 8 5 2 2 2 6" xfId="40390"/>
    <cellStyle name="Normal 8 5 2 2 3" xfId="40391"/>
    <cellStyle name="Normal 8 5 2 2 3 2" xfId="40392"/>
    <cellStyle name="Normal 8 5 2 2 3 2 2" xfId="40393"/>
    <cellStyle name="Normal 8 5 2 2 3 2 2 2" xfId="40394"/>
    <cellStyle name="Normal 8 5 2 2 3 2 2 2 2" xfId="40395"/>
    <cellStyle name="Normal 8 5 2 2 3 2 2 3" xfId="40396"/>
    <cellStyle name="Normal 8 5 2 2 3 2 3" xfId="40397"/>
    <cellStyle name="Normal 8 5 2 2 3 2 3 2" xfId="40398"/>
    <cellStyle name="Normal 8 5 2 2 3 2 4" xfId="40399"/>
    <cellStyle name="Normal 8 5 2 2 3 3" xfId="40400"/>
    <cellStyle name="Normal 8 5 2 2 3 3 2" xfId="40401"/>
    <cellStyle name="Normal 8 5 2 2 3 3 2 2" xfId="40402"/>
    <cellStyle name="Normal 8 5 2 2 3 3 3" xfId="40403"/>
    <cellStyle name="Normal 8 5 2 2 3 4" xfId="40404"/>
    <cellStyle name="Normal 8 5 2 2 3 4 2" xfId="40405"/>
    <cellStyle name="Normal 8 5 2 2 3 5" xfId="40406"/>
    <cellStyle name="Normal 8 5 2 2 3 5 2" xfId="40407"/>
    <cellStyle name="Normal 8 5 2 2 3 6" xfId="40408"/>
    <cellStyle name="Normal 8 5 2 2 4" xfId="40409"/>
    <cellStyle name="Normal 8 5 2 2 4 2" xfId="40410"/>
    <cellStyle name="Normal 8 5 2 2 4 2 2" xfId="40411"/>
    <cellStyle name="Normal 8 5 2 2 4 2 2 2" xfId="40412"/>
    <cellStyle name="Normal 8 5 2 2 4 2 3" xfId="40413"/>
    <cellStyle name="Normal 8 5 2 2 4 3" xfId="40414"/>
    <cellStyle name="Normal 8 5 2 2 4 3 2" xfId="40415"/>
    <cellStyle name="Normal 8 5 2 2 4 4" xfId="40416"/>
    <cellStyle name="Normal 8 5 2 2 5" xfId="40417"/>
    <cellStyle name="Normal 8 5 2 2 5 2" xfId="40418"/>
    <cellStyle name="Normal 8 5 2 2 5 2 2" xfId="40419"/>
    <cellStyle name="Normal 8 5 2 2 5 3" xfId="40420"/>
    <cellStyle name="Normal 8 5 2 2 6" xfId="40421"/>
    <cellStyle name="Normal 8 5 2 2 6 2" xfId="40422"/>
    <cellStyle name="Normal 8 5 2 2 7" xfId="40423"/>
    <cellStyle name="Normal 8 5 2 2 7 2" xfId="40424"/>
    <cellStyle name="Normal 8 5 2 2 8" xfId="40425"/>
    <cellStyle name="Normal 8 5 2 3" xfId="40426"/>
    <cellStyle name="Normal 8 5 2 3 2" xfId="40427"/>
    <cellStyle name="Normal 8 5 2 3 2 2" xfId="40428"/>
    <cellStyle name="Normal 8 5 2 3 2 2 2" xfId="40429"/>
    <cellStyle name="Normal 8 5 2 3 2 2 2 2" xfId="40430"/>
    <cellStyle name="Normal 8 5 2 3 2 2 2 2 2" xfId="40431"/>
    <cellStyle name="Normal 8 5 2 3 2 2 2 3" xfId="40432"/>
    <cellStyle name="Normal 8 5 2 3 2 2 3" xfId="40433"/>
    <cellStyle name="Normal 8 5 2 3 2 2 3 2" xfId="40434"/>
    <cellStyle name="Normal 8 5 2 3 2 2 4" xfId="40435"/>
    <cellStyle name="Normal 8 5 2 3 2 3" xfId="40436"/>
    <cellStyle name="Normal 8 5 2 3 2 3 2" xfId="40437"/>
    <cellStyle name="Normal 8 5 2 3 2 3 2 2" xfId="40438"/>
    <cellStyle name="Normal 8 5 2 3 2 3 3" xfId="40439"/>
    <cellStyle name="Normal 8 5 2 3 2 4" xfId="40440"/>
    <cellStyle name="Normal 8 5 2 3 2 4 2" xfId="40441"/>
    <cellStyle name="Normal 8 5 2 3 2 5" xfId="40442"/>
    <cellStyle name="Normal 8 5 2 3 2 5 2" xfId="40443"/>
    <cellStyle name="Normal 8 5 2 3 2 6" xfId="40444"/>
    <cellStyle name="Normal 8 5 2 3 3" xfId="40445"/>
    <cellStyle name="Normal 8 5 2 3 3 2" xfId="40446"/>
    <cellStyle name="Normal 8 5 2 3 3 2 2" xfId="40447"/>
    <cellStyle name="Normal 8 5 2 3 3 2 2 2" xfId="40448"/>
    <cellStyle name="Normal 8 5 2 3 3 2 2 2 2" xfId="40449"/>
    <cellStyle name="Normal 8 5 2 3 3 2 2 3" xfId="40450"/>
    <cellStyle name="Normal 8 5 2 3 3 2 3" xfId="40451"/>
    <cellStyle name="Normal 8 5 2 3 3 2 3 2" xfId="40452"/>
    <cellStyle name="Normal 8 5 2 3 3 2 4" xfId="40453"/>
    <cellStyle name="Normal 8 5 2 3 3 3" xfId="40454"/>
    <cellStyle name="Normal 8 5 2 3 3 3 2" xfId="40455"/>
    <cellStyle name="Normal 8 5 2 3 3 3 2 2" xfId="40456"/>
    <cellStyle name="Normal 8 5 2 3 3 3 3" xfId="40457"/>
    <cellStyle name="Normal 8 5 2 3 3 4" xfId="40458"/>
    <cellStyle name="Normal 8 5 2 3 3 4 2" xfId="40459"/>
    <cellStyle name="Normal 8 5 2 3 3 5" xfId="40460"/>
    <cellStyle name="Normal 8 5 2 3 3 5 2" xfId="40461"/>
    <cellStyle name="Normal 8 5 2 3 3 6" xfId="40462"/>
    <cellStyle name="Normal 8 5 2 3 4" xfId="40463"/>
    <cellStyle name="Normal 8 5 2 3 4 2" xfId="40464"/>
    <cellStyle name="Normal 8 5 2 3 4 2 2" xfId="40465"/>
    <cellStyle name="Normal 8 5 2 3 4 2 2 2" xfId="40466"/>
    <cellStyle name="Normal 8 5 2 3 4 2 3" xfId="40467"/>
    <cellStyle name="Normal 8 5 2 3 4 3" xfId="40468"/>
    <cellStyle name="Normal 8 5 2 3 4 3 2" xfId="40469"/>
    <cellStyle name="Normal 8 5 2 3 4 4" xfId="40470"/>
    <cellStyle name="Normal 8 5 2 3 5" xfId="40471"/>
    <cellStyle name="Normal 8 5 2 3 5 2" xfId="40472"/>
    <cellStyle name="Normal 8 5 2 3 5 2 2" xfId="40473"/>
    <cellStyle name="Normal 8 5 2 3 5 3" xfId="40474"/>
    <cellStyle name="Normal 8 5 2 3 6" xfId="40475"/>
    <cellStyle name="Normal 8 5 2 3 6 2" xfId="40476"/>
    <cellStyle name="Normal 8 5 2 3 7" xfId="40477"/>
    <cellStyle name="Normal 8 5 2 3 7 2" xfId="40478"/>
    <cellStyle name="Normal 8 5 2 3 8" xfId="40479"/>
    <cellStyle name="Normal 8 5 2 4" xfId="40480"/>
    <cellStyle name="Normal 8 5 2 4 2" xfId="40481"/>
    <cellStyle name="Normal 8 5 2 4 2 2" xfId="40482"/>
    <cellStyle name="Normal 8 5 2 4 2 2 2" xfId="40483"/>
    <cellStyle name="Normal 8 5 2 4 2 2 2 2" xfId="40484"/>
    <cellStyle name="Normal 8 5 2 4 2 2 3" xfId="40485"/>
    <cellStyle name="Normal 8 5 2 4 2 3" xfId="40486"/>
    <cellStyle name="Normal 8 5 2 4 2 3 2" xfId="40487"/>
    <cellStyle name="Normal 8 5 2 4 2 4" xfId="40488"/>
    <cellStyle name="Normal 8 5 2 4 3" xfId="40489"/>
    <cellStyle name="Normal 8 5 2 4 3 2" xfId="40490"/>
    <cellStyle name="Normal 8 5 2 4 3 2 2" xfId="40491"/>
    <cellStyle name="Normal 8 5 2 4 3 3" xfId="40492"/>
    <cellStyle name="Normal 8 5 2 4 4" xfId="40493"/>
    <cellStyle name="Normal 8 5 2 4 4 2" xfId="40494"/>
    <cellStyle name="Normal 8 5 2 4 5" xfId="40495"/>
    <cellStyle name="Normal 8 5 2 4 5 2" xfId="40496"/>
    <cellStyle name="Normal 8 5 2 4 6" xfId="40497"/>
    <cellStyle name="Normal 8 5 2 5" xfId="40498"/>
    <cellStyle name="Normal 8 5 2 5 2" xfId="40499"/>
    <cellStyle name="Normal 8 5 2 5 2 2" xfId="40500"/>
    <cellStyle name="Normal 8 5 2 5 2 2 2" xfId="40501"/>
    <cellStyle name="Normal 8 5 2 5 2 2 2 2" xfId="40502"/>
    <cellStyle name="Normal 8 5 2 5 2 2 3" xfId="40503"/>
    <cellStyle name="Normal 8 5 2 5 2 3" xfId="40504"/>
    <cellStyle name="Normal 8 5 2 5 2 3 2" xfId="40505"/>
    <cellStyle name="Normal 8 5 2 5 2 4" xfId="40506"/>
    <cellStyle name="Normal 8 5 2 5 3" xfId="40507"/>
    <cellStyle name="Normal 8 5 2 5 3 2" xfId="40508"/>
    <cellStyle name="Normal 8 5 2 5 3 2 2" xfId="40509"/>
    <cellStyle name="Normal 8 5 2 5 3 3" xfId="40510"/>
    <cellStyle name="Normal 8 5 2 5 4" xfId="40511"/>
    <cellStyle name="Normal 8 5 2 5 4 2" xfId="40512"/>
    <cellStyle name="Normal 8 5 2 5 5" xfId="40513"/>
    <cellStyle name="Normal 8 5 2 5 5 2" xfId="40514"/>
    <cellStyle name="Normal 8 5 2 5 6" xfId="40515"/>
    <cellStyle name="Normal 8 5 2 6" xfId="40516"/>
    <cellStyle name="Normal 8 5 2 6 2" xfId="40517"/>
    <cellStyle name="Normal 8 5 2 6 2 2" xfId="40518"/>
    <cellStyle name="Normal 8 5 2 6 2 2 2" xfId="40519"/>
    <cellStyle name="Normal 8 5 2 6 2 2 2 2" xfId="40520"/>
    <cellStyle name="Normal 8 5 2 6 2 2 3" xfId="40521"/>
    <cellStyle name="Normal 8 5 2 6 2 3" xfId="40522"/>
    <cellStyle name="Normal 8 5 2 6 2 3 2" xfId="40523"/>
    <cellStyle name="Normal 8 5 2 6 2 4" xfId="40524"/>
    <cellStyle name="Normal 8 5 2 6 3" xfId="40525"/>
    <cellStyle name="Normal 8 5 2 6 3 2" xfId="40526"/>
    <cellStyle name="Normal 8 5 2 6 3 2 2" xfId="40527"/>
    <cellStyle name="Normal 8 5 2 6 3 3" xfId="40528"/>
    <cellStyle name="Normal 8 5 2 6 4" xfId="40529"/>
    <cellStyle name="Normal 8 5 2 6 4 2" xfId="40530"/>
    <cellStyle name="Normal 8 5 2 6 5" xfId="40531"/>
    <cellStyle name="Normal 8 5 2 6 5 2" xfId="40532"/>
    <cellStyle name="Normal 8 5 2 6 6" xfId="40533"/>
    <cellStyle name="Normal 8 5 2 7" xfId="40534"/>
    <cellStyle name="Normal 8 5 2 7 2" xfId="40535"/>
    <cellStyle name="Normal 8 5 2 7 2 2" xfId="40536"/>
    <cellStyle name="Normal 8 5 2 7 2 2 2" xfId="40537"/>
    <cellStyle name="Normal 8 5 2 7 2 3" xfId="40538"/>
    <cellStyle name="Normal 8 5 2 7 3" xfId="40539"/>
    <cellStyle name="Normal 8 5 2 7 3 2" xfId="40540"/>
    <cellStyle name="Normal 8 5 2 7 4" xfId="40541"/>
    <cellStyle name="Normal 8 5 2 8" xfId="40542"/>
    <cellStyle name="Normal 8 5 2 8 2" xfId="40543"/>
    <cellStyle name="Normal 8 5 2 8 2 2" xfId="40544"/>
    <cellStyle name="Normal 8 5 2 8 3" xfId="40545"/>
    <cellStyle name="Normal 8 5 2 9" xfId="40546"/>
    <cellStyle name="Normal 8 5 2 9 2" xfId="40547"/>
    <cellStyle name="Normal 8 5 3" xfId="40548"/>
    <cellStyle name="Normal 8 5 3 10" xfId="40549"/>
    <cellStyle name="Normal 8 5 3 10 2" xfId="40550"/>
    <cellStyle name="Normal 8 5 3 11" xfId="40551"/>
    <cellStyle name="Normal 8 5 3 12" xfId="40552"/>
    <cellStyle name="Normal 8 5 3 2" xfId="40553"/>
    <cellStyle name="Normal 8 5 3 2 2" xfId="40554"/>
    <cellStyle name="Normal 8 5 3 2 2 2" xfId="40555"/>
    <cellStyle name="Normal 8 5 3 2 2 2 2" xfId="40556"/>
    <cellStyle name="Normal 8 5 3 2 2 2 2 2" xfId="40557"/>
    <cellStyle name="Normal 8 5 3 2 2 2 2 2 2" xfId="40558"/>
    <cellStyle name="Normal 8 5 3 2 2 2 2 3" xfId="40559"/>
    <cellStyle name="Normal 8 5 3 2 2 2 3" xfId="40560"/>
    <cellStyle name="Normal 8 5 3 2 2 2 3 2" xfId="40561"/>
    <cellStyle name="Normal 8 5 3 2 2 2 4" xfId="40562"/>
    <cellStyle name="Normal 8 5 3 2 2 3" xfId="40563"/>
    <cellStyle name="Normal 8 5 3 2 2 3 2" xfId="40564"/>
    <cellStyle name="Normal 8 5 3 2 2 3 2 2" xfId="40565"/>
    <cellStyle name="Normal 8 5 3 2 2 3 3" xfId="40566"/>
    <cellStyle name="Normal 8 5 3 2 2 4" xfId="40567"/>
    <cellStyle name="Normal 8 5 3 2 2 4 2" xfId="40568"/>
    <cellStyle name="Normal 8 5 3 2 2 5" xfId="40569"/>
    <cellStyle name="Normal 8 5 3 2 2 5 2" xfId="40570"/>
    <cellStyle name="Normal 8 5 3 2 2 6" xfId="40571"/>
    <cellStyle name="Normal 8 5 3 2 3" xfId="40572"/>
    <cellStyle name="Normal 8 5 3 2 3 2" xfId="40573"/>
    <cellStyle name="Normal 8 5 3 2 3 2 2" xfId="40574"/>
    <cellStyle name="Normal 8 5 3 2 3 2 2 2" xfId="40575"/>
    <cellStyle name="Normal 8 5 3 2 3 2 2 2 2" xfId="40576"/>
    <cellStyle name="Normal 8 5 3 2 3 2 2 3" xfId="40577"/>
    <cellStyle name="Normal 8 5 3 2 3 2 3" xfId="40578"/>
    <cellStyle name="Normal 8 5 3 2 3 2 3 2" xfId="40579"/>
    <cellStyle name="Normal 8 5 3 2 3 2 4" xfId="40580"/>
    <cellStyle name="Normal 8 5 3 2 3 3" xfId="40581"/>
    <cellStyle name="Normal 8 5 3 2 3 3 2" xfId="40582"/>
    <cellStyle name="Normal 8 5 3 2 3 3 2 2" xfId="40583"/>
    <cellStyle name="Normal 8 5 3 2 3 3 3" xfId="40584"/>
    <cellStyle name="Normal 8 5 3 2 3 4" xfId="40585"/>
    <cellStyle name="Normal 8 5 3 2 3 4 2" xfId="40586"/>
    <cellStyle name="Normal 8 5 3 2 3 5" xfId="40587"/>
    <cellStyle name="Normal 8 5 3 2 3 5 2" xfId="40588"/>
    <cellStyle name="Normal 8 5 3 2 3 6" xfId="40589"/>
    <cellStyle name="Normal 8 5 3 2 4" xfId="40590"/>
    <cellStyle name="Normal 8 5 3 2 4 2" xfId="40591"/>
    <cellStyle name="Normal 8 5 3 2 4 2 2" xfId="40592"/>
    <cellStyle name="Normal 8 5 3 2 4 2 2 2" xfId="40593"/>
    <cellStyle name="Normal 8 5 3 2 4 2 3" xfId="40594"/>
    <cellStyle name="Normal 8 5 3 2 4 3" xfId="40595"/>
    <cellStyle name="Normal 8 5 3 2 4 3 2" xfId="40596"/>
    <cellStyle name="Normal 8 5 3 2 4 4" xfId="40597"/>
    <cellStyle name="Normal 8 5 3 2 5" xfId="40598"/>
    <cellStyle name="Normal 8 5 3 2 5 2" xfId="40599"/>
    <cellStyle name="Normal 8 5 3 2 5 2 2" xfId="40600"/>
    <cellStyle name="Normal 8 5 3 2 5 3" xfId="40601"/>
    <cellStyle name="Normal 8 5 3 2 6" xfId="40602"/>
    <cellStyle name="Normal 8 5 3 2 6 2" xfId="40603"/>
    <cellStyle name="Normal 8 5 3 2 7" xfId="40604"/>
    <cellStyle name="Normal 8 5 3 2 7 2" xfId="40605"/>
    <cellStyle name="Normal 8 5 3 2 8" xfId="40606"/>
    <cellStyle name="Normal 8 5 3 3" xfId="40607"/>
    <cellStyle name="Normal 8 5 3 3 2" xfId="40608"/>
    <cellStyle name="Normal 8 5 3 3 2 2" xfId="40609"/>
    <cellStyle name="Normal 8 5 3 3 2 2 2" xfId="40610"/>
    <cellStyle name="Normal 8 5 3 3 2 2 2 2" xfId="40611"/>
    <cellStyle name="Normal 8 5 3 3 2 2 2 2 2" xfId="40612"/>
    <cellStyle name="Normal 8 5 3 3 2 2 2 3" xfId="40613"/>
    <cellStyle name="Normal 8 5 3 3 2 2 3" xfId="40614"/>
    <cellStyle name="Normal 8 5 3 3 2 2 3 2" xfId="40615"/>
    <cellStyle name="Normal 8 5 3 3 2 2 4" xfId="40616"/>
    <cellStyle name="Normal 8 5 3 3 2 3" xfId="40617"/>
    <cellStyle name="Normal 8 5 3 3 2 3 2" xfId="40618"/>
    <cellStyle name="Normal 8 5 3 3 2 3 2 2" xfId="40619"/>
    <cellStyle name="Normal 8 5 3 3 2 3 3" xfId="40620"/>
    <cellStyle name="Normal 8 5 3 3 2 4" xfId="40621"/>
    <cellStyle name="Normal 8 5 3 3 2 4 2" xfId="40622"/>
    <cellStyle name="Normal 8 5 3 3 2 5" xfId="40623"/>
    <cellStyle name="Normal 8 5 3 3 2 5 2" xfId="40624"/>
    <cellStyle name="Normal 8 5 3 3 2 6" xfId="40625"/>
    <cellStyle name="Normal 8 5 3 3 3" xfId="40626"/>
    <cellStyle name="Normal 8 5 3 3 3 2" xfId="40627"/>
    <cellStyle name="Normal 8 5 3 3 3 2 2" xfId="40628"/>
    <cellStyle name="Normal 8 5 3 3 3 2 2 2" xfId="40629"/>
    <cellStyle name="Normal 8 5 3 3 3 2 2 2 2" xfId="40630"/>
    <cellStyle name="Normal 8 5 3 3 3 2 2 3" xfId="40631"/>
    <cellStyle name="Normal 8 5 3 3 3 2 3" xfId="40632"/>
    <cellStyle name="Normal 8 5 3 3 3 2 3 2" xfId="40633"/>
    <cellStyle name="Normal 8 5 3 3 3 2 4" xfId="40634"/>
    <cellStyle name="Normal 8 5 3 3 3 3" xfId="40635"/>
    <cellStyle name="Normal 8 5 3 3 3 3 2" xfId="40636"/>
    <cellStyle name="Normal 8 5 3 3 3 3 2 2" xfId="40637"/>
    <cellStyle name="Normal 8 5 3 3 3 3 3" xfId="40638"/>
    <cellStyle name="Normal 8 5 3 3 3 4" xfId="40639"/>
    <cellStyle name="Normal 8 5 3 3 3 4 2" xfId="40640"/>
    <cellStyle name="Normal 8 5 3 3 3 5" xfId="40641"/>
    <cellStyle name="Normal 8 5 3 3 3 5 2" xfId="40642"/>
    <cellStyle name="Normal 8 5 3 3 3 6" xfId="40643"/>
    <cellStyle name="Normal 8 5 3 3 4" xfId="40644"/>
    <cellStyle name="Normal 8 5 3 3 4 2" xfId="40645"/>
    <cellStyle name="Normal 8 5 3 3 4 2 2" xfId="40646"/>
    <cellStyle name="Normal 8 5 3 3 4 2 2 2" xfId="40647"/>
    <cellStyle name="Normal 8 5 3 3 4 2 3" xfId="40648"/>
    <cellStyle name="Normal 8 5 3 3 4 3" xfId="40649"/>
    <cellStyle name="Normal 8 5 3 3 4 3 2" xfId="40650"/>
    <cellStyle name="Normal 8 5 3 3 4 4" xfId="40651"/>
    <cellStyle name="Normal 8 5 3 3 5" xfId="40652"/>
    <cellStyle name="Normal 8 5 3 3 5 2" xfId="40653"/>
    <cellStyle name="Normal 8 5 3 3 5 2 2" xfId="40654"/>
    <cellStyle name="Normal 8 5 3 3 5 3" xfId="40655"/>
    <cellStyle name="Normal 8 5 3 3 6" xfId="40656"/>
    <cellStyle name="Normal 8 5 3 3 6 2" xfId="40657"/>
    <cellStyle name="Normal 8 5 3 3 7" xfId="40658"/>
    <cellStyle name="Normal 8 5 3 3 7 2" xfId="40659"/>
    <cellStyle name="Normal 8 5 3 3 8" xfId="40660"/>
    <cellStyle name="Normal 8 5 3 4" xfId="40661"/>
    <cellStyle name="Normal 8 5 3 4 2" xfId="40662"/>
    <cellStyle name="Normal 8 5 3 4 2 2" xfId="40663"/>
    <cellStyle name="Normal 8 5 3 4 2 2 2" xfId="40664"/>
    <cellStyle name="Normal 8 5 3 4 2 2 2 2" xfId="40665"/>
    <cellStyle name="Normal 8 5 3 4 2 2 3" xfId="40666"/>
    <cellStyle name="Normal 8 5 3 4 2 3" xfId="40667"/>
    <cellStyle name="Normal 8 5 3 4 2 3 2" xfId="40668"/>
    <cellStyle name="Normal 8 5 3 4 2 4" xfId="40669"/>
    <cellStyle name="Normal 8 5 3 4 3" xfId="40670"/>
    <cellStyle name="Normal 8 5 3 4 3 2" xfId="40671"/>
    <cellStyle name="Normal 8 5 3 4 3 2 2" xfId="40672"/>
    <cellStyle name="Normal 8 5 3 4 3 3" xfId="40673"/>
    <cellStyle name="Normal 8 5 3 4 4" xfId="40674"/>
    <cellStyle name="Normal 8 5 3 4 4 2" xfId="40675"/>
    <cellStyle name="Normal 8 5 3 4 5" xfId="40676"/>
    <cellStyle name="Normal 8 5 3 4 5 2" xfId="40677"/>
    <cellStyle name="Normal 8 5 3 4 6" xfId="40678"/>
    <cellStyle name="Normal 8 5 3 5" xfId="40679"/>
    <cellStyle name="Normal 8 5 3 5 2" xfId="40680"/>
    <cellStyle name="Normal 8 5 3 5 2 2" xfId="40681"/>
    <cellStyle name="Normal 8 5 3 5 2 2 2" xfId="40682"/>
    <cellStyle name="Normal 8 5 3 5 2 2 2 2" xfId="40683"/>
    <cellStyle name="Normal 8 5 3 5 2 2 3" xfId="40684"/>
    <cellStyle name="Normal 8 5 3 5 2 3" xfId="40685"/>
    <cellStyle name="Normal 8 5 3 5 2 3 2" xfId="40686"/>
    <cellStyle name="Normal 8 5 3 5 2 4" xfId="40687"/>
    <cellStyle name="Normal 8 5 3 5 3" xfId="40688"/>
    <cellStyle name="Normal 8 5 3 5 3 2" xfId="40689"/>
    <cellStyle name="Normal 8 5 3 5 3 2 2" xfId="40690"/>
    <cellStyle name="Normal 8 5 3 5 3 3" xfId="40691"/>
    <cellStyle name="Normal 8 5 3 5 4" xfId="40692"/>
    <cellStyle name="Normal 8 5 3 5 4 2" xfId="40693"/>
    <cellStyle name="Normal 8 5 3 5 5" xfId="40694"/>
    <cellStyle name="Normal 8 5 3 5 5 2" xfId="40695"/>
    <cellStyle name="Normal 8 5 3 5 6" xfId="40696"/>
    <cellStyle name="Normal 8 5 3 6" xfId="40697"/>
    <cellStyle name="Normal 8 5 3 6 2" xfId="40698"/>
    <cellStyle name="Normal 8 5 3 6 2 2" xfId="40699"/>
    <cellStyle name="Normal 8 5 3 6 2 2 2" xfId="40700"/>
    <cellStyle name="Normal 8 5 3 6 2 2 2 2" xfId="40701"/>
    <cellStyle name="Normal 8 5 3 6 2 2 3" xfId="40702"/>
    <cellStyle name="Normal 8 5 3 6 2 3" xfId="40703"/>
    <cellStyle name="Normal 8 5 3 6 2 3 2" xfId="40704"/>
    <cellStyle name="Normal 8 5 3 6 2 4" xfId="40705"/>
    <cellStyle name="Normal 8 5 3 6 3" xfId="40706"/>
    <cellStyle name="Normal 8 5 3 6 3 2" xfId="40707"/>
    <cellStyle name="Normal 8 5 3 6 3 2 2" xfId="40708"/>
    <cellStyle name="Normal 8 5 3 6 3 3" xfId="40709"/>
    <cellStyle name="Normal 8 5 3 6 4" xfId="40710"/>
    <cellStyle name="Normal 8 5 3 6 4 2" xfId="40711"/>
    <cellStyle name="Normal 8 5 3 6 5" xfId="40712"/>
    <cellStyle name="Normal 8 5 3 6 5 2" xfId="40713"/>
    <cellStyle name="Normal 8 5 3 6 6" xfId="40714"/>
    <cellStyle name="Normal 8 5 3 7" xfId="40715"/>
    <cellStyle name="Normal 8 5 3 7 2" xfId="40716"/>
    <cellStyle name="Normal 8 5 3 7 2 2" xfId="40717"/>
    <cellStyle name="Normal 8 5 3 7 2 2 2" xfId="40718"/>
    <cellStyle name="Normal 8 5 3 7 2 3" xfId="40719"/>
    <cellStyle name="Normal 8 5 3 7 3" xfId="40720"/>
    <cellStyle name="Normal 8 5 3 7 3 2" xfId="40721"/>
    <cellStyle name="Normal 8 5 3 7 4" xfId="40722"/>
    <cellStyle name="Normal 8 5 3 8" xfId="40723"/>
    <cellStyle name="Normal 8 5 3 8 2" xfId="40724"/>
    <cellStyle name="Normal 8 5 3 8 2 2" xfId="40725"/>
    <cellStyle name="Normal 8 5 3 8 3" xfId="40726"/>
    <cellStyle name="Normal 8 5 3 9" xfId="40727"/>
    <cellStyle name="Normal 8 5 3 9 2" xfId="40728"/>
    <cellStyle name="Normal 8 5 4" xfId="40729"/>
    <cellStyle name="Normal 8 5 4 2" xfId="40730"/>
    <cellStyle name="Normal 8 5 4 2 2" xfId="40731"/>
    <cellStyle name="Normal 8 5 4 2 2 2" xfId="40732"/>
    <cellStyle name="Normal 8 5 4 2 2 2 2" xfId="40733"/>
    <cellStyle name="Normal 8 5 4 2 2 2 2 2" xfId="40734"/>
    <cellStyle name="Normal 8 5 4 2 2 2 3" xfId="40735"/>
    <cellStyle name="Normal 8 5 4 2 2 3" xfId="40736"/>
    <cellStyle name="Normal 8 5 4 2 2 3 2" xfId="40737"/>
    <cellStyle name="Normal 8 5 4 2 2 4" xfId="40738"/>
    <cellStyle name="Normal 8 5 4 2 3" xfId="40739"/>
    <cellStyle name="Normal 8 5 4 2 3 2" xfId="40740"/>
    <cellStyle name="Normal 8 5 4 2 3 2 2" xfId="40741"/>
    <cellStyle name="Normal 8 5 4 2 3 3" xfId="40742"/>
    <cellStyle name="Normal 8 5 4 2 4" xfId="40743"/>
    <cellStyle name="Normal 8 5 4 2 4 2" xfId="40744"/>
    <cellStyle name="Normal 8 5 4 2 5" xfId="40745"/>
    <cellStyle name="Normal 8 5 4 2 5 2" xfId="40746"/>
    <cellStyle name="Normal 8 5 4 2 6" xfId="40747"/>
    <cellStyle name="Normal 8 5 4 3" xfId="40748"/>
    <cellStyle name="Normal 8 5 4 3 2" xfId="40749"/>
    <cellStyle name="Normal 8 5 4 3 2 2" xfId="40750"/>
    <cellStyle name="Normal 8 5 4 3 2 2 2" xfId="40751"/>
    <cellStyle name="Normal 8 5 4 3 2 2 2 2" xfId="40752"/>
    <cellStyle name="Normal 8 5 4 3 2 2 3" xfId="40753"/>
    <cellStyle name="Normal 8 5 4 3 2 3" xfId="40754"/>
    <cellStyle name="Normal 8 5 4 3 2 3 2" xfId="40755"/>
    <cellStyle name="Normal 8 5 4 3 2 4" xfId="40756"/>
    <cellStyle name="Normal 8 5 4 3 3" xfId="40757"/>
    <cellStyle name="Normal 8 5 4 3 3 2" xfId="40758"/>
    <cellStyle name="Normal 8 5 4 3 3 2 2" xfId="40759"/>
    <cellStyle name="Normal 8 5 4 3 3 3" xfId="40760"/>
    <cellStyle name="Normal 8 5 4 3 4" xfId="40761"/>
    <cellStyle name="Normal 8 5 4 3 4 2" xfId="40762"/>
    <cellStyle name="Normal 8 5 4 3 5" xfId="40763"/>
    <cellStyle name="Normal 8 5 4 3 5 2" xfId="40764"/>
    <cellStyle name="Normal 8 5 4 3 6" xfId="40765"/>
    <cellStyle name="Normal 8 5 4 4" xfId="40766"/>
    <cellStyle name="Normal 8 5 4 4 2" xfId="40767"/>
    <cellStyle name="Normal 8 5 4 4 2 2" xfId="40768"/>
    <cellStyle name="Normal 8 5 4 4 2 2 2" xfId="40769"/>
    <cellStyle name="Normal 8 5 4 4 2 3" xfId="40770"/>
    <cellStyle name="Normal 8 5 4 4 3" xfId="40771"/>
    <cellStyle name="Normal 8 5 4 4 3 2" xfId="40772"/>
    <cellStyle name="Normal 8 5 4 4 4" xfId="40773"/>
    <cellStyle name="Normal 8 5 4 5" xfId="40774"/>
    <cellStyle name="Normal 8 5 4 5 2" xfId="40775"/>
    <cellStyle name="Normal 8 5 4 5 2 2" xfId="40776"/>
    <cellStyle name="Normal 8 5 4 5 3" xfId="40777"/>
    <cellStyle name="Normal 8 5 4 6" xfId="40778"/>
    <cellStyle name="Normal 8 5 4 6 2" xfId="40779"/>
    <cellStyle name="Normal 8 5 4 7" xfId="40780"/>
    <cellStyle name="Normal 8 5 4 7 2" xfId="40781"/>
    <cellStyle name="Normal 8 5 4 8" xfId="40782"/>
    <cellStyle name="Normal 8 5 5" xfId="40783"/>
    <cellStyle name="Normal 8 5 5 2" xfId="40784"/>
    <cellStyle name="Normal 8 5 5 2 2" xfId="40785"/>
    <cellStyle name="Normal 8 5 5 2 2 2" xfId="40786"/>
    <cellStyle name="Normal 8 5 5 2 2 2 2" xfId="40787"/>
    <cellStyle name="Normal 8 5 5 2 2 2 2 2" xfId="40788"/>
    <cellStyle name="Normal 8 5 5 2 2 2 3" xfId="40789"/>
    <cellStyle name="Normal 8 5 5 2 2 3" xfId="40790"/>
    <cellStyle name="Normal 8 5 5 2 2 3 2" xfId="40791"/>
    <cellStyle name="Normal 8 5 5 2 2 4" xfId="40792"/>
    <cellStyle name="Normal 8 5 5 2 3" xfId="40793"/>
    <cellStyle name="Normal 8 5 5 2 3 2" xfId="40794"/>
    <cellStyle name="Normal 8 5 5 2 3 2 2" xfId="40795"/>
    <cellStyle name="Normal 8 5 5 2 3 3" xfId="40796"/>
    <cellStyle name="Normal 8 5 5 2 4" xfId="40797"/>
    <cellStyle name="Normal 8 5 5 2 4 2" xfId="40798"/>
    <cellStyle name="Normal 8 5 5 2 5" xfId="40799"/>
    <cellStyle name="Normal 8 5 5 2 5 2" xfId="40800"/>
    <cellStyle name="Normal 8 5 5 2 6" xfId="40801"/>
    <cellStyle name="Normal 8 5 5 3" xfId="40802"/>
    <cellStyle name="Normal 8 5 5 3 2" xfId="40803"/>
    <cellStyle name="Normal 8 5 5 3 2 2" xfId="40804"/>
    <cellStyle name="Normal 8 5 5 3 2 2 2" xfId="40805"/>
    <cellStyle name="Normal 8 5 5 3 2 2 2 2" xfId="40806"/>
    <cellStyle name="Normal 8 5 5 3 2 2 3" xfId="40807"/>
    <cellStyle name="Normal 8 5 5 3 2 3" xfId="40808"/>
    <cellStyle name="Normal 8 5 5 3 2 3 2" xfId="40809"/>
    <cellStyle name="Normal 8 5 5 3 2 4" xfId="40810"/>
    <cellStyle name="Normal 8 5 5 3 3" xfId="40811"/>
    <cellStyle name="Normal 8 5 5 3 3 2" xfId="40812"/>
    <cellStyle name="Normal 8 5 5 3 3 2 2" xfId="40813"/>
    <cellStyle name="Normal 8 5 5 3 3 3" xfId="40814"/>
    <cellStyle name="Normal 8 5 5 3 4" xfId="40815"/>
    <cellStyle name="Normal 8 5 5 3 4 2" xfId="40816"/>
    <cellStyle name="Normal 8 5 5 3 5" xfId="40817"/>
    <cellStyle name="Normal 8 5 5 3 5 2" xfId="40818"/>
    <cellStyle name="Normal 8 5 5 3 6" xfId="40819"/>
    <cellStyle name="Normal 8 5 5 4" xfId="40820"/>
    <cellStyle name="Normal 8 5 5 4 2" xfId="40821"/>
    <cellStyle name="Normal 8 5 5 4 2 2" xfId="40822"/>
    <cellStyle name="Normal 8 5 5 4 2 2 2" xfId="40823"/>
    <cellStyle name="Normal 8 5 5 4 2 3" xfId="40824"/>
    <cellStyle name="Normal 8 5 5 4 3" xfId="40825"/>
    <cellStyle name="Normal 8 5 5 4 3 2" xfId="40826"/>
    <cellStyle name="Normal 8 5 5 4 4" xfId="40827"/>
    <cellStyle name="Normal 8 5 5 5" xfId="40828"/>
    <cellStyle name="Normal 8 5 5 5 2" xfId="40829"/>
    <cellStyle name="Normal 8 5 5 5 2 2" xfId="40830"/>
    <cellStyle name="Normal 8 5 5 5 3" xfId="40831"/>
    <cellStyle name="Normal 8 5 5 6" xfId="40832"/>
    <cellStyle name="Normal 8 5 5 6 2" xfId="40833"/>
    <cellStyle name="Normal 8 5 5 7" xfId="40834"/>
    <cellStyle name="Normal 8 5 5 7 2" xfId="40835"/>
    <cellStyle name="Normal 8 5 5 8" xfId="40836"/>
    <cellStyle name="Normal 8 5 6" xfId="40837"/>
    <cellStyle name="Normal 8 5 6 2" xfId="40838"/>
    <cellStyle name="Normal 8 5 6 2 2" xfId="40839"/>
    <cellStyle name="Normal 8 5 6 2 2 2" xfId="40840"/>
    <cellStyle name="Normal 8 5 6 2 2 2 2" xfId="40841"/>
    <cellStyle name="Normal 8 5 6 2 2 3" xfId="40842"/>
    <cellStyle name="Normal 8 5 6 2 3" xfId="40843"/>
    <cellStyle name="Normal 8 5 6 2 3 2" xfId="40844"/>
    <cellStyle name="Normal 8 5 6 2 4" xfId="40845"/>
    <cellStyle name="Normal 8 5 6 3" xfId="40846"/>
    <cellStyle name="Normal 8 5 6 3 2" xfId="40847"/>
    <cellStyle name="Normal 8 5 6 3 2 2" xfId="40848"/>
    <cellStyle name="Normal 8 5 6 3 3" xfId="40849"/>
    <cellStyle name="Normal 8 5 6 4" xfId="40850"/>
    <cellStyle name="Normal 8 5 6 4 2" xfId="40851"/>
    <cellStyle name="Normal 8 5 6 5" xfId="40852"/>
    <cellStyle name="Normal 8 5 6 5 2" xfId="40853"/>
    <cellStyle name="Normal 8 5 6 6" xfId="40854"/>
    <cellStyle name="Normal 8 5 7" xfId="40855"/>
    <cellStyle name="Normal 8 5 8" xfId="40856"/>
    <cellStyle name="Normal 8 5 8 2" xfId="40857"/>
    <cellStyle name="Normal 8 5 9" xfId="40858"/>
    <cellStyle name="Normal 8 6" xfId="40859"/>
    <cellStyle name="Normal 8 6 10" xfId="40860"/>
    <cellStyle name="Normal 8 6 10 2" xfId="40861"/>
    <cellStyle name="Normal 8 6 10 2 2" xfId="40862"/>
    <cellStyle name="Normal 8 6 10 2 2 2" xfId="40863"/>
    <cellStyle name="Normal 8 6 10 2 3" xfId="40864"/>
    <cellStyle name="Normal 8 6 10 3" xfId="40865"/>
    <cellStyle name="Normal 8 6 10 3 2" xfId="40866"/>
    <cellStyle name="Normal 8 6 10 4" xfId="40867"/>
    <cellStyle name="Normal 8 6 11" xfId="40868"/>
    <cellStyle name="Normal 8 6 11 2" xfId="40869"/>
    <cellStyle name="Normal 8 6 11 2 2" xfId="40870"/>
    <cellStyle name="Normal 8 6 11 3" xfId="40871"/>
    <cellStyle name="Normal 8 6 12" xfId="40872"/>
    <cellStyle name="Normal 8 6 12 2" xfId="40873"/>
    <cellStyle name="Normal 8 6 13" xfId="40874"/>
    <cellStyle name="Normal 8 6 13 2" xfId="40875"/>
    <cellStyle name="Normal 8 6 14" xfId="40876"/>
    <cellStyle name="Normal 8 6 15" xfId="40877"/>
    <cellStyle name="Normal 8 6 15 2" xfId="40878"/>
    <cellStyle name="Normal 8 6 16" xfId="40879"/>
    <cellStyle name="Normal 8 6 16 2" xfId="40880"/>
    <cellStyle name="Normal 8 6 17" xfId="40881"/>
    <cellStyle name="Normal 8 6 18" xfId="40882"/>
    <cellStyle name="Normal 8 6 2" xfId="40883"/>
    <cellStyle name="Normal 8 6 2 10" xfId="40884"/>
    <cellStyle name="Normal 8 6 2 10 2" xfId="40885"/>
    <cellStyle name="Normal 8 6 2 11" xfId="40886"/>
    <cellStyle name="Normal 8 6 2 2" xfId="40887"/>
    <cellStyle name="Normal 8 6 2 2 2" xfId="40888"/>
    <cellStyle name="Normal 8 6 2 2 2 2" xfId="40889"/>
    <cellStyle name="Normal 8 6 2 2 2 2 2" xfId="40890"/>
    <cellStyle name="Normal 8 6 2 2 2 2 2 2" xfId="40891"/>
    <cellStyle name="Normal 8 6 2 2 2 2 2 2 2" xfId="40892"/>
    <cellStyle name="Normal 8 6 2 2 2 2 2 3" xfId="40893"/>
    <cellStyle name="Normal 8 6 2 2 2 2 3" xfId="40894"/>
    <cellStyle name="Normal 8 6 2 2 2 2 3 2" xfId="40895"/>
    <cellStyle name="Normal 8 6 2 2 2 2 4" xfId="40896"/>
    <cellStyle name="Normal 8 6 2 2 2 3" xfId="40897"/>
    <cellStyle name="Normal 8 6 2 2 2 3 2" xfId="40898"/>
    <cellStyle name="Normal 8 6 2 2 2 3 2 2" xfId="40899"/>
    <cellStyle name="Normal 8 6 2 2 2 3 3" xfId="40900"/>
    <cellStyle name="Normal 8 6 2 2 2 4" xfId="40901"/>
    <cellStyle name="Normal 8 6 2 2 2 4 2" xfId="40902"/>
    <cellStyle name="Normal 8 6 2 2 2 5" xfId="40903"/>
    <cellStyle name="Normal 8 6 2 2 2 5 2" xfId="40904"/>
    <cellStyle name="Normal 8 6 2 2 2 6" xfId="40905"/>
    <cellStyle name="Normal 8 6 2 2 3" xfId="40906"/>
    <cellStyle name="Normal 8 6 2 2 3 2" xfId="40907"/>
    <cellStyle name="Normal 8 6 2 2 3 2 2" xfId="40908"/>
    <cellStyle name="Normal 8 6 2 2 3 2 2 2" xfId="40909"/>
    <cellStyle name="Normal 8 6 2 2 3 2 2 2 2" xfId="40910"/>
    <cellStyle name="Normal 8 6 2 2 3 2 2 3" xfId="40911"/>
    <cellStyle name="Normal 8 6 2 2 3 2 3" xfId="40912"/>
    <cellStyle name="Normal 8 6 2 2 3 2 3 2" xfId="40913"/>
    <cellStyle name="Normal 8 6 2 2 3 2 4" xfId="40914"/>
    <cellStyle name="Normal 8 6 2 2 3 3" xfId="40915"/>
    <cellStyle name="Normal 8 6 2 2 3 3 2" xfId="40916"/>
    <cellStyle name="Normal 8 6 2 2 3 3 2 2" xfId="40917"/>
    <cellStyle name="Normal 8 6 2 2 3 3 3" xfId="40918"/>
    <cellStyle name="Normal 8 6 2 2 3 4" xfId="40919"/>
    <cellStyle name="Normal 8 6 2 2 3 4 2" xfId="40920"/>
    <cellStyle name="Normal 8 6 2 2 3 5" xfId="40921"/>
    <cellStyle name="Normal 8 6 2 2 3 5 2" xfId="40922"/>
    <cellStyle name="Normal 8 6 2 2 3 6" xfId="40923"/>
    <cellStyle name="Normal 8 6 2 2 4" xfId="40924"/>
    <cellStyle name="Normal 8 6 2 2 4 2" xfId="40925"/>
    <cellStyle name="Normal 8 6 2 2 4 2 2" xfId="40926"/>
    <cellStyle name="Normal 8 6 2 2 4 2 2 2" xfId="40927"/>
    <cellStyle name="Normal 8 6 2 2 4 2 3" xfId="40928"/>
    <cellStyle name="Normal 8 6 2 2 4 3" xfId="40929"/>
    <cellStyle name="Normal 8 6 2 2 4 3 2" xfId="40930"/>
    <cellStyle name="Normal 8 6 2 2 4 4" xfId="40931"/>
    <cellStyle name="Normal 8 6 2 2 5" xfId="40932"/>
    <cellStyle name="Normal 8 6 2 2 5 2" xfId="40933"/>
    <cellStyle name="Normal 8 6 2 2 5 2 2" xfId="40934"/>
    <cellStyle name="Normal 8 6 2 2 5 3" xfId="40935"/>
    <cellStyle name="Normal 8 6 2 2 6" xfId="40936"/>
    <cellStyle name="Normal 8 6 2 2 6 2" xfId="40937"/>
    <cellStyle name="Normal 8 6 2 2 7" xfId="40938"/>
    <cellStyle name="Normal 8 6 2 2 7 2" xfId="40939"/>
    <cellStyle name="Normal 8 6 2 2 8" xfId="40940"/>
    <cellStyle name="Normal 8 6 2 3" xfId="40941"/>
    <cellStyle name="Normal 8 6 2 3 2" xfId="40942"/>
    <cellStyle name="Normal 8 6 2 3 2 2" xfId="40943"/>
    <cellStyle name="Normal 8 6 2 3 2 2 2" xfId="40944"/>
    <cellStyle name="Normal 8 6 2 3 2 2 2 2" xfId="40945"/>
    <cellStyle name="Normal 8 6 2 3 2 2 2 2 2" xfId="40946"/>
    <cellStyle name="Normal 8 6 2 3 2 2 2 3" xfId="40947"/>
    <cellStyle name="Normal 8 6 2 3 2 2 3" xfId="40948"/>
    <cellStyle name="Normal 8 6 2 3 2 2 3 2" xfId="40949"/>
    <cellStyle name="Normal 8 6 2 3 2 2 4" xfId="40950"/>
    <cellStyle name="Normal 8 6 2 3 2 3" xfId="40951"/>
    <cellStyle name="Normal 8 6 2 3 2 3 2" xfId="40952"/>
    <cellStyle name="Normal 8 6 2 3 2 3 2 2" xfId="40953"/>
    <cellStyle name="Normal 8 6 2 3 2 3 3" xfId="40954"/>
    <cellStyle name="Normal 8 6 2 3 2 4" xfId="40955"/>
    <cellStyle name="Normal 8 6 2 3 2 4 2" xfId="40956"/>
    <cellStyle name="Normal 8 6 2 3 2 5" xfId="40957"/>
    <cellStyle name="Normal 8 6 2 3 2 5 2" xfId="40958"/>
    <cellStyle name="Normal 8 6 2 3 2 6" xfId="40959"/>
    <cellStyle name="Normal 8 6 2 3 3" xfId="40960"/>
    <cellStyle name="Normal 8 6 2 3 3 2" xfId="40961"/>
    <cellStyle name="Normal 8 6 2 3 3 2 2" xfId="40962"/>
    <cellStyle name="Normal 8 6 2 3 3 2 2 2" xfId="40963"/>
    <cellStyle name="Normal 8 6 2 3 3 2 2 2 2" xfId="40964"/>
    <cellStyle name="Normal 8 6 2 3 3 2 2 3" xfId="40965"/>
    <cellStyle name="Normal 8 6 2 3 3 2 3" xfId="40966"/>
    <cellStyle name="Normal 8 6 2 3 3 2 3 2" xfId="40967"/>
    <cellStyle name="Normal 8 6 2 3 3 2 4" xfId="40968"/>
    <cellStyle name="Normal 8 6 2 3 3 3" xfId="40969"/>
    <cellStyle name="Normal 8 6 2 3 3 3 2" xfId="40970"/>
    <cellStyle name="Normal 8 6 2 3 3 3 2 2" xfId="40971"/>
    <cellStyle name="Normal 8 6 2 3 3 3 3" xfId="40972"/>
    <cellStyle name="Normal 8 6 2 3 3 4" xfId="40973"/>
    <cellStyle name="Normal 8 6 2 3 3 4 2" xfId="40974"/>
    <cellStyle name="Normal 8 6 2 3 3 5" xfId="40975"/>
    <cellStyle name="Normal 8 6 2 3 3 5 2" xfId="40976"/>
    <cellStyle name="Normal 8 6 2 3 3 6" xfId="40977"/>
    <cellStyle name="Normal 8 6 2 3 4" xfId="40978"/>
    <cellStyle name="Normal 8 6 2 3 4 2" xfId="40979"/>
    <cellStyle name="Normal 8 6 2 3 4 2 2" xfId="40980"/>
    <cellStyle name="Normal 8 6 2 3 4 2 2 2" xfId="40981"/>
    <cellStyle name="Normal 8 6 2 3 4 2 3" xfId="40982"/>
    <cellStyle name="Normal 8 6 2 3 4 3" xfId="40983"/>
    <cellStyle name="Normal 8 6 2 3 4 3 2" xfId="40984"/>
    <cellStyle name="Normal 8 6 2 3 4 4" xfId="40985"/>
    <cellStyle name="Normal 8 6 2 3 5" xfId="40986"/>
    <cellStyle name="Normal 8 6 2 3 5 2" xfId="40987"/>
    <cellStyle name="Normal 8 6 2 3 5 2 2" xfId="40988"/>
    <cellStyle name="Normal 8 6 2 3 5 3" xfId="40989"/>
    <cellStyle name="Normal 8 6 2 3 6" xfId="40990"/>
    <cellStyle name="Normal 8 6 2 3 6 2" xfId="40991"/>
    <cellStyle name="Normal 8 6 2 3 7" xfId="40992"/>
    <cellStyle name="Normal 8 6 2 3 7 2" xfId="40993"/>
    <cellStyle name="Normal 8 6 2 3 8" xfId="40994"/>
    <cellStyle name="Normal 8 6 2 4" xfId="40995"/>
    <cellStyle name="Normal 8 6 2 4 2" xfId="40996"/>
    <cellStyle name="Normal 8 6 2 4 2 2" xfId="40997"/>
    <cellStyle name="Normal 8 6 2 4 2 2 2" xfId="40998"/>
    <cellStyle name="Normal 8 6 2 4 2 2 2 2" xfId="40999"/>
    <cellStyle name="Normal 8 6 2 4 2 2 3" xfId="41000"/>
    <cellStyle name="Normal 8 6 2 4 2 3" xfId="41001"/>
    <cellStyle name="Normal 8 6 2 4 2 3 2" xfId="41002"/>
    <cellStyle name="Normal 8 6 2 4 2 4" xfId="41003"/>
    <cellStyle name="Normal 8 6 2 4 3" xfId="41004"/>
    <cellStyle name="Normal 8 6 2 4 3 2" xfId="41005"/>
    <cellStyle name="Normal 8 6 2 4 3 2 2" xfId="41006"/>
    <cellStyle name="Normal 8 6 2 4 3 3" xfId="41007"/>
    <cellStyle name="Normal 8 6 2 4 4" xfId="41008"/>
    <cellStyle name="Normal 8 6 2 4 4 2" xfId="41009"/>
    <cellStyle name="Normal 8 6 2 4 5" xfId="41010"/>
    <cellStyle name="Normal 8 6 2 4 5 2" xfId="41011"/>
    <cellStyle name="Normal 8 6 2 4 6" xfId="41012"/>
    <cellStyle name="Normal 8 6 2 5" xfId="41013"/>
    <cellStyle name="Normal 8 6 2 5 2" xfId="41014"/>
    <cellStyle name="Normal 8 6 2 5 2 2" xfId="41015"/>
    <cellStyle name="Normal 8 6 2 5 2 2 2" xfId="41016"/>
    <cellStyle name="Normal 8 6 2 5 2 2 2 2" xfId="41017"/>
    <cellStyle name="Normal 8 6 2 5 2 2 3" xfId="41018"/>
    <cellStyle name="Normal 8 6 2 5 2 3" xfId="41019"/>
    <cellStyle name="Normal 8 6 2 5 2 3 2" xfId="41020"/>
    <cellStyle name="Normal 8 6 2 5 2 4" xfId="41021"/>
    <cellStyle name="Normal 8 6 2 5 3" xfId="41022"/>
    <cellStyle name="Normal 8 6 2 5 3 2" xfId="41023"/>
    <cellStyle name="Normal 8 6 2 5 3 2 2" xfId="41024"/>
    <cellStyle name="Normal 8 6 2 5 3 3" xfId="41025"/>
    <cellStyle name="Normal 8 6 2 5 4" xfId="41026"/>
    <cellStyle name="Normal 8 6 2 5 4 2" xfId="41027"/>
    <cellStyle name="Normal 8 6 2 5 5" xfId="41028"/>
    <cellStyle name="Normal 8 6 2 5 5 2" xfId="41029"/>
    <cellStyle name="Normal 8 6 2 5 6" xfId="41030"/>
    <cellStyle name="Normal 8 6 2 6" xfId="41031"/>
    <cellStyle name="Normal 8 6 2 6 2" xfId="41032"/>
    <cellStyle name="Normal 8 6 2 6 2 2" xfId="41033"/>
    <cellStyle name="Normal 8 6 2 6 2 2 2" xfId="41034"/>
    <cellStyle name="Normal 8 6 2 6 2 2 2 2" xfId="41035"/>
    <cellStyle name="Normal 8 6 2 6 2 2 3" xfId="41036"/>
    <cellStyle name="Normal 8 6 2 6 2 3" xfId="41037"/>
    <cellStyle name="Normal 8 6 2 6 2 3 2" xfId="41038"/>
    <cellStyle name="Normal 8 6 2 6 2 4" xfId="41039"/>
    <cellStyle name="Normal 8 6 2 6 3" xfId="41040"/>
    <cellStyle name="Normal 8 6 2 6 3 2" xfId="41041"/>
    <cellStyle name="Normal 8 6 2 6 3 2 2" xfId="41042"/>
    <cellStyle name="Normal 8 6 2 6 3 3" xfId="41043"/>
    <cellStyle name="Normal 8 6 2 6 4" xfId="41044"/>
    <cellStyle name="Normal 8 6 2 6 4 2" xfId="41045"/>
    <cellStyle name="Normal 8 6 2 6 5" xfId="41046"/>
    <cellStyle name="Normal 8 6 2 6 5 2" xfId="41047"/>
    <cellStyle name="Normal 8 6 2 6 6" xfId="41048"/>
    <cellStyle name="Normal 8 6 2 7" xfId="41049"/>
    <cellStyle name="Normal 8 6 2 7 2" xfId="41050"/>
    <cellStyle name="Normal 8 6 2 7 2 2" xfId="41051"/>
    <cellStyle name="Normal 8 6 2 7 2 2 2" xfId="41052"/>
    <cellStyle name="Normal 8 6 2 7 2 3" xfId="41053"/>
    <cellStyle name="Normal 8 6 2 7 3" xfId="41054"/>
    <cellStyle name="Normal 8 6 2 7 3 2" xfId="41055"/>
    <cellStyle name="Normal 8 6 2 7 4" xfId="41056"/>
    <cellStyle name="Normal 8 6 2 8" xfId="41057"/>
    <cellStyle name="Normal 8 6 2 8 2" xfId="41058"/>
    <cellStyle name="Normal 8 6 2 8 2 2" xfId="41059"/>
    <cellStyle name="Normal 8 6 2 8 3" xfId="41060"/>
    <cellStyle name="Normal 8 6 2 9" xfId="41061"/>
    <cellStyle name="Normal 8 6 2 9 2" xfId="41062"/>
    <cellStyle name="Normal 8 6 3" xfId="41063"/>
    <cellStyle name="Normal 8 6 3 10" xfId="41064"/>
    <cellStyle name="Normal 8 6 3 10 2" xfId="41065"/>
    <cellStyle name="Normal 8 6 3 11" xfId="41066"/>
    <cellStyle name="Normal 8 6 3 2" xfId="41067"/>
    <cellStyle name="Normal 8 6 3 2 2" xfId="41068"/>
    <cellStyle name="Normal 8 6 3 2 2 2" xfId="41069"/>
    <cellStyle name="Normal 8 6 3 2 2 2 2" xfId="41070"/>
    <cellStyle name="Normal 8 6 3 2 2 2 2 2" xfId="41071"/>
    <cellStyle name="Normal 8 6 3 2 2 2 2 2 2" xfId="41072"/>
    <cellStyle name="Normal 8 6 3 2 2 2 2 3" xfId="41073"/>
    <cellStyle name="Normal 8 6 3 2 2 2 3" xfId="41074"/>
    <cellStyle name="Normal 8 6 3 2 2 2 3 2" xfId="41075"/>
    <cellStyle name="Normal 8 6 3 2 2 2 4" xfId="41076"/>
    <cellStyle name="Normal 8 6 3 2 2 3" xfId="41077"/>
    <cellStyle name="Normal 8 6 3 2 2 3 2" xfId="41078"/>
    <cellStyle name="Normal 8 6 3 2 2 3 2 2" xfId="41079"/>
    <cellStyle name="Normal 8 6 3 2 2 3 3" xfId="41080"/>
    <cellStyle name="Normal 8 6 3 2 2 4" xfId="41081"/>
    <cellStyle name="Normal 8 6 3 2 2 4 2" xfId="41082"/>
    <cellStyle name="Normal 8 6 3 2 2 5" xfId="41083"/>
    <cellStyle name="Normal 8 6 3 2 2 5 2" xfId="41084"/>
    <cellStyle name="Normal 8 6 3 2 2 6" xfId="41085"/>
    <cellStyle name="Normal 8 6 3 2 3" xfId="41086"/>
    <cellStyle name="Normal 8 6 3 2 3 2" xfId="41087"/>
    <cellStyle name="Normal 8 6 3 2 3 2 2" xfId="41088"/>
    <cellStyle name="Normal 8 6 3 2 3 2 2 2" xfId="41089"/>
    <cellStyle name="Normal 8 6 3 2 3 2 2 2 2" xfId="41090"/>
    <cellStyle name="Normal 8 6 3 2 3 2 2 3" xfId="41091"/>
    <cellStyle name="Normal 8 6 3 2 3 2 3" xfId="41092"/>
    <cellStyle name="Normal 8 6 3 2 3 2 3 2" xfId="41093"/>
    <cellStyle name="Normal 8 6 3 2 3 2 4" xfId="41094"/>
    <cellStyle name="Normal 8 6 3 2 3 3" xfId="41095"/>
    <cellStyle name="Normal 8 6 3 2 3 3 2" xfId="41096"/>
    <cellStyle name="Normal 8 6 3 2 3 3 2 2" xfId="41097"/>
    <cellStyle name="Normal 8 6 3 2 3 3 3" xfId="41098"/>
    <cellStyle name="Normal 8 6 3 2 3 4" xfId="41099"/>
    <cellStyle name="Normal 8 6 3 2 3 4 2" xfId="41100"/>
    <cellStyle name="Normal 8 6 3 2 3 5" xfId="41101"/>
    <cellStyle name="Normal 8 6 3 2 3 5 2" xfId="41102"/>
    <cellStyle name="Normal 8 6 3 2 3 6" xfId="41103"/>
    <cellStyle name="Normal 8 6 3 2 4" xfId="41104"/>
    <cellStyle name="Normal 8 6 3 2 4 2" xfId="41105"/>
    <cellStyle name="Normal 8 6 3 2 4 2 2" xfId="41106"/>
    <cellStyle name="Normal 8 6 3 2 4 2 2 2" xfId="41107"/>
    <cellStyle name="Normal 8 6 3 2 4 2 3" xfId="41108"/>
    <cellStyle name="Normal 8 6 3 2 4 3" xfId="41109"/>
    <cellStyle name="Normal 8 6 3 2 4 3 2" xfId="41110"/>
    <cellStyle name="Normal 8 6 3 2 4 4" xfId="41111"/>
    <cellStyle name="Normal 8 6 3 2 5" xfId="41112"/>
    <cellStyle name="Normal 8 6 3 2 5 2" xfId="41113"/>
    <cellStyle name="Normal 8 6 3 2 5 2 2" xfId="41114"/>
    <cellStyle name="Normal 8 6 3 2 5 3" xfId="41115"/>
    <cellStyle name="Normal 8 6 3 2 6" xfId="41116"/>
    <cellStyle name="Normal 8 6 3 2 6 2" xfId="41117"/>
    <cellStyle name="Normal 8 6 3 2 7" xfId="41118"/>
    <cellStyle name="Normal 8 6 3 2 7 2" xfId="41119"/>
    <cellStyle name="Normal 8 6 3 2 8" xfId="41120"/>
    <cellStyle name="Normal 8 6 3 3" xfId="41121"/>
    <cellStyle name="Normal 8 6 3 3 2" xfId="41122"/>
    <cellStyle name="Normal 8 6 3 3 2 2" xfId="41123"/>
    <cellStyle name="Normal 8 6 3 3 2 2 2" xfId="41124"/>
    <cellStyle name="Normal 8 6 3 3 2 2 2 2" xfId="41125"/>
    <cellStyle name="Normal 8 6 3 3 2 2 2 2 2" xfId="41126"/>
    <cellStyle name="Normal 8 6 3 3 2 2 2 3" xfId="41127"/>
    <cellStyle name="Normal 8 6 3 3 2 2 3" xfId="41128"/>
    <cellStyle name="Normal 8 6 3 3 2 2 3 2" xfId="41129"/>
    <cellStyle name="Normal 8 6 3 3 2 2 4" xfId="41130"/>
    <cellStyle name="Normal 8 6 3 3 2 3" xfId="41131"/>
    <cellStyle name="Normal 8 6 3 3 2 3 2" xfId="41132"/>
    <cellStyle name="Normal 8 6 3 3 2 3 2 2" xfId="41133"/>
    <cellStyle name="Normal 8 6 3 3 2 3 3" xfId="41134"/>
    <cellStyle name="Normal 8 6 3 3 2 4" xfId="41135"/>
    <cellStyle name="Normal 8 6 3 3 2 4 2" xfId="41136"/>
    <cellStyle name="Normal 8 6 3 3 2 5" xfId="41137"/>
    <cellStyle name="Normal 8 6 3 3 2 5 2" xfId="41138"/>
    <cellStyle name="Normal 8 6 3 3 2 6" xfId="41139"/>
    <cellStyle name="Normal 8 6 3 3 3" xfId="41140"/>
    <cellStyle name="Normal 8 6 3 3 3 2" xfId="41141"/>
    <cellStyle name="Normal 8 6 3 3 3 2 2" xfId="41142"/>
    <cellStyle name="Normal 8 6 3 3 3 2 2 2" xfId="41143"/>
    <cellStyle name="Normal 8 6 3 3 3 2 2 2 2" xfId="41144"/>
    <cellStyle name="Normal 8 6 3 3 3 2 2 3" xfId="41145"/>
    <cellStyle name="Normal 8 6 3 3 3 2 3" xfId="41146"/>
    <cellStyle name="Normal 8 6 3 3 3 2 3 2" xfId="41147"/>
    <cellStyle name="Normal 8 6 3 3 3 2 4" xfId="41148"/>
    <cellStyle name="Normal 8 6 3 3 3 3" xfId="41149"/>
    <cellStyle name="Normal 8 6 3 3 3 3 2" xfId="41150"/>
    <cellStyle name="Normal 8 6 3 3 3 3 2 2" xfId="41151"/>
    <cellStyle name="Normal 8 6 3 3 3 3 3" xfId="41152"/>
    <cellStyle name="Normal 8 6 3 3 3 4" xfId="41153"/>
    <cellStyle name="Normal 8 6 3 3 3 4 2" xfId="41154"/>
    <cellStyle name="Normal 8 6 3 3 3 5" xfId="41155"/>
    <cellStyle name="Normal 8 6 3 3 3 5 2" xfId="41156"/>
    <cellStyle name="Normal 8 6 3 3 3 6" xfId="41157"/>
    <cellStyle name="Normal 8 6 3 3 4" xfId="41158"/>
    <cellStyle name="Normal 8 6 3 3 4 2" xfId="41159"/>
    <cellStyle name="Normal 8 6 3 3 4 2 2" xfId="41160"/>
    <cellStyle name="Normal 8 6 3 3 4 2 2 2" xfId="41161"/>
    <cellStyle name="Normal 8 6 3 3 4 2 3" xfId="41162"/>
    <cellStyle name="Normal 8 6 3 3 4 3" xfId="41163"/>
    <cellStyle name="Normal 8 6 3 3 4 3 2" xfId="41164"/>
    <cellStyle name="Normal 8 6 3 3 4 4" xfId="41165"/>
    <cellStyle name="Normal 8 6 3 3 5" xfId="41166"/>
    <cellStyle name="Normal 8 6 3 3 5 2" xfId="41167"/>
    <cellStyle name="Normal 8 6 3 3 5 2 2" xfId="41168"/>
    <cellStyle name="Normal 8 6 3 3 5 3" xfId="41169"/>
    <cellStyle name="Normal 8 6 3 3 6" xfId="41170"/>
    <cellStyle name="Normal 8 6 3 3 6 2" xfId="41171"/>
    <cellStyle name="Normal 8 6 3 3 7" xfId="41172"/>
    <cellStyle name="Normal 8 6 3 3 7 2" xfId="41173"/>
    <cellStyle name="Normal 8 6 3 3 8" xfId="41174"/>
    <cellStyle name="Normal 8 6 3 4" xfId="41175"/>
    <cellStyle name="Normal 8 6 3 4 2" xfId="41176"/>
    <cellStyle name="Normal 8 6 3 4 2 2" xfId="41177"/>
    <cellStyle name="Normal 8 6 3 4 2 2 2" xfId="41178"/>
    <cellStyle name="Normal 8 6 3 4 2 2 2 2" xfId="41179"/>
    <cellStyle name="Normal 8 6 3 4 2 2 3" xfId="41180"/>
    <cellStyle name="Normal 8 6 3 4 2 3" xfId="41181"/>
    <cellStyle name="Normal 8 6 3 4 2 3 2" xfId="41182"/>
    <cellStyle name="Normal 8 6 3 4 2 4" xfId="41183"/>
    <cellStyle name="Normal 8 6 3 4 3" xfId="41184"/>
    <cellStyle name="Normal 8 6 3 4 3 2" xfId="41185"/>
    <cellStyle name="Normal 8 6 3 4 3 2 2" xfId="41186"/>
    <cellStyle name="Normal 8 6 3 4 3 3" xfId="41187"/>
    <cellStyle name="Normal 8 6 3 4 4" xfId="41188"/>
    <cellStyle name="Normal 8 6 3 4 4 2" xfId="41189"/>
    <cellStyle name="Normal 8 6 3 4 5" xfId="41190"/>
    <cellStyle name="Normal 8 6 3 4 5 2" xfId="41191"/>
    <cellStyle name="Normal 8 6 3 4 6" xfId="41192"/>
    <cellStyle name="Normal 8 6 3 5" xfId="41193"/>
    <cellStyle name="Normal 8 6 3 5 2" xfId="41194"/>
    <cellStyle name="Normal 8 6 3 5 2 2" xfId="41195"/>
    <cellStyle name="Normal 8 6 3 5 2 2 2" xfId="41196"/>
    <cellStyle name="Normal 8 6 3 5 2 2 2 2" xfId="41197"/>
    <cellStyle name="Normal 8 6 3 5 2 2 3" xfId="41198"/>
    <cellStyle name="Normal 8 6 3 5 2 3" xfId="41199"/>
    <cellStyle name="Normal 8 6 3 5 2 3 2" xfId="41200"/>
    <cellStyle name="Normal 8 6 3 5 2 4" xfId="41201"/>
    <cellStyle name="Normal 8 6 3 5 3" xfId="41202"/>
    <cellStyle name="Normal 8 6 3 5 3 2" xfId="41203"/>
    <cellStyle name="Normal 8 6 3 5 3 2 2" xfId="41204"/>
    <cellStyle name="Normal 8 6 3 5 3 3" xfId="41205"/>
    <cellStyle name="Normal 8 6 3 5 4" xfId="41206"/>
    <cellStyle name="Normal 8 6 3 5 4 2" xfId="41207"/>
    <cellStyle name="Normal 8 6 3 5 5" xfId="41208"/>
    <cellStyle name="Normal 8 6 3 5 5 2" xfId="41209"/>
    <cellStyle name="Normal 8 6 3 5 6" xfId="41210"/>
    <cellStyle name="Normal 8 6 3 6" xfId="41211"/>
    <cellStyle name="Normal 8 6 3 6 2" xfId="41212"/>
    <cellStyle name="Normal 8 6 3 6 2 2" xfId="41213"/>
    <cellStyle name="Normal 8 6 3 6 2 2 2" xfId="41214"/>
    <cellStyle name="Normal 8 6 3 6 2 2 2 2" xfId="41215"/>
    <cellStyle name="Normal 8 6 3 6 2 2 3" xfId="41216"/>
    <cellStyle name="Normal 8 6 3 6 2 3" xfId="41217"/>
    <cellStyle name="Normal 8 6 3 6 2 3 2" xfId="41218"/>
    <cellStyle name="Normal 8 6 3 6 2 4" xfId="41219"/>
    <cellStyle name="Normal 8 6 3 6 3" xfId="41220"/>
    <cellStyle name="Normal 8 6 3 6 3 2" xfId="41221"/>
    <cellStyle name="Normal 8 6 3 6 3 2 2" xfId="41222"/>
    <cellStyle name="Normal 8 6 3 6 3 3" xfId="41223"/>
    <cellStyle name="Normal 8 6 3 6 4" xfId="41224"/>
    <cellStyle name="Normal 8 6 3 6 4 2" xfId="41225"/>
    <cellStyle name="Normal 8 6 3 6 5" xfId="41226"/>
    <cellStyle name="Normal 8 6 3 6 5 2" xfId="41227"/>
    <cellStyle name="Normal 8 6 3 6 6" xfId="41228"/>
    <cellStyle name="Normal 8 6 3 7" xfId="41229"/>
    <cellStyle name="Normal 8 6 3 7 2" xfId="41230"/>
    <cellStyle name="Normal 8 6 3 7 2 2" xfId="41231"/>
    <cellStyle name="Normal 8 6 3 7 2 2 2" xfId="41232"/>
    <cellStyle name="Normal 8 6 3 7 2 3" xfId="41233"/>
    <cellStyle name="Normal 8 6 3 7 3" xfId="41234"/>
    <cellStyle name="Normal 8 6 3 7 3 2" xfId="41235"/>
    <cellStyle name="Normal 8 6 3 7 4" xfId="41236"/>
    <cellStyle name="Normal 8 6 3 8" xfId="41237"/>
    <cellStyle name="Normal 8 6 3 8 2" xfId="41238"/>
    <cellStyle name="Normal 8 6 3 8 2 2" xfId="41239"/>
    <cellStyle name="Normal 8 6 3 8 3" xfId="41240"/>
    <cellStyle name="Normal 8 6 3 9" xfId="41241"/>
    <cellStyle name="Normal 8 6 3 9 2" xfId="41242"/>
    <cellStyle name="Normal 8 6 4" xfId="41243"/>
    <cellStyle name="Normal 8 6 4 2" xfId="41244"/>
    <cellStyle name="Normal 8 6 4 2 2" xfId="41245"/>
    <cellStyle name="Normal 8 6 4 2 2 2" xfId="41246"/>
    <cellStyle name="Normal 8 6 4 2 2 2 2" xfId="41247"/>
    <cellStyle name="Normal 8 6 4 2 2 2 2 2" xfId="41248"/>
    <cellStyle name="Normal 8 6 4 2 2 2 3" xfId="41249"/>
    <cellStyle name="Normal 8 6 4 2 2 3" xfId="41250"/>
    <cellStyle name="Normal 8 6 4 2 2 3 2" xfId="41251"/>
    <cellStyle name="Normal 8 6 4 2 2 4" xfId="41252"/>
    <cellStyle name="Normal 8 6 4 2 3" xfId="41253"/>
    <cellStyle name="Normal 8 6 4 2 3 2" xfId="41254"/>
    <cellStyle name="Normal 8 6 4 2 3 2 2" xfId="41255"/>
    <cellStyle name="Normal 8 6 4 2 3 3" xfId="41256"/>
    <cellStyle name="Normal 8 6 4 2 4" xfId="41257"/>
    <cellStyle name="Normal 8 6 4 2 4 2" xfId="41258"/>
    <cellStyle name="Normal 8 6 4 2 5" xfId="41259"/>
    <cellStyle name="Normal 8 6 4 2 5 2" xfId="41260"/>
    <cellStyle name="Normal 8 6 4 2 6" xfId="41261"/>
    <cellStyle name="Normal 8 6 4 3" xfId="41262"/>
    <cellStyle name="Normal 8 6 4 3 2" xfId="41263"/>
    <cellStyle name="Normal 8 6 4 3 2 2" xfId="41264"/>
    <cellStyle name="Normal 8 6 4 3 2 2 2" xfId="41265"/>
    <cellStyle name="Normal 8 6 4 3 2 2 2 2" xfId="41266"/>
    <cellStyle name="Normal 8 6 4 3 2 2 3" xfId="41267"/>
    <cellStyle name="Normal 8 6 4 3 2 3" xfId="41268"/>
    <cellStyle name="Normal 8 6 4 3 2 3 2" xfId="41269"/>
    <cellStyle name="Normal 8 6 4 3 2 4" xfId="41270"/>
    <cellStyle name="Normal 8 6 4 3 3" xfId="41271"/>
    <cellStyle name="Normal 8 6 4 3 3 2" xfId="41272"/>
    <cellStyle name="Normal 8 6 4 3 3 2 2" xfId="41273"/>
    <cellStyle name="Normal 8 6 4 3 3 3" xfId="41274"/>
    <cellStyle name="Normal 8 6 4 3 4" xfId="41275"/>
    <cellStyle name="Normal 8 6 4 3 4 2" xfId="41276"/>
    <cellStyle name="Normal 8 6 4 3 5" xfId="41277"/>
    <cellStyle name="Normal 8 6 4 3 5 2" xfId="41278"/>
    <cellStyle name="Normal 8 6 4 3 6" xfId="41279"/>
    <cellStyle name="Normal 8 6 4 4" xfId="41280"/>
    <cellStyle name="Normal 8 6 4 4 2" xfId="41281"/>
    <cellStyle name="Normal 8 6 4 4 2 2" xfId="41282"/>
    <cellStyle name="Normal 8 6 4 4 2 2 2" xfId="41283"/>
    <cellStyle name="Normal 8 6 4 4 2 3" xfId="41284"/>
    <cellStyle name="Normal 8 6 4 4 3" xfId="41285"/>
    <cellStyle name="Normal 8 6 4 4 3 2" xfId="41286"/>
    <cellStyle name="Normal 8 6 4 4 4" xfId="41287"/>
    <cellStyle name="Normal 8 6 4 5" xfId="41288"/>
    <cellStyle name="Normal 8 6 4 5 2" xfId="41289"/>
    <cellStyle name="Normal 8 6 4 5 2 2" xfId="41290"/>
    <cellStyle name="Normal 8 6 4 5 3" xfId="41291"/>
    <cellStyle name="Normal 8 6 4 6" xfId="41292"/>
    <cellStyle name="Normal 8 6 4 6 2" xfId="41293"/>
    <cellStyle name="Normal 8 6 4 7" xfId="41294"/>
    <cellStyle name="Normal 8 6 4 7 2" xfId="41295"/>
    <cellStyle name="Normal 8 6 4 8" xfId="41296"/>
    <cellStyle name="Normal 8 6 5" xfId="41297"/>
    <cellStyle name="Normal 8 6 5 2" xfId="41298"/>
    <cellStyle name="Normal 8 6 5 2 2" xfId="41299"/>
    <cellStyle name="Normal 8 6 5 2 2 2" xfId="41300"/>
    <cellStyle name="Normal 8 6 5 2 2 2 2" xfId="41301"/>
    <cellStyle name="Normal 8 6 5 2 2 2 2 2" xfId="41302"/>
    <cellStyle name="Normal 8 6 5 2 2 2 3" xfId="41303"/>
    <cellStyle name="Normal 8 6 5 2 2 3" xfId="41304"/>
    <cellStyle name="Normal 8 6 5 2 2 3 2" xfId="41305"/>
    <cellStyle name="Normal 8 6 5 2 2 4" xfId="41306"/>
    <cellStyle name="Normal 8 6 5 2 3" xfId="41307"/>
    <cellStyle name="Normal 8 6 5 2 3 2" xfId="41308"/>
    <cellStyle name="Normal 8 6 5 2 3 2 2" xfId="41309"/>
    <cellStyle name="Normal 8 6 5 2 3 3" xfId="41310"/>
    <cellStyle name="Normal 8 6 5 2 4" xfId="41311"/>
    <cellStyle name="Normal 8 6 5 2 4 2" xfId="41312"/>
    <cellStyle name="Normal 8 6 5 2 5" xfId="41313"/>
    <cellStyle name="Normal 8 6 5 2 5 2" xfId="41314"/>
    <cellStyle name="Normal 8 6 5 2 6" xfId="41315"/>
    <cellStyle name="Normal 8 6 5 3" xfId="41316"/>
    <cellStyle name="Normal 8 6 5 3 2" xfId="41317"/>
    <cellStyle name="Normal 8 6 5 3 2 2" xfId="41318"/>
    <cellStyle name="Normal 8 6 5 3 2 2 2" xfId="41319"/>
    <cellStyle name="Normal 8 6 5 3 2 2 2 2" xfId="41320"/>
    <cellStyle name="Normal 8 6 5 3 2 2 3" xfId="41321"/>
    <cellStyle name="Normal 8 6 5 3 2 3" xfId="41322"/>
    <cellStyle name="Normal 8 6 5 3 2 3 2" xfId="41323"/>
    <cellStyle name="Normal 8 6 5 3 2 4" xfId="41324"/>
    <cellStyle name="Normal 8 6 5 3 3" xfId="41325"/>
    <cellStyle name="Normal 8 6 5 3 3 2" xfId="41326"/>
    <cellStyle name="Normal 8 6 5 3 3 2 2" xfId="41327"/>
    <cellStyle name="Normal 8 6 5 3 3 3" xfId="41328"/>
    <cellStyle name="Normal 8 6 5 3 4" xfId="41329"/>
    <cellStyle name="Normal 8 6 5 3 4 2" xfId="41330"/>
    <cellStyle name="Normal 8 6 5 3 5" xfId="41331"/>
    <cellStyle name="Normal 8 6 5 3 5 2" xfId="41332"/>
    <cellStyle name="Normal 8 6 5 3 6" xfId="41333"/>
    <cellStyle name="Normal 8 6 5 4" xfId="41334"/>
    <cellStyle name="Normal 8 6 5 4 2" xfId="41335"/>
    <cellStyle name="Normal 8 6 5 4 2 2" xfId="41336"/>
    <cellStyle name="Normal 8 6 5 4 2 2 2" xfId="41337"/>
    <cellStyle name="Normal 8 6 5 4 2 3" xfId="41338"/>
    <cellStyle name="Normal 8 6 5 4 3" xfId="41339"/>
    <cellStyle name="Normal 8 6 5 4 3 2" xfId="41340"/>
    <cellStyle name="Normal 8 6 5 4 4" xfId="41341"/>
    <cellStyle name="Normal 8 6 5 5" xfId="41342"/>
    <cellStyle name="Normal 8 6 5 5 2" xfId="41343"/>
    <cellStyle name="Normal 8 6 5 5 2 2" xfId="41344"/>
    <cellStyle name="Normal 8 6 5 5 3" xfId="41345"/>
    <cellStyle name="Normal 8 6 5 6" xfId="41346"/>
    <cellStyle name="Normal 8 6 5 6 2" xfId="41347"/>
    <cellStyle name="Normal 8 6 5 7" xfId="41348"/>
    <cellStyle name="Normal 8 6 5 7 2" xfId="41349"/>
    <cellStyle name="Normal 8 6 5 8" xfId="41350"/>
    <cellStyle name="Normal 8 6 6" xfId="41351"/>
    <cellStyle name="Normal 8 6 6 2" xfId="41352"/>
    <cellStyle name="Normal 8 6 6 2 2" xfId="41353"/>
    <cellStyle name="Normal 8 6 6 2 2 2" xfId="41354"/>
    <cellStyle name="Normal 8 6 6 2 2 2 2" xfId="41355"/>
    <cellStyle name="Normal 8 6 6 2 2 3" xfId="41356"/>
    <cellStyle name="Normal 8 6 6 2 3" xfId="41357"/>
    <cellStyle name="Normal 8 6 6 2 3 2" xfId="41358"/>
    <cellStyle name="Normal 8 6 6 2 4" xfId="41359"/>
    <cellStyle name="Normal 8 6 6 3" xfId="41360"/>
    <cellStyle name="Normal 8 6 6 3 2" xfId="41361"/>
    <cellStyle name="Normal 8 6 6 3 2 2" xfId="41362"/>
    <cellStyle name="Normal 8 6 6 3 3" xfId="41363"/>
    <cellStyle name="Normal 8 6 6 4" xfId="41364"/>
    <cellStyle name="Normal 8 6 6 4 2" xfId="41365"/>
    <cellStyle name="Normal 8 6 6 5" xfId="41366"/>
    <cellStyle name="Normal 8 6 6 5 2" xfId="41367"/>
    <cellStyle name="Normal 8 6 6 6" xfId="41368"/>
    <cellStyle name="Normal 8 6 7" xfId="41369"/>
    <cellStyle name="Normal 8 6 7 2" xfId="41370"/>
    <cellStyle name="Normal 8 6 7 2 2" xfId="41371"/>
    <cellStyle name="Normal 8 6 7 2 2 2" xfId="41372"/>
    <cellStyle name="Normal 8 6 7 2 2 2 2" xfId="41373"/>
    <cellStyle name="Normal 8 6 7 2 2 3" xfId="41374"/>
    <cellStyle name="Normal 8 6 7 2 3" xfId="41375"/>
    <cellStyle name="Normal 8 6 7 2 3 2" xfId="41376"/>
    <cellStyle name="Normal 8 6 7 2 4" xfId="41377"/>
    <cellStyle name="Normal 8 6 7 3" xfId="41378"/>
    <cellStyle name="Normal 8 6 7 3 2" xfId="41379"/>
    <cellStyle name="Normal 8 6 7 3 2 2" xfId="41380"/>
    <cellStyle name="Normal 8 6 7 3 3" xfId="41381"/>
    <cellStyle name="Normal 8 6 7 4" xfId="41382"/>
    <cellStyle name="Normal 8 6 7 4 2" xfId="41383"/>
    <cellStyle name="Normal 8 6 7 5" xfId="41384"/>
    <cellStyle name="Normal 8 6 7 5 2" xfId="41385"/>
    <cellStyle name="Normal 8 6 7 6" xfId="41386"/>
    <cellStyle name="Normal 8 6 8" xfId="41387"/>
    <cellStyle name="Normal 8 6 8 2" xfId="41388"/>
    <cellStyle name="Normal 8 6 8 2 2" xfId="41389"/>
    <cellStyle name="Normal 8 6 8 2 2 2" xfId="41390"/>
    <cellStyle name="Normal 8 6 8 2 2 2 2" xfId="41391"/>
    <cellStyle name="Normal 8 6 8 2 2 3" xfId="41392"/>
    <cellStyle name="Normal 8 6 8 2 3" xfId="41393"/>
    <cellStyle name="Normal 8 6 8 2 3 2" xfId="41394"/>
    <cellStyle name="Normal 8 6 8 2 4" xfId="41395"/>
    <cellStyle name="Normal 8 6 8 3" xfId="41396"/>
    <cellStyle name="Normal 8 6 8 3 2" xfId="41397"/>
    <cellStyle name="Normal 8 6 8 3 2 2" xfId="41398"/>
    <cellStyle name="Normal 8 6 8 3 3" xfId="41399"/>
    <cellStyle name="Normal 8 6 8 4" xfId="41400"/>
    <cellStyle name="Normal 8 6 8 4 2" xfId="41401"/>
    <cellStyle name="Normal 8 6 8 5" xfId="41402"/>
    <cellStyle name="Normal 8 6 8 5 2" xfId="41403"/>
    <cellStyle name="Normal 8 6 8 6" xfId="41404"/>
    <cellStyle name="Normal 8 6 9" xfId="41405"/>
    <cellStyle name="Normal 8 6 9 2" xfId="41406"/>
    <cellStyle name="Normal 8 6 9 2 2" xfId="41407"/>
    <cellStyle name="Normal 8 6 9 2 2 2" xfId="41408"/>
    <cellStyle name="Normal 8 6 9 2 2 2 2" xfId="41409"/>
    <cellStyle name="Normal 8 6 9 2 2 3" xfId="41410"/>
    <cellStyle name="Normal 8 6 9 2 3" xfId="41411"/>
    <cellStyle name="Normal 8 6 9 2 3 2" xfId="41412"/>
    <cellStyle name="Normal 8 6 9 2 4" xfId="41413"/>
    <cellStyle name="Normal 8 6 9 3" xfId="41414"/>
    <cellStyle name="Normal 8 6 9 3 2" xfId="41415"/>
    <cellStyle name="Normal 8 6 9 3 2 2" xfId="41416"/>
    <cellStyle name="Normal 8 6 9 3 3" xfId="41417"/>
    <cellStyle name="Normal 8 6 9 4" xfId="41418"/>
    <cellStyle name="Normal 8 6 9 4 2" xfId="41419"/>
    <cellStyle name="Normal 8 6 9 5" xfId="41420"/>
    <cellStyle name="Normal 8 6 9 5 2" xfId="41421"/>
    <cellStyle name="Normal 8 6 9 6" xfId="41422"/>
    <cellStyle name="Normal 8 7" xfId="41423"/>
    <cellStyle name="Normal 8 7 10" xfId="41424"/>
    <cellStyle name="Normal 8 7 10 2" xfId="41425"/>
    <cellStyle name="Normal 8 7 11" xfId="41426"/>
    <cellStyle name="Normal 8 7 12" xfId="41427"/>
    <cellStyle name="Normal 8 7 12 2" xfId="41428"/>
    <cellStyle name="Normal 8 7 2" xfId="41429"/>
    <cellStyle name="Normal 8 7 2 2" xfId="41430"/>
    <cellStyle name="Normal 8 7 2 2 2" xfId="41431"/>
    <cellStyle name="Normal 8 7 2 2 2 2" xfId="41432"/>
    <cellStyle name="Normal 8 7 2 2 2 2 2" xfId="41433"/>
    <cellStyle name="Normal 8 7 2 2 2 2 2 2" xfId="41434"/>
    <cellStyle name="Normal 8 7 2 2 2 2 3" xfId="41435"/>
    <cellStyle name="Normal 8 7 2 2 2 3" xfId="41436"/>
    <cellStyle name="Normal 8 7 2 2 2 3 2" xfId="41437"/>
    <cellStyle name="Normal 8 7 2 2 2 4" xfId="41438"/>
    <cellStyle name="Normal 8 7 2 2 3" xfId="41439"/>
    <cellStyle name="Normal 8 7 2 2 3 2" xfId="41440"/>
    <cellStyle name="Normal 8 7 2 2 3 2 2" xfId="41441"/>
    <cellStyle name="Normal 8 7 2 2 3 3" xfId="41442"/>
    <cellStyle name="Normal 8 7 2 2 4" xfId="41443"/>
    <cellStyle name="Normal 8 7 2 2 4 2" xfId="41444"/>
    <cellStyle name="Normal 8 7 2 2 5" xfId="41445"/>
    <cellStyle name="Normal 8 7 2 2 5 2" xfId="41446"/>
    <cellStyle name="Normal 8 7 2 2 6" xfId="41447"/>
    <cellStyle name="Normal 8 7 2 3" xfId="41448"/>
    <cellStyle name="Normal 8 7 2 3 2" xfId="41449"/>
    <cellStyle name="Normal 8 7 2 3 2 2" xfId="41450"/>
    <cellStyle name="Normal 8 7 2 3 2 2 2" xfId="41451"/>
    <cellStyle name="Normal 8 7 2 3 2 2 2 2" xfId="41452"/>
    <cellStyle name="Normal 8 7 2 3 2 2 3" xfId="41453"/>
    <cellStyle name="Normal 8 7 2 3 2 3" xfId="41454"/>
    <cellStyle name="Normal 8 7 2 3 2 3 2" xfId="41455"/>
    <cellStyle name="Normal 8 7 2 3 2 4" xfId="41456"/>
    <cellStyle name="Normal 8 7 2 3 3" xfId="41457"/>
    <cellStyle name="Normal 8 7 2 3 3 2" xfId="41458"/>
    <cellStyle name="Normal 8 7 2 3 3 2 2" xfId="41459"/>
    <cellStyle name="Normal 8 7 2 3 3 3" xfId="41460"/>
    <cellStyle name="Normal 8 7 2 3 4" xfId="41461"/>
    <cellStyle name="Normal 8 7 2 3 4 2" xfId="41462"/>
    <cellStyle name="Normal 8 7 2 3 5" xfId="41463"/>
    <cellStyle name="Normal 8 7 2 3 5 2" xfId="41464"/>
    <cellStyle name="Normal 8 7 2 3 6" xfId="41465"/>
    <cellStyle name="Normal 8 7 2 4" xfId="41466"/>
    <cellStyle name="Normal 8 7 2 4 2" xfId="41467"/>
    <cellStyle name="Normal 8 7 2 4 2 2" xfId="41468"/>
    <cellStyle name="Normal 8 7 2 4 2 2 2" xfId="41469"/>
    <cellStyle name="Normal 8 7 2 4 2 3" xfId="41470"/>
    <cellStyle name="Normal 8 7 2 4 3" xfId="41471"/>
    <cellStyle name="Normal 8 7 2 4 3 2" xfId="41472"/>
    <cellStyle name="Normal 8 7 2 4 4" xfId="41473"/>
    <cellStyle name="Normal 8 7 2 5" xfId="41474"/>
    <cellStyle name="Normal 8 7 2 5 2" xfId="41475"/>
    <cellStyle name="Normal 8 7 2 5 2 2" xfId="41476"/>
    <cellStyle name="Normal 8 7 2 5 3" xfId="41477"/>
    <cellStyle name="Normal 8 7 2 6" xfId="41478"/>
    <cellStyle name="Normal 8 7 2 6 2" xfId="41479"/>
    <cellStyle name="Normal 8 7 2 7" xfId="41480"/>
    <cellStyle name="Normal 8 7 2 7 2" xfId="41481"/>
    <cellStyle name="Normal 8 7 2 8" xfId="41482"/>
    <cellStyle name="Normal 8 7 3" xfId="41483"/>
    <cellStyle name="Normal 8 7 3 2" xfId="41484"/>
    <cellStyle name="Normal 8 7 3 2 2" xfId="41485"/>
    <cellStyle name="Normal 8 7 3 2 2 2" xfId="41486"/>
    <cellStyle name="Normal 8 7 3 2 2 2 2" xfId="41487"/>
    <cellStyle name="Normal 8 7 3 2 2 2 2 2" xfId="41488"/>
    <cellStyle name="Normal 8 7 3 2 2 2 3" xfId="41489"/>
    <cellStyle name="Normal 8 7 3 2 2 3" xfId="41490"/>
    <cellStyle name="Normal 8 7 3 2 2 3 2" xfId="41491"/>
    <cellStyle name="Normal 8 7 3 2 2 4" xfId="41492"/>
    <cellStyle name="Normal 8 7 3 2 3" xfId="41493"/>
    <cellStyle name="Normal 8 7 3 2 3 2" xfId="41494"/>
    <cellStyle name="Normal 8 7 3 2 3 2 2" xfId="41495"/>
    <cellStyle name="Normal 8 7 3 2 3 3" xfId="41496"/>
    <cellStyle name="Normal 8 7 3 2 4" xfId="41497"/>
    <cellStyle name="Normal 8 7 3 2 4 2" xfId="41498"/>
    <cellStyle name="Normal 8 7 3 2 5" xfId="41499"/>
    <cellStyle name="Normal 8 7 3 2 5 2" xfId="41500"/>
    <cellStyle name="Normal 8 7 3 2 6" xfId="41501"/>
    <cellStyle name="Normal 8 7 3 3" xfId="41502"/>
    <cellStyle name="Normal 8 7 3 3 2" xfId="41503"/>
    <cellStyle name="Normal 8 7 3 3 2 2" xfId="41504"/>
    <cellStyle name="Normal 8 7 3 3 2 2 2" xfId="41505"/>
    <cellStyle name="Normal 8 7 3 3 2 2 2 2" xfId="41506"/>
    <cellStyle name="Normal 8 7 3 3 2 2 3" xfId="41507"/>
    <cellStyle name="Normal 8 7 3 3 2 3" xfId="41508"/>
    <cellStyle name="Normal 8 7 3 3 2 3 2" xfId="41509"/>
    <cellStyle name="Normal 8 7 3 3 2 4" xfId="41510"/>
    <cellStyle name="Normal 8 7 3 3 3" xfId="41511"/>
    <cellStyle name="Normal 8 7 3 3 3 2" xfId="41512"/>
    <cellStyle name="Normal 8 7 3 3 3 2 2" xfId="41513"/>
    <cellStyle name="Normal 8 7 3 3 3 3" xfId="41514"/>
    <cellStyle name="Normal 8 7 3 3 4" xfId="41515"/>
    <cellStyle name="Normal 8 7 3 3 4 2" xfId="41516"/>
    <cellStyle name="Normal 8 7 3 3 5" xfId="41517"/>
    <cellStyle name="Normal 8 7 3 3 5 2" xfId="41518"/>
    <cellStyle name="Normal 8 7 3 3 6" xfId="41519"/>
    <cellStyle name="Normal 8 7 3 4" xfId="41520"/>
    <cellStyle name="Normal 8 7 3 4 2" xfId="41521"/>
    <cellStyle name="Normal 8 7 3 4 2 2" xfId="41522"/>
    <cellStyle name="Normal 8 7 3 4 2 2 2" xfId="41523"/>
    <cellStyle name="Normal 8 7 3 4 2 3" xfId="41524"/>
    <cellStyle name="Normal 8 7 3 4 3" xfId="41525"/>
    <cellStyle name="Normal 8 7 3 4 3 2" xfId="41526"/>
    <cellStyle name="Normal 8 7 3 4 4" xfId="41527"/>
    <cellStyle name="Normal 8 7 3 5" xfId="41528"/>
    <cellStyle name="Normal 8 7 3 5 2" xfId="41529"/>
    <cellStyle name="Normal 8 7 3 5 2 2" xfId="41530"/>
    <cellStyle name="Normal 8 7 3 5 3" xfId="41531"/>
    <cellStyle name="Normal 8 7 3 6" xfId="41532"/>
    <cellStyle name="Normal 8 7 3 6 2" xfId="41533"/>
    <cellStyle name="Normal 8 7 3 7" xfId="41534"/>
    <cellStyle name="Normal 8 7 3 7 2" xfId="41535"/>
    <cellStyle name="Normal 8 7 3 8" xfId="41536"/>
    <cellStyle name="Normal 8 7 4" xfId="41537"/>
    <cellStyle name="Normal 8 7 4 2" xfId="41538"/>
    <cellStyle name="Normal 8 7 4 2 2" xfId="41539"/>
    <cellStyle name="Normal 8 7 4 2 2 2" xfId="41540"/>
    <cellStyle name="Normal 8 7 4 2 2 2 2" xfId="41541"/>
    <cellStyle name="Normal 8 7 4 2 2 3" xfId="41542"/>
    <cellStyle name="Normal 8 7 4 2 3" xfId="41543"/>
    <cellStyle name="Normal 8 7 4 2 3 2" xfId="41544"/>
    <cellStyle name="Normal 8 7 4 2 4" xfId="41545"/>
    <cellStyle name="Normal 8 7 4 3" xfId="41546"/>
    <cellStyle name="Normal 8 7 4 3 2" xfId="41547"/>
    <cellStyle name="Normal 8 7 4 3 2 2" xfId="41548"/>
    <cellStyle name="Normal 8 7 4 3 3" xfId="41549"/>
    <cellStyle name="Normal 8 7 4 4" xfId="41550"/>
    <cellStyle name="Normal 8 7 4 4 2" xfId="41551"/>
    <cellStyle name="Normal 8 7 4 5" xfId="41552"/>
    <cellStyle name="Normal 8 7 4 5 2" xfId="41553"/>
    <cellStyle name="Normal 8 7 4 6" xfId="41554"/>
    <cellStyle name="Normal 8 7 5" xfId="41555"/>
    <cellStyle name="Normal 8 7 5 2" xfId="41556"/>
    <cellStyle name="Normal 8 7 5 2 2" xfId="41557"/>
    <cellStyle name="Normal 8 7 5 2 2 2" xfId="41558"/>
    <cellStyle name="Normal 8 7 5 2 2 2 2" xfId="41559"/>
    <cellStyle name="Normal 8 7 5 2 2 3" xfId="41560"/>
    <cellStyle name="Normal 8 7 5 2 3" xfId="41561"/>
    <cellStyle name="Normal 8 7 5 2 3 2" xfId="41562"/>
    <cellStyle name="Normal 8 7 5 2 4" xfId="41563"/>
    <cellStyle name="Normal 8 7 5 3" xfId="41564"/>
    <cellStyle name="Normal 8 7 5 3 2" xfId="41565"/>
    <cellStyle name="Normal 8 7 5 3 2 2" xfId="41566"/>
    <cellStyle name="Normal 8 7 5 3 3" xfId="41567"/>
    <cellStyle name="Normal 8 7 5 4" xfId="41568"/>
    <cellStyle name="Normal 8 7 5 4 2" xfId="41569"/>
    <cellStyle name="Normal 8 7 5 5" xfId="41570"/>
    <cellStyle name="Normal 8 7 5 5 2" xfId="41571"/>
    <cellStyle name="Normal 8 7 5 6" xfId="41572"/>
    <cellStyle name="Normal 8 7 6" xfId="41573"/>
    <cellStyle name="Normal 8 7 6 2" xfId="41574"/>
    <cellStyle name="Normal 8 7 6 2 2" xfId="41575"/>
    <cellStyle name="Normal 8 7 6 2 2 2" xfId="41576"/>
    <cellStyle name="Normal 8 7 6 2 2 2 2" xfId="41577"/>
    <cellStyle name="Normal 8 7 6 2 2 3" xfId="41578"/>
    <cellStyle name="Normal 8 7 6 2 3" xfId="41579"/>
    <cellStyle name="Normal 8 7 6 2 3 2" xfId="41580"/>
    <cellStyle name="Normal 8 7 6 2 4" xfId="41581"/>
    <cellStyle name="Normal 8 7 6 3" xfId="41582"/>
    <cellStyle name="Normal 8 7 6 3 2" xfId="41583"/>
    <cellStyle name="Normal 8 7 6 3 2 2" xfId="41584"/>
    <cellStyle name="Normal 8 7 6 3 3" xfId="41585"/>
    <cellStyle name="Normal 8 7 6 4" xfId="41586"/>
    <cellStyle name="Normal 8 7 6 4 2" xfId="41587"/>
    <cellStyle name="Normal 8 7 6 5" xfId="41588"/>
    <cellStyle name="Normal 8 7 6 5 2" xfId="41589"/>
    <cellStyle name="Normal 8 7 6 6" xfId="41590"/>
    <cellStyle name="Normal 8 7 7" xfId="41591"/>
    <cellStyle name="Normal 8 7 7 2" xfId="41592"/>
    <cellStyle name="Normal 8 7 7 2 2" xfId="41593"/>
    <cellStyle name="Normal 8 7 7 2 2 2" xfId="41594"/>
    <cellStyle name="Normal 8 7 7 2 3" xfId="41595"/>
    <cellStyle name="Normal 8 7 7 3" xfId="41596"/>
    <cellStyle name="Normal 8 7 7 3 2" xfId="41597"/>
    <cellStyle name="Normal 8 7 7 4" xfId="41598"/>
    <cellStyle name="Normal 8 7 8" xfId="41599"/>
    <cellStyle name="Normal 8 7 8 2" xfId="41600"/>
    <cellStyle name="Normal 8 7 8 2 2" xfId="41601"/>
    <cellStyle name="Normal 8 7 8 3" xfId="41602"/>
    <cellStyle name="Normal 8 7 9" xfId="41603"/>
    <cellStyle name="Normal 8 7 9 2" xfId="41604"/>
    <cellStyle name="Normal 8 8" xfId="41605"/>
    <cellStyle name="Normal 8 8 2" xfId="41606"/>
    <cellStyle name="Normal 8 8 2 2" xfId="41607"/>
    <cellStyle name="Normal 8 8 2 2 2" xfId="41608"/>
    <cellStyle name="Normal 8 8 2 2 2 2" xfId="41609"/>
    <cellStyle name="Normal 8 8 2 2 2 2 2" xfId="41610"/>
    <cellStyle name="Normal 8 8 2 2 2 3" xfId="41611"/>
    <cellStyle name="Normal 8 8 2 2 3" xfId="41612"/>
    <cellStyle name="Normal 8 8 2 2 3 2" xfId="41613"/>
    <cellStyle name="Normal 8 8 2 2 4" xfId="41614"/>
    <cellStyle name="Normal 8 8 2 3" xfId="41615"/>
    <cellStyle name="Normal 8 8 2 3 2" xfId="41616"/>
    <cellStyle name="Normal 8 8 2 3 2 2" xfId="41617"/>
    <cellStyle name="Normal 8 8 2 3 3" xfId="41618"/>
    <cellStyle name="Normal 8 8 2 4" xfId="41619"/>
    <cellStyle name="Normal 8 8 2 4 2" xfId="41620"/>
    <cellStyle name="Normal 8 8 2 5" xfId="41621"/>
    <cellStyle name="Normal 8 8 2 5 2" xfId="41622"/>
    <cellStyle name="Normal 8 8 2 6" xfId="41623"/>
    <cellStyle name="Normal 8 8 3" xfId="41624"/>
    <cellStyle name="Normal 8 8 3 2" xfId="41625"/>
    <cellStyle name="Normal 8 8 3 2 2" xfId="41626"/>
    <cellStyle name="Normal 8 8 3 2 2 2" xfId="41627"/>
    <cellStyle name="Normal 8 8 3 2 2 2 2" xfId="41628"/>
    <cellStyle name="Normal 8 8 3 2 2 3" xfId="41629"/>
    <cellStyle name="Normal 8 8 3 2 3" xfId="41630"/>
    <cellStyle name="Normal 8 8 3 2 3 2" xfId="41631"/>
    <cellStyle name="Normal 8 8 3 2 4" xfId="41632"/>
    <cellStyle name="Normal 8 8 3 3" xfId="41633"/>
    <cellStyle name="Normal 8 8 3 3 2" xfId="41634"/>
    <cellStyle name="Normal 8 8 3 3 2 2" xfId="41635"/>
    <cellStyle name="Normal 8 8 3 3 3" xfId="41636"/>
    <cellStyle name="Normal 8 8 3 4" xfId="41637"/>
    <cellStyle name="Normal 8 8 3 4 2" xfId="41638"/>
    <cellStyle name="Normal 8 8 3 5" xfId="41639"/>
    <cellStyle name="Normal 8 8 3 5 2" xfId="41640"/>
    <cellStyle name="Normal 8 8 3 6" xfId="41641"/>
    <cellStyle name="Normal 8 8 4" xfId="41642"/>
    <cellStyle name="Normal 8 8 4 2" xfId="41643"/>
    <cellStyle name="Normal 8 8 4 2 2" xfId="41644"/>
    <cellStyle name="Normal 8 8 4 2 2 2" xfId="41645"/>
    <cellStyle name="Normal 8 8 4 2 3" xfId="41646"/>
    <cellStyle name="Normal 8 8 4 3" xfId="41647"/>
    <cellStyle name="Normal 8 8 4 3 2" xfId="41648"/>
    <cellStyle name="Normal 8 8 4 4" xfId="41649"/>
    <cellStyle name="Normal 8 8 5" xfId="41650"/>
    <cellStyle name="Normal 8 8 5 2" xfId="41651"/>
    <cellStyle name="Normal 8 8 5 2 2" xfId="41652"/>
    <cellStyle name="Normal 8 8 5 3" xfId="41653"/>
    <cellStyle name="Normal 8 8 6" xfId="41654"/>
    <cellStyle name="Normal 8 8 6 2" xfId="41655"/>
    <cellStyle name="Normal 8 8 7" xfId="41656"/>
    <cellStyle name="Normal 8 8 7 2" xfId="41657"/>
    <cellStyle name="Normal 8 8 8" xfId="41658"/>
    <cellStyle name="Normal 8 9" xfId="41659"/>
    <cellStyle name="Normal 8 9 2" xfId="41660"/>
    <cellStyle name="Normal 8 9 2 2" xfId="41661"/>
    <cellStyle name="Normal 8 9 2 2 2" xfId="41662"/>
    <cellStyle name="Normal 8 9 2 2 2 2" xfId="41663"/>
    <cellStyle name="Normal 8 9 2 2 2 2 2" xfId="41664"/>
    <cellStyle name="Normal 8 9 2 2 2 3" xfId="41665"/>
    <cellStyle name="Normal 8 9 2 2 3" xfId="41666"/>
    <cellStyle name="Normal 8 9 2 2 3 2" xfId="41667"/>
    <cellStyle name="Normal 8 9 2 2 4" xfId="41668"/>
    <cellStyle name="Normal 8 9 2 3" xfId="41669"/>
    <cellStyle name="Normal 8 9 2 3 2" xfId="41670"/>
    <cellStyle name="Normal 8 9 2 3 2 2" xfId="41671"/>
    <cellStyle name="Normal 8 9 2 3 3" xfId="41672"/>
    <cellStyle name="Normal 8 9 2 4" xfId="41673"/>
    <cellStyle name="Normal 8 9 2 4 2" xfId="41674"/>
    <cellStyle name="Normal 8 9 2 5" xfId="41675"/>
    <cellStyle name="Normal 8 9 2 5 2" xfId="41676"/>
    <cellStyle name="Normal 8 9 2 6" xfId="41677"/>
    <cellStyle name="Normal 8 9 3" xfId="41678"/>
    <cellStyle name="Normal 8 9 3 2" xfId="41679"/>
    <cellStyle name="Normal 8 9 3 2 2" xfId="41680"/>
    <cellStyle name="Normal 8 9 3 2 2 2" xfId="41681"/>
    <cellStyle name="Normal 8 9 3 2 2 2 2" xfId="41682"/>
    <cellStyle name="Normal 8 9 3 2 2 3" xfId="41683"/>
    <cellStyle name="Normal 8 9 3 2 3" xfId="41684"/>
    <cellStyle name="Normal 8 9 3 2 3 2" xfId="41685"/>
    <cellStyle name="Normal 8 9 3 2 4" xfId="41686"/>
    <cellStyle name="Normal 8 9 3 3" xfId="41687"/>
    <cellStyle name="Normal 8 9 3 3 2" xfId="41688"/>
    <cellStyle name="Normal 8 9 3 3 2 2" xfId="41689"/>
    <cellStyle name="Normal 8 9 3 3 3" xfId="41690"/>
    <cellStyle name="Normal 8 9 3 4" xfId="41691"/>
    <cellStyle name="Normal 8 9 3 4 2" xfId="41692"/>
    <cellStyle name="Normal 8 9 3 5" xfId="41693"/>
    <cellStyle name="Normal 8 9 3 5 2" xfId="41694"/>
    <cellStyle name="Normal 8 9 3 6" xfId="41695"/>
    <cellStyle name="Normal 8 9 4" xfId="41696"/>
    <cellStyle name="Normal 8 9 4 2" xfId="41697"/>
    <cellStyle name="Normal 8 9 4 2 2" xfId="41698"/>
    <cellStyle name="Normal 8 9 4 2 2 2" xfId="41699"/>
    <cellStyle name="Normal 8 9 4 2 3" xfId="41700"/>
    <cellStyle name="Normal 8 9 4 3" xfId="41701"/>
    <cellStyle name="Normal 8 9 4 3 2" xfId="41702"/>
    <cellStyle name="Normal 8 9 4 4" xfId="41703"/>
    <cellStyle name="Normal 8 9 5" xfId="41704"/>
    <cellStyle name="Normal 8 9 5 2" xfId="41705"/>
    <cellStyle name="Normal 8 9 5 2 2" xfId="41706"/>
    <cellStyle name="Normal 8 9 5 3" xfId="41707"/>
    <cellStyle name="Normal 8 9 6" xfId="41708"/>
    <cellStyle name="Normal 8 9 6 2" xfId="41709"/>
    <cellStyle name="Normal 8 9 7" xfId="41710"/>
    <cellStyle name="Normal 8 9 7 2" xfId="41711"/>
    <cellStyle name="Normal 8 9 8" xfId="41712"/>
    <cellStyle name="Normal 80" xfId="41713"/>
    <cellStyle name="Normal 81" xfId="41714"/>
    <cellStyle name="Normal 82" xfId="45427"/>
    <cellStyle name="Normal 82 2" xfId="45458"/>
    <cellStyle name="Normal 82 3" xfId="45459"/>
    <cellStyle name="Normal 83" xfId="45436"/>
    <cellStyle name="Normal 84" xfId="45461"/>
    <cellStyle name="Normal 85" xfId="45463"/>
    <cellStyle name="Normal 86" xfId="45462"/>
    <cellStyle name="Normal 87" xfId="340"/>
    <cellStyle name="Normal 88" xfId="45465"/>
    <cellStyle name="Normal 89" xfId="45467"/>
    <cellStyle name="Normal 9" xfId="142"/>
    <cellStyle name="Normal 9 2" xfId="615"/>
    <cellStyle name="Normal 9 2 2" xfId="616"/>
    <cellStyle name="Normal 9 2 3" xfId="617"/>
    <cellStyle name="Normal 9 2 4" xfId="41715"/>
    <cellStyle name="Normal 9 3" xfId="618"/>
    <cellStyle name="Normal 9 3 2" xfId="619"/>
    <cellStyle name="Normal 9 4" xfId="620"/>
    <cellStyle name="Normal 9 5" xfId="41716"/>
    <cellStyle name="Normal 9 6" xfId="41717"/>
    <cellStyle name="Normal 9 7" xfId="614"/>
    <cellStyle name="Normal 90" xfId="45469"/>
    <cellStyle name="Normal 91" xfId="215"/>
    <cellStyle name="Normal_20090617 - RIN - justifications 2" xfId="45473"/>
    <cellStyle name="Note 10" xfId="41718"/>
    <cellStyle name="Note 10 2" xfId="41719"/>
    <cellStyle name="Note 10 2 2" xfId="41720"/>
    <cellStyle name="Note 10 2 2 2" xfId="41721"/>
    <cellStyle name="Note 10 2 2 2 2" xfId="41722"/>
    <cellStyle name="Note 10 2 2 2 2 2" xfId="41723"/>
    <cellStyle name="Note 10 2 2 2 3" xfId="41724"/>
    <cellStyle name="Note 10 2 2 3" xfId="41725"/>
    <cellStyle name="Note 10 2 2 3 2" xfId="41726"/>
    <cellStyle name="Note 10 2 2 4" xfId="41727"/>
    <cellStyle name="Note 10 2 3" xfId="41728"/>
    <cellStyle name="Note 10 2 3 2" xfId="41729"/>
    <cellStyle name="Note 10 2 3 2 2" xfId="41730"/>
    <cellStyle name="Note 10 2 3 3" xfId="41731"/>
    <cellStyle name="Note 10 2 4" xfId="41732"/>
    <cellStyle name="Note 10 2 4 2" xfId="41733"/>
    <cellStyle name="Note 10 2 5" xfId="41734"/>
    <cellStyle name="Note 10 2 5 2" xfId="41735"/>
    <cellStyle name="Note 10 2 6" xfId="41736"/>
    <cellStyle name="Note 10 3" xfId="41737"/>
    <cellStyle name="Note 10 3 2" xfId="41738"/>
    <cellStyle name="Note 10 3 2 2" xfId="41739"/>
    <cellStyle name="Note 10 3 2 2 2" xfId="41740"/>
    <cellStyle name="Note 10 3 2 2 2 2" xfId="41741"/>
    <cellStyle name="Note 10 3 2 2 3" xfId="41742"/>
    <cellStyle name="Note 10 3 2 3" xfId="41743"/>
    <cellStyle name="Note 10 3 2 3 2" xfId="41744"/>
    <cellStyle name="Note 10 3 2 4" xfId="41745"/>
    <cellStyle name="Note 10 3 3" xfId="41746"/>
    <cellStyle name="Note 10 3 3 2" xfId="41747"/>
    <cellStyle name="Note 10 3 3 2 2" xfId="41748"/>
    <cellStyle name="Note 10 3 3 3" xfId="41749"/>
    <cellStyle name="Note 10 3 4" xfId="41750"/>
    <cellStyle name="Note 10 3 4 2" xfId="41751"/>
    <cellStyle name="Note 10 3 5" xfId="41752"/>
    <cellStyle name="Note 10 3 5 2" xfId="41753"/>
    <cellStyle name="Note 10 3 6" xfId="41754"/>
    <cellStyle name="Note 10 4" xfId="41755"/>
    <cellStyle name="Note 10 4 2" xfId="41756"/>
    <cellStyle name="Note 10 4 2 2" xfId="41757"/>
    <cellStyle name="Note 10 4 2 2 2" xfId="41758"/>
    <cellStyle name="Note 10 4 2 3" xfId="41759"/>
    <cellStyle name="Note 10 4 3" xfId="41760"/>
    <cellStyle name="Note 10 4 3 2" xfId="41761"/>
    <cellStyle name="Note 10 4 4" xfId="41762"/>
    <cellStyle name="Note 10 5" xfId="41763"/>
    <cellStyle name="Note 10 5 2" xfId="41764"/>
    <cellStyle name="Note 10 5 2 2" xfId="41765"/>
    <cellStyle name="Note 10 5 3" xfId="41766"/>
    <cellStyle name="Note 10 6" xfId="41767"/>
    <cellStyle name="Note 10 6 2" xfId="41768"/>
    <cellStyle name="Note 10 7" xfId="41769"/>
    <cellStyle name="Note 10 7 2" xfId="41770"/>
    <cellStyle name="Note 10 8" xfId="41771"/>
    <cellStyle name="Note 11" xfId="41772"/>
    <cellStyle name="Note 11 2" xfId="41773"/>
    <cellStyle name="Note 11 2 2" xfId="41774"/>
    <cellStyle name="Note 11 2 2 2" xfId="41775"/>
    <cellStyle name="Note 11 2 2 2 2" xfId="41776"/>
    <cellStyle name="Note 11 2 2 2 2 2" xfId="41777"/>
    <cellStyle name="Note 11 2 2 2 3" xfId="41778"/>
    <cellStyle name="Note 11 2 2 3" xfId="41779"/>
    <cellStyle name="Note 11 2 2 3 2" xfId="41780"/>
    <cellStyle name="Note 11 2 2 4" xfId="41781"/>
    <cellStyle name="Note 11 2 3" xfId="41782"/>
    <cellStyle name="Note 11 2 3 2" xfId="41783"/>
    <cellStyle name="Note 11 2 3 2 2" xfId="41784"/>
    <cellStyle name="Note 11 2 3 3" xfId="41785"/>
    <cellStyle name="Note 11 2 4" xfId="41786"/>
    <cellStyle name="Note 11 2 4 2" xfId="41787"/>
    <cellStyle name="Note 11 2 5" xfId="41788"/>
    <cellStyle name="Note 11 2 5 2" xfId="41789"/>
    <cellStyle name="Note 11 2 6" xfId="41790"/>
    <cellStyle name="Note 11 3" xfId="41791"/>
    <cellStyle name="Note 11 3 2" xfId="41792"/>
    <cellStyle name="Note 11 3 2 2" xfId="41793"/>
    <cellStyle name="Note 11 3 2 2 2" xfId="41794"/>
    <cellStyle name="Note 11 3 2 2 2 2" xfId="41795"/>
    <cellStyle name="Note 11 3 2 2 3" xfId="41796"/>
    <cellStyle name="Note 11 3 2 3" xfId="41797"/>
    <cellStyle name="Note 11 3 2 3 2" xfId="41798"/>
    <cellStyle name="Note 11 3 2 4" xfId="41799"/>
    <cellStyle name="Note 11 3 3" xfId="41800"/>
    <cellStyle name="Note 11 3 3 2" xfId="41801"/>
    <cellStyle name="Note 11 3 3 2 2" xfId="41802"/>
    <cellStyle name="Note 11 3 3 3" xfId="41803"/>
    <cellStyle name="Note 11 3 4" xfId="41804"/>
    <cellStyle name="Note 11 3 4 2" xfId="41805"/>
    <cellStyle name="Note 11 3 5" xfId="41806"/>
    <cellStyle name="Note 11 3 5 2" xfId="41807"/>
    <cellStyle name="Note 11 3 6" xfId="41808"/>
    <cellStyle name="Note 11 4" xfId="41809"/>
    <cellStyle name="Note 11 4 2" xfId="41810"/>
    <cellStyle name="Note 11 4 2 2" xfId="41811"/>
    <cellStyle name="Note 11 4 2 2 2" xfId="41812"/>
    <cellStyle name="Note 11 4 2 3" xfId="41813"/>
    <cellStyle name="Note 11 4 3" xfId="41814"/>
    <cellStyle name="Note 11 4 3 2" xfId="41815"/>
    <cellStyle name="Note 11 4 4" xfId="41816"/>
    <cellStyle name="Note 11 5" xfId="41817"/>
    <cellStyle name="Note 11 5 2" xfId="41818"/>
    <cellStyle name="Note 11 5 2 2" xfId="41819"/>
    <cellStyle name="Note 11 5 3" xfId="41820"/>
    <cellStyle name="Note 11 6" xfId="41821"/>
    <cellStyle name="Note 11 6 2" xfId="41822"/>
    <cellStyle name="Note 11 7" xfId="41823"/>
    <cellStyle name="Note 11 7 2" xfId="41824"/>
    <cellStyle name="Note 11 8" xfId="41825"/>
    <cellStyle name="Note 12" xfId="41826"/>
    <cellStyle name="Note 12 2" xfId="41827"/>
    <cellStyle name="Note 12 2 2" xfId="41828"/>
    <cellStyle name="Note 12 2 2 2" xfId="41829"/>
    <cellStyle name="Note 12 2 2 2 2" xfId="41830"/>
    <cellStyle name="Note 12 2 2 3" xfId="41831"/>
    <cellStyle name="Note 12 2 3" xfId="41832"/>
    <cellStyle name="Note 12 2 3 2" xfId="41833"/>
    <cellStyle name="Note 12 2 4" xfId="41834"/>
    <cellStyle name="Note 12 3" xfId="41835"/>
    <cellStyle name="Note 12 3 2" xfId="41836"/>
    <cellStyle name="Note 12 3 2 2" xfId="41837"/>
    <cellStyle name="Note 12 3 3" xfId="41838"/>
    <cellStyle name="Note 12 4" xfId="41839"/>
    <cellStyle name="Note 12 4 2" xfId="41840"/>
    <cellStyle name="Note 12 5" xfId="41841"/>
    <cellStyle name="Note 12 5 2" xfId="41842"/>
    <cellStyle name="Note 12 6" xfId="41843"/>
    <cellStyle name="Note 13" xfId="41844"/>
    <cellStyle name="Note 13 2" xfId="41845"/>
    <cellStyle name="Note 13 2 2" xfId="41846"/>
    <cellStyle name="Note 13 2 2 2" xfId="41847"/>
    <cellStyle name="Note 13 2 2 2 2" xfId="41848"/>
    <cellStyle name="Note 13 2 2 3" xfId="41849"/>
    <cellStyle name="Note 13 2 3" xfId="41850"/>
    <cellStyle name="Note 13 2 3 2" xfId="41851"/>
    <cellStyle name="Note 13 2 4" xfId="41852"/>
    <cellStyle name="Note 13 3" xfId="41853"/>
    <cellStyle name="Note 13 3 2" xfId="41854"/>
    <cellStyle name="Note 13 3 2 2" xfId="41855"/>
    <cellStyle name="Note 13 3 3" xfId="41856"/>
    <cellStyle name="Note 13 4" xfId="41857"/>
    <cellStyle name="Note 13 4 2" xfId="41858"/>
    <cellStyle name="Note 13 5" xfId="41859"/>
    <cellStyle name="Note 13 5 2" xfId="41860"/>
    <cellStyle name="Note 13 6" xfId="41861"/>
    <cellStyle name="Note 14" xfId="41862"/>
    <cellStyle name="Note 14 2" xfId="41863"/>
    <cellStyle name="Note 14 2 2" xfId="41864"/>
    <cellStyle name="Note 14 3" xfId="41865"/>
    <cellStyle name="Note 15" xfId="41866"/>
    <cellStyle name="Note 15 2" xfId="41867"/>
    <cellStyle name="Note 16" xfId="41868"/>
    <cellStyle name="Note 16 2" xfId="41869"/>
    <cellStyle name="Note 17" xfId="41870"/>
    <cellStyle name="Note 17 2" xfId="41871"/>
    <cellStyle name="Note 18" xfId="41872"/>
    <cellStyle name="Note 2" xfId="143"/>
    <cellStyle name="Note 2 2" xfId="621"/>
    <cellStyle name="Note 2 2 2" xfId="41873"/>
    <cellStyle name="Note 2 2 2 2" xfId="41874"/>
    <cellStyle name="Note 2 2 2 3" xfId="41875"/>
    <cellStyle name="Note 2 2 2 4" xfId="41876"/>
    <cellStyle name="Note 2 2 3" xfId="41877"/>
    <cellStyle name="Note 2 2 4" xfId="41878"/>
    <cellStyle name="Note 2 2 4 2" xfId="41879"/>
    <cellStyle name="Note 2 2 5" xfId="41880"/>
    <cellStyle name="Note 2 3" xfId="41881"/>
    <cellStyle name="Note 2 3 2" xfId="41882"/>
    <cellStyle name="Note 2 4" xfId="41883"/>
    <cellStyle name="Note 2 5" xfId="41884"/>
    <cellStyle name="Note 2 5 2" xfId="41885"/>
    <cellStyle name="Note 2 6" xfId="41886"/>
    <cellStyle name="Note 2 7" xfId="41887"/>
    <cellStyle name="Note 2 8" xfId="342"/>
    <cellStyle name="Note 3" xfId="144"/>
    <cellStyle name="Note 3 2" xfId="41888"/>
    <cellStyle name="Note 3 2 10" xfId="41889"/>
    <cellStyle name="Note 3 2 10 2" xfId="41890"/>
    <cellStyle name="Note 3 2 10 2 2" xfId="41891"/>
    <cellStyle name="Note 3 2 10 2 2 2" xfId="41892"/>
    <cellStyle name="Note 3 2 10 2 2 2 2" xfId="41893"/>
    <cellStyle name="Note 3 2 10 2 2 3" xfId="41894"/>
    <cellStyle name="Note 3 2 10 2 3" xfId="41895"/>
    <cellStyle name="Note 3 2 10 2 3 2" xfId="41896"/>
    <cellStyle name="Note 3 2 10 2 4" xfId="41897"/>
    <cellStyle name="Note 3 2 10 3" xfId="41898"/>
    <cellStyle name="Note 3 2 10 3 2" xfId="41899"/>
    <cellStyle name="Note 3 2 10 3 2 2" xfId="41900"/>
    <cellStyle name="Note 3 2 10 3 3" xfId="41901"/>
    <cellStyle name="Note 3 2 10 4" xfId="41902"/>
    <cellStyle name="Note 3 2 10 4 2" xfId="41903"/>
    <cellStyle name="Note 3 2 10 5" xfId="41904"/>
    <cellStyle name="Note 3 2 10 5 2" xfId="41905"/>
    <cellStyle name="Note 3 2 10 6" xfId="41906"/>
    <cellStyle name="Note 3 2 11" xfId="41907"/>
    <cellStyle name="Note 3 2 11 2" xfId="41908"/>
    <cellStyle name="Note 3 2 11 2 2" xfId="41909"/>
    <cellStyle name="Note 3 2 11 2 2 2" xfId="41910"/>
    <cellStyle name="Note 3 2 11 2 3" xfId="41911"/>
    <cellStyle name="Note 3 2 11 3" xfId="41912"/>
    <cellStyle name="Note 3 2 11 3 2" xfId="41913"/>
    <cellStyle name="Note 3 2 11 4" xfId="41914"/>
    <cellStyle name="Note 3 2 12" xfId="41915"/>
    <cellStyle name="Note 3 2 12 2" xfId="41916"/>
    <cellStyle name="Note 3 2 12 2 2" xfId="41917"/>
    <cellStyle name="Note 3 2 12 3" xfId="41918"/>
    <cellStyle name="Note 3 2 13" xfId="41919"/>
    <cellStyle name="Note 3 2 13 2" xfId="41920"/>
    <cellStyle name="Note 3 2 14" xfId="41921"/>
    <cellStyle name="Note 3 2 14 2" xfId="41922"/>
    <cellStyle name="Note 3 2 15" xfId="41923"/>
    <cellStyle name="Note 3 2 2" xfId="41924"/>
    <cellStyle name="Note 3 2 2 10" xfId="41925"/>
    <cellStyle name="Note 3 2 2 10 2" xfId="41926"/>
    <cellStyle name="Note 3 2 2 11" xfId="41927"/>
    <cellStyle name="Note 3 2 2 2" xfId="41928"/>
    <cellStyle name="Note 3 2 2 2 2" xfId="41929"/>
    <cellStyle name="Note 3 2 2 2 2 2" xfId="41930"/>
    <cellStyle name="Note 3 2 2 2 2 2 2" xfId="41931"/>
    <cellStyle name="Note 3 2 2 2 2 2 2 2" xfId="41932"/>
    <cellStyle name="Note 3 2 2 2 2 2 2 2 2" xfId="41933"/>
    <cellStyle name="Note 3 2 2 2 2 2 2 3" xfId="41934"/>
    <cellStyle name="Note 3 2 2 2 2 2 3" xfId="41935"/>
    <cellStyle name="Note 3 2 2 2 2 2 3 2" xfId="41936"/>
    <cellStyle name="Note 3 2 2 2 2 2 4" xfId="41937"/>
    <cellStyle name="Note 3 2 2 2 2 3" xfId="41938"/>
    <cellStyle name="Note 3 2 2 2 2 3 2" xfId="41939"/>
    <cellStyle name="Note 3 2 2 2 2 3 2 2" xfId="41940"/>
    <cellStyle name="Note 3 2 2 2 2 3 3" xfId="41941"/>
    <cellStyle name="Note 3 2 2 2 2 4" xfId="41942"/>
    <cellStyle name="Note 3 2 2 2 2 4 2" xfId="41943"/>
    <cellStyle name="Note 3 2 2 2 2 5" xfId="41944"/>
    <cellStyle name="Note 3 2 2 2 2 5 2" xfId="41945"/>
    <cellStyle name="Note 3 2 2 2 2 6" xfId="41946"/>
    <cellStyle name="Note 3 2 2 2 3" xfId="41947"/>
    <cellStyle name="Note 3 2 2 2 3 2" xfId="41948"/>
    <cellStyle name="Note 3 2 2 2 3 2 2" xfId="41949"/>
    <cellStyle name="Note 3 2 2 2 3 2 2 2" xfId="41950"/>
    <cellStyle name="Note 3 2 2 2 3 2 2 2 2" xfId="41951"/>
    <cellStyle name="Note 3 2 2 2 3 2 2 3" xfId="41952"/>
    <cellStyle name="Note 3 2 2 2 3 2 3" xfId="41953"/>
    <cellStyle name="Note 3 2 2 2 3 2 3 2" xfId="41954"/>
    <cellStyle name="Note 3 2 2 2 3 2 4" xfId="41955"/>
    <cellStyle name="Note 3 2 2 2 3 3" xfId="41956"/>
    <cellStyle name="Note 3 2 2 2 3 3 2" xfId="41957"/>
    <cellStyle name="Note 3 2 2 2 3 3 2 2" xfId="41958"/>
    <cellStyle name="Note 3 2 2 2 3 3 3" xfId="41959"/>
    <cellStyle name="Note 3 2 2 2 3 4" xfId="41960"/>
    <cellStyle name="Note 3 2 2 2 3 4 2" xfId="41961"/>
    <cellStyle name="Note 3 2 2 2 3 5" xfId="41962"/>
    <cellStyle name="Note 3 2 2 2 3 5 2" xfId="41963"/>
    <cellStyle name="Note 3 2 2 2 3 6" xfId="41964"/>
    <cellStyle name="Note 3 2 2 2 4" xfId="41965"/>
    <cellStyle name="Note 3 2 2 2 4 2" xfId="41966"/>
    <cellStyle name="Note 3 2 2 2 4 2 2" xfId="41967"/>
    <cellStyle name="Note 3 2 2 2 4 2 2 2" xfId="41968"/>
    <cellStyle name="Note 3 2 2 2 4 2 3" xfId="41969"/>
    <cellStyle name="Note 3 2 2 2 4 3" xfId="41970"/>
    <cellStyle name="Note 3 2 2 2 4 3 2" xfId="41971"/>
    <cellStyle name="Note 3 2 2 2 4 4" xfId="41972"/>
    <cellStyle name="Note 3 2 2 2 5" xfId="41973"/>
    <cellStyle name="Note 3 2 2 2 5 2" xfId="41974"/>
    <cellStyle name="Note 3 2 2 2 5 2 2" xfId="41975"/>
    <cellStyle name="Note 3 2 2 2 5 3" xfId="41976"/>
    <cellStyle name="Note 3 2 2 2 6" xfId="41977"/>
    <cellStyle name="Note 3 2 2 2 6 2" xfId="41978"/>
    <cellStyle name="Note 3 2 2 2 7" xfId="41979"/>
    <cellStyle name="Note 3 2 2 2 7 2" xfId="41980"/>
    <cellStyle name="Note 3 2 2 2 8" xfId="41981"/>
    <cellStyle name="Note 3 2 2 3" xfId="41982"/>
    <cellStyle name="Note 3 2 2 3 2" xfId="41983"/>
    <cellStyle name="Note 3 2 2 3 2 2" xfId="41984"/>
    <cellStyle name="Note 3 2 2 3 2 2 2" xfId="41985"/>
    <cellStyle name="Note 3 2 2 3 2 2 2 2" xfId="41986"/>
    <cellStyle name="Note 3 2 2 3 2 2 2 2 2" xfId="41987"/>
    <cellStyle name="Note 3 2 2 3 2 2 2 3" xfId="41988"/>
    <cellStyle name="Note 3 2 2 3 2 2 3" xfId="41989"/>
    <cellStyle name="Note 3 2 2 3 2 2 3 2" xfId="41990"/>
    <cellStyle name="Note 3 2 2 3 2 2 4" xfId="41991"/>
    <cellStyle name="Note 3 2 2 3 2 3" xfId="41992"/>
    <cellStyle name="Note 3 2 2 3 2 3 2" xfId="41993"/>
    <cellStyle name="Note 3 2 2 3 2 3 2 2" xfId="41994"/>
    <cellStyle name="Note 3 2 2 3 2 3 3" xfId="41995"/>
    <cellStyle name="Note 3 2 2 3 2 4" xfId="41996"/>
    <cellStyle name="Note 3 2 2 3 2 4 2" xfId="41997"/>
    <cellStyle name="Note 3 2 2 3 2 5" xfId="41998"/>
    <cellStyle name="Note 3 2 2 3 2 5 2" xfId="41999"/>
    <cellStyle name="Note 3 2 2 3 2 6" xfId="42000"/>
    <cellStyle name="Note 3 2 2 3 3" xfId="42001"/>
    <cellStyle name="Note 3 2 2 3 3 2" xfId="42002"/>
    <cellStyle name="Note 3 2 2 3 3 2 2" xfId="42003"/>
    <cellStyle name="Note 3 2 2 3 3 2 2 2" xfId="42004"/>
    <cellStyle name="Note 3 2 2 3 3 2 2 2 2" xfId="42005"/>
    <cellStyle name="Note 3 2 2 3 3 2 2 3" xfId="42006"/>
    <cellStyle name="Note 3 2 2 3 3 2 3" xfId="42007"/>
    <cellStyle name="Note 3 2 2 3 3 2 3 2" xfId="42008"/>
    <cellStyle name="Note 3 2 2 3 3 2 4" xfId="42009"/>
    <cellStyle name="Note 3 2 2 3 3 3" xfId="42010"/>
    <cellStyle name="Note 3 2 2 3 3 3 2" xfId="42011"/>
    <cellStyle name="Note 3 2 2 3 3 3 2 2" xfId="42012"/>
    <cellStyle name="Note 3 2 2 3 3 3 3" xfId="42013"/>
    <cellStyle name="Note 3 2 2 3 3 4" xfId="42014"/>
    <cellStyle name="Note 3 2 2 3 3 4 2" xfId="42015"/>
    <cellStyle name="Note 3 2 2 3 3 5" xfId="42016"/>
    <cellStyle name="Note 3 2 2 3 3 5 2" xfId="42017"/>
    <cellStyle name="Note 3 2 2 3 3 6" xfId="42018"/>
    <cellStyle name="Note 3 2 2 3 4" xfId="42019"/>
    <cellStyle name="Note 3 2 2 3 4 2" xfId="42020"/>
    <cellStyle name="Note 3 2 2 3 4 2 2" xfId="42021"/>
    <cellStyle name="Note 3 2 2 3 4 2 2 2" xfId="42022"/>
    <cellStyle name="Note 3 2 2 3 4 2 3" xfId="42023"/>
    <cellStyle name="Note 3 2 2 3 4 3" xfId="42024"/>
    <cellStyle name="Note 3 2 2 3 4 3 2" xfId="42025"/>
    <cellStyle name="Note 3 2 2 3 4 4" xfId="42026"/>
    <cellStyle name="Note 3 2 2 3 5" xfId="42027"/>
    <cellStyle name="Note 3 2 2 3 5 2" xfId="42028"/>
    <cellStyle name="Note 3 2 2 3 5 2 2" xfId="42029"/>
    <cellStyle name="Note 3 2 2 3 5 3" xfId="42030"/>
    <cellStyle name="Note 3 2 2 3 6" xfId="42031"/>
    <cellStyle name="Note 3 2 2 3 6 2" xfId="42032"/>
    <cellStyle name="Note 3 2 2 3 7" xfId="42033"/>
    <cellStyle name="Note 3 2 2 3 7 2" xfId="42034"/>
    <cellStyle name="Note 3 2 2 3 8" xfId="42035"/>
    <cellStyle name="Note 3 2 2 4" xfId="42036"/>
    <cellStyle name="Note 3 2 2 4 2" xfId="42037"/>
    <cellStyle name="Note 3 2 2 4 2 2" xfId="42038"/>
    <cellStyle name="Note 3 2 2 4 2 2 2" xfId="42039"/>
    <cellStyle name="Note 3 2 2 4 2 2 2 2" xfId="42040"/>
    <cellStyle name="Note 3 2 2 4 2 2 3" xfId="42041"/>
    <cellStyle name="Note 3 2 2 4 2 3" xfId="42042"/>
    <cellStyle name="Note 3 2 2 4 2 3 2" xfId="42043"/>
    <cellStyle name="Note 3 2 2 4 2 4" xfId="42044"/>
    <cellStyle name="Note 3 2 2 4 3" xfId="42045"/>
    <cellStyle name="Note 3 2 2 4 3 2" xfId="42046"/>
    <cellStyle name="Note 3 2 2 4 3 2 2" xfId="42047"/>
    <cellStyle name="Note 3 2 2 4 3 3" xfId="42048"/>
    <cellStyle name="Note 3 2 2 4 4" xfId="42049"/>
    <cellStyle name="Note 3 2 2 4 4 2" xfId="42050"/>
    <cellStyle name="Note 3 2 2 4 5" xfId="42051"/>
    <cellStyle name="Note 3 2 2 4 5 2" xfId="42052"/>
    <cellStyle name="Note 3 2 2 4 6" xfId="42053"/>
    <cellStyle name="Note 3 2 2 5" xfId="42054"/>
    <cellStyle name="Note 3 2 2 5 2" xfId="42055"/>
    <cellStyle name="Note 3 2 2 5 2 2" xfId="42056"/>
    <cellStyle name="Note 3 2 2 5 2 2 2" xfId="42057"/>
    <cellStyle name="Note 3 2 2 5 2 2 2 2" xfId="42058"/>
    <cellStyle name="Note 3 2 2 5 2 2 3" xfId="42059"/>
    <cellStyle name="Note 3 2 2 5 2 3" xfId="42060"/>
    <cellStyle name="Note 3 2 2 5 2 3 2" xfId="42061"/>
    <cellStyle name="Note 3 2 2 5 2 4" xfId="42062"/>
    <cellStyle name="Note 3 2 2 5 3" xfId="42063"/>
    <cellStyle name="Note 3 2 2 5 3 2" xfId="42064"/>
    <cellStyle name="Note 3 2 2 5 3 2 2" xfId="42065"/>
    <cellStyle name="Note 3 2 2 5 3 3" xfId="42066"/>
    <cellStyle name="Note 3 2 2 5 4" xfId="42067"/>
    <cellStyle name="Note 3 2 2 5 4 2" xfId="42068"/>
    <cellStyle name="Note 3 2 2 5 5" xfId="42069"/>
    <cellStyle name="Note 3 2 2 5 5 2" xfId="42070"/>
    <cellStyle name="Note 3 2 2 5 6" xfId="42071"/>
    <cellStyle name="Note 3 2 2 6" xfId="42072"/>
    <cellStyle name="Note 3 2 2 6 2" xfId="42073"/>
    <cellStyle name="Note 3 2 2 6 2 2" xfId="42074"/>
    <cellStyle name="Note 3 2 2 6 2 2 2" xfId="42075"/>
    <cellStyle name="Note 3 2 2 6 2 2 2 2" xfId="42076"/>
    <cellStyle name="Note 3 2 2 6 2 2 3" xfId="42077"/>
    <cellStyle name="Note 3 2 2 6 2 3" xfId="42078"/>
    <cellStyle name="Note 3 2 2 6 2 3 2" xfId="42079"/>
    <cellStyle name="Note 3 2 2 6 2 4" xfId="42080"/>
    <cellStyle name="Note 3 2 2 6 3" xfId="42081"/>
    <cellStyle name="Note 3 2 2 6 3 2" xfId="42082"/>
    <cellStyle name="Note 3 2 2 6 3 2 2" xfId="42083"/>
    <cellStyle name="Note 3 2 2 6 3 3" xfId="42084"/>
    <cellStyle name="Note 3 2 2 6 4" xfId="42085"/>
    <cellStyle name="Note 3 2 2 6 4 2" xfId="42086"/>
    <cellStyle name="Note 3 2 2 6 5" xfId="42087"/>
    <cellStyle name="Note 3 2 2 6 5 2" xfId="42088"/>
    <cellStyle name="Note 3 2 2 6 6" xfId="42089"/>
    <cellStyle name="Note 3 2 2 7" xfId="42090"/>
    <cellStyle name="Note 3 2 2 7 2" xfId="42091"/>
    <cellStyle name="Note 3 2 2 7 2 2" xfId="42092"/>
    <cellStyle name="Note 3 2 2 7 2 2 2" xfId="42093"/>
    <cellStyle name="Note 3 2 2 7 2 3" xfId="42094"/>
    <cellStyle name="Note 3 2 2 7 3" xfId="42095"/>
    <cellStyle name="Note 3 2 2 7 3 2" xfId="42096"/>
    <cellStyle name="Note 3 2 2 7 4" xfId="42097"/>
    <cellStyle name="Note 3 2 2 8" xfId="42098"/>
    <cellStyle name="Note 3 2 2 8 2" xfId="42099"/>
    <cellStyle name="Note 3 2 2 8 2 2" xfId="42100"/>
    <cellStyle name="Note 3 2 2 8 3" xfId="42101"/>
    <cellStyle name="Note 3 2 2 9" xfId="42102"/>
    <cellStyle name="Note 3 2 2 9 2" xfId="42103"/>
    <cellStyle name="Note 3 2 3" xfId="42104"/>
    <cellStyle name="Note 3 2 3 10" xfId="42105"/>
    <cellStyle name="Note 3 2 3 10 2" xfId="42106"/>
    <cellStyle name="Note 3 2 3 11" xfId="42107"/>
    <cellStyle name="Note 3 2 3 2" xfId="42108"/>
    <cellStyle name="Note 3 2 3 2 2" xfId="42109"/>
    <cellStyle name="Note 3 2 3 2 2 2" xfId="42110"/>
    <cellStyle name="Note 3 2 3 2 2 2 2" xfId="42111"/>
    <cellStyle name="Note 3 2 3 2 2 2 2 2" xfId="42112"/>
    <cellStyle name="Note 3 2 3 2 2 2 2 2 2" xfId="42113"/>
    <cellStyle name="Note 3 2 3 2 2 2 2 3" xfId="42114"/>
    <cellStyle name="Note 3 2 3 2 2 2 3" xfId="42115"/>
    <cellStyle name="Note 3 2 3 2 2 2 3 2" xfId="42116"/>
    <cellStyle name="Note 3 2 3 2 2 2 4" xfId="42117"/>
    <cellStyle name="Note 3 2 3 2 2 3" xfId="42118"/>
    <cellStyle name="Note 3 2 3 2 2 3 2" xfId="42119"/>
    <cellStyle name="Note 3 2 3 2 2 3 2 2" xfId="42120"/>
    <cellStyle name="Note 3 2 3 2 2 3 3" xfId="42121"/>
    <cellStyle name="Note 3 2 3 2 2 4" xfId="42122"/>
    <cellStyle name="Note 3 2 3 2 2 4 2" xfId="42123"/>
    <cellStyle name="Note 3 2 3 2 2 5" xfId="42124"/>
    <cellStyle name="Note 3 2 3 2 2 5 2" xfId="42125"/>
    <cellStyle name="Note 3 2 3 2 2 6" xfId="42126"/>
    <cellStyle name="Note 3 2 3 2 3" xfId="42127"/>
    <cellStyle name="Note 3 2 3 2 3 2" xfId="42128"/>
    <cellStyle name="Note 3 2 3 2 3 2 2" xfId="42129"/>
    <cellStyle name="Note 3 2 3 2 3 2 2 2" xfId="42130"/>
    <cellStyle name="Note 3 2 3 2 3 2 2 2 2" xfId="42131"/>
    <cellStyle name="Note 3 2 3 2 3 2 2 3" xfId="42132"/>
    <cellStyle name="Note 3 2 3 2 3 2 3" xfId="42133"/>
    <cellStyle name="Note 3 2 3 2 3 2 3 2" xfId="42134"/>
    <cellStyle name="Note 3 2 3 2 3 2 4" xfId="42135"/>
    <cellStyle name="Note 3 2 3 2 3 3" xfId="42136"/>
    <cellStyle name="Note 3 2 3 2 3 3 2" xfId="42137"/>
    <cellStyle name="Note 3 2 3 2 3 3 2 2" xfId="42138"/>
    <cellStyle name="Note 3 2 3 2 3 3 3" xfId="42139"/>
    <cellStyle name="Note 3 2 3 2 3 4" xfId="42140"/>
    <cellStyle name="Note 3 2 3 2 3 4 2" xfId="42141"/>
    <cellStyle name="Note 3 2 3 2 3 5" xfId="42142"/>
    <cellStyle name="Note 3 2 3 2 3 5 2" xfId="42143"/>
    <cellStyle name="Note 3 2 3 2 3 6" xfId="42144"/>
    <cellStyle name="Note 3 2 3 2 4" xfId="42145"/>
    <cellStyle name="Note 3 2 3 2 4 2" xfId="42146"/>
    <cellStyle name="Note 3 2 3 2 4 2 2" xfId="42147"/>
    <cellStyle name="Note 3 2 3 2 4 2 2 2" xfId="42148"/>
    <cellStyle name="Note 3 2 3 2 4 2 3" xfId="42149"/>
    <cellStyle name="Note 3 2 3 2 4 3" xfId="42150"/>
    <cellStyle name="Note 3 2 3 2 4 3 2" xfId="42151"/>
    <cellStyle name="Note 3 2 3 2 4 4" xfId="42152"/>
    <cellStyle name="Note 3 2 3 2 5" xfId="42153"/>
    <cellStyle name="Note 3 2 3 2 5 2" xfId="42154"/>
    <cellStyle name="Note 3 2 3 2 5 2 2" xfId="42155"/>
    <cellStyle name="Note 3 2 3 2 5 3" xfId="42156"/>
    <cellStyle name="Note 3 2 3 2 6" xfId="42157"/>
    <cellStyle name="Note 3 2 3 2 6 2" xfId="42158"/>
    <cellStyle name="Note 3 2 3 2 7" xfId="42159"/>
    <cellStyle name="Note 3 2 3 2 7 2" xfId="42160"/>
    <cellStyle name="Note 3 2 3 2 8" xfId="42161"/>
    <cellStyle name="Note 3 2 3 3" xfId="42162"/>
    <cellStyle name="Note 3 2 3 3 2" xfId="42163"/>
    <cellStyle name="Note 3 2 3 3 2 2" xfId="42164"/>
    <cellStyle name="Note 3 2 3 3 2 2 2" xfId="42165"/>
    <cellStyle name="Note 3 2 3 3 2 2 2 2" xfId="42166"/>
    <cellStyle name="Note 3 2 3 3 2 2 2 2 2" xfId="42167"/>
    <cellStyle name="Note 3 2 3 3 2 2 2 3" xfId="42168"/>
    <cellStyle name="Note 3 2 3 3 2 2 3" xfId="42169"/>
    <cellStyle name="Note 3 2 3 3 2 2 3 2" xfId="42170"/>
    <cellStyle name="Note 3 2 3 3 2 2 4" xfId="42171"/>
    <cellStyle name="Note 3 2 3 3 2 3" xfId="42172"/>
    <cellStyle name="Note 3 2 3 3 2 3 2" xfId="42173"/>
    <cellStyle name="Note 3 2 3 3 2 3 2 2" xfId="42174"/>
    <cellStyle name="Note 3 2 3 3 2 3 3" xfId="42175"/>
    <cellStyle name="Note 3 2 3 3 2 4" xfId="42176"/>
    <cellStyle name="Note 3 2 3 3 2 4 2" xfId="42177"/>
    <cellStyle name="Note 3 2 3 3 2 5" xfId="42178"/>
    <cellStyle name="Note 3 2 3 3 2 5 2" xfId="42179"/>
    <cellStyle name="Note 3 2 3 3 2 6" xfId="42180"/>
    <cellStyle name="Note 3 2 3 3 3" xfId="42181"/>
    <cellStyle name="Note 3 2 3 3 3 2" xfId="42182"/>
    <cellStyle name="Note 3 2 3 3 3 2 2" xfId="42183"/>
    <cellStyle name="Note 3 2 3 3 3 2 2 2" xfId="42184"/>
    <cellStyle name="Note 3 2 3 3 3 2 2 2 2" xfId="42185"/>
    <cellStyle name="Note 3 2 3 3 3 2 2 3" xfId="42186"/>
    <cellStyle name="Note 3 2 3 3 3 2 3" xfId="42187"/>
    <cellStyle name="Note 3 2 3 3 3 2 3 2" xfId="42188"/>
    <cellStyle name="Note 3 2 3 3 3 2 4" xfId="42189"/>
    <cellStyle name="Note 3 2 3 3 3 3" xfId="42190"/>
    <cellStyle name="Note 3 2 3 3 3 3 2" xfId="42191"/>
    <cellStyle name="Note 3 2 3 3 3 3 2 2" xfId="42192"/>
    <cellStyle name="Note 3 2 3 3 3 3 3" xfId="42193"/>
    <cellStyle name="Note 3 2 3 3 3 4" xfId="42194"/>
    <cellStyle name="Note 3 2 3 3 3 4 2" xfId="42195"/>
    <cellStyle name="Note 3 2 3 3 3 5" xfId="42196"/>
    <cellStyle name="Note 3 2 3 3 3 5 2" xfId="42197"/>
    <cellStyle name="Note 3 2 3 3 3 6" xfId="42198"/>
    <cellStyle name="Note 3 2 3 3 4" xfId="42199"/>
    <cellStyle name="Note 3 2 3 3 4 2" xfId="42200"/>
    <cellStyle name="Note 3 2 3 3 4 2 2" xfId="42201"/>
    <cellStyle name="Note 3 2 3 3 4 2 2 2" xfId="42202"/>
    <cellStyle name="Note 3 2 3 3 4 2 3" xfId="42203"/>
    <cellStyle name="Note 3 2 3 3 4 3" xfId="42204"/>
    <cellStyle name="Note 3 2 3 3 4 3 2" xfId="42205"/>
    <cellStyle name="Note 3 2 3 3 4 4" xfId="42206"/>
    <cellStyle name="Note 3 2 3 3 5" xfId="42207"/>
    <cellStyle name="Note 3 2 3 3 5 2" xfId="42208"/>
    <cellStyle name="Note 3 2 3 3 5 2 2" xfId="42209"/>
    <cellStyle name="Note 3 2 3 3 5 3" xfId="42210"/>
    <cellStyle name="Note 3 2 3 3 6" xfId="42211"/>
    <cellStyle name="Note 3 2 3 3 6 2" xfId="42212"/>
    <cellStyle name="Note 3 2 3 3 7" xfId="42213"/>
    <cellStyle name="Note 3 2 3 3 7 2" xfId="42214"/>
    <cellStyle name="Note 3 2 3 3 8" xfId="42215"/>
    <cellStyle name="Note 3 2 3 4" xfId="42216"/>
    <cellStyle name="Note 3 2 3 4 2" xfId="42217"/>
    <cellStyle name="Note 3 2 3 4 2 2" xfId="42218"/>
    <cellStyle name="Note 3 2 3 4 2 2 2" xfId="42219"/>
    <cellStyle name="Note 3 2 3 4 2 2 2 2" xfId="42220"/>
    <cellStyle name="Note 3 2 3 4 2 2 3" xfId="42221"/>
    <cellStyle name="Note 3 2 3 4 2 3" xfId="42222"/>
    <cellStyle name="Note 3 2 3 4 2 3 2" xfId="42223"/>
    <cellStyle name="Note 3 2 3 4 2 4" xfId="42224"/>
    <cellStyle name="Note 3 2 3 4 3" xfId="42225"/>
    <cellStyle name="Note 3 2 3 4 3 2" xfId="42226"/>
    <cellStyle name="Note 3 2 3 4 3 2 2" xfId="42227"/>
    <cellStyle name="Note 3 2 3 4 3 3" xfId="42228"/>
    <cellStyle name="Note 3 2 3 4 4" xfId="42229"/>
    <cellStyle name="Note 3 2 3 4 4 2" xfId="42230"/>
    <cellStyle name="Note 3 2 3 4 5" xfId="42231"/>
    <cellStyle name="Note 3 2 3 4 5 2" xfId="42232"/>
    <cellStyle name="Note 3 2 3 4 6" xfId="42233"/>
    <cellStyle name="Note 3 2 3 5" xfId="42234"/>
    <cellStyle name="Note 3 2 3 5 2" xfId="42235"/>
    <cellStyle name="Note 3 2 3 5 2 2" xfId="42236"/>
    <cellStyle name="Note 3 2 3 5 2 2 2" xfId="42237"/>
    <cellStyle name="Note 3 2 3 5 2 2 2 2" xfId="42238"/>
    <cellStyle name="Note 3 2 3 5 2 2 3" xfId="42239"/>
    <cellStyle name="Note 3 2 3 5 2 3" xfId="42240"/>
    <cellStyle name="Note 3 2 3 5 2 3 2" xfId="42241"/>
    <cellStyle name="Note 3 2 3 5 2 4" xfId="42242"/>
    <cellStyle name="Note 3 2 3 5 3" xfId="42243"/>
    <cellStyle name="Note 3 2 3 5 3 2" xfId="42244"/>
    <cellStyle name="Note 3 2 3 5 3 2 2" xfId="42245"/>
    <cellStyle name="Note 3 2 3 5 3 3" xfId="42246"/>
    <cellStyle name="Note 3 2 3 5 4" xfId="42247"/>
    <cellStyle name="Note 3 2 3 5 4 2" xfId="42248"/>
    <cellStyle name="Note 3 2 3 5 5" xfId="42249"/>
    <cellStyle name="Note 3 2 3 5 5 2" xfId="42250"/>
    <cellStyle name="Note 3 2 3 5 6" xfId="42251"/>
    <cellStyle name="Note 3 2 3 6" xfId="42252"/>
    <cellStyle name="Note 3 2 3 6 2" xfId="42253"/>
    <cellStyle name="Note 3 2 3 6 2 2" xfId="42254"/>
    <cellStyle name="Note 3 2 3 6 2 2 2" xfId="42255"/>
    <cellStyle name="Note 3 2 3 6 2 2 2 2" xfId="42256"/>
    <cellStyle name="Note 3 2 3 6 2 2 3" xfId="42257"/>
    <cellStyle name="Note 3 2 3 6 2 3" xfId="42258"/>
    <cellStyle name="Note 3 2 3 6 2 3 2" xfId="42259"/>
    <cellStyle name="Note 3 2 3 6 2 4" xfId="42260"/>
    <cellStyle name="Note 3 2 3 6 3" xfId="42261"/>
    <cellStyle name="Note 3 2 3 6 3 2" xfId="42262"/>
    <cellStyle name="Note 3 2 3 6 3 2 2" xfId="42263"/>
    <cellStyle name="Note 3 2 3 6 3 3" xfId="42264"/>
    <cellStyle name="Note 3 2 3 6 4" xfId="42265"/>
    <cellStyle name="Note 3 2 3 6 4 2" xfId="42266"/>
    <cellStyle name="Note 3 2 3 6 5" xfId="42267"/>
    <cellStyle name="Note 3 2 3 6 5 2" xfId="42268"/>
    <cellStyle name="Note 3 2 3 6 6" xfId="42269"/>
    <cellStyle name="Note 3 2 3 7" xfId="42270"/>
    <cellStyle name="Note 3 2 3 7 2" xfId="42271"/>
    <cellStyle name="Note 3 2 3 7 2 2" xfId="42272"/>
    <cellStyle name="Note 3 2 3 7 2 2 2" xfId="42273"/>
    <cellStyle name="Note 3 2 3 7 2 3" xfId="42274"/>
    <cellStyle name="Note 3 2 3 7 3" xfId="42275"/>
    <cellStyle name="Note 3 2 3 7 3 2" xfId="42276"/>
    <cellStyle name="Note 3 2 3 7 4" xfId="42277"/>
    <cellStyle name="Note 3 2 3 8" xfId="42278"/>
    <cellStyle name="Note 3 2 3 8 2" xfId="42279"/>
    <cellStyle name="Note 3 2 3 8 2 2" xfId="42280"/>
    <cellStyle name="Note 3 2 3 8 3" xfId="42281"/>
    <cellStyle name="Note 3 2 3 9" xfId="42282"/>
    <cellStyle name="Note 3 2 3 9 2" xfId="42283"/>
    <cellStyle name="Note 3 2 4" xfId="42284"/>
    <cellStyle name="Note 3 2 4 10" xfId="42285"/>
    <cellStyle name="Note 3 2 4 10 2" xfId="42286"/>
    <cellStyle name="Note 3 2 4 11" xfId="42287"/>
    <cellStyle name="Note 3 2 4 2" xfId="42288"/>
    <cellStyle name="Note 3 2 4 2 2" xfId="42289"/>
    <cellStyle name="Note 3 2 4 2 2 2" xfId="42290"/>
    <cellStyle name="Note 3 2 4 2 2 2 2" xfId="42291"/>
    <cellStyle name="Note 3 2 4 2 2 2 2 2" xfId="42292"/>
    <cellStyle name="Note 3 2 4 2 2 2 2 2 2" xfId="42293"/>
    <cellStyle name="Note 3 2 4 2 2 2 2 3" xfId="42294"/>
    <cellStyle name="Note 3 2 4 2 2 2 3" xfId="42295"/>
    <cellStyle name="Note 3 2 4 2 2 2 3 2" xfId="42296"/>
    <cellStyle name="Note 3 2 4 2 2 2 4" xfId="42297"/>
    <cellStyle name="Note 3 2 4 2 2 3" xfId="42298"/>
    <cellStyle name="Note 3 2 4 2 2 3 2" xfId="42299"/>
    <cellStyle name="Note 3 2 4 2 2 3 2 2" xfId="42300"/>
    <cellStyle name="Note 3 2 4 2 2 3 3" xfId="42301"/>
    <cellStyle name="Note 3 2 4 2 2 4" xfId="42302"/>
    <cellStyle name="Note 3 2 4 2 2 4 2" xfId="42303"/>
    <cellStyle name="Note 3 2 4 2 2 5" xfId="42304"/>
    <cellStyle name="Note 3 2 4 2 2 5 2" xfId="42305"/>
    <cellStyle name="Note 3 2 4 2 2 6" xfId="42306"/>
    <cellStyle name="Note 3 2 4 2 3" xfId="42307"/>
    <cellStyle name="Note 3 2 4 2 3 2" xfId="42308"/>
    <cellStyle name="Note 3 2 4 2 3 2 2" xfId="42309"/>
    <cellStyle name="Note 3 2 4 2 3 2 2 2" xfId="42310"/>
    <cellStyle name="Note 3 2 4 2 3 2 2 2 2" xfId="42311"/>
    <cellStyle name="Note 3 2 4 2 3 2 2 3" xfId="42312"/>
    <cellStyle name="Note 3 2 4 2 3 2 3" xfId="42313"/>
    <cellStyle name="Note 3 2 4 2 3 2 3 2" xfId="42314"/>
    <cellStyle name="Note 3 2 4 2 3 2 4" xfId="42315"/>
    <cellStyle name="Note 3 2 4 2 3 3" xfId="42316"/>
    <cellStyle name="Note 3 2 4 2 3 3 2" xfId="42317"/>
    <cellStyle name="Note 3 2 4 2 3 3 2 2" xfId="42318"/>
    <cellStyle name="Note 3 2 4 2 3 3 3" xfId="42319"/>
    <cellStyle name="Note 3 2 4 2 3 4" xfId="42320"/>
    <cellStyle name="Note 3 2 4 2 3 4 2" xfId="42321"/>
    <cellStyle name="Note 3 2 4 2 3 5" xfId="42322"/>
    <cellStyle name="Note 3 2 4 2 3 5 2" xfId="42323"/>
    <cellStyle name="Note 3 2 4 2 3 6" xfId="42324"/>
    <cellStyle name="Note 3 2 4 2 4" xfId="42325"/>
    <cellStyle name="Note 3 2 4 2 4 2" xfId="42326"/>
    <cellStyle name="Note 3 2 4 2 4 2 2" xfId="42327"/>
    <cellStyle name="Note 3 2 4 2 4 2 2 2" xfId="42328"/>
    <cellStyle name="Note 3 2 4 2 4 2 3" xfId="42329"/>
    <cellStyle name="Note 3 2 4 2 4 3" xfId="42330"/>
    <cellStyle name="Note 3 2 4 2 4 3 2" xfId="42331"/>
    <cellStyle name="Note 3 2 4 2 4 4" xfId="42332"/>
    <cellStyle name="Note 3 2 4 2 5" xfId="42333"/>
    <cellStyle name="Note 3 2 4 2 5 2" xfId="42334"/>
    <cellStyle name="Note 3 2 4 2 5 2 2" xfId="42335"/>
    <cellStyle name="Note 3 2 4 2 5 3" xfId="42336"/>
    <cellStyle name="Note 3 2 4 2 6" xfId="42337"/>
    <cellStyle name="Note 3 2 4 2 6 2" xfId="42338"/>
    <cellStyle name="Note 3 2 4 2 7" xfId="42339"/>
    <cellStyle name="Note 3 2 4 2 7 2" xfId="42340"/>
    <cellStyle name="Note 3 2 4 2 8" xfId="42341"/>
    <cellStyle name="Note 3 2 4 3" xfId="42342"/>
    <cellStyle name="Note 3 2 4 3 2" xfId="42343"/>
    <cellStyle name="Note 3 2 4 3 2 2" xfId="42344"/>
    <cellStyle name="Note 3 2 4 3 2 2 2" xfId="42345"/>
    <cellStyle name="Note 3 2 4 3 2 2 2 2" xfId="42346"/>
    <cellStyle name="Note 3 2 4 3 2 2 2 2 2" xfId="42347"/>
    <cellStyle name="Note 3 2 4 3 2 2 2 3" xfId="42348"/>
    <cellStyle name="Note 3 2 4 3 2 2 3" xfId="42349"/>
    <cellStyle name="Note 3 2 4 3 2 2 3 2" xfId="42350"/>
    <cellStyle name="Note 3 2 4 3 2 2 4" xfId="42351"/>
    <cellStyle name="Note 3 2 4 3 2 3" xfId="42352"/>
    <cellStyle name="Note 3 2 4 3 2 3 2" xfId="42353"/>
    <cellStyle name="Note 3 2 4 3 2 3 2 2" xfId="42354"/>
    <cellStyle name="Note 3 2 4 3 2 3 3" xfId="42355"/>
    <cellStyle name="Note 3 2 4 3 2 4" xfId="42356"/>
    <cellStyle name="Note 3 2 4 3 2 4 2" xfId="42357"/>
    <cellStyle name="Note 3 2 4 3 2 5" xfId="42358"/>
    <cellStyle name="Note 3 2 4 3 2 5 2" xfId="42359"/>
    <cellStyle name="Note 3 2 4 3 2 6" xfId="42360"/>
    <cellStyle name="Note 3 2 4 3 3" xfId="42361"/>
    <cellStyle name="Note 3 2 4 3 3 2" xfId="42362"/>
    <cellStyle name="Note 3 2 4 3 3 2 2" xfId="42363"/>
    <cellStyle name="Note 3 2 4 3 3 2 2 2" xfId="42364"/>
    <cellStyle name="Note 3 2 4 3 3 2 2 2 2" xfId="42365"/>
    <cellStyle name="Note 3 2 4 3 3 2 2 3" xfId="42366"/>
    <cellStyle name="Note 3 2 4 3 3 2 3" xfId="42367"/>
    <cellStyle name="Note 3 2 4 3 3 2 3 2" xfId="42368"/>
    <cellStyle name="Note 3 2 4 3 3 2 4" xfId="42369"/>
    <cellStyle name="Note 3 2 4 3 3 3" xfId="42370"/>
    <cellStyle name="Note 3 2 4 3 3 3 2" xfId="42371"/>
    <cellStyle name="Note 3 2 4 3 3 3 2 2" xfId="42372"/>
    <cellStyle name="Note 3 2 4 3 3 3 3" xfId="42373"/>
    <cellStyle name="Note 3 2 4 3 3 4" xfId="42374"/>
    <cellStyle name="Note 3 2 4 3 3 4 2" xfId="42375"/>
    <cellStyle name="Note 3 2 4 3 3 5" xfId="42376"/>
    <cellStyle name="Note 3 2 4 3 3 5 2" xfId="42377"/>
    <cellStyle name="Note 3 2 4 3 3 6" xfId="42378"/>
    <cellStyle name="Note 3 2 4 3 4" xfId="42379"/>
    <cellStyle name="Note 3 2 4 3 4 2" xfId="42380"/>
    <cellStyle name="Note 3 2 4 3 4 2 2" xfId="42381"/>
    <cellStyle name="Note 3 2 4 3 4 2 2 2" xfId="42382"/>
    <cellStyle name="Note 3 2 4 3 4 2 3" xfId="42383"/>
    <cellStyle name="Note 3 2 4 3 4 3" xfId="42384"/>
    <cellStyle name="Note 3 2 4 3 4 3 2" xfId="42385"/>
    <cellStyle name="Note 3 2 4 3 4 4" xfId="42386"/>
    <cellStyle name="Note 3 2 4 3 5" xfId="42387"/>
    <cellStyle name="Note 3 2 4 3 5 2" xfId="42388"/>
    <cellStyle name="Note 3 2 4 3 5 2 2" xfId="42389"/>
    <cellStyle name="Note 3 2 4 3 5 3" xfId="42390"/>
    <cellStyle name="Note 3 2 4 3 6" xfId="42391"/>
    <cellStyle name="Note 3 2 4 3 6 2" xfId="42392"/>
    <cellStyle name="Note 3 2 4 3 7" xfId="42393"/>
    <cellStyle name="Note 3 2 4 3 7 2" xfId="42394"/>
    <cellStyle name="Note 3 2 4 3 8" xfId="42395"/>
    <cellStyle name="Note 3 2 4 4" xfId="42396"/>
    <cellStyle name="Note 3 2 4 4 2" xfId="42397"/>
    <cellStyle name="Note 3 2 4 4 2 2" xfId="42398"/>
    <cellStyle name="Note 3 2 4 4 2 2 2" xfId="42399"/>
    <cellStyle name="Note 3 2 4 4 2 2 2 2" xfId="42400"/>
    <cellStyle name="Note 3 2 4 4 2 2 3" xfId="42401"/>
    <cellStyle name="Note 3 2 4 4 2 3" xfId="42402"/>
    <cellStyle name="Note 3 2 4 4 2 3 2" xfId="42403"/>
    <cellStyle name="Note 3 2 4 4 2 4" xfId="42404"/>
    <cellStyle name="Note 3 2 4 4 3" xfId="42405"/>
    <cellStyle name="Note 3 2 4 4 3 2" xfId="42406"/>
    <cellStyle name="Note 3 2 4 4 3 2 2" xfId="42407"/>
    <cellStyle name="Note 3 2 4 4 3 3" xfId="42408"/>
    <cellStyle name="Note 3 2 4 4 4" xfId="42409"/>
    <cellStyle name="Note 3 2 4 4 4 2" xfId="42410"/>
    <cellStyle name="Note 3 2 4 4 5" xfId="42411"/>
    <cellStyle name="Note 3 2 4 4 5 2" xfId="42412"/>
    <cellStyle name="Note 3 2 4 4 6" xfId="42413"/>
    <cellStyle name="Note 3 2 4 5" xfId="42414"/>
    <cellStyle name="Note 3 2 4 5 2" xfId="42415"/>
    <cellStyle name="Note 3 2 4 5 2 2" xfId="42416"/>
    <cellStyle name="Note 3 2 4 5 2 2 2" xfId="42417"/>
    <cellStyle name="Note 3 2 4 5 2 2 2 2" xfId="42418"/>
    <cellStyle name="Note 3 2 4 5 2 2 3" xfId="42419"/>
    <cellStyle name="Note 3 2 4 5 2 3" xfId="42420"/>
    <cellStyle name="Note 3 2 4 5 2 3 2" xfId="42421"/>
    <cellStyle name="Note 3 2 4 5 2 4" xfId="42422"/>
    <cellStyle name="Note 3 2 4 5 3" xfId="42423"/>
    <cellStyle name="Note 3 2 4 5 3 2" xfId="42424"/>
    <cellStyle name="Note 3 2 4 5 3 2 2" xfId="42425"/>
    <cellStyle name="Note 3 2 4 5 3 3" xfId="42426"/>
    <cellStyle name="Note 3 2 4 5 4" xfId="42427"/>
    <cellStyle name="Note 3 2 4 5 4 2" xfId="42428"/>
    <cellStyle name="Note 3 2 4 5 5" xfId="42429"/>
    <cellStyle name="Note 3 2 4 5 5 2" xfId="42430"/>
    <cellStyle name="Note 3 2 4 5 6" xfId="42431"/>
    <cellStyle name="Note 3 2 4 6" xfId="42432"/>
    <cellStyle name="Note 3 2 4 6 2" xfId="42433"/>
    <cellStyle name="Note 3 2 4 6 2 2" xfId="42434"/>
    <cellStyle name="Note 3 2 4 6 2 2 2" xfId="42435"/>
    <cellStyle name="Note 3 2 4 6 2 2 2 2" xfId="42436"/>
    <cellStyle name="Note 3 2 4 6 2 2 3" xfId="42437"/>
    <cellStyle name="Note 3 2 4 6 2 3" xfId="42438"/>
    <cellStyle name="Note 3 2 4 6 2 3 2" xfId="42439"/>
    <cellStyle name="Note 3 2 4 6 2 4" xfId="42440"/>
    <cellStyle name="Note 3 2 4 6 3" xfId="42441"/>
    <cellStyle name="Note 3 2 4 6 3 2" xfId="42442"/>
    <cellStyle name="Note 3 2 4 6 3 2 2" xfId="42443"/>
    <cellStyle name="Note 3 2 4 6 3 3" xfId="42444"/>
    <cellStyle name="Note 3 2 4 6 4" xfId="42445"/>
    <cellStyle name="Note 3 2 4 6 4 2" xfId="42446"/>
    <cellStyle name="Note 3 2 4 6 5" xfId="42447"/>
    <cellStyle name="Note 3 2 4 6 5 2" xfId="42448"/>
    <cellStyle name="Note 3 2 4 6 6" xfId="42449"/>
    <cellStyle name="Note 3 2 4 7" xfId="42450"/>
    <cellStyle name="Note 3 2 4 7 2" xfId="42451"/>
    <cellStyle name="Note 3 2 4 7 2 2" xfId="42452"/>
    <cellStyle name="Note 3 2 4 7 2 2 2" xfId="42453"/>
    <cellStyle name="Note 3 2 4 7 2 3" xfId="42454"/>
    <cellStyle name="Note 3 2 4 7 3" xfId="42455"/>
    <cellStyle name="Note 3 2 4 7 3 2" xfId="42456"/>
    <cellStyle name="Note 3 2 4 7 4" xfId="42457"/>
    <cellStyle name="Note 3 2 4 8" xfId="42458"/>
    <cellStyle name="Note 3 2 4 8 2" xfId="42459"/>
    <cellStyle name="Note 3 2 4 8 2 2" xfId="42460"/>
    <cellStyle name="Note 3 2 4 8 3" xfId="42461"/>
    <cellStyle name="Note 3 2 4 9" xfId="42462"/>
    <cellStyle name="Note 3 2 4 9 2" xfId="42463"/>
    <cellStyle name="Note 3 2 5" xfId="42464"/>
    <cellStyle name="Note 3 2 5 2" xfId="42465"/>
    <cellStyle name="Note 3 2 5 2 2" xfId="42466"/>
    <cellStyle name="Note 3 2 5 2 2 2" xfId="42467"/>
    <cellStyle name="Note 3 2 5 2 2 2 2" xfId="42468"/>
    <cellStyle name="Note 3 2 5 2 2 2 2 2" xfId="42469"/>
    <cellStyle name="Note 3 2 5 2 2 2 3" xfId="42470"/>
    <cellStyle name="Note 3 2 5 2 2 3" xfId="42471"/>
    <cellStyle name="Note 3 2 5 2 2 3 2" xfId="42472"/>
    <cellStyle name="Note 3 2 5 2 2 4" xfId="42473"/>
    <cellStyle name="Note 3 2 5 2 3" xfId="42474"/>
    <cellStyle name="Note 3 2 5 2 3 2" xfId="42475"/>
    <cellStyle name="Note 3 2 5 2 3 2 2" xfId="42476"/>
    <cellStyle name="Note 3 2 5 2 3 3" xfId="42477"/>
    <cellStyle name="Note 3 2 5 2 4" xfId="42478"/>
    <cellStyle name="Note 3 2 5 2 4 2" xfId="42479"/>
    <cellStyle name="Note 3 2 5 2 5" xfId="42480"/>
    <cellStyle name="Note 3 2 5 2 5 2" xfId="42481"/>
    <cellStyle name="Note 3 2 5 2 6" xfId="42482"/>
    <cellStyle name="Note 3 2 5 3" xfId="42483"/>
    <cellStyle name="Note 3 2 5 3 2" xfId="42484"/>
    <cellStyle name="Note 3 2 5 3 2 2" xfId="42485"/>
    <cellStyle name="Note 3 2 5 3 2 2 2" xfId="42486"/>
    <cellStyle name="Note 3 2 5 3 2 2 2 2" xfId="42487"/>
    <cellStyle name="Note 3 2 5 3 2 2 3" xfId="42488"/>
    <cellStyle name="Note 3 2 5 3 2 3" xfId="42489"/>
    <cellStyle name="Note 3 2 5 3 2 3 2" xfId="42490"/>
    <cellStyle name="Note 3 2 5 3 2 4" xfId="42491"/>
    <cellStyle name="Note 3 2 5 3 3" xfId="42492"/>
    <cellStyle name="Note 3 2 5 3 3 2" xfId="42493"/>
    <cellStyle name="Note 3 2 5 3 3 2 2" xfId="42494"/>
    <cellStyle name="Note 3 2 5 3 3 3" xfId="42495"/>
    <cellStyle name="Note 3 2 5 3 4" xfId="42496"/>
    <cellStyle name="Note 3 2 5 3 4 2" xfId="42497"/>
    <cellStyle name="Note 3 2 5 3 5" xfId="42498"/>
    <cellStyle name="Note 3 2 5 3 5 2" xfId="42499"/>
    <cellStyle name="Note 3 2 5 3 6" xfId="42500"/>
    <cellStyle name="Note 3 2 5 4" xfId="42501"/>
    <cellStyle name="Note 3 2 5 4 2" xfId="42502"/>
    <cellStyle name="Note 3 2 5 4 2 2" xfId="42503"/>
    <cellStyle name="Note 3 2 5 4 2 2 2" xfId="42504"/>
    <cellStyle name="Note 3 2 5 4 2 3" xfId="42505"/>
    <cellStyle name="Note 3 2 5 4 3" xfId="42506"/>
    <cellStyle name="Note 3 2 5 4 3 2" xfId="42507"/>
    <cellStyle name="Note 3 2 5 4 4" xfId="42508"/>
    <cellStyle name="Note 3 2 5 5" xfId="42509"/>
    <cellStyle name="Note 3 2 5 5 2" xfId="42510"/>
    <cellStyle name="Note 3 2 5 5 2 2" xfId="42511"/>
    <cellStyle name="Note 3 2 5 5 3" xfId="42512"/>
    <cellStyle name="Note 3 2 5 6" xfId="42513"/>
    <cellStyle name="Note 3 2 5 6 2" xfId="42514"/>
    <cellStyle name="Note 3 2 5 7" xfId="42515"/>
    <cellStyle name="Note 3 2 5 7 2" xfId="42516"/>
    <cellStyle name="Note 3 2 5 8" xfId="42517"/>
    <cellStyle name="Note 3 2 6" xfId="42518"/>
    <cellStyle name="Note 3 2 6 2" xfId="42519"/>
    <cellStyle name="Note 3 2 6 2 2" xfId="42520"/>
    <cellStyle name="Note 3 2 6 2 2 2" xfId="42521"/>
    <cellStyle name="Note 3 2 6 2 2 2 2" xfId="42522"/>
    <cellStyle name="Note 3 2 6 2 2 2 2 2" xfId="42523"/>
    <cellStyle name="Note 3 2 6 2 2 2 3" xfId="42524"/>
    <cellStyle name="Note 3 2 6 2 2 3" xfId="42525"/>
    <cellStyle name="Note 3 2 6 2 2 3 2" xfId="42526"/>
    <cellStyle name="Note 3 2 6 2 2 4" xfId="42527"/>
    <cellStyle name="Note 3 2 6 2 3" xfId="42528"/>
    <cellStyle name="Note 3 2 6 2 3 2" xfId="42529"/>
    <cellStyle name="Note 3 2 6 2 3 2 2" xfId="42530"/>
    <cellStyle name="Note 3 2 6 2 3 3" xfId="42531"/>
    <cellStyle name="Note 3 2 6 2 4" xfId="42532"/>
    <cellStyle name="Note 3 2 6 2 4 2" xfId="42533"/>
    <cellStyle name="Note 3 2 6 2 5" xfId="42534"/>
    <cellStyle name="Note 3 2 6 2 5 2" xfId="42535"/>
    <cellStyle name="Note 3 2 6 2 6" xfId="42536"/>
    <cellStyle name="Note 3 2 6 3" xfId="42537"/>
    <cellStyle name="Note 3 2 6 3 2" xfId="42538"/>
    <cellStyle name="Note 3 2 6 3 2 2" xfId="42539"/>
    <cellStyle name="Note 3 2 6 3 2 2 2" xfId="42540"/>
    <cellStyle name="Note 3 2 6 3 2 2 2 2" xfId="42541"/>
    <cellStyle name="Note 3 2 6 3 2 2 3" xfId="42542"/>
    <cellStyle name="Note 3 2 6 3 2 3" xfId="42543"/>
    <cellStyle name="Note 3 2 6 3 2 3 2" xfId="42544"/>
    <cellStyle name="Note 3 2 6 3 2 4" xfId="42545"/>
    <cellStyle name="Note 3 2 6 3 3" xfId="42546"/>
    <cellStyle name="Note 3 2 6 3 3 2" xfId="42547"/>
    <cellStyle name="Note 3 2 6 3 3 2 2" xfId="42548"/>
    <cellStyle name="Note 3 2 6 3 3 3" xfId="42549"/>
    <cellStyle name="Note 3 2 6 3 4" xfId="42550"/>
    <cellStyle name="Note 3 2 6 3 4 2" xfId="42551"/>
    <cellStyle name="Note 3 2 6 3 5" xfId="42552"/>
    <cellStyle name="Note 3 2 6 3 5 2" xfId="42553"/>
    <cellStyle name="Note 3 2 6 3 6" xfId="42554"/>
    <cellStyle name="Note 3 2 6 4" xfId="42555"/>
    <cellStyle name="Note 3 2 6 4 2" xfId="42556"/>
    <cellStyle name="Note 3 2 6 4 2 2" xfId="42557"/>
    <cellStyle name="Note 3 2 6 4 2 2 2" xfId="42558"/>
    <cellStyle name="Note 3 2 6 4 2 3" xfId="42559"/>
    <cellStyle name="Note 3 2 6 4 3" xfId="42560"/>
    <cellStyle name="Note 3 2 6 4 3 2" xfId="42561"/>
    <cellStyle name="Note 3 2 6 4 4" xfId="42562"/>
    <cellStyle name="Note 3 2 6 5" xfId="42563"/>
    <cellStyle name="Note 3 2 6 5 2" xfId="42564"/>
    <cellStyle name="Note 3 2 6 5 2 2" xfId="42565"/>
    <cellStyle name="Note 3 2 6 5 3" xfId="42566"/>
    <cellStyle name="Note 3 2 6 6" xfId="42567"/>
    <cellStyle name="Note 3 2 6 6 2" xfId="42568"/>
    <cellStyle name="Note 3 2 6 7" xfId="42569"/>
    <cellStyle name="Note 3 2 6 7 2" xfId="42570"/>
    <cellStyle name="Note 3 2 6 8" xfId="42571"/>
    <cellStyle name="Note 3 2 7" xfId="42572"/>
    <cellStyle name="Note 3 2 7 2" xfId="42573"/>
    <cellStyle name="Note 3 2 7 2 2" xfId="42574"/>
    <cellStyle name="Note 3 2 7 2 2 2" xfId="42575"/>
    <cellStyle name="Note 3 2 7 2 2 2 2" xfId="42576"/>
    <cellStyle name="Note 3 2 7 2 2 3" xfId="42577"/>
    <cellStyle name="Note 3 2 7 2 3" xfId="42578"/>
    <cellStyle name="Note 3 2 7 2 3 2" xfId="42579"/>
    <cellStyle name="Note 3 2 7 2 4" xfId="42580"/>
    <cellStyle name="Note 3 2 7 3" xfId="42581"/>
    <cellStyle name="Note 3 2 7 3 2" xfId="42582"/>
    <cellStyle name="Note 3 2 7 3 2 2" xfId="42583"/>
    <cellStyle name="Note 3 2 7 3 3" xfId="42584"/>
    <cellStyle name="Note 3 2 7 4" xfId="42585"/>
    <cellStyle name="Note 3 2 7 4 2" xfId="42586"/>
    <cellStyle name="Note 3 2 7 5" xfId="42587"/>
    <cellStyle name="Note 3 2 7 5 2" xfId="42588"/>
    <cellStyle name="Note 3 2 7 6" xfId="42589"/>
    <cellStyle name="Note 3 2 8" xfId="42590"/>
    <cellStyle name="Note 3 2 8 2" xfId="42591"/>
    <cellStyle name="Note 3 2 8 2 2" xfId="42592"/>
    <cellStyle name="Note 3 2 8 2 2 2" xfId="42593"/>
    <cellStyle name="Note 3 2 8 2 2 2 2" xfId="42594"/>
    <cellStyle name="Note 3 2 8 2 2 3" xfId="42595"/>
    <cellStyle name="Note 3 2 8 2 3" xfId="42596"/>
    <cellStyle name="Note 3 2 8 2 3 2" xfId="42597"/>
    <cellStyle name="Note 3 2 8 2 4" xfId="42598"/>
    <cellStyle name="Note 3 2 8 3" xfId="42599"/>
    <cellStyle name="Note 3 2 8 3 2" xfId="42600"/>
    <cellStyle name="Note 3 2 8 3 2 2" xfId="42601"/>
    <cellStyle name="Note 3 2 8 3 3" xfId="42602"/>
    <cellStyle name="Note 3 2 8 4" xfId="42603"/>
    <cellStyle name="Note 3 2 8 4 2" xfId="42604"/>
    <cellStyle name="Note 3 2 8 5" xfId="42605"/>
    <cellStyle name="Note 3 2 8 5 2" xfId="42606"/>
    <cellStyle name="Note 3 2 8 6" xfId="42607"/>
    <cellStyle name="Note 3 2 9" xfId="42608"/>
    <cellStyle name="Note 3 2 9 2" xfId="42609"/>
    <cellStyle name="Note 3 2 9 2 2" xfId="42610"/>
    <cellStyle name="Note 3 2 9 2 2 2" xfId="42611"/>
    <cellStyle name="Note 3 2 9 2 2 2 2" xfId="42612"/>
    <cellStyle name="Note 3 2 9 2 2 3" xfId="42613"/>
    <cellStyle name="Note 3 2 9 2 3" xfId="42614"/>
    <cellStyle name="Note 3 2 9 2 3 2" xfId="42615"/>
    <cellStyle name="Note 3 2 9 2 4" xfId="42616"/>
    <cellStyle name="Note 3 2 9 3" xfId="42617"/>
    <cellStyle name="Note 3 2 9 3 2" xfId="42618"/>
    <cellStyle name="Note 3 2 9 3 2 2" xfId="42619"/>
    <cellStyle name="Note 3 2 9 3 3" xfId="42620"/>
    <cellStyle name="Note 3 2 9 4" xfId="42621"/>
    <cellStyle name="Note 3 2 9 4 2" xfId="42622"/>
    <cellStyle name="Note 3 2 9 5" xfId="42623"/>
    <cellStyle name="Note 3 2 9 5 2" xfId="42624"/>
    <cellStyle name="Note 3 2 9 6" xfId="42625"/>
    <cellStyle name="Note 3 3" xfId="42626"/>
    <cellStyle name="Note 3 3 10" xfId="42627"/>
    <cellStyle name="Note 3 3 10 2" xfId="42628"/>
    <cellStyle name="Note 3 3 10 2 2" xfId="42629"/>
    <cellStyle name="Note 3 3 10 2 2 2" xfId="42630"/>
    <cellStyle name="Note 3 3 10 2 2 2 2" xfId="42631"/>
    <cellStyle name="Note 3 3 10 2 2 3" xfId="42632"/>
    <cellStyle name="Note 3 3 10 2 3" xfId="42633"/>
    <cellStyle name="Note 3 3 10 2 3 2" xfId="42634"/>
    <cellStyle name="Note 3 3 10 2 4" xfId="42635"/>
    <cellStyle name="Note 3 3 10 3" xfId="42636"/>
    <cellStyle name="Note 3 3 10 3 2" xfId="42637"/>
    <cellStyle name="Note 3 3 10 3 2 2" xfId="42638"/>
    <cellStyle name="Note 3 3 10 3 3" xfId="42639"/>
    <cellStyle name="Note 3 3 10 4" xfId="42640"/>
    <cellStyle name="Note 3 3 10 4 2" xfId="42641"/>
    <cellStyle name="Note 3 3 10 5" xfId="42642"/>
    <cellStyle name="Note 3 3 10 5 2" xfId="42643"/>
    <cellStyle name="Note 3 3 10 6" xfId="42644"/>
    <cellStyle name="Note 3 3 11" xfId="42645"/>
    <cellStyle name="Note 3 3 11 2" xfId="42646"/>
    <cellStyle name="Note 3 3 11 2 2" xfId="42647"/>
    <cellStyle name="Note 3 3 11 2 2 2" xfId="42648"/>
    <cellStyle name="Note 3 3 11 2 3" xfId="42649"/>
    <cellStyle name="Note 3 3 11 3" xfId="42650"/>
    <cellStyle name="Note 3 3 11 3 2" xfId="42651"/>
    <cellStyle name="Note 3 3 11 4" xfId="42652"/>
    <cellStyle name="Note 3 3 12" xfId="42653"/>
    <cellStyle name="Note 3 3 12 2" xfId="42654"/>
    <cellStyle name="Note 3 3 12 2 2" xfId="42655"/>
    <cellStyle name="Note 3 3 12 3" xfId="42656"/>
    <cellStyle name="Note 3 3 13" xfId="42657"/>
    <cellStyle name="Note 3 3 13 2" xfId="42658"/>
    <cellStyle name="Note 3 3 14" xfId="42659"/>
    <cellStyle name="Note 3 3 14 2" xfId="42660"/>
    <cellStyle name="Note 3 3 15" xfId="42661"/>
    <cellStyle name="Note 3 3 2" xfId="42662"/>
    <cellStyle name="Note 3 3 2 10" xfId="42663"/>
    <cellStyle name="Note 3 3 2 10 2" xfId="42664"/>
    <cellStyle name="Note 3 3 2 11" xfId="42665"/>
    <cellStyle name="Note 3 3 2 2" xfId="42666"/>
    <cellStyle name="Note 3 3 2 2 2" xfId="42667"/>
    <cellStyle name="Note 3 3 2 2 2 2" xfId="42668"/>
    <cellStyle name="Note 3 3 2 2 2 2 2" xfId="42669"/>
    <cellStyle name="Note 3 3 2 2 2 2 2 2" xfId="42670"/>
    <cellStyle name="Note 3 3 2 2 2 2 2 2 2" xfId="42671"/>
    <cellStyle name="Note 3 3 2 2 2 2 2 3" xfId="42672"/>
    <cellStyle name="Note 3 3 2 2 2 2 3" xfId="42673"/>
    <cellStyle name="Note 3 3 2 2 2 2 3 2" xfId="42674"/>
    <cellStyle name="Note 3 3 2 2 2 2 4" xfId="42675"/>
    <cellStyle name="Note 3 3 2 2 2 3" xfId="42676"/>
    <cellStyle name="Note 3 3 2 2 2 3 2" xfId="42677"/>
    <cellStyle name="Note 3 3 2 2 2 3 2 2" xfId="42678"/>
    <cellStyle name="Note 3 3 2 2 2 3 3" xfId="42679"/>
    <cellStyle name="Note 3 3 2 2 2 4" xfId="42680"/>
    <cellStyle name="Note 3 3 2 2 2 4 2" xfId="42681"/>
    <cellStyle name="Note 3 3 2 2 2 5" xfId="42682"/>
    <cellStyle name="Note 3 3 2 2 2 5 2" xfId="42683"/>
    <cellStyle name="Note 3 3 2 2 2 6" xfId="42684"/>
    <cellStyle name="Note 3 3 2 2 3" xfId="42685"/>
    <cellStyle name="Note 3 3 2 2 3 2" xfId="42686"/>
    <cellStyle name="Note 3 3 2 2 3 2 2" xfId="42687"/>
    <cellStyle name="Note 3 3 2 2 3 2 2 2" xfId="42688"/>
    <cellStyle name="Note 3 3 2 2 3 2 2 2 2" xfId="42689"/>
    <cellStyle name="Note 3 3 2 2 3 2 2 3" xfId="42690"/>
    <cellStyle name="Note 3 3 2 2 3 2 3" xfId="42691"/>
    <cellStyle name="Note 3 3 2 2 3 2 3 2" xfId="42692"/>
    <cellStyle name="Note 3 3 2 2 3 2 4" xfId="42693"/>
    <cellStyle name="Note 3 3 2 2 3 3" xfId="42694"/>
    <cellStyle name="Note 3 3 2 2 3 3 2" xfId="42695"/>
    <cellStyle name="Note 3 3 2 2 3 3 2 2" xfId="42696"/>
    <cellStyle name="Note 3 3 2 2 3 3 3" xfId="42697"/>
    <cellStyle name="Note 3 3 2 2 3 4" xfId="42698"/>
    <cellStyle name="Note 3 3 2 2 3 4 2" xfId="42699"/>
    <cellStyle name="Note 3 3 2 2 3 5" xfId="42700"/>
    <cellStyle name="Note 3 3 2 2 3 5 2" xfId="42701"/>
    <cellStyle name="Note 3 3 2 2 3 6" xfId="42702"/>
    <cellStyle name="Note 3 3 2 2 4" xfId="42703"/>
    <cellStyle name="Note 3 3 2 2 4 2" xfId="42704"/>
    <cellStyle name="Note 3 3 2 2 4 2 2" xfId="42705"/>
    <cellStyle name="Note 3 3 2 2 4 2 2 2" xfId="42706"/>
    <cellStyle name="Note 3 3 2 2 4 2 3" xfId="42707"/>
    <cellStyle name="Note 3 3 2 2 4 3" xfId="42708"/>
    <cellStyle name="Note 3 3 2 2 4 3 2" xfId="42709"/>
    <cellStyle name="Note 3 3 2 2 4 4" xfId="42710"/>
    <cellStyle name="Note 3 3 2 2 5" xfId="42711"/>
    <cellStyle name="Note 3 3 2 2 5 2" xfId="42712"/>
    <cellStyle name="Note 3 3 2 2 5 2 2" xfId="42713"/>
    <cellStyle name="Note 3 3 2 2 5 3" xfId="42714"/>
    <cellStyle name="Note 3 3 2 2 6" xfId="42715"/>
    <cellStyle name="Note 3 3 2 2 6 2" xfId="42716"/>
    <cellStyle name="Note 3 3 2 2 7" xfId="42717"/>
    <cellStyle name="Note 3 3 2 2 7 2" xfId="42718"/>
    <cellStyle name="Note 3 3 2 2 8" xfId="42719"/>
    <cellStyle name="Note 3 3 2 3" xfId="42720"/>
    <cellStyle name="Note 3 3 2 3 2" xfId="42721"/>
    <cellStyle name="Note 3 3 2 3 2 2" xfId="42722"/>
    <cellStyle name="Note 3 3 2 3 2 2 2" xfId="42723"/>
    <cellStyle name="Note 3 3 2 3 2 2 2 2" xfId="42724"/>
    <cellStyle name="Note 3 3 2 3 2 2 2 2 2" xfId="42725"/>
    <cellStyle name="Note 3 3 2 3 2 2 2 3" xfId="42726"/>
    <cellStyle name="Note 3 3 2 3 2 2 3" xfId="42727"/>
    <cellStyle name="Note 3 3 2 3 2 2 3 2" xfId="42728"/>
    <cellStyle name="Note 3 3 2 3 2 2 4" xfId="42729"/>
    <cellStyle name="Note 3 3 2 3 2 3" xfId="42730"/>
    <cellStyle name="Note 3 3 2 3 2 3 2" xfId="42731"/>
    <cellStyle name="Note 3 3 2 3 2 3 2 2" xfId="42732"/>
    <cellStyle name="Note 3 3 2 3 2 3 3" xfId="42733"/>
    <cellStyle name="Note 3 3 2 3 2 4" xfId="42734"/>
    <cellStyle name="Note 3 3 2 3 2 4 2" xfId="42735"/>
    <cellStyle name="Note 3 3 2 3 2 5" xfId="42736"/>
    <cellStyle name="Note 3 3 2 3 2 5 2" xfId="42737"/>
    <cellStyle name="Note 3 3 2 3 2 6" xfId="42738"/>
    <cellStyle name="Note 3 3 2 3 3" xfId="42739"/>
    <cellStyle name="Note 3 3 2 3 3 2" xfId="42740"/>
    <cellStyle name="Note 3 3 2 3 3 2 2" xfId="42741"/>
    <cellStyle name="Note 3 3 2 3 3 2 2 2" xfId="42742"/>
    <cellStyle name="Note 3 3 2 3 3 2 2 2 2" xfId="42743"/>
    <cellStyle name="Note 3 3 2 3 3 2 2 3" xfId="42744"/>
    <cellStyle name="Note 3 3 2 3 3 2 3" xfId="42745"/>
    <cellStyle name="Note 3 3 2 3 3 2 3 2" xfId="42746"/>
    <cellStyle name="Note 3 3 2 3 3 2 4" xfId="42747"/>
    <cellStyle name="Note 3 3 2 3 3 3" xfId="42748"/>
    <cellStyle name="Note 3 3 2 3 3 3 2" xfId="42749"/>
    <cellStyle name="Note 3 3 2 3 3 3 2 2" xfId="42750"/>
    <cellStyle name="Note 3 3 2 3 3 3 3" xfId="42751"/>
    <cellStyle name="Note 3 3 2 3 3 4" xfId="42752"/>
    <cellStyle name="Note 3 3 2 3 3 4 2" xfId="42753"/>
    <cellStyle name="Note 3 3 2 3 3 5" xfId="42754"/>
    <cellStyle name="Note 3 3 2 3 3 5 2" xfId="42755"/>
    <cellStyle name="Note 3 3 2 3 3 6" xfId="42756"/>
    <cellStyle name="Note 3 3 2 3 4" xfId="42757"/>
    <cellStyle name="Note 3 3 2 3 4 2" xfId="42758"/>
    <cellStyle name="Note 3 3 2 3 4 2 2" xfId="42759"/>
    <cellStyle name="Note 3 3 2 3 4 2 2 2" xfId="42760"/>
    <cellStyle name="Note 3 3 2 3 4 2 3" xfId="42761"/>
    <cellStyle name="Note 3 3 2 3 4 3" xfId="42762"/>
    <cellStyle name="Note 3 3 2 3 4 3 2" xfId="42763"/>
    <cellStyle name="Note 3 3 2 3 4 4" xfId="42764"/>
    <cellStyle name="Note 3 3 2 3 5" xfId="42765"/>
    <cellStyle name="Note 3 3 2 3 5 2" xfId="42766"/>
    <cellStyle name="Note 3 3 2 3 5 2 2" xfId="42767"/>
    <cellStyle name="Note 3 3 2 3 5 3" xfId="42768"/>
    <cellStyle name="Note 3 3 2 3 6" xfId="42769"/>
    <cellStyle name="Note 3 3 2 3 6 2" xfId="42770"/>
    <cellStyle name="Note 3 3 2 3 7" xfId="42771"/>
    <cellStyle name="Note 3 3 2 3 7 2" xfId="42772"/>
    <cellStyle name="Note 3 3 2 3 8" xfId="42773"/>
    <cellStyle name="Note 3 3 2 4" xfId="42774"/>
    <cellStyle name="Note 3 3 2 4 2" xfId="42775"/>
    <cellStyle name="Note 3 3 2 4 2 2" xfId="42776"/>
    <cellStyle name="Note 3 3 2 4 2 2 2" xfId="42777"/>
    <cellStyle name="Note 3 3 2 4 2 2 2 2" xfId="42778"/>
    <cellStyle name="Note 3 3 2 4 2 2 3" xfId="42779"/>
    <cellStyle name="Note 3 3 2 4 2 3" xfId="42780"/>
    <cellStyle name="Note 3 3 2 4 2 3 2" xfId="42781"/>
    <cellStyle name="Note 3 3 2 4 2 4" xfId="42782"/>
    <cellStyle name="Note 3 3 2 4 3" xfId="42783"/>
    <cellStyle name="Note 3 3 2 4 3 2" xfId="42784"/>
    <cellStyle name="Note 3 3 2 4 3 2 2" xfId="42785"/>
    <cellStyle name="Note 3 3 2 4 3 3" xfId="42786"/>
    <cellStyle name="Note 3 3 2 4 4" xfId="42787"/>
    <cellStyle name="Note 3 3 2 4 4 2" xfId="42788"/>
    <cellStyle name="Note 3 3 2 4 5" xfId="42789"/>
    <cellStyle name="Note 3 3 2 4 5 2" xfId="42790"/>
    <cellStyle name="Note 3 3 2 4 6" xfId="42791"/>
    <cellStyle name="Note 3 3 2 5" xfId="42792"/>
    <cellStyle name="Note 3 3 2 5 2" xfId="42793"/>
    <cellStyle name="Note 3 3 2 5 2 2" xfId="42794"/>
    <cellStyle name="Note 3 3 2 5 2 2 2" xfId="42795"/>
    <cellStyle name="Note 3 3 2 5 2 2 2 2" xfId="42796"/>
    <cellStyle name="Note 3 3 2 5 2 2 3" xfId="42797"/>
    <cellStyle name="Note 3 3 2 5 2 3" xfId="42798"/>
    <cellStyle name="Note 3 3 2 5 2 3 2" xfId="42799"/>
    <cellStyle name="Note 3 3 2 5 2 4" xfId="42800"/>
    <cellStyle name="Note 3 3 2 5 3" xfId="42801"/>
    <cellStyle name="Note 3 3 2 5 3 2" xfId="42802"/>
    <cellStyle name="Note 3 3 2 5 3 2 2" xfId="42803"/>
    <cellStyle name="Note 3 3 2 5 3 3" xfId="42804"/>
    <cellStyle name="Note 3 3 2 5 4" xfId="42805"/>
    <cellStyle name="Note 3 3 2 5 4 2" xfId="42806"/>
    <cellStyle name="Note 3 3 2 5 5" xfId="42807"/>
    <cellStyle name="Note 3 3 2 5 5 2" xfId="42808"/>
    <cellStyle name="Note 3 3 2 5 6" xfId="42809"/>
    <cellStyle name="Note 3 3 2 6" xfId="42810"/>
    <cellStyle name="Note 3 3 2 6 2" xfId="42811"/>
    <cellStyle name="Note 3 3 2 6 2 2" xfId="42812"/>
    <cellStyle name="Note 3 3 2 6 2 2 2" xfId="42813"/>
    <cellStyle name="Note 3 3 2 6 2 2 2 2" xfId="42814"/>
    <cellStyle name="Note 3 3 2 6 2 2 3" xfId="42815"/>
    <cellStyle name="Note 3 3 2 6 2 3" xfId="42816"/>
    <cellStyle name="Note 3 3 2 6 2 3 2" xfId="42817"/>
    <cellStyle name="Note 3 3 2 6 2 4" xfId="42818"/>
    <cellStyle name="Note 3 3 2 6 3" xfId="42819"/>
    <cellStyle name="Note 3 3 2 6 3 2" xfId="42820"/>
    <cellStyle name="Note 3 3 2 6 3 2 2" xfId="42821"/>
    <cellStyle name="Note 3 3 2 6 3 3" xfId="42822"/>
    <cellStyle name="Note 3 3 2 6 4" xfId="42823"/>
    <cellStyle name="Note 3 3 2 6 4 2" xfId="42824"/>
    <cellStyle name="Note 3 3 2 6 5" xfId="42825"/>
    <cellStyle name="Note 3 3 2 6 5 2" xfId="42826"/>
    <cellStyle name="Note 3 3 2 6 6" xfId="42827"/>
    <cellStyle name="Note 3 3 2 7" xfId="42828"/>
    <cellStyle name="Note 3 3 2 7 2" xfId="42829"/>
    <cellStyle name="Note 3 3 2 7 2 2" xfId="42830"/>
    <cellStyle name="Note 3 3 2 7 2 2 2" xfId="42831"/>
    <cellStyle name="Note 3 3 2 7 2 3" xfId="42832"/>
    <cellStyle name="Note 3 3 2 7 3" xfId="42833"/>
    <cellStyle name="Note 3 3 2 7 3 2" xfId="42834"/>
    <cellStyle name="Note 3 3 2 7 4" xfId="42835"/>
    <cellStyle name="Note 3 3 2 8" xfId="42836"/>
    <cellStyle name="Note 3 3 2 8 2" xfId="42837"/>
    <cellStyle name="Note 3 3 2 8 2 2" xfId="42838"/>
    <cellStyle name="Note 3 3 2 8 3" xfId="42839"/>
    <cellStyle name="Note 3 3 2 9" xfId="42840"/>
    <cellStyle name="Note 3 3 2 9 2" xfId="42841"/>
    <cellStyle name="Note 3 3 3" xfId="42842"/>
    <cellStyle name="Note 3 3 3 10" xfId="42843"/>
    <cellStyle name="Note 3 3 3 10 2" xfId="42844"/>
    <cellStyle name="Note 3 3 3 11" xfId="42845"/>
    <cellStyle name="Note 3 3 3 2" xfId="42846"/>
    <cellStyle name="Note 3 3 3 2 2" xfId="42847"/>
    <cellStyle name="Note 3 3 3 2 2 2" xfId="42848"/>
    <cellStyle name="Note 3 3 3 2 2 2 2" xfId="42849"/>
    <cellStyle name="Note 3 3 3 2 2 2 2 2" xfId="42850"/>
    <cellStyle name="Note 3 3 3 2 2 2 2 2 2" xfId="42851"/>
    <cellStyle name="Note 3 3 3 2 2 2 2 3" xfId="42852"/>
    <cellStyle name="Note 3 3 3 2 2 2 3" xfId="42853"/>
    <cellStyle name="Note 3 3 3 2 2 2 3 2" xfId="42854"/>
    <cellStyle name="Note 3 3 3 2 2 2 4" xfId="42855"/>
    <cellStyle name="Note 3 3 3 2 2 3" xfId="42856"/>
    <cellStyle name="Note 3 3 3 2 2 3 2" xfId="42857"/>
    <cellStyle name="Note 3 3 3 2 2 3 2 2" xfId="42858"/>
    <cellStyle name="Note 3 3 3 2 2 3 3" xfId="42859"/>
    <cellStyle name="Note 3 3 3 2 2 4" xfId="42860"/>
    <cellStyle name="Note 3 3 3 2 2 4 2" xfId="42861"/>
    <cellStyle name="Note 3 3 3 2 2 5" xfId="42862"/>
    <cellStyle name="Note 3 3 3 2 2 5 2" xfId="42863"/>
    <cellStyle name="Note 3 3 3 2 2 6" xfId="42864"/>
    <cellStyle name="Note 3 3 3 2 3" xfId="42865"/>
    <cellStyle name="Note 3 3 3 2 3 2" xfId="42866"/>
    <cellStyle name="Note 3 3 3 2 3 2 2" xfId="42867"/>
    <cellStyle name="Note 3 3 3 2 3 2 2 2" xfId="42868"/>
    <cellStyle name="Note 3 3 3 2 3 2 2 2 2" xfId="42869"/>
    <cellStyle name="Note 3 3 3 2 3 2 2 3" xfId="42870"/>
    <cellStyle name="Note 3 3 3 2 3 2 3" xfId="42871"/>
    <cellStyle name="Note 3 3 3 2 3 2 3 2" xfId="42872"/>
    <cellStyle name="Note 3 3 3 2 3 2 4" xfId="42873"/>
    <cellStyle name="Note 3 3 3 2 3 3" xfId="42874"/>
    <cellStyle name="Note 3 3 3 2 3 3 2" xfId="42875"/>
    <cellStyle name="Note 3 3 3 2 3 3 2 2" xfId="42876"/>
    <cellStyle name="Note 3 3 3 2 3 3 3" xfId="42877"/>
    <cellStyle name="Note 3 3 3 2 3 4" xfId="42878"/>
    <cellStyle name="Note 3 3 3 2 3 4 2" xfId="42879"/>
    <cellStyle name="Note 3 3 3 2 3 5" xfId="42880"/>
    <cellStyle name="Note 3 3 3 2 3 5 2" xfId="42881"/>
    <cellStyle name="Note 3 3 3 2 3 6" xfId="42882"/>
    <cellStyle name="Note 3 3 3 2 4" xfId="42883"/>
    <cellStyle name="Note 3 3 3 2 4 2" xfId="42884"/>
    <cellStyle name="Note 3 3 3 2 4 2 2" xfId="42885"/>
    <cellStyle name="Note 3 3 3 2 4 2 2 2" xfId="42886"/>
    <cellStyle name="Note 3 3 3 2 4 2 3" xfId="42887"/>
    <cellStyle name="Note 3 3 3 2 4 3" xfId="42888"/>
    <cellStyle name="Note 3 3 3 2 4 3 2" xfId="42889"/>
    <cellStyle name="Note 3 3 3 2 4 4" xfId="42890"/>
    <cellStyle name="Note 3 3 3 2 5" xfId="42891"/>
    <cellStyle name="Note 3 3 3 2 5 2" xfId="42892"/>
    <cellStyle name="Note 3 3 3 2 5 2 2" xfId="42893"/>
    <cellStyle name="Note 3 3 3 2 5 3" xfId="42894"/>
    <cellStyle name="Note 3 3 3 2 6" xfId="42895"/>
    <cellStyle name="Note 3 3 3 2 6 2" xfId="42896"/>
    <cellStyle name="Note 3 3 3 2 7" xfId="42897"/>
    <cellStyle name="Note 3 3 3 2 7 2" xfId="42898"/>
    <cellStyle name="Note 3 3 3 2 8" xfId="42899"/>
    <cellStyle name="Note 3 3 3 3" xfId="42900"/>
    <cellStyle name="Note 3 3 3 3 2" xfId="42901"/>
    <cellStyle name="Note 3 3 3 3 2 2" xfId="42902"/>
    <cellStyle name="Note 3 3 3 3 2 2 2" xfId="42903"/>
    <cellStyle name="Note 3 3 3 3 2 2 2 2" xfId="42904"/>
    <cellStyle name="Note 3 3 3 3 2 2 2 2 2" xfId="42905"/>
    <cellStyle name="Note 3 3 3 3 2 2 2 3" xfId="42906"/>
    <cellStyle name="Note 3 3 3 3 2 2 3" xfId="42907"/>
    <cellStyle name="Note 3 3 3 3 2 2 3 2" xfId="42908"/>
    <cellStyle name="Note 3 3 3 3 2 2 4" xfId="42909"/>
    <cellStyle name="Note 3 3 3 3 2 3" xfId="42910"/>
    <cellStyle name="Note 3 3 3 3 2 3 2" xfId="42911"/>
    <cellStyle name="Note 3 3 3 3 2 3 2 2" xfId="42912"/>
    <cellStyle name="Note 3 3 3 3 2 3 3" xfId="42913"/>
    <cellStyle name="Note 3 3 3 3 2 4" xfId="42914"/>
    <cellStyle name="Note 3 3 3 3 2 4 2" xfId="42915"/>
    <cellStyle name="Note 3 3 3 3 2 5" xfId="42916"/>
    <cellStyle name="Note 3 3 3 3 2 5 2" xfId="42917"/>
    <cellStyle name="Note 3 3 3 3 2 6" xfId="42918"/>
    <cellStyle name="Note 3 3 3 3 3" xfId="42919"/>
    <cellStyle name="Note 3 3 3 3 3 2" xfId="42920"/>
    <cellStyle name="Note 3 3 3 3 3 2 2" xfId="42921"/>
    <cellStyle name="Note 3 3 3 3 3 2 2 2" xfId="42922"/>
    <cellStyle name="Note 3 3 3 3 3 2 2 2 2" xfId="42923"/>
    <cellStyle name="Note 3 3 3 3 3 2 2 3" xfId="42924"/>
    <cellStyle name="Note 3 3 3 3 3 2 3" xfId="42925"/>
    <cellStyle name="Note 3 3 3 3 3 2 3 2" xfId="42926"/>
    <cellStyle name="Note 3 3 3 3 3 2 4" xfId="42927"/>
    <cellStyle name="Note 3 3 3 3 3 3" xfId="42928"/>
    <cellStyle name="Note 3 3 3 3 3 3 2" xfId="42929"/>
    <cellStyle name="Note 3 3 3 3 3 3 2 2" xfId="42930"/>
    <cellStyle name="Note 3 3 3 3 3 3 3" xfId="42931"/>
    <cellStyle name="Note 3 3 3 3 3 4" xfId="42932"/>
    <cellStyle name="Note 3 3 3 3 3 4 2" xfId="42933"/>
    <cellStyle name="Note 3 3 3 3 3 5" xfId="42934"/>
    <cellStyle name="Note 3 3 3 3 3 5 2" xfId="42935"/>
    <cellStyle name="Note 3 3 3 3 3 6" xfId="42936"/>
    <cellStyle name="Note 3 3 3 3 4" xfId="42937"/>
    <cellStyle name="Note 3 3 3 3 4 2" xfId="42938"/>
    <cellStyle name="Note 3 3 3 3 4 2 2" xfId="42939"/>
    <cellStyle name="Note 3 3 3 3 4 2 2 2" xfId="42940"/>
    <cellStyle name="Note 3 3 3 3 4 2 3" xfId="42941"/>
    <cellStyle name="Note 3 3 3 3 4 3" xfId="42942"/>
    <cellStyle name="Note 3 3 3 3 4 3 2" xfId="42943"/>
    <cellStyle name="Note 3 3 3 3 4 4" xfId="42944"/>
    <cellStyle name="Note 3 3 3 3 5" xfId="42945"/>
    <cellStyle name="Note 3 3 3 3 5 2" xfId="42946"/>
    <cellStyle name="Note 3 3 3 3 5 2 2" xfId="42947"/>
    <cellStyle name="Note 3 3 3 3 5 3" xfId="42948"/>
    <cellStyle name="Note 3 3 3 3 6" xfId="42949"/>
    <cellStyle name="Note 3 3 3 3 6 2" xfId="42950"/>
    <cellStyle name="Note 3 3 3 3 7" xfId="42951"/>
    <cellStyle name="Note 3 3 3 3 7 2" xfId="42952"/>
    <cellStyle name="Note 3 3 3 3 8" xfId="42953"/>
    <cellStyle name="Note 3 3 3 4" xfId="42954"/>
    <cellStyle name="Note 3 3 3 4 2" xfId="42955"/>
    <cellStyle name="Note 3 3 3 4 2 2" xfId="42956"/>
    <cellStyle name="Note 3 3 3 4 2 2 2" xfId="42957"/>
    <cellStyle name="Note 3 3 3 4 2 2 2 2" xfId="42958"/>
    <cellStyle name="Note 3 3 3 4 2 2 3" xfId="42959"/>
    <cellStyle name="Note 3 3 3 4 2 3" xfId="42960"/>
    <cellStyle name="Note 3 3 3 4 2 3 2" xfId="42961"/>
    <cellStyle name="Note 3 3 3 4 2 4" xfId="42962"/>
    <cellStyle name="Note 3 3 3 4 3" xfId="42963"/>
    <cellStyle name="Note 3 3 3 4 3 2" xfId="42964"/>
    <cellStyle name="Note 3 3 3 4 3 2 2" xfId="42965"/>
    <cellStyle name="Note 3 3 3 4 3 3" xfId="42966"/>
    <cellStyle name="Note 3 3 3 4 4" xfId="42967"/>
    <cellStyle name="Note 3 3 3 4 4 2" xfId="42968"/>
    <cellStyle name="Note 3 3 3 4 5" xfId="42969"/>
    <cellStyle name="Note 3 3 3 4 5 2" xfId="42970"/>
    <cellStyle name="Note 3 3 3 4 6" xfId="42971"/>
    <cellStyle name="Note 3 3 3 5" xfId="42972"/>
    <cellStyle name="Note 3 3 3 5 2" xfId="42973"/>
    <cellStyle name="Note 3 3 3 5 2 2" xfId="42974"/>
    <cellStyle name="Note 3 3 3 5 2 2 2" xfId="42975"/>
    <cellStyle name="Note 3 3 3 5 2 2 2 2" xfId="42976"/>
    <cellStyle name="Note 3 3 3 5 2 2 3" xfId="42977"/>
    <cellStyle name="Note 3 3 3 5 2 3" xfId="42978"/>
    <cellStyle name="Note 3 3 3 5 2 3 2" xfId="42979"/>
    <cellStyle name="Note 3 3 3 5 2 4" xfId="42980"/>
    <cellStyle name="Note 3 3 3 5 3" xfId="42981"/>
    <cellStyle name="Note 3 3 3 5 3 2" xfId="42982"/>
    <cellStyle name="Note 3 3 3 5 3 2 2" xfId="42983"/>
    <cellStyle name="Note 3 3 3 5 3 3" xfId="42984"/>
    <cellStyle name="Note 3 3 3 5 4" xfId="42985"/>
    <cellStyle name="Note 3 3 3 5 4 2" xfId="42986"/>
    <cellStyle name="Note 3 3 3 5 5" xfId="42987"/>
    <cellStyle name="Note 3 3 3 5 5 2" xfId="42988"/>
    <cellStyle name="Note 3 3 3 5 6" xfId="42989"/>
    <cellStyle name="Note 3 3 3 6" xfId="42990"/>
    <cellStyle name="Note 3 3 3 6 2" xfId="42991"/>
    <cellStyle name="Note 3 3 3 6 2 2" xfId="42992"/>
    <cellStyle name="Note 3 3 3 6 2 2 2" xfId="42993"/>
    <cellStyle name="Note 3 3 3 6 2 2 2 2" xfId="42994"/>
    <cellStyle name="Note 3 3 3 6 2 2 3" xfId="42995"/>
    <cellStyle name="Note 3 3 3 6 2 3" xfId="42996"/>
    <cellStyle name="Note 3 3 3 6 2 3 2" xfId="42997"/>
    <cellStyle name="Note 3 3 3 6 2 4" xfId="42998"/>
    <cellStyle name="Note 3 3 3 6 3" xfId="42999"/>
    <cellStyle name="Note 3 3 3 6 3 2" xfId="43000"/>
    <cellStyle name="Note 3 3 3 6 3 2 2" xfId="43001"/>
    <cellStyle name="Note 3 3 3 6 3 3" xfId="43002"/>
    <cellStyle name="Note 3 3 3 6 4" xfId="43003"/>
    <cellStyle name="Note 3 3 3 6 4 2" xfId="43004"/>
    <cellStyle name="Note 3 3 3 6 5" xfId="43005"/>
    <cellStyle name="Note 3 3 3 6 5 2" xfId="43006"/>
    <cellStyle name="Note 3 3 3 6 6" xfId="43007"/>
    <cellStyle name="Note 3 3 3 7" xfId="43008"/>
    <cellStyle name="Note 3 3 3 7 2" xfId="43009"/>
    <cellStyle name="Note 3 3 3 7 2 2" xfId="43010"/>
    <cellStyle name="Note 3 3 3 7 2 2 2" xfId="43011"/>
    <cellStyle name="Note 3 3 3 7 2 3" xfId="43012"/>
    <cellStyle name="Note 3 3 3 7 3" xfId="43013"/>
    <cellStyle name="Note 3 3 3 7 3 2" xfId="43014"/>
    <cellStyle name="Note 3 3 3 7 4" xfId="43015"/>
    <cellStyle name="Note 3 3 3 8" xfId="43016"/>
    <cellStyle name="Note 3 3 3 8 2" xfId="43017"/>
    <cellStyle name="Note 3 3 3 8 2 2" xfId="43018"/>
    <cellStyle name="Note 3 3 3 8 3" xfId="43019"/>
    <cellStyle name="Note 3 3 3 9" xfId="43020"/>
    <cellStyle name="Note 3 3 3 9 2" xfId="43021"/>
    <cellStyle name="Note 3 3 4" xfId="43022"/>
    <cellStyle name="Note 3 3 4 10" xfId="43023"/>
    <cellStyle name="Note 3 3 4 10 2" xfId="43024"/>
    <cellStyle name="Note 3 3 4 11" xfId="43025"/>
    <cellStyle name="Note 3 3 4 2" xfId="43026"/>
    <cellStyle name="Note 3 3 4 2 2" xfId="43027"/>
    <cellStyle name="Note 3 3 4 2 2 2" xfId="43028"/>
    <cellStyle name="Note 3 3 4 2 2 2 2" xfId="43029"/>
    <cellStyle name="Note 3 3 4 2 2 2 2 2" xfId="43030"/>
    <cellStyle name="Note 3 3 4 2 2 2 2 2 2" xfId="43031"/>
    <cellStyle name="Note 3 3 4 2 2 2 2 3" xfId="43032"/>
    <cellStyle name="Note 3 3 4 2 2 2 3" xfId="43033"/>
    <cellStyle name="Note 3 3 4 2 2 2 3 2" xfId="43034"/>
    <cellStyle name="Note 3 3 4 2 2 2 4" xfId="43035"/>
    <cellStyle name="Note 3 3 4 2 2 3" xfId="43036"/>
    <cellStyle name="Note 3 3 4 2 2 3 2" xfId="43037"/>
    <cellStyle name="Note 3 3 4 2 2 3 2 2" xfId="43038"/>
    <cellStyle name="Note 3 3 4 2 2 3 3" xfId="43039"/>
    <cellStyle name="Note 3 3 4 2 2 4" xfId="43040"/>
    <cellStyle name="Note 3 3 4 2 2 4 2" xfId="43041"/>
    <cellStyle name="Note 3 3 4 2 2 5" xfId="43042"/>
    <cellStyle name="Note 3 3 4 2 2 5 2" xfId="43043"/>
    <cellStyle name="Note 3 3 4 2 2 6" xfId="43044"/>
    <cellStyle name="Note 3 3 4 2 3" xfId="43045"/>
    <cellStyle name="Note 3 3 4 2 3 2" xfId="43046"/>
    <cellStyle name="Note 3 3 4 2 3 2 2" xfId="43047"/>
    <cellStyle name="Note 3 3 4 2 3 2 2 2" xfId="43048"/>
    <cellStyle name="Note 3 3 4 2 3 2 2 2 2" xfId="43049"/>
    <cellStyle name="Note 3 3 4 2 3 2 2 3" xfId="43050"/>
    <cellStyle name="Note 3 3 4 2 3 2 3" xfId="43051"/>
    <cellStyle name="Note 3 3 4 2 3 2 3 2" xfId="43052"/>
    <cellStyle name="Note 3 3 4 2 3 2 4" xfId="43053"/>
    <cellStyle name="Note 3 3 4 2 3 3" xfId="43054"/>
    <cellStyle name="Note 3 3 4 2 3 3 2" xfId="43055"/>
    <cellStyle name="Note 3 3 4 2 3 3 2 2" xfId="43056"/>
    <cellStyle name="Note 3 3 4 2 3 3 3" xfId="43057"/>
    <cellStyle name="Note 3 3 4 2 3 4" xfId="43058"/>
    <cellStyle name="Note 3 3 4 2 3 4 2" xfId="43059"/>
    <cellStyle name="Note 3 3 4 2 3 5" xfId="43060"/>
    <cellStyle name="Note 3 3 4 2 3 5 2" xfId="43061"/>
    <cellStyle name="Note 3 3 4 2 3 6" xfId="43062"/>
    <cellStyle name="Note 3 3 4 2 4" xfId="43063"/>
    <cellStyle name="Note 3 3 4 2 4 2" xfId="43064"/>
    <cellStyle name="Note 3 3 4 2 4 2 2" xfId="43065"/>
    <cellStyle name="Note 3 3 4 2 4 2 2 2" xfId="43066"/>
    <cellStyle name="Note 3 3 4 2 4 2 3" xfId="43067"/>
    <cellStyle name="Note 3 3 4 2 4 3" xfId="43068"/>
    <cellStyle name="Note 3 3 4 2 4 3 2" xfId="43069"/>
    <cellStyle name="Note 3 3 4 2 4 4" xfId="43070"/>
    <cellStyle name="Note 3 3 4 2 5" xfId="43071"/>
    <cellStyle name="Note 3 3 4 2 5 2" xfId="43072"/>
    <cellStyle name="Note 3 3 4 2 5 2 2" xfId="43073"/>
    <cellStyle name="Note 3 3 4 2 5 3" xfId="43074"/>
    <cellStyle name="Note 3 3 4 2 6" xfId="43075"/>
    <cellStyle name="Note 3 3 4 2 6 2" xfId="43076"/>
    <cellStyle name="Note 3 3 4 2 7" xfId="43077"/>
    <cellStyle name="Note 3 3 4 2 7 2" xfId="43078"/>
    <cellStyle name="Note 3 3 4 2 8" xfId="43079"/>
    <cellStyle name="Note 3 3 4 3" xfId="43080"/>
    <cellStyle name="Note 3 3 4 3 2" xfId="43081"/>
    <cellStyle name="Note 3 3 4 3 2 2" xfId="43082"/>
    <cellStyle name="Note 3 3 4 3 2 2 2" xfId="43083"/>
    <cellStyle name="Note 3 3 4 3 2 2 2 2" xfId="43084"/>
    <cellStyle name="Note 3 3 4 3 2 2 2 2 2" xfId="43085"/>
    <cellStyle name="Note 3 3 4 3 2 2 2 3" xfId="43086"/>
    <cellStyle name="Note 3 3 4 3 2 2 3" xfId="43087"/>
    <cellStyle name="Note 3 3 4 3 2 2 3 2" xfId="43088"/>
    <cellStyle name="Note 3 3 4 3 2 2 4" xfId="43089"/>
    <cellStyle name="Note 3 3 4 3 2 3" xfId="43090"/>
    <cellStyle name="Note 3 3 4 3 2 3 2" xfId="43091"/>
    <cellStyle name="Note 3 3 4 3 2 3 2 2" xfId="43092"/>
    <cellStyle name="Note 3 3 4 3 2 3 3" xfId="43093"/>
    <cellStyle name="Note 3 3 4 3 2 4" xfId="43094"/>
    <cellStyle name="Note 3 3 4 3 2 4 2" xfId="43095"/>
    <cellStyle name="Note 3 3 4 3 2 5" xfId="43096"/>
    <cellStyle name="Note 3 3 4 3 2 5 2" xfId="43097"/>
    <cellStyle name="Note 3 3 4 3 2 6" xfId="43098"/>
    <cellStyle name="Note 3 3 4 3 3" xfId="43099"/>
    <cellStyle name="Note 3 3 4 3 3 2" xfId="43100"/>
    <cellStyle name="Note 3 3 4 3 3 2 2" xfId="43101"/>
    <cellStyle name="Note 3 3 4 3 3 2 2 2" xfId="43102"/>
    <cellStyle name="Note 3 3 4 3 3 2 2 2 2" xfId="43103"/>
    <cellStyle name="Note 3 3 4 3 3 2 2 3" xfId="43104"/>
    <cellStyle name="Note 3 3 4 3 3 2 3" xfId="43105"/>
    <cellStyle name="Note 3 3 4 3 3 2 3 2" xfId="43106"/>
    <cellStyle name="Note 3 3 4 3 3 2 4" xfId="43107"/>
    <cellStyle name="Note 3 3 4 3 3 3" xfId="43108"/>
    <cellStyle name="Note 3 3 4 3 3 3 2" xfId="43109"/>
    <cellStyle name="Note 3 3 4 3 3 3 2 2" xfId="43110"/>
    <cellStyle name="Note 3 3 4 3 3 3 3" xfId="43111"/>
    <cellStyle name="Note 3 3 4 3 3 4" xfId="43112"/>
    <cellStyle name="Note 3 3 4 3 3 4 2" xfId="43113"/>
    <cellStyle name="Note 3 3 4 3 3 5" xfId="43114"/>
    <cellStyle name="Note 3 3 4 3 3 5 2" xfId="43115"/>
    <cellStyle name="Note 3 3 4 3 3 6" xfId="43116"/>
    <cellStyle name="Note 3 3 4 3 4" xfId="43117"/>
    <cellStyle name="Note 3 3 4 3 4 2" xfId="43118"/>
    <cellStyle name="Note 3 3 4 3 4 2 2" xfId="43119"/>
    <cellStyle name="Note 3 3 4 3 4 2 2 2" xfId="43120"/>
    <cellStyle name="Note 3 3 4 3 4 2 3" xfId="43121"/>
    <cellStyle name="Note 3 3 4 3 4 3" xfId="43122"/>
    <cellStyle name="Note 3 3 4 3 4 3 2" xfId="43123"/>
    <cellStyle name="Note 3 3 4 3 4 4" xfId="43124"/>
    <cellStyle name="Note 3 3 4 3 5" xfId="43125"/>
    <cellStyle name="Note 3 3 4 3 5 2" xfId="43126"/>
    <cellStyle name="Note 3 3 4 3 5 2 2" xfId="43127"/>
    <cellStyle name="Note 3 3 4 3 5 3" xfId="43128"/>
    <cellStyle name="Note 3 3 4 3 6" xfId="43129"/>
    <cellStyle name="Note 3 3 4 3 6 2" xfId="43130"/>
    <cellStyle name="Note 3 3 4 3 7" xfId="43131"/>
    <cellStyle name="Note 3 3 4 3 7 2" xfId="43132"/>
    <cellStyle name="Note 3 3 4 3 8" xfId="43133"/>
    <cellStyle name="Note 3 3 4 4" xfId="43134"/>
    <cellStyle name="Note 3 3 4 4 2" xfId="43135"/>
    <cellStyle name="Note 3 3 4 4 2 2" xfId="43136"/>
    <cellStyle name="Note 3 3 4 4 2 2 2" xfId="43137"/>
    <cellStyle name="Note 3 3 4 4 2 2 2 2" xfId="43138"/>
    <cellStyle name="Note 3 3 4 4 2 2 3" xfId="43139"/>
    <cellStyle name="Note 3 3 4 4 2 3" xfId="43140"/>
    <cellStyle name="Note 3 3 4 4 2 3 2" xfId="43141"/>
    <cellStyle name="Note 3 3 4 4 2 4" xfId="43142"/>
    <cellStyle name="Note 3 3 4 4 3" xfId="43143"/>
    <cellStyle name="Note 3 3 4 4 3 2" xfId="43144"/>
    <cellStyle name="Note 3 3 4 4 3 2 2" xfId="43145"/>
    <cellStyle name="Note 3 3 4 4 3 3" xfId="43146"/>
    <cellStyle name="Note 3 3 4 4 4" xfId="43147"/>
    <cellStyle name="Note 3 3 4 4 4 2" xfId="43148"/>
    <cellStyle name="Note 3 3 4 4 5" xfId="43149"/>
    <cellStyle name="Note 3 3 4 4 5 2" xfId="43150"/>
    <cellStyle name="Note 3 3 4 4 6" xfId="43151"/>
    <cellStyle name="Note 3 3 4 5" xfId="43152"/>
    <cellStyle name="Note 3 3 4 5 2" xfId="43153"/>
    <cellStyle name="Note 3 3 4 5 2 2" xfId="43154"/>
    <cellStyle name="Note 3 3 4 5 2 2 2" xfId="43155"/>
    <cellStyle name="Note 3 3 4 5 2 2 2 2" xfId="43156"/>
    <cellStyle name="Note 3 3 4 5 2 2 3" xfId="43157"/>
    <cellStyle name="Note 3 3 4 5 2 3" xfId="43158"/>
    <cellStyle name="Note 3 3 4 5 2 3 2" xfId="43159"/>
    <cellStyle name="Note 3 3 4 5 2 4" xfId="43160"/>
    <cellStyle name="Note 3 3 4 5 3" xfId="43161"/>
    <cellStyle name="Note 3 3 4 5 3 2" xfId="43162"/>
    <cellStyle name="Note 3 3 4 5 3 2 2" xfId="43163"/>
    <cellStyle name="Note 3 3 4 5 3 3" xfId="43164"/>
    <cellStyle name="Note 3 3 4 5 4" xfId="43165"/>
    <cellStyle name="Note 3 3 4 5 4 2" xfId="43166"/>
    <cellStyle name="Note 3 3 4 5 5" xfId="43167"/>
    <cellStyle name="Note 3 3 4 5 5 2" xfId="43168"/>
    <cellStyle name="Note 3 3 4 5 6" xfId="43169"/>
    <cellStyle name="Note 3 3 4 6" xfId="43170"/>
    <cellStyle name="Note 3 3 4 6 2" xfId="43171"/>
    <cellStyle name="Note 3 3 4 6 2 2" xfId="43172"/>
    <cellStyle name="Note 3 3 4 6 2 2 2" xfId="43173"/>
    <cellStyle name="Note 3 3 4 6 2 2 2 2" xfId="43174"/>
    <cellStyle name="Note 3 3 4 6 2 2 3" xfId="43175"/>
    <cellStyle name="Note 3 3 4 6 2 3" xfId="43176"/>
    <cellStyle name="Note 3 3 4 6 2 3 2" xfId="43177"/>
    <cellStyle name="Note 3 3 4 6 2 4" xfId="43178"/>
    <cellStyle name="Note 3 3 4 6 3" xfId="43179"/>
    <cellStyle name="Note 3 3 4 6 3 2" xfId="43180"/>
    <cellStyle name="Note 3 3 4 6 3 2 2" xfId="43181"/>
    <cellStyle name="Note 3 3 4 6 3 3" xfId="43182"/>
    <cellStyle name="Note 3 3 4 6 4" xfId="43183"/>
    <cellStyle name="Note 3 3 4 6 4 2" xfId="43184"/>
    <cellStyle name="Note 3 3 4 6 5" xfId="43185"/>
    <cellStyle name="Note 3 3 4 6 5 2" xfId="43186"/>
    <cellStyle name="Note 3 3 4 6 6" xfId="43187"/>
    <cellStyle name="Note 3 3 4 7" xfId="43188"/>
    <cellStyle name="Note 3 3 4 7 2" xfId="43189"/>
    <cellStyle name="Note 3 3 4 7 2 2" xfId="43190"/>
    <cellStyle name="Note 3 3 4 7 2 2 2" xfId="43191"/>
    <cellStyle name="Note 3 3 4 7 2 3" xfId="43192"/>
    <cellStyle name="Note 3 3 4 7 3" xfId="43193"/>
    <cellStyle name="Note 3 3 4 7 3 2" xfId="43194"/>
    <cellStyle name="Note 3 3 4 7 4" xfId="43195"/>
    <cellStyle name="Note 3 3 4 8" xfId="43196"/>
    <cellStyle name="Note 3 3 4 8 2" xfId="43197"/>
    <cellStyle name="Note 3 3 4 8 2 2" xfId="43198"/>
    <cellStyle name="Note 3 3 4 8 3" xfId="43199"/>
    <cellStyle name="Note 3 3 4 9" xfId="43200"/>
    <cellStyle name="Note 3 3 4 9 2" xfId="43201"/>
    <cellStyle name="Note 3 3 5" xfId="43202"/>
    <cellStyle name="Note 3 3 5 2" xfId="43203"/>
    <cellStyle name="Note 3 3 5 2 2" xfId="43204"/>
    <cellStyle name="Note 3 3 5 2 2 2" xfId="43205"/>
    <cellStyle name="Note 3 3 5 2 2 2 2" xfId="43206"/>
    <cellStyle name="Note 3 3 5 2 2 2 2 2" xfId="43207"/>
    <cellStyle name="Note 3 3 5 2 2 2 3" xfId="43208"/>
    <cellStyle name="Note 3 3 5 2 2 3" xfId="43209"/>
    <cellStyle name="Note 3 3 5 2 2 3 2" xfId="43210"/>
    <cellStyle name="Note 3 3 5 2 2 4" xfId="43211"/>
    <cellStyle name="Note 3 3 5 2 3" xfId="43212"/>
    <cellStyle name="Note 3 3 5 2 3 2" xfId="43213"/>
    <cellStyle name="Note 3 3 5 2 3 2 2" xfId="43214"/>
    <cellStyle name="Note 3 3 5 2 3 3" xfId="43215"/>
    <cellStyle name="Note 3 3 5 2 4" xfId="43216"/>
    <cellStyle name="Note 3 3 5 2 4 2" xfId="43217"/>
    <cellStyle name="Note 3 3 5 2 5" xfId="43218"/>
    <cellStyle name="Note 3 3 5 2 5 2" xfId="43219"/>
    <cellStyle name="Note 3 3 5 2 6" xfId="43220"/>
    <cellStyle name="Note 3 3 5 3" xfId="43221"/>
    <cellStyle name="Note 3 3 5 3 2" xfId="43222"/>
    <cellStyle name="Note 3 3 5 3 2 2" xfId="43223"/>
    <cellStyle name="Note 3 3 5 3 2 2 2" xfId="43224"/>
    <cellStyle name="Note 3 3 5 3 2 2 2 2" xfId="43225"/>
    <cellStyle name="Note 3 3 5 3 2 2 3" xfId="43226"/>
    <cellStyle name="Note 3 3 5 3 2 3" xfId="43227"/>
    <cellStyle name="Note 3 3 5 3 2 3 2" xfId="43228"/>
    <cellStyle name="Note 3 3 5 3 2 4" xfId="43229"/>
    <cellStyle name="Note 3 3 5 3 3" xfId="43230"/>
    <cellStyle name="Note 3 3 5 3 3 2" xfId="43231"/>
    <cellStyle name="Note 3 3 5 3 3 2 2" xfId="43232"/>
    <cellStyle name="Note 3 3 5 3 3 3" xfId="43233"/>
    <cellStyle name="Note 3 3 5 3 4" xfId="43234"/>
    <cellStyle name="Note 3 3 5 3 4 2" xfId="43235"/>
    <cellStyle name="Note 3 3 5 3 5" xfId="43236"/>
    <cellStyle name="Note 3 3 5 3 5 2" xfId="43237"/>
    <cellStyle name="Note 3 3 5 3 6" xfId="43238"/>
    <cellStyle name="Note 3 3 5 4" xfId="43239"/>
    <cellStyle name="Note 3 3 5 4 2" xfId="43240"/>
    <cellStyle name="Note 3 3 5 4 2 2" xfId="43241"/>
    <cellStyle name="Note 3 3 5 4 2 2 2" xfId="43242"/>
    <cellStyle name="Note 3 3 5 4 2 3" xfId="43243"/>
    <cellStyle name="Note 3 3 5 4 3" xfId="43244"/>
    <cellStyle name="Note 3 3 5 4 3 2" xfId="43245"/>
    <cellStyle name="Note 3 3 5 4 4" xfId="43246"/>
    <cellStyle name="Note 3 3 5 5" xfId="43247"/>
    <cellStyle name="Note 3 3 5 5 2" xfId="43248"/>
    <cellStyle name="Note 3 3 5 5 2 2" xfId="43249"/>
    <cellStyle name="Note 3 3 5 5 3" xfId="43250"/>
    <cellStyle name="Note 3 3 5 6" xfId="43251"/>
    <cellStyle name="Note 3 3 5 6 2" xfId="43252"/>
    <cellStyle name="Note 3 3 5 7" xfId="43253"/>
    <cellStyle name="Note 3 3 5 7 2" xfId="43254"/>
    <cellStyle name="Note 3 3 5 8" xfId="43255"/>
    <cellStyle name="Note 3 3 6" xfId="43256"/>
    <cellStyle name="Note 3 3 6 2" xfId="43257"/>
    <cellStyle name="Note 3 3 6 2 2" xfId="43258"/>
    <cellStyle name="Note 3 3 6 2 2 2" xfId="43259"/>
    <cellStyle name="Note 3 3 6 2 2 2 2" xfId="43260"/>
    <cellStyle name="Note 3 3 6 2 2 2 2 2" xfId="43261"/>
    <cellStyle name="Note 3 3 6 2 2 2 3" xfId="43262"/>
    <cellStyle name="Note 3 3 6 2 2 3" xfId="43263"/>
    <cellStyle name="Note 3 3 6 2 2 3 2" xfId="43264"/>
    <cellStyle name="Note 3 3 6 2 2 4" xfId="43265"/>
    <cellStyle name="Note 3 3 6 2 3" xfId="43266"/>
    <cellStyle name="Note 3 3 6 2 3 2" xfId="43267"/>
    <cellStyle name="Note 3 3 6 2 3 2 2" xfId="43268"/>
    <cellStyle name="Note 3 3 6 2 3 3" xfId="43269"/>
    <cellStyle name="Note 3 3 6 2 4" xfId="43270"/>
    <cellStyle name="Note 3 3 6 2 4 2" xfId="43271"/>
    <cellStyle name="Note 3 3 6 2 5" xfId="43272"/>
    <cellStyle name="Note 3 3 6 2 5 2" xfId="43273"/>
    <cellStyle name="Note 3 3 6 2 6" xfId="43274"/>
    <cellStyle name="Note 3 3 6 3" xfId="43275"/>
    <cellStyle name="Note 3 3 6 3 2" xfId="43276"/>
    <cellStyle name="Note 3 3 6 3 2 2" xfId="43277"/>
    <cellStyle name="Note 3 3 6 3 2 2 2" xfId="43278"/>
    <cellStyle name="Note 3 3 6 3 2 2 2 2" xfId="43279"/>
    <cellStyle name="Note 3 3 6 3 2 2 3" xfId="43280"/>
    <cellStyle name="Note 3 3 6 3 2 3" xfId="43281"/>
    <cellStyle name="Note 3 3 6 3 2 3 2" xfId="43282"/>
    <cellStyle name="Note 3 3 6 3 2 4" xfId="43283"/>
    <cellStyle name="Note 3 3 6 3 3" xfId="43284"/>
    <cellStyle name="Note 3 3 6 3 3 2" xfId="43285"/>
    <cellStyle name="Note 3 3 6 3 3 2 2" xfId="43286"/>
    <cellStyle name="Note 3 3 6 3 3 3" xfId="43287"/>
    <cellStyle name="Note 3 3 6 3 4" xfId="43288"/>
    <cellStyle name="Note 3 3 6 3 4 2" xfId="43289"/>
    <cellStyle name="Note 3 3 6 3 5" xfId="43290"/>
    <cellStyle name="Note 3 3 6 3 5 2" xfId="43291"/>
    <cellStyle name="Note 3 3 6 3 6" xfId="43292"/>
    <cellStyle name="Note 3 3 6 4" xfId="43293"/>
    <cellStyle name="Note 3 3 6 4 2" xfId="43294"/>
    <cellStyle name="Note 3 3 6 4 2 2" xfId="43295"/>
    <cellStyle name="Note 3 3 6 4 2 2 2" xfId="43296"/>
    <cellStyle name="Note 3 3 6 4 2 3" xfId="43297"/>
    <cellStyle name="Note 3 3 6 4 3" xfId="43298"/>
    <cellStyle name="Note 3 3 6 4 3 2" xfId="43299"/>
    <cellStyle name="Note 3 3 6 4 4" xfId="43300"/>
    <cellStyle name="Note 3 3 6 5" xfId="43301"/>
    <cellStyle name="Note 3 3 6 5 2" xfId="43302"/>
    <cellStyle name="Note 3 3 6 5 2 2" xfId="43303"/>
    <cellStyle name="Note 3 3 6 5 3" xfId="43304"/>
    <cellStyle name="Note 3 3 6 6" xfId="43305"/>
    <cellStyle name="Note 3 3 6 6 2" xfId="43306"/>
    <cellStyle name="Note 3 3 6 7" xfId="43307"/>
    <cellStyle name="Note 3 3 6 7 2" xfId="43308"/>
    <cellStyle name="Note 3 3 6 8" xfId="43309"/>
    <cellStyle name="Note 3 3 7" xfId="43310"/>
    <cellStyle name="Note 3 3 7 2" xfId="43311"/>
    <cellStyle name="Note 3 3 7 2 2" xfId="43312"/>
    <cellStyle name="Note 3 3 7 2 2 2" xfId="43313"/>
    <cellStyle name="Note 3 3 7 2 2 2 2" xfId="43314"/>
    <cellStyle name="Note 3 3 7 2 2 3" xfId="43315"/>
    <cellStyle name="Note 3 3 7 2 3" xfId="43316"/>
    <cellStyle name="Note 3 3 7 2 3 2" xfId="43317"/>
    <cellStyle name="Note 3 3 7 2 4" xfId="43318"/>
    <cellStyle name="Note 3 3 7 3" xfId="43319"/>
    <cellStyle name="Note 3 3 7 3 2" xfId="43320"/>
    <cellStyle name="Note 3 3 7 3 2 2" xfId="43321"/>
    <cellStyle name="Note 3 3 7 3 3" xfId="43322"/>
    <cellStyle name="Note 3 3 7 4" xfId="43323"/>
    <cellStyle name="Note 3 3 7 4 2" xfId="43324"/>
    <cellStyle name="Note 3 3 7 5" xfId="43325"/>
    <cellStyle name="Note 3 3 7 5 2" xfId="43326"/>
    <cellStyle name="Note 3 3 7 6" xfId="43327"/>
    <cellStyle name="Note 3 3 8" xfId="43328"/>
    <cellStyle name="Note 3 3 8 2" xfId="43329"/>
    <cellStyle name="Note 3 3 8 2 2" xfId="43330"/>
    <cellStyle name="Note 3 3 8 2 2 2" xfId="43331"/>
    <cellStyle name="Note 3 3 8 2 2 2 2" xfId="43332"/>
    <cellStyle name="Note 3 3 8 2 2 3" xfId="43333"/>
    <cellStyle name="Note 3 3 8 2 3" xfId="43334"/>
    <cellStyle name="Note 3 3 8 2 3 2" xfId="43335"/>
    <cellStyle name="Note 3 3 8 2 4" xfId="43336"/>
    <cellStyle name="Note 3 3 8 3" xfId="43337"/>
    <cellStyle name="Note 3 3 8 3 2" xfId="43338"/>
    <cellStyle name="Note 3 3 8 3 2 2" xfId="43339"/>
    <cellStyle name="Note 3 3 8 3 3" xfId="43340"/>
    <cellStyle name="Note 3 3 8 4" xfId="43341"/>
    <cellStyle name="Note 3 3 8 4 2" xfId="43342"/>
    <cellStyle name="Note 3 3 8 5" xfId="43343"/>
    <cellStyle name="Note 3 3 8 5 2" xfId="43344"/>
    <cellStyle name="Note 3 3 8 6" xfId="43345"/>
    <cellStyle name="Note 3 3 9" xfId="43346"/>
    <cellStyle name="Note 3 3 9 2" xfId="43347"/>
    <cellStyle name="Note 3 3 9 2 2" xfId="43348"/>
    <cellStyle name="Note 3 3 9 2 2 2" xfId="43349"/>
    <cellStyle name="Note 3 3 9 2 2 2 2" xfId="43350"/>
    <cellStyle name="Note 3 3 9 2 2 3" xfId="43351"/>
    <cellStyle name="Note 3 3 9 2 3" xfId="43352"/>
    <cellStyle name="Note 3 3 9 2 3 2" xfId="43353"/>
    <cellStyle name="Note 3 3 9 2 4" xfId="43354"/>
    <cellStyle name="Note 3 3 9 3" xfId="43355"/>
    <cellStyle name="Note 3 3 9 3 2" xfId="43356"/>
    <cellStyle name="Note 3 3 9 3 2 2" xfId="43357"/>
    <cellStyle name="Note 3 3 9 3 3" xfId="43358"/>
    <cellStyle name="Note 3 3 9 4" xfId="43359"/>
    <cellStyle name="Note 3 3 9 4 2" xfId="43360"/>
    <cellStyle name="Note 3 3 9 5" xfId="43361"/>
    <cellStyle name="Note 3 3 9 5 2" xfId="43362"/>
    <cellStyle name="Note 3 3 9 6" xfId="43363"/>
    <cellStyle name="Note 3 4" xfId="43364"/>
    <cellStyle name="Note 3 5" xfId="622"/>
    <cellStyle name="Note 4" xfId="43365"/>
    <cellStyle name="Note 4 2" xfId="43366"/>
    <cellStyle name="Note 5" xfId="43367"/>
    <cellStyle name="Note 5 2" xfId="43368"/>
    <cellStyle name="Note 5 3" xfId="43369"/>
    <cellStyle name="Note 5 3 10" xfId="43370"/>
    <cellStyle name="Note 5 3 10 2" xfId="43371"/>
    <cellStyle name="Note 5 3 10 2 2" xfId="43372"/>
    <cellStyle name="Note 5 3 10 2 2 2" xfId="43373"/>
    <cellStyle name="Note 5 3 10 2 3" xfId="43374"/>
    <cellStyle name="Note 5 3 10 3" xfId="43375"/>
    <cellStyle name="Note 5 3 10 3 2" xfId="43376"/>
    <cellStyle name="Note 5 3 10 4" xfId="43377"/>
    <cellStyle name="Note 5 3 11" xfId="43378"/>
    <cellStyle name="Note 5 3 11 2" xfId="43379"/>
    <cellStyle name="Note 5 3 11 2 2" xfId="43380"/>
    <cellStyle name="Note 5 3 11 3" xfId="43381"/>
    <cellStyle name="Note 5 3 12" xfId="43382"/>
    <cellStyle name="Note 5 3 12 2" xfId="43383"/>
    <cellStyle name="Note 5 3 13" xfId="43384"/>
    <cellStyle name="Note 5 3 13 2" xfId="43385"/>
    <cellStyle name="Note 5 3 14" xfId="43386"/>
    <cellStyle name="Note 5 3 2" xfId="43387"/>
    <cellStyle name="Note 5 3 2 10" xfId="43388"/>
    <cellStyle name="Note 5 3 2 10 2" xfId="43389"/>
    <cellStyle name="Note 5 3 2 11" xfId="43390"/>
    <cellStyle name="Note 5 3 2 2" xfId="43391"/>
    <cellStyle name="Note 5 3 2 2 2" xfId="43392"/>
    <cellStyle name="Note 5 3 2 2 2 2" xfId="43393"/>
    <cellStyle name="Note 5 3 2 2 2 2 2" xfId="43394"/>
    <cellStyle name="Note 5 3 2 2 2 2 2 2" xfId="43395"/>
    <cellStyle name="Note 5 3 2 2 2 2 2 2 2" xfId="43396"/>
    <cellStyle name="Note 5 3 2 2 2 2 2 3" xfId="43397"/>
    <cellStyle name="Note 5 3 2 2 2 2 3" xfId="43398"/>
    <cellStyle name="Note 5 3 2 2 2 2 3 2" xfId="43399"/>
    <cellStyle name="Note 5 3 2 2 2 2 4" xfId="43400"/>
    <cellStyle name="Note 5 3 2 2 2 3" xfId="43401"/>
    <cellStyle name="Note 5 3 2 2 2 3 2" xfId="43402"/>
    <cellStyle name="Note 5 3 2 2 2 3 2 2" xfId="43403"/>
    <cellStyle name="Note 5 3 2 2 2 3 3" xfId="43404"/>
    <cellStyle name="Note 5 3 2 2 2 4" xfId="43405"/>
    <cellStyle name="Note 5 3 2 2 2 4 2" xfId="43406"/>
    <cellStyle name="Note 5 3 2 2 2 5" xfId="43407"/>
    <cellStyle name="Note 5 3 2 2 2 5 2" xfId="43408"/>
    <cellStyle name="Note 5 3 2 2 2 6" xfId="43409"/>
    <cellStyle name="Note 5 3 2 2 3" xfId="43410"/>
    <cellStyle name="Note 5 3 2 2 3 2" xfId="43411"/>
    <cellStyle name="Note 5 3 2 2 3 2 2" xfId="43412"/>
    <cellStyle name="Note 5 3 2 2 3 2 2 2" xfId="43413"/>
    <cellStyle name="Note 5 3 2 2 3 2 2 2 2" xfId="43414"/>
    <cellStyle name="Note 5 3 2 2 3 2 2 3" xfId="43415"/>
    <cellStyle name="Note 5 3 2 2 3 2 3" xfId="43416"/>
    <cellStyle name="Note 5 3 2 2 3 2 3 2" xfId="43417"/>
    <cellStyle name="Note 5 3 2 2 3 2 4" xfId="43418"/>
    <cellStyle name="Note 5 3 2 2 3 3" xfId="43419"/>
    <cellStyle name="Note 5 3 2 2 3 3 2" xfId="43420"/>
    <cellStyle name="Note 5 3 2 2 3 3 2 2" xfId="43421"/>
    <cellStyle name="Note 5 3 2 2 3 3 3" xfId="43422"/>
    <cellStyle name="Note 5 3 2 2 3 4" xfId="43423"/>
    <cellStyle name="Note 5 3 2 2 3 4 2" xfId="43424"/>
    <cellStyle name="Note 5 3 2 2 3 5" xfId="43425"/>
    <cellStyle name="Note 5 3 2 2 3 5 2" xfId="43426"/>
    <cellStyle name="Note 5 3 2 2 3 6" xfId="43427"/>
    <cellStyle name="Note 5 3 2 2 4" xfId="43428"/>
    <cellStyle name="Note 5 3 2 2 4 2" xfId="43429"/>
    <cellStyle name="Note 5 3 2 2 4 2 2" xfId="43430"/>
    <cellStyle name="Note 5 3 2 2 4 2 2 2" xfId="43431"/>
    <cellStyle name="Note 5 3 2 2 4 2 3" xfId="43432"/>
    <cellStyle name="Note 5 3 2 2 4 3" xfId="43433"/>
    <cellStyle name="Note 5 3 2 2 4 3 2" xfId="43434"/>
    <cellStyle name="Note 5 3 2 2 4 4" xfId="43435"/>
    <cellStyle name="Note 5 3 2 2 5" xfId="43436"/>
    <cellStyle name="Note 5 3 2 2 5 2" xfId="43437"/>
    <cellStyle name="Note 5 3 2 2 5 2 2" xfId="43438"/>
    <cellStyle name="Note 5 3 2 2 5 3" xfId="43439"/>
    <cellStyle name="Note 5 3 2 2 6" xfId="43440"/>
    <cellStyle name="Note 5 3 2 2 6 2" xfId="43441"/>
    <cellStyle name="Note 5 3 2 2 7" xfId="43442"/>
    <cellStyle name="Note 5 3 2 2 7 2" xfId="43443"/>
    <cellStyle name="Note 5 3 2 2 8" xfId="43444"/>
    <cellStyle name="Note 5 3 2 3" xfId="43445"/>
    <cellStyle name="Note 5 3 2 3 2" xfId="43446"/>
    <cellStyle name="Note 5 3 2 3 2 2" xfId="43447"/>
    <cellStyle name="Note 5 3 2 3 2 2 2" xfId="43448"/>
    <cellStyle name="Note 5 3 2 3 2 2 2 2" xfId="43449"/>
    <cellStyle name="Note 5 3 2 3 2 2 2 2 2" xfId="43450"/>
    <cellStyle name="Note 5 3 2 3 2 2 2 3" xfId="43451"/>
    <cellStyle name="Note 5 3 2 3 2 2 3" xfId="43452"/>
    <cellStyle name="Note 5 3 2 3 2 2 3 2" xfId="43453"/>
    <cellStyle name="Note 5 3 2 3 2 2 4" xfId="43454"/>
    <cellStyle name="Note 5 3 2 3 2 3" xfId="43455"/>
    <cellStyle name="Note 5 3 2 3 2 3 2" xfId="43456"/>
    <cellStyle name="Note 5 3 2 3 2 3 2 2" xfId="43457"/>
    <cellStyle name="Note 5 3 2 3 2 3 3" xfId="43458"/>
    <cellStyle name="Note 5 3 2 3 2 4" xfId="43459"/>
    <cellStyle name="Note 5 3 2 3 2 4 2" xfId="43460"/>
    <cellStyle name="Note 5 3 2 3 2 5" xfId="43461"/>
    <cellStyle name="Note 5 3 2 3 2 5 2" xfId="43462"/>
    <cellStyle name="Note 5 3 2 3 2 6" xfId="43463"/>
    <cellStyle name="Note 5 3 2 3 3" xfId="43464"/>
    <cellStyle name="Note 5 3 2 3 3 2" xfId="43465"/>
    <cellStyle name="Note 5 3 2 3 3 2 2" xfId="43466"/>
    <cellStyle name="Note 5 3 2 3 3 2 2 2" xfId="43467"/>
    <cellStyle name="Note 5 3 2 3 3 2 2 2 2" xfId="43468"/>
    <cellStyle name="Note 5 3 2 3 3 2 2 3" xfId="43469"/>
    <cellStyle name="Note 5 3 2 3 3 2 3" xfId="43470"/>
    <cellStyle name="Note 5 3 2 3 3 2 3 2" xfId="43471"/>
    <cellStyle name="Note 5 3 2 3 3 2 4" xfId="43472"/>
    <cellStyle name="Note 5 3 2 3 3 3" xfId="43473"/>
    <cellStyle name="Note 5 3 2 3 3 3 2" xfId="43474"/>
    <cellStyle name="Note 5 3 2 3 3 3 2 2" xfId="43475"/>
    <cellStyle name="Note 5 3 2 3 3 3 3" xfId="43476"/>
    <cellStyle name="Note 5 3 2 3 3 4" xfId="43477"/>
    <cellStyle name="Note 5 3 2 3 3 4 2" xfId="43478"/>
    <cellStyle name="Note 5 3 2 3 3 5" xfId="43479"/>
    <cellStyle name="Note 5 3 2 3 3 5 2" xfId="43480"/>
    <cellStyle name="Note 5 3 2 3 3 6" xfId="43481"/>
    <cellStyle name="Note 5 3 2 3 4" xfId="43482"/>
    <cellStyle name="Note 5 3 2 3 4 2" xfId="43483"/>
    <cellStyle name="Note 5 3 2 3 4 2 2" xfId="43484"/>
    <cellStyle name="Note 5 3 2 3 4 2 2 2" xfId="43485"/>
    <cellStyle name="Note 5 3 2 3 4 2 3" xfId="43486"/>
    <cellStyle name="Note 5 3 2 3 4 3" xfId="43487"/>
    <cellStyle name="Note 5 3 2 3 4 3 2" xfId="43488"/>
    <cellStyle name="Note 5 3 2 3 4 4" xfId="43489"/>
    <cellStyle name="Note 5 3 2 3 5" xfId="43490"/>
    <cellStyle name="Note 5 3 2 3 5 2" xfId="43491"/>
    <cellStyle name="Note 5 3 2 3 5 2 2" xfId="43492"/>
    <cellStyle name="Note 5 3 2 3 5 3" xfId="43493"/>
    <cellStyle name="Note 5 3 2 3 6" xfId="43494"/>
    <cellStyle name="Note 5 3 2 3 6 2" xfId="43495"/>
    <cellStyle name="Note 5 3 2 3 7" xfId="43496"/>
    <cellStyle name="Note 5 3 2 3 7 2" xfId="43497"/>
    <cellStyle name="Note 5 3 2 3 8" xfId="43498"/>
    <cellStyle name="Note 5 3 2 4" xfId="43499"/>
    <cellStyle name="Note 5 3 2 4 2" xfId="43500"/>
    <cellStyle name="Note 5 3 2 4 2 2" xfId="43501"/>
    <cellStyle name="Note 5 3 2 4 2 2 2" xfId="43502"/>
    <cellStyle name="Note 5 3 2 4 2 2 2 2" xfId="43503"/>
    <cellStyle name="Note 5 3 2 4 2 2 3" xfId="43504"/>
    <cellStyle name="Note 5 3 2 4 2 3" xfId="43505"/>
    <cellStyle name="Note 5 3 2 4 2 3 2" xfId="43506"/>
    <cellStyle name="Note 5 3 2 4 2 4" xfId="43507"/>
    <cellStyle name="Note 5 3 2 4 3" xfId="43508"/>
    <cellStyle name="Note 5 3 2 4 3 2" xfId="43509"/>
    <cellStyle name="Note 5 3 2 4 3 2 2" xfId="43510"/>
    <cellStyle name="Note 5 3 2 4 3 3" xfId="43511"/>
    <cellStyle name="Note 5 3 2 4 4" xfId="43512"/>
    <cellStyle name="Note 5 3 2 4 4 2" xfId="43513"/>
    <cellStyle name="Note 5 3 2 4 5" xfId="43514"/>
    <cellStyle name="Note 5 3 2 4 5 2" xfId="43515"/>
    <cellStyle name="Note 5 3 2 4 6" xfId="43516"/>
    <cellStyle name="Note 5 3 2 5" xfId="43517"/>
    <cellStyle name="Note 5 3 2 5 2" xfId="43518"/>
    <cellStyle name="Note 5 3 2 5 2 2" xfId="43519"/>
    <cellStyle name="Note 5 3 2 5 2 2 2" xfId="43520"/>
    <cellStyle name="Note 5 3 2 5 2 2 2 2" xfId="43521"/>
    <cellStyle name="Note 5 3 2 5 2 2 3" xfId="43522"/>
    <cellStyle name="Note 5 3 2 5 2 3" xfId="43523"/>
    <cellStyle name="Note 5 3 2 5 2 3 2" xfId="43524"/>
    <cellStyle name="Note 5 3 2 5 2 4" xfId="43525"/>
    <cellStyle name="Note 5 3 2 5 3" xfId="43526"/>
    <cellStyle name="Note 5 3 2 5 3 2" xfId="43527"/>
    <cellStyle name="Note 5 3 2 5 3 2 2" xfId="43528"/>
    <cellStyle name="Note 5 3 2 5 3 3" xfId="43529"/>
    <cellStyle name="Note 5 3 2 5 4" xfId="43530"/>
    <cellStyle name="Note 5 3 2 5 4 2" xfId="43531"/>
    <cellStyle name="Note 5 3 2 5 5" xfId="43532"/>
    <cellStyle name="Note 5 3 2 5 5 2" xfId="43533"/>
    <cellStyle name="Note 5 3 2 5 6" xfId="43534"/>
    <cellStyle name="Note 5 3 2 6" xfId="43535"/>
    <cellStyle name="Note 5 3 2 6 2" xfId="43536"/>
    <cellStyle name="Note 5 3 2 6 2 2" xfId="43537"/>
    <cellStyle name="Note 5 3 2 6 2 2 2" xfId="43538"/>
    <cellStyle name="Note 5 3 2 6 2 2 2 2" xfId="43539"/>
    <cellStyle name="Note 5 3 2 6 2 2 3" xfId="43540"/>
    <cellStyle name="Note 5 3 2 6 2 3" xfId="43541"/>
    <cellStyle name="Note 5 3 2 6 2 3 2" xfId="43542"/>
    <cellStyle name="Note 5 3 2 6 2 4" xfId="43543"/>
    <cellStyle name="Note 5 3 2 6 3" xfId="43544"/>
    <cellStyle name="Note 5 3 2 6 3 2" xfId="43545"/>
    <cellStyle name="Note 5 3 2 6 3 2 2" xfId="43546"/>
    <cellStyle name="Note 5 3 2 6 3 3" xfId="43547"/>
    <cellStyle name="Note 5 3 2 6 4" xfId="43548"/>
    <cellStyle name="Note 5 3 2 6 4 2" xfId="43549"/>
    <cellStyle name="Note 5 3 2 6 5" xfId="43550"/>
    <cellStyle name="Note 5 3 2 6 5 2" xfId="43551"/>
    <cellStyle name="Note 5 3 2 6 6" xfId="43552"/>
    <cellStyle name="Note 5 3 2 7" xfId="43553"/>
    <cellStyle name="Note 5 3 2 7 2" xfId="43554"/>
    <cellStyle name="Note 5 3 2 7 2 2" xfId="43555"/>
    <cellStyle name="Note 5 3 2 7 2 2 2" xfId="43556"/>
    <cellStyle name="Note 5 3 2 7 2 3" xfId="43557"/>
    <cellStyle name="Note 5 3 2 7 3" xfId="43558"/>
    <cellStyle name="Note 5 3 2 7 3 2" xfId="43559"/>
    <cellStyle name="Note 5 3 2 7 4" xfId="43560"/>
    <cellStyle name="Note 5 3 2 8" xfId="43561"/>
    <cellStyle name="Note 5 3 2 8 2" xfId="43562"/>
    <cellStyle name="Note 5 3 2 8 2 2" xfId="43563"/>
    <cellStyle name="Note 5 3 2 8 3" xfId="43564"/>
    <cellStyle name="Note 5 3 2 9" xfId="43565"/>
    <cellStyle name="Note 5 3 2 9 2" xfId="43566"/>
    <cellStyle name="Note 5 3 3" xfId="43567"/>
    <cellStyle name="Note 5 3 3 10" xfId="43568"/>
    <cellStyle name="Note 5 3 3 10 2" xfId="43569"/>
    <cellStyle name="Note 5 3 3 11" xfId="43570"/>
    <cellStyle name="Note 5 3 3 2" xfId="43571"/>
    <cellStyle name="Note 5 3 3 2 2" xfId="43572"/>
    <cellStyle name="Note 5 3 3 2 2 2" xfId="43573"/>
    <cellStyle name="Note 5 3 3 2 2 2 2" xfId="43574"/>
    <cellStyle name="Note 5 3 3 2 2 2 2 2" xfId="43575"/>
    <cellStyle name="Note 5 3 3 2 2 2 2 2 2" xfId="43576"/>
    <cellStyle name="Note 5 3 3 2 2 2 2 3" xfId="43577"/>
    <cellStyle name="Note 5 3 3 2 2 2 3" xfId="43578"/>
    <cellStyle name="Note 5 3 3 2 2 2 3 2" xfId="43579"/>
    <cellStyle name="Note 5 3 3 2 2 2 4" xfId="43580"/>
    <cellStyle name="Note 5 3 3 2 2 3" xfId="43581"/>
    <cellStyle name="Note 5 3 3 2 2 3 2" xfId="43582"/>
    <cellStyle name="Note 5 3 3 2 2 3 2 2" xfId="43583"/>
    <cellStyle name="Note 5 3 3 2 2 3 3" xfId="43584"/>
    <cellStyle name="Note 5 3 3 2 2 4" xfId="43585"/>
    <cellStyle name="Note 5 3 3 2 2 4 2" xfId="43586"/>
    <cellStyle name="Note 5 3 3 2 2 5" xfId="43587"/>
    <cellStyle name="Note 5 3 3 2 2 5 2" xfId="43588"/>
    <cellStyle name="Note 5 3 3 2 2 6" xfId="43589"/>
    <cellStyle name="Note 5 3 3 2 3" xfId="43590"/>
    <cellStyle name="Note 5 3 3 2 3 2" xfId="43591"/>
    <cellStyle name="Note 5 3 3 2 3 2 2" xfId="43592"/>
    <cellStyle name="Note 5 3 3 2 3 2 2 2" xfId="43593"/>
    <cellStyle name="Note 5 3 3 2 3 2 2 2 2" xfId="43594"/>
    <cellStyle name="Note 5 3 3 2 3 2 2 3" xfId="43595"/>
    <cellStyle name="Note 5 3 3 2 3 2 3" xfId="43596"/>
    <cellStyle name="Note 5 3 3 2 3 2 3 2" xfId="43597"/>
    <cellStyle name="Note 5 3 3 2 3 2 4" xfId="43598"/>
    <cellStyle name="Note 5 3 3 2 3 3" xfId="43599"/>
    <cellStyle name="Note 5 3 3 2 3 3 2" xfId="43600"/>
    <cellStyle name="Note 5 3 3 2 3 3 2 2" xfId="43601"/>
    <cellStyle name="Note 5 3 3 2 3 3 3" xfId="43602"/>
    <cellStyle name="Note 5 3 3 2 3 4" xfId="43603"/>
    <cellStyle name="Note 5 3 3 2 3 4 2" xfId="43604"/>
    <cellStyle name="Note 5 3 3 2 3 5" xfId="43605"/>
    <cellStyle name="Note 5 3 3 2 3 5 2" xfId="43606"/>
    <cellStyle name="Note 5 3 3 2 3 6" xfId="43607"/>
    <cellStyle name="Note 5 3 3 2 4" xfId="43608"/>
    <cellStyle name="Note 5 3 3 2 4 2" xfId="43609"/>
    <cellStyle name="Note 5 3 3 2 4 2 2" xfId="43610"/>
    <cellStyle name="Note 5 3 3 2 4 2 2 2" xfId="43611"/>
    <cellStyle name="Note 5 3 3 2 4 2 3" xfId="43612"/>
    <cellStyle name="Note 5 3 3 2 4 3" xfId="43613"/>
    <cellStyle name="Note 5 3 3 2 4 3 2" xfId="43614"/>
    <cellStyle name="Note 5 3 3 2 4 4" xfId="43615"/>
    <cellStyle name="Note 5 3 3 2 5" xfId="43616"/>
    <cellStyle name="Note 5 3 3 2 5 2" xfId="43617"/>
    <cellStyle name="Note 5 3 3 2 5 2 2" xfId="43618"/>
    <cellStyle name="Note 5 3 3 2 5 3" xfId="43619"/>
    <cellStyle name="Note 5 3 3 2 6" xfId="43620"/>
    <cellStyle name="Note 5 3 3 2 6 2" xfId="43621"/>
    <cellStyle name="Note 5 3 3 2 7" xfId="43622"/>
    <cellStyle name="Note 5 3 3 2 7 2" xfId="43623"/>
    <cellStyle name="Note 5 3 3 2 8" xfId="43624"/>
    <cellStyle name="Note 5 3 3 3" xfId="43625"/>
    <cellStyle name="Note 5 3 3 3 2" xfId="43626"/>
    <cellStyle name="Note 5 3 3 3 2 2" xfId="43627"/>
    <cellStyle name="Note 5 3 3 3 2 2 2" xfId="43628"/>
    <cellStyle name="Note 5 3 3 3 2 2 2 2" xfId="43629"/>
    <cellStyle name="Note 5 3 3 3 2 2 2 2 2" xfId="43630"/>
    <cellStyle name="Note 5 3 3 3 2 2 2 3" xfId="43631"/>
    <cellStyle name="Note 5 3 3 3 2 2 3" xfId="43632"/>
    <cellStyle name="Note 5 3 3 3 2 2 3 2" xfId="43633"/>
    <cellStyle name="Note 5 3 3 3 2 2 4" xfId="43634"/>
    <cellStyle name="Note 5 3 3 3 2 3" xfId="43635"/>
    <cellStyle name="Note 5 3 3 3 2 3 2" xfId="43636"/>
    <cellStyle name="Note 5 3 3 3 2 3 2 2" xfId="43637"/>
    <cellStyle name="Note 5 3 3 3 2 3 3" xfId="43638"/>
    <cellStyle name="Note 5 3 3 3 2 4" xfId="43639"/>
    <cellStyle name="Note 5 3 3 3 2 4 2" xfId="43640"/>
    <cellStyle name="Note 5 3 3 3 2 5" xfId="43641"/>
    <cellStyle name="Note 5 3 3 3 2 5 2" xfId="43642"/>
    <cellStyle name="Note 5 3 3 3 2 6" xfId="43643"/>
    <cellStyle name="Note 5 3 3 3 3" xfId="43644"/>
    <cellStyle name="Note 5 3 3 3 3 2" xfId="43645"/>
    <cellStyle name="Note 5 3 3 3 3 2 2" xfId="43646"/>
    <cellStyle name="Note 5 3 3 3 3 2 2 2" xfId="43647"/>
    <cellStyle name="Note 5 3 3 3 3 2 2 2 2" xfId="43648"/>
    <cellStyle name="Note 5 3 3 3 3 2 2 3" xfId="43649"/>
    <cellStyle name="Note 5 3 3 3 3 2 3" xfId="43650"/>
    <cellStyle name="Note 5 3 3 3 3 2 3 2" xfId="43651"/>
    <cellStyle name="Note 5 3 3 3 3 2 4" xfId="43652"/>
    <cellStyle name="Note 5 3 3 3 3 3" xfId="43653"/>
    <cellStyle name="Note 5 3 3 3 3 3 2" xfId="43654"/>
    <cellStyle name="Note 5 3 3 3 3 3 2 2" xfId="43655"/>
    <cellStyle name="Note 5 3 3 3 3 3 3" xfId="43656"/>
    <cellStyle name="Note 5 3 3 3 3 4" xfId="43657"/>
    <cellStyle name="Note 5 3 3 3 3 4 2" xfId="43658"/>
    <cellStyle name="Note 5 3 3 3 3 5" xfId="43659"/>
    <cellStyle name="Note 5 3 3 3 3 5 2" xfId="43660"/>
    <cellStyle name="Note 5 3 3 3 3 6" xfId="43661"/>
    <cellStyle name="Note 5 3 3 3 4" xfId="43662"/>
    <cellStyle name="Note 5 3 3 3 4 2" xfId="43663"/>
    <cellStyle name="Note 5 3 3 3 4 2 2" xfId="43664"/>
    <cellStyle name="Note 5 3 3 3 4 2 2 2" xfId="43665"/>
    <cellStyle name="Note 5 3 3 3 4 2 3" xfId="43666"/>
    <cellStyle name="Note 5 3 3 3 4 3" xfId="43667"/>
    <cellStyle name="Note 5 3 3 3 4 3 2" xfId="43668"/>
    <cellStyle name="Note 5 3 3 3 4 4" xfId="43669"/>
    <cellStyle name="Note 5 3 3 3 5" xfId="43670"/>
    <cellStyle name="Note 5 3 3 3 5 2" xfId="43671"/>
    <cellStyle name="Note 5 3 3 3 5 2 2" xfId="43672"/>
    <cellStyle name="Note 5 3 3 3 5 3" xfId="43673"/>
    <cellStyle name="Note 5 3 3 3 6" xfId="43674"/>
    <cellStyle name="Note 5 3 3 3 6 2" xfId="43675"/>
    <cellStyle name="Note 5 3 3 3 7" xfId="43676"/>
    <cellStyle name="Note 5 3 3 3 7 2" xfId="43677"/>
    <cellStyle name="Note 5 3 3 3 8" xfId="43678"/>
    <cellStyle name="Note 5 3 3 4" xfId="43679"/>
    <cellStyle name="Note 5 3 3 4 2" xfId="43680"/>
    <cellStyle name="Note 5 3 3 4 2 2" xfId="43681"/>
    <cellStyle name="Note 5 3 3 4 2 2 2" xfId="43682"/>
    <cellStyle name="Note 5 3 3 4 2 2 2 2" xfId="43683"/>
    <cellStyle name="Note 5 3 3 4 2 2 3" xfId="43684"/>
    <cellStyle name="Note 5 3 3 4 2 3" xfId="43685"/>
    <cellStyle name="Note 5 3 3 4 2 3 2" xfId="43686"/>
    <cellStyle name="Note 5 3 3 4 2 4" xfId="43687"/>
    <cellStyle name="Note 5 3 3 4 3" xfId="43688"/>
    <cellStyle name="Note 5 3 3 4 3 2" xfId="43689"/>
    <cellStyle name="Note 5 3 3 4 3 2 2" xfId="43690"/>
    <cellStyle name="Note 5 3 3 4 3 3" xfId="43691"/>
    <cellStyle name="Note 5 3 3 4 4" xfId="43692"/>
    <cellStyle name="Note 5 3 3 4 4 2" xfId="43693"/>
    <cellStyle name="Note 5 3 3 4 5" xfId="43694"/>
    <cellStyle name="Note 5 3 3 4 5 2" xfId="43695"/>
    <cellStyle name="Note 5 3 3 4 6" xfId="43696"/>
    <cellStyle name="Note 5 3 3 5" xfId="43697"/>
    <cellStyle name="Note 5 3 3 5 2" xfId="43698"/>
    <cellStyle name="Note 5 3 3 5 2 2" xfId="43699"/>
    <cellStyle name="Note 5 3 3 5 2 2 2" xfId="43700"/>
    <cellStyle name="Note 5 3 3 5 2 2 2 2" xfId="43701"/>
    <cellStyle name="Note 5 3 3 5 2 2 3" xfId="43702"/>
    <cellStyle name="Note 5 3 3 5 2 3" xfId="43703"/>
    <cellStyle name="Note 5 3 3 5 2 3 2" xfId="43704"/>
    <cellStyle name="Note 5 3 3 5 2 4" xfId="43705"/>
    <cellStyle name="Note 5 3 3 5 3" xfId="43706"/>
    <cellStyle name="Note 5 3 3 5 3 2" xfId="43707"/>
    <cellStyle name="Note 5 3 3 5 3 2 2" xfId="43708"/>
    <cellStyle name="Note 5 3 3 5 3 3" xfId="43709"/>
    <cellStyle name="Note 5 3 3 5 4" xfId="43710"/>
    <cellStyle name="Note 5 3 3 5 4 2" xfId="43711"/>
    <cellStyle name="Note 5 3 3 5 5" xfId="43712"/>
    <cellStyle name="Note 5 3 3 5 5 2" xfId="43713"/>
    <cellStyle name="Note 5 3 3 5 6" xfId="43714"/>
    <cellStyle name="Note 5 3 3 6" xfId="43715"/>
    <cellStyle name="Note 5 3 3 6 2" xfId="43716"/>
    <cellStyle name="Note 5 3 3 6 2 2" xfId="43717"/>
    <cellStyle name="Note 5 3 3 6 2 2 2" xfId="43718"/>
    <cellStyle name="Note 5 3 3 6 2 2 2 2" xfId="43719"/>
    <cellStyle name="Note 5 3 3 6 2 2 3" xfId="43720"/>
    <cellStyle name="Note 5 3 3 6 2 3" xfId="43721"/>
    <cellStyle name="Note 5 3 3 6 2 3 2" xfId="43722"/>
    <cellStyle name="Note 5 3 3 6 2 4" xfId="43723"/>
    <cellStyle name="Note 5 3 3 6 3" xfId="43724"/>
    <cellStyle name="Note 5 3 3 6 3 2" xfId="43725"/>
    <cellStyle name="Note 5 3 3 6 3 2 2" xfId="43726"/>
    <cellStyle name="Note 5 3 3 6 3 3" xfId="43727"/>
    <cellStyle name="Note 5 3 3 6 4" xfId="43728"/>
    <cellStyle name="Note 5 3 3 6 4 2" xfId="43729"/>
    <cellStyle name="Note 5 3 3 6 5" xfId="43730"/>
    <cellStyle name="Note 5 3 3 6 5 2" xfId="43731"/>
    <cellStyle name="Note 5 3 3 6 6" xfId="43732"/>
    <cellStyle name="Note 5 3 3 7" xfId="43733"/>
    <cellStyle name="Note 5 3 3 7 2" xfId="43734"/>
    <cellStyle name="Note 5 3 3 7 2 2" xfId="43735"/>
    <cellStyle name="Note 5 3 3 7 2 2 2" xfId="43736"/>
    <cellStyle name="Note 5 3 3 7 2 3" xfId="43737"/>
    <cellStyle name="Note 5 3 3 7 3" xfId="43738"/>
    <cellStyle name="Note 5 3 3 7 3 2" xfId="43739"/>
    <cellStyle name="Note 5 3 3 7 4" xfId="43740"/>
    <cellStyle name="Note 5 3 3 8" xfId="43741"/>
    <cellStyle name="Note 5 3 3 8 2" xfId="43742"/>
    <cellStyle name="Note 5 3 3 8 2 2" xfId="43743"/>
    <cellStyle name="Note 5 3 3 8 3" xfId="43744"/>
    <cellStyle name="Note 5 3 3 9" xfId="43745"/>
    <cellStyle name="Note 5 3 3 9 2" xfId="43746"/>
    <cellStyle name="Note 5 3 4" xfId="43747"/>
    <cellStyle name="Note 5 3 4 2" xfId="43748"/>
    <cellStyle name="Note 5 3 4 2 2" xfId="43749"/>
    <cellStyle name="Note 5 3 4 2 2 2" xfId="43750"/>
    <cellStyle name="Note 5 3 4 2 2 2 2" xfId="43751"/>
    <cellStyle name="Note 5 3 4 2 2 2 2 2" xfId="43752"/>
    <cellStyle name="Note 5 3 4 2 2 2 3" xfId="43753"/>
    <cellStyle name="Note 5 3 4 2 2 3" xfId="43754"/>
    <cellStyle name="Note 5 3 4 2 2 3 2" xfId="43755"/>
    <cellStyle name="Note 5 3 4 2 2 4" xfId="43756"/>
    <cellStyle name="Note 5 3 4 2 3" xfId="43757"/>
    <cellStyle name="Note 5 3 4 2 3 2" xfId="43758"/>
    <cellStyle name="Note 5 3 4 2 3 2 2" xfId="43759"/>
    <cellStyle name="Note 5 3 4 2 3 3" xfId="43760"/>
    <cellStyle name="Note 5 3 4 2 4" xfId="43761"/>
    <cellStyle name="Note 5 3 4 2 4 2" xfId="43762"/>
    <cellStyle name="Note 5 3 4 2 5" xfId="43763"/>
    <cellStyle name="Note 5 3 4 2 5 2" xfId="43764"/>
    <cellStyle name="Note 5 3 4 2 6" xfId="43765"/>
    <cellStyle name="Note 5 3 4 3" xfId="43766"/>
    <cellStyle name="Note 5 3 4 3 2" xfId="43767"/>
    <cellStyle name="Note 5 3 4 3 2 2" xfId="43768"/>
    <cellStyle name="Note 5 3 4 3 2 2 2" xfId="43769"/>
    <cellStyle name="Note 5 3 4 3 2 2 2 2" xfId="43770"/>
    <cellStyle name="Note 5 3 4 3 2 2 3" xfId="43771"/>
    <cellStyle name="Note 5 3 4 3 2 3" xfId="43772"/>
    <cellStyle name="Note 5 3 4 3 2 3 2" xfId="43773"/>
    <cellStyle name="Note 5 3 4 3 2 4" xfId="43774"/>
    <cellStyle name="Note 5 3 4 3 3" xfId="43775"/>
    <cellStyle name="Note 5 3 4 3 3 2" xfId="43776"/>
    <cellStyle name="Note 5 3 4 3 3 2 2" xfId="43777"/>
    <cellStyle name="Note 5 3 4 3 3 3" xfId="43778"/>
    <cellStyle name="Note 5 3 4 3 4" xfId="43779"/>
    <cellStyle name="Note 5 3 4 3 4 2" xfId="43780"/>
    <cellStyle name="Note 5 3 4 3 5" xfId="43781"/>
    <cellStyle name="Note 5 3 4 3 5 2" xfId="43782"/>
    <cellStyle name="Note 5 3 4 3 6" xfId="43783"/>
    <cellStyle name="Note 5 3 4 4" xfId="43784"/>
    <cellStyle name="Note 5 3 4 4 2" xfId="43785"/>
    <cellStyle name="Note 5 3 4 4 2 2" xfId="43786"/>
    <cellStyle name="Note 5 3 4 4 2 2 2" xfId="43787"/>
    <cellStyle name="Note 5 3 4 4 2 3" xfId="43788"/>
    <cellStyle name="Note 5 3 4 4 3" xfId="43789"/>
    <cellStyle name="Note 5 3 4 4 3 2" xfId="43790"/>
    <cellStyle name="Note 5 3 4 4 4" xfId="43791"/>
    <cellStyle name="Note 5 3 4 5" xfId="43792"/>
    <cellStyle name="Note 5 3 4 5 2" xfId="43793"/>
    <cellStyle name="Note 5 3 4 5 2 2" xfId="43794"/>
    <cellStyle name="Note 5 3 4 5 3" xfId="43795"/>
    <cellStyle name="Note 5 3 4 6" xfId="43796"/>
    <cellStyle name="Note 5 3 4 6 2" xfId="43797"/>
    <cellStyle name="Note 5 3 4 7" xfId="43798"/>
    <cellStyle name="Note 5 3 4 7 2" xfId="43799"/>
    <cellStyle name="Note 5 3 4 8" xfId="43800"/>
    <cellStyle name="Note 5 3 5" xfId="43801"/>
    <cellStyle name="Note 5 3 5 2" xfId="43802"/>
    <cellStyle name="Note 5 3 5 2 2" xfId="43803"/>
    <cellStyle name="Note 5 3 5 2 2 2" xfId="43804"/>
    <cellStyle name="Note 5 3 5 2 2 2 2" xfId="43805"/>
    <cellStyle name="Note 5 3 5 2 2 2 2 2" xfId="43806"/>
    <cellStyle name="Note 5 3 5 2 2 2 3" xfId="43807"/>
    <cellStyle name="Note 5 3 5 2 2 3" xfId="43808"/>
    <cellStyle name="Note 5 3 5 2 2 3 2" xfId="43809"/>
    <cellStyle name="Note 5 3 5 2 2 4" xfId="43810"/>
    <cellStyle name="Note 5 3 5 2 3" xfId="43811"/>
    <cellStyle name="Note 5 3 5 2 3 2" xfId="43812"/>
    <cellStyle name="Note 5 3 5 2 3 2 2" xfId="43813"/>
    <cellStyle name="Note 5 3 5 2 3 3" xfId="43814"/>
    <cellStyle name="Note 5 3 5 2 4" xfId="43815"/>
    <cellStyle name="Note 5 3 5 2 4 2" xfId="43816"/>
    <cellStyle name="Note 5 3 5 2 5" xfId="43817"/>
    <cellStyle name="Note 5 3 5 2 5 2" xfId="43818"/>
    <cellStyle name="Note 5 3 5 2 6" xfId="43819"/>
    <cellStyle name="Note 5 3 5 3" xfId="43820"/>
    <cellStyle name="Note 5 3 5 3 2" xfId="43821"/>
    <cellStyle name="Note 5 3 5 3 2 2" xfId="43822"/>
    <cellStyle name="Note 5 3 5 3 2 2 2" xfId="43823"/>
    <cellStyle name="Note 5 3 5 3 2 2 2 2" xfId="43824"/>
    <cellStyle name="Note 5 3 5 3 2 2 3" xfId="43825"/>
    <cellStyle name="Note 5 3 5 3 2 3" xfId="43826"/>
    <cellStyle name="Note 5 3 5 3 2 3 2" xfId="43827"/>
    <cellStyle name="Note 5 3 5 3 2 4" xfId="43828"/>
    <cellStyle name="Note 5 3 5 3 3" xfId="43829"/>
    <cellStyle name="Note 5 3 5 3 3 2" xfId="43830"/>
    <cellStyle name="Note 5 3 5 3 3 2 2" xfId="43831"/>
    <cellStyle name="Note 5 3 5 3 3 3" xfId="43832"/>
    <cellStyle name="Note 5 3 5 3 4" xfId="43833"/>
    <cellStyle name="Note 5 3 5 3 4 2" xfId="43834"/>
    <cellStyle name="Note 5 3 5 3 5" xfId="43835"/>
    <cellStyle name="Note 5 3 5 3 5 2" xfId="43836"/>
    <cellStyle name="Note 5 3 5 3 6" xfId="43837"/>
    <cellStyle name="Note 5 3 5 4" xfId="43838"/>
    <cellStyle name="Note 5 3 5 4 2" xfId="43839"/>
    <cellStyle name="Note 5 3 5 4 2 2" xfId="43840"/>
    <cellStyle name="Note 5 3 5 4 2 2 2" xfId="43841"/>
    <cellStyle name="Note 5 3 5 4 2 3" xfId="43842"/>
    <cellStyle name="Note 5 3 5 4 3" xfId="43843"/>
    <cellStyle name="Note 5 3 5 4 3 2" xfId="43844"/>
    <cellStyle name="Note 5 3 5 4 4" xfId="43845"/>
    <cellStyle name="Note 5 3 5 5" xfId="43846"/>
    <cellStyle name="Note 5 3 5 5 2" xfId="43847"/>
    <cellStyle name="Note 5 3 5 5 2 2" xfId="43848"/>
    <cellStyle name="Note 5 3 5 5 3" xfId="43849"/>
    <cellStyle name="Note 5 3 5 6" xfId="43850"/>
    <cellStyle name="Note 5 3 5 6 2" xfId="43851"/>
    <cellStyle name="Note 5 3 5 7" xfId="43852"/>
    <cellStyle name="Note 5 3 5 7 2" xfId="43853"/>
    <cellStyle name="Note 5 3 5 8" xfId="43854"/>
    <cellStyle name="Note 5 3 6" xfId="43855"/>
    <cellStyle name="Note 5 3 6 2" xfId="43856"/>
    <cellStyle name="Note 5 3 6 2 2" xfId="43857"/>
    <cellStyle name="Note 5 3 6 2 2 2" xfId="43858"/>
    <cellStyle name="Note 5 3 6 2 2 2 2" xfId="43859"/>
    <cellStyle name="Note 5 3 6 2 2 3" xfId="43860"/>
    <cellStyle name="Note 5 3 6 2 3" xfId="43861"/>
    <cellStyle name="Note 5 3 6 2 3 2" xfId="43862"/>
    <cellStyle name="Note 5 3 6 2 4" xfId="43863"/>
    <cellStyle name="Note 5 3 6 3" xfId="43864"/>
    <cellStyle name="Note 5 3 6 3 2" xfId="43865"/>
    <cellStyle name="Note 5 3 6 3 2 2" xfId="43866"/>
    <cellStyle name="Note 5 3 6 3 3" xfId="43867"/>
    <cellStyle name="Note 5 3 6 4" xfId="43868"/>
    <cellStyle name="Note 5 3 6 4 2" xfId="43869"/>
    <cellStyle name="Note 5 3 6 5" xfId="43870"/>
    <cellStyle name="Note 5 3 6 5 2" xfId="43871"/>
    <cellStyle name="Note 5 3 6 6" xfId="43872"/>
    <cellStyle name="Note 5 3 7" xfId="43873"/>
    <cellStyle name="Note 5 3 7 2" xfId="43874"/>
    <cellStyle name="Note 5 3 7 2 2" xfId="43875"/>
    <cellStyle name="Note 5 3 7 2 2 2" xfId="43876"/>
    <cellStyle name="Note 5 3 7 2 2 2 2" xfId="43877"/>
    <cellStyle name="Note 5 3 7 2 2 3" xfId="43878"/>
    <cellStyle name="Note 5 3 7 2 3" xfId="43879"/>
    <cellStyle name="Note 5 3 7 2 3 2" xfId="43880"/>
    <cellStyle name="Note 5 3 7 2 4" xfId="43881"/>
    <cellStyle name="Note 5 3 7 3" xfId="43882"/>
    <cellStyle name="Note 5 3 7 3 2" xfId="43883"/>
    <cellStyle name="Note 5 3 7 3 2 2" xfId="43884"/>
    <cellStyle name="Note 5 3 7 3 3" xfId="43885"/>
    <cellStyle name="Note 5 3 7 4" xfId="43886"/>
    <cellStyle name="Note 5 3 7 4 2" xfId="43887"/>
    <cellStyle name="Note 5 3 7 5" xfId="43888"/>
    <cellStyle name="Note 5 3 7 5 2" xfId="43889"/>
    <cellStyle name="Note 5 3 7 6" xfId="43890"/>
    <cellStyle name="Note 5 3 8" xfId="43891"/>
    <cellStyle name="Note 5 3 8 2" xfId="43892"/>
    <cellStyle name="Note 5 3 8 2 2" xfId="43893"/>
    <cellStyle name="Note 5 3 8 2 2 2" xfId="43894"/>
    <cellStyle name="Note 5 3 8 2 2 2 2" xfId="43895"/>
    <cellStyle name="Note 5 3 8 2 2 3" xfId="43896"/>
    <cellStyle name="Note 5 3 8 2 3" xfId="43897"/>
    <cellStyle name="Note 5 3 8 2 3 2" xfId="43898"/>
    <cellStyle name="Note 5 3 8 2 4" xfId="43899"/>
    <cellStyle name="Note 5 3 8 3" xfId="43900"/>
    <cellStyle name="Note 5 3 8 3 2" xfId="43901"/>
    <cellStyle name="Note 5 3 8 3 2 2" xfId="43902"/>
    <cellStyle name="Note 5 3 8 3 3" xfId="43903"/>
    <cellStyle name="Note 5 3 8 4" xfId="43904"/>
    <cellStyle name="Note 5 3 8 4 2" xfId="43905"/>
    <cellStyle name="Note 5 3 8 5" xfId="43906"/>
    <cellStyle name="Note 5 3 8 5 2" xfId="43907"/>
    <cellStyle name="Note 5 3 8 6" xfId="43908"/>
    <cellStyle name="Note 5 3 9" xfId="43909"/>
    <cellStyle name="Note 5 3 9 2" xfId="43910"/>
    <cellStyle name="Note 5 3 9 2 2" xfId="43911"/>
    <cellStyle name="Note 5 3 9 2 2 2" xfId="43912"/>
    <cellStyle name="Note 5 3 9 2 2 2 2" xfId="43913"/>
    <cellStyle name="Note 5 3 9 2 2 3" xfId="43914"/>
    <cellStyle name="Note 5 3 9 2 3" xfId="43915"/>
    <cellStyle name="Note 5 3 9 2 3 2" xfId="43916"/>
    <cellStyle name="Note 5 3 9 2 4" xfId="43917"/>
    <cellStyle name="Note 5 3 9 3" xfId="43918"/>
    <cellStyle name="Note 5 3 9 3 2" xfId="43919"/>
    <cellStyle name="Note 5 3 9 3 2 2" xfId="43920"/>
    <cellStyle name="Note 5 3 9 3 3" xfId="43921"/>
    <cellStyle name="Note 5 3 9 4" xfId="43922"/>
    <cellStyle name="Note 5 3 9 4 2" xfId="43923"/>
    <cellStyle name="Note 5 3 9 5" xfId="43924"/>
    <cellStyle name="Note 5 3 9 5 2" xfId="43925"/>
    <cellStyle name="Note 5 3 9 6" xfId="43926"/>
    <cellStyle name="Note 5 4" xfId="43927"/>
    <cellStyle name="Note 5 4 10" xfId="43928"/>
    <cellStyle name="Note 5 4 10 2" xfId="43929"/>
    <cellStyle name="Note 5 4 11" xfId="43930"/>
    <cellStyle name="Note 5 4 2" xfId="43931"/>
    <cellStyle name="Note 5 4 2 2" xfId="43932"/>
    <cellStyle name="Note 5 4 2 2 2" xfId="43933"/>
    <cellStyle name="Note 5 4 2 2 2 2" xfId="43934"/>
    <cellStyle name="Note 5 4 2 2 2 2 2" xfId="43935"/>
    <cellStyle name="Note 5 4 2 2 2 2 2 2" xfId="43936"/>
    <cellStyle name="Note 5 4 2 2 2 2 3" xfId="43937"/>
    <cellStyle name="Note 5 4 2 2 2 3" xfId="43938"/>
    <cellStyle name="Note 5 4 2 2 2 3 2" xfId="43939"/>
    <cellStyle name="Note 5 4 2 2 2 4" xfId="43940"/>
    <cellStyle name="Note 5 4 2 2 3" xfId="43941"/>
    <cellStyle name="Note 5 4 2 2 3 2" xfId="43942"/>
    <cellStyle name="Note 5 4 2 2 3 2 2" xfId="43943"/>
    <cellStyle name="Note 5 4 2 2 3 3" xfId="43944"/>
    <cellStyle name="Note 5 4 2 2 4" xfId="43945"/>
    <cellStyle name="Note 5 4 2 2 4 2" xfId="43946"/>
    <cellStyle name="Note 5 4 2 2 5" xfId="43947"/>
    <cellStyle name="Note 5 4 2 2 5 2" xfId="43948"/>
    <cellStyle name="Note 5 4 2 2 6" xfId="43949"/>
    <cellStyle name="Note 5 4 2 3" xfId="43950"/>
    <cellStyle name="Note 5 4 2 3 2" xfId="43951"/>
    <cellStyle name="Note 5 4 2 3 2 2" xfId="43952"/>
    <cellStyle name="Note 5 4 2 3 2 2 2" xfId="43953"/>
    <cellStyle name="Note 5 4 2 3 2 2 2 2" xfId="43954"/>
    <cellStyle name="Note 5 4 2 3 2 2 3" xfId="43955"/>
    <cellStyle name="Note 5 4 2 3 2 3" xfId="43956"/>
    <cellStyle name="Note 5 4 2 3 2 3 2" xfId="43957"/>
    <cellStyle name="Note 5 4 2 3 2 4" xfId="43958"/>
    <cellStyle name="Note 5 4 2 3 3" xfId="43959"/>
    <cellStyle name="Note 5 4 2 3 3 2" xfId="43960"/>
    <cellStyle name="Note 5 4 2 3 3 2 2" xfId="43961"/>
    <cellStyle name="Note 5 4 2 3 3 3" xfId="43962"/>
    <cellStyle name="Note 5 4 2 3 4" xfId="43963"/>
    <cellStyle name="Note 5 4 2 3 4 2" xfId="43964"/>
    <cellStyle name="Note 5 4 2 3 5" xfId="43965"/>
    <cellStyle name="Note 5 4 2 3 5 2" xfId="43966"/>
    <cellStyle name="Note 5 4 2 3 6" xfId="43967"/>
    <cellStyle name="Note 5 4 2 4" xfId="43968"/>
    <cellStyle name="Note 5 4 2 4 2" xfId="43969"/>
    <cellStyle name="Note 5 4 2 4 2 2" xfId="43970"/>
    <cellStyle name="Note 5 4 2 4 2 2 2" xfId="43971"/>
    <cellStyle name="Note 5 4 2 4 2 3" xfId="43972"/>
    <cellStyle name="Note 5 4 2 4 3" xfId="43973"/>
    <cellStyle name="Note 5 4 2 4 3 2" xfId="43974"/>
    <cellStyle name="Note 5 4 2 4 4" xfId="43975"/>
    <cellStyle name="Note 5 4 2 5" xfId="43976"/>
    <cellStyle name="Note 5 4 2 5 2" xfId="43977"/>
    <cellStyle name="Note 5 4 2 5 2 2" xfId="43978"/>
    <cellStyle name="Note 5 4 2 5 3" xfId="43979"/>
    <cellStyle name="Note 5 4 2 6" xfId="43980"/>
    <cellStyle name="Note 5 4 2 6 2" xfId="43981"/>
    <cellStyle name="Note 5 4 2 7" xfId="43982"/>
    <cellStyle name="Note 5 4 2 7 2" xfId="43983"/>
    <cellStyle name="Note 5 4 2 8" xfId="43984"/>
    <cellStyle name="Note 5 4 3" xfId="43985"/>
    <cellStyle name="Note 5 4 3 2" xfId="43986"/>
    <cellStyle name="Note 5 4 3 2 2" xfId="43987"/>
    <cellStyle name="Note 5 4 3 2 2 2" xfId="43988"/>
    <cellStyle name="Note 5 4 3 2 2 2 2" xfId="43989"/>
    <cellStyle name="Note 5 4 3 2 2 2 2 2" xfId="43990"/>
    <cellStyle name="Note 5 4 3 2 2 2 3" xfId="43991"/>
    <cellStyle name="Note 5 4 3 2 2 3" xfId="43992"/>
    <cellStyle name="Note 5 4 3 2 2 3 2" xfId="43993"/>
    <cellStyle name="Note 5 4 3 2 2 4" xfId="43994"/>
    <cellStyle name="Note 5 4 3 2 3" xfId="43995"/>
    <cellStyle name="Note 5 4 3 2 3 2" xfId="43996"/>
    <cellStyle name="Note 5 4 3 2 3 2 2" xfId="43997"/>
    <cellStyle name="Note 5 4 3 2 3 3" xfId="43998"/>
    <cellStyle name="Note 5 4 3 2 4" xfId="43999"/>
    <cellStyle name="Note 5 4 3 2 4 2" xfId="44000"/>
    <cellStyle name="Note 5 4 3 2 5" xfId="44001"/>
    <cellStyle name="Note 5 4 3 2 5 2" xfId="44002"/>
    <cellStyle name="Note 5 4 3 2 6" xfId="44003"/>
    <cellStyle name="Note 5 4 3 3" xfId="44004"/>
    <cellStyle name="Note 5 4 3 3 2" xfId="44005"/>
    <cellStyle name="Note 5 4 3 3 2 2" xfId="44006"/>
    <cellStyle name="Note 5 4 3 3 2 2 2" xfId="44007"/>
    <cellStyle name="Note 5 4 3 3 2 2 2 2" xfId="44008"/>
    <cellStyle name="Note 5 4 3 3 2 2 3" xfId="44009"/>
    <cellStyle name="Note 5 4 3 3 2 3" xfId="44010"/>
    <cellStyle name="Note 5 4 3 3 2 3 2" xfId="44011"/>
    <cellStyle name="Note 5 4 3 3 2 4" xfId="44012"/>
    <cellStyle name="Note 5 4 3 3 3" xfId="44013"/>
    <cellStyle name="Note 5 4 3 3 3 2" xfId="44014"/>
    <cellStyle name="Note 5 4 3 3 3 2 2" xfId="44015"/>
    <cellStyle name="Note 5 4 3 3 3 3" xfId="44016"/>
    <cellStyle name="Note 5 4 3 3 4" xfId="44017"/>
    <cellStyle name="Note 5 4 3 3 4 2" xfId="44018"/>
    <cellStyle name="Note 5 4 3 3 5" xfId="44019"/>
    <cellStyle name="Note 5 4 3 3 5 2" xfId="44020"/>
    <cellStyle name="Note 5 4 3 3 6" xfId="44021"/>
    <cellStyle name="Note 5 4 3 4" xfId="44022"/>
    <cellStyle name="Note 5 4 3 4 2" xfId="44023"/>
    <cellStyle name="Note 5 4 3 4 2 2" xfId="44024"/>
    <cellStyle name="Note 5 4 3 4 2 2 2" xfId="44025"/>
    <cellStyle name="Note 5 4 3 4 2 3" xfId="44026"/>
    <cellStyle name="Note 5 4 3 4 3" xfId="44027"/>
    <cellStyle name="Note 5 4 3 4 3 2" xfId="44028"/>
    <cellStyle name="Note 5 4 3 4 4" xfId="44029"/>
    <cellStyle name="Note 5 4 3 5" xfId="44030"/>
    <cellStyle name="Note 5 4 3 5 2" xfId="44031"/>
    <cellStyle name="Note 5 4 3 5 2 2" xfId="44032"/>
    <cellStyle name="Note 5 4 3 5 3" xfId="44033"/>
    <cellStyle name="Note 5 4 3 6" xfId="44034"/>
    <cellStyle name="Note 5 4 3 6 2" xfId="44035"/>
    <cellStyle name="Note 5 4 3 7" xfId="44036"/>
    <cellStyle name="Note 5 4 3 7 2" xfId="44037"/>
    <cellStyle name="Note 5 4 3 8" xfId="44038"/>
    <cellStyle name="Note 5 4 4" xfId="44039"/>
    <cellStyle name="Note 5 4 4 2" xfId="44040"/>
    <cellStyle name="Note 5 4 4 2 2" xfId="44041"/>
    <cellStyle name="Note 5 4 4 2 2 2" xfId="44042"/>
    <cellStyle name="Note 5 4 4 2 2 2 2" xfId="44043"/>
    <cellStyle name="Note 5 4 4 2 2 3" xfId="44044"/>
    <cellStyle name="Note 5 4 4 2 3" xfId="44045"/>
    <cellStyle name="Note 5 4 4 2 3 2" xfId="44046"/>
    <cellStyle name="Note 5 4 4 2 4" xfId="44047"/>
    <cellStyle name="Note 5 4 4 3" xfId="44048"/>
    <cellStyle name="Note 5 4 4 3 2" xfId="44049"/>
    <cellStyle name="Note 5 4 4 3 2 2" xfId="44050"/>
    <cellStyle name="Note 5 4 4 3 3" xfId="44051"/>
    <cellStyle name="Note 5 4 4 4" xfId="44052"/>
    <cellStyle name="Note 5 4 4 4 2" xfId="44053"/>
    <cellStyle name="Note 5 4 4 5" xfId="44054"/>
    <cellStyle name="Note 5 4 4 5 2" xfId="44055"/>
    <cellStyle name="Note 5 4 4 6" xfId="44056"/>
    <cellStyle name="Note 5 4 5" xfId="44057"/>
    <cellStyle name="Note 5 4 5 2" xfId="44058"/>
    <cellStyle name="Note 5 4 5 2 2" xfId="44059"/>
    <cellStyle name="Note 5 4 5 2 2 2" xfId="44060"/>
    <cellStyle name="Note 5 4 5 2 2 2 2" xfId="44061"/>
    <cellStyle name="Note 5 4 5 2 2 3" xfId="44062"/>
    <cellStyle name="Note 5 4 5 2 3" xfId="44063"/>
    <cellStyle name="Note 5 4 5 2 3 2" xfId="44064"/>
    <cellStyle name="Note 5 4 5 2 4" xfId="44065"/>
    <cellStyle name="Note 5 4 5 3" xfId="44066"/>
    <cellStyle name="Note 5 4 5 3 2" xfId="44067"/>
    <cellStyle name="Note 5 4 5 3 2 2" xfId="44068"/>
    <cellStyle name="Note 5 4 5 3 3" xfId="44069"/>
    <cellStyle name="Note 5 4 5 4" xfId="44070"/>
    <cellStyle name="Note 5 4 5 4 2" xfId="44071"/>
    <cellStyle name="Note 5 4 5 5" xfId="44072"/>
    <cellStyle name="Note 5 4 5 5 2" xfId="44073"/>
    <cellStyle name="Note 5 4 5 6" xfId="44074"/>
    <cellStyle name="Note 5 4 6" xfId="44075"/>
    <cellStyle name="Note 5 4 6 2" xfId="44076"/>
    <cellStyle name="Note 5 4 6 2 2" xfId="44077"/>
    <cellStyle name="Note 5 4 6 2 2 2" xfId="44078"/>
    <cellStyle name="Note 5 4 6 2 2 2 2" xfId="44079"/>
    <cellStyle name="Note 5 4 6 2 2 3" xfId="44080"/>
    <cellStyle name="Note 5 4 6 2 3" xfId="44081"/>
    <cellStyle name="Note 5 4 6 2 3 2" xfId="44082"/>
    <cellStyle name="Note 5 4 6 2 4" xfId="44083"/>
    <cellStyle name="Note 5 4 6 3" xfId="44084"/>
    <cellStyle name="Note 5 4 6 3 2" xfId="44085"/>
    <cellStyle name="Note 5 4 6 3 2 2" xfId="44086"/>
    <cellStyle name="Note 5 4 6 3 3" xfId="44087"/>
    <cellStyle name="Note 5 4 6 4" xfId="44088"/>
    <cellStyle name="Note 5 4 6 4 2" xfId="44089"/>
    <cellStyle name="Note 5 4 6 5" xfId="44090"/>
    <cellStyle name="Note 5 4 6 5 2" xfId="44091"/>
    <cellStyle name="Note 5 4 6 6" xfId="44092"/>
    <cellStyle name="Note 5 4 7" xfId="44093"/>
    <cellStyle name="Note 5 4 7 2" xfId="44094"/>
    <cellStyle name="Note 5 4 7 2 2" xfId="44095"/>
    <cellStyle name="Note 5 4 7 2 2 2" xfId="44096"/>
    <cellStyle name="Note 5 4 7 2 3" xfId="44097"/>
    <cellStyle name="Note 5 4 7 3" xfId="44098"/>
    <cellStyle name="Note 5 4 7 3 2" xfId="44099"/>
    <cellStyle name="Note 5 4 7 4" xfId="44100"/>
    <cellStyle name="Note 5 4 8" xfId="44101"/>
    <cellStyle name="Note 5 4 8 2" xfId="44102"/>
    <cellStyle name="Note 5 4 8 2 2" xfId="44103"/>
    <cellStyle name="Note 5 4 8 3" xfId="44104"/>
    <cellStyle name="Note 5 4 9" xfId="44105"/>
    <cellStyle name="Note 5 4 9 2" xfId="44106"/>
    <cellStyle name="Note 5 5" xfId="44107"/>
    <cellStyle name="Note 5 5 2" xfId="44108"/>
    <cellStyle name="Note 5 5 2 2" xfId="44109"/>
    <cellStyle name="Note 5 5 2 2 2" xfId="44110"/>
    <cellStyle name="Note 5 5 2 2 2 2" xfId="44111"/>
    <cellStyle name="Note 5 5 2 2 2 2 2" xfId="44112"/>
    <cellStyle name="Note 5 5 2 2 2 3" xfId="44113"/>
    <cellStyle name="Note 5 5 2 2 3" xfId="44114"/>
    <cellStyle name="Note 5 5 2 2 3 2" xfId="44115"/>
    <cellStyle name="Note 5 5 2 2 4" xfId="44116"/>
    <cellStyle name="Note 5 5 2 3" xfId="44117"/>
    <cellStyle name="Note 5 5 2 3 2" xfId="44118"/>
    <cellStyle name="Note 5 5 2 3 2 2" xfId="44119"/>
    <cellStyle name="Note 5 5 2 3 3" xfId="44120"/>
    <cellStyle name="Note 5 5 2 4" xfId="44121"/>
    <cellStyle name="Note 5 5 2 4 2" xfId="44122"/>
    <cellStyle name="Note 5 5 2 5" xfId="44123"/>
    <cellStyle name="Note 5 5 2 5 2" xfId="44124"/>
    <cellStyle name="Note 5 5 2 6" xfId="44125"/>
    <cellStyle name="Note 5 5 3" xfId="44126"/>
    <cellStyle name="Note 5 5 3 2" xfId="44127"/>
    <cellStyle name="Note 5 5 3 2 2" xfId="44128"/>
    <cellStyle name="Note 5 5 3 2 2 2" xfId="44129"/>
    <cellStyle name="Note 5 5 3 2 2 2 2" xfId="44130"/>
    <cellStyle name="Note 5 5 3 2 2 3" xfId="44131"/>
    <cellStyle name="Note 5 5 3 2 3" xfId="44132"/>
    <cellStyle name="Note 5 5 3 2 3 2" xfId="44133"/>
    <cellStyle name="Note 5 5 3 2 4" xfId="44134"/>
    <cellStyle name="Note 5 5 3 3" xfId="44135"/>
    <cellStyle name="Note 5 5 3 3 2" xfId="44136"/>
    <cellStyle name="Note 5 5 3 3 2 2" xfId="44137"/>
    <cellStyle name="Note 5 5 3 3 3" xfId="44138"/>
    <cellStyle name="Note 5 5 3 4" xfId="44139"/>
    <cellStyle name="Note 5 5 3 4 2" xfId="44140"/>
    <cellStyle name="Note 5 5 3 5" xfId="44141"/>
    <cellStyle name="Note 5 5 3 5 2" xfId="44142"/>
    <cellStyle name="Note 5 5 3 6" xfId="44143"/>
    <cellStyle name="Note 5 5 4" xfId="44144"/>
    <cellStyle name="Note 5 5 4 2" xfId="44145"/>
    <cellStyle name="Note 5 5 4 2 2" xfId="44146"/>
    <cellStyle name="Note 5 5 4 2 2 2" xfId="44147"/>
    <cellStyle name="Note 5 5 4 2 3" xfId="44148"/>
    <cellStyle name="Note 5 5 4 3" xfId="44149"/>
    <cellStyle name="Note 5 5 4 3 2" xfId="44150"/>
    <cellStyle name="Note 5 5 4 4" xfId="44151"/>
    <cellStyle name="Note 5 5 5" xfId="44152"/>
    <cellStyle name="Note 5 5 5 2" xfId="44153"/>
    <cellStyle name="Note 5 5 5 2 2" xfId="44154"/>
    <cellStyle name="Note 5 5 5 3" xfId="44155"/>
    <cellStyle name="Note 5 5 6" xfId="44156"/>
    <cellStyle name="Note 5 5 6 2" xfId="44157"/>
    <cellStyle name="Note 5 5 7" xfId="44158"/>
    <cellStyle name="Note 5 5 7 2" xfId="44159"/>
    <cellStyle name="Note 5 5 8" xfId="44160"/>
    <cellStyle name="Note 5 6" xfId="44161"/>
    <cellStyle name="Note 5 6 2" xfId="44162"/>
    <cellStyle name="Note 5 6 2 2" xfId="44163"/>
    <cellStyle name="Note 5 6 2 2 2" xfId="44164"/>
    <cellStyle name="Note 5 6 2 2 2 2" xfId="44165"/>
    <cellStyle name="Note 5 6 2 2 2 2 2" xfId="44166"/>
    <cellStyle name="Note 5 6 2 2 2 3" xfId="44167"/>
    <cellStyle name="Note 5 6 2 2 3" xfId="44168"/>
    <cellStyle name="Note 5 6 2 2 3 2" xfId="44169"/>
    <cellStyle name="Note 5 6 2 2 4" xfId="44170"/>
    <cellStyle name="Note 5 6 2 3" xfId="44171"/>
    <cellStyle name="Note 5 6 2 3 2" xfId="44172"/>
    <cellStyle name="Note 5 6 2 3 2 2" xfId="44173"/>
    <cellStyle name="Note 5 6 2 3 3" xfId="44174"/>
    <cellStyle name="Note 5 6 2 4" xfId="44175"/>
    <cellStyle name="Note 5 6 2 4 2" xfId="44176"/>
    <cellStyle name="Note 5 6 2 5" xfId="44177"/>
    <cellStyle name="Note 5 6 2 5 2" xfId="44178"/>
    <cellStyle name="Note 5 6 2 6" xfId="44179"/>
    <cellStyle name="Note 5 6 3" xfId="44180"/>
    <cellStyle name="Note 5 6 3 2" xfId="44181"/>
    <cellStyle name="Note 5 6 3 2 2" xfId="44182"/>
    <cellStyle name="Note 5 6 3 2 2 2" xfId="44183"/>
    <cellStyle name="Note 5 6 3 2 2 2 2" xfId="44184"/>
    <cellStyle name="Note 5 6 3 2 2 3" xfId="44185"/>
    <cellStyle name="Note 5 6 3 2 3" xfId="44186"/>
    <cellStyle name="Note 5 6 3 2 3 2" xfId="44187"/>
    <cellStyle name="Note 5 6 3 2 4" xfId="44188"/>
    <cellStyle name="Note 5 6 3 3" xfId="44189"/>
    <cellStyle name="Note 5 6 3 3 2" xfId="44190"/>
    <cellStyle name="Note 5 6 3 3 2 2" xfId="44191"/>
    <cellStyle name="Note 5 6 3 3 3" xfId="44192"/>
    <cellStyle name="Note 5 6 3 4" xfId="44193"/>
    <cellStyle name="Note 5 6 3 4 2" xfId="44194"/>
    <cellStyle name="Note 5 6 3 5" xfId="44195"/>
    <cellStyle name="Note 5 6 3 5 2" xfId="44196"/>
    <cellStyle name="Note 5 6 3 6" xfId="44197"/>
    <cellStyle name="Note 5 6 4" xfId="44198"/>
    <cellStyle name="Note 5 6 4 2" xfId="44199"/>
    <cellStyle name="Note 5 6 4 2 2" xfId="44200"/>
    <cellStyle name="Note 5 6 4 2 2 2" xfId="44201"/>
    <cellStyle name="Note 5 6 4 2 3" xfId="44202"/>
    <cellStyle name="Note 5 6 4 3" xfId="44203"/>
    <cellStyle name="Note 5 6 4 3 2" xfId="44204"/>
    <cellStyle name="Note 5 6 4 4" xfId="44205"/>
    <cellStyle name="Note 5 6 5" xfId="44206"/>
    <cellStyle name="Note 5 6 5 2" xfId="44207"/>
    <cellStyle name="Note 5 6 5 2 2" xfId="44208"/>
    <cellStyle name="Note 5 6 5 3" xfId="44209"/>
    <cellStyle name="Note 5 6 6" xfId="44210"/>
    <cellStyle name="Note 5 6 6 2" xfId="44211"/>
    <cellStyle name="Note 5 6 7" xfId="44212"/>
    <cellStyle name="Note 5 6 7 2" xfId="44213"/>
    <cellStyle name="Note 5 6 8" xfId="44214"/>
    <cellStyle name="Note 5 7" xfId="44215"/>
    <cellStyle name="Note 5 7 2" xfId="44216"/>
    <cellStyle name="Note 5 7 2 2" xfId="44217"/>
    <cellStyle name="Note 5 7 2 2 2" xfId="44218"/>
    <cellStyle name="Note 5 7 2 2 2 2" xfId="44219"/>
    <cellStyle name="Note 5 7 2 2 3" xfId="44220"/>
    <cellStyle name="Note 5 7 2 3" xfId="44221"/>
    <cellStyle name="Note 5 7 2 3 2" xfId="44222"/>
    <cellStyle name="Note 5 7 2 4" xfId="44223"/>
    <cellStyle name="Note 5 7 3" xfId="44224"/>
    <cellStyle name="Note 5 7 3 2" xfId="44225"/>
    <cellStyle name="Note 5 7 3 2 2" xfId="44226"/>
    <cellStyle name="Note 5 7 3 3" xfId="44227"/>
    <cellStyle name="Note 5 7 4" xfId="44228"/>
    <cellStyle name="Note 5 7 4 2" xfId="44229"/>
    <cellStyle name="Note 5 7 5" xfId="44230"/>
    <cellStyle name="Note 5 7 5 2" xfId="44231"/>
    <cellStyle name="Note 5 7 6" xfId="44232"/>
    <cellStyle name="Note 6" xfId="44233"/>
    <cellStyle name="Note 6 10" xfId="44234"/>
    <cellStyle name="Note 6 10 2" xfId="44235"/>
    <cellStyle name="Note 6 10 2 2" xfId="44236"/>
    <cellStyle name="Note 6 10 3" xfId="44237"/>
    <cellStyle name="Note 6 11" xfId="44238"/>
    <cellStyle name="Note 6 11 2" xfId="44239"/>
    <cellStyle name="Note 6 12" xfId="44240"/>
    <cellStyle name="Note 6 12 2" xfId="44241"/>
    <cellStyle name="Note 6 13" xfId="44242"/>
    <cellStyle name="Note 6 2" xfId="44243"/>
    <cellStyle name="Note 6 2 10" xfId="44244"/>
    <cellStyle name="Note 6 2 10 2" xfId="44245"/>
    <cellStyle name="Note 6 2 11" xfId="44246"/>
    <cellStyle name="Note 6 2 2" xfId="44247"/>
    <cellStyle name="Note 6 2 2 2" xfId="44248"/>
    <cellStyle name="Note 6 2 2 2 2" xfId="44249"/>
    <cellStyle name="Note 6 2 2 2 2 2" xfId="44250"/>
    <cellStyle name="Note 6 2 2 2 2 2 2" xfId="44251"/>
    <cellStyle name="Note 6 2 2 2 2 2 2 2" xfId="44252"/>
    <cellStyle name="Note 6 2 2 2 2 2 3" xfId="44253"/>
    <cellStyle name="Note 6 2 2 2 2 3" xfId="44254"/>
    <cellStyle name="Note 6 2 2 2 2 3 2" xfId="44255"/>
    <cellStyle name="Note 6 2 2 2 2 4" xfId="44256"/>
    <cellStyle name="Note 6 2 2 2 3" xfId="44257"/>
    <cellStyle name="Note 6 2 2 2 3 2" xfId="44258"/>
    <cellStyle name="Note 6 2 2 2 3 2 2" xfId="44259"/>
    <cellStyle name="Note 6 2 2 2 3 3" xfId="44260"/>
    <cellStyle name="Note 6 2 2 2 4" xfId="44261"/>
    <cellStyle name="Note 6 2 2 2 4 2" xfId="44262"/>
    <cellStyle name="Note 6 2 2 2 5" xfId="44263"/>
    <cellStyle name="Note 6 2 2 2 5 2" xfId="44264"/>
    <cellStyle name="Note 6 2 2 2 6" xfId="44265"/>
    <cellStyle name="Note 6 2 2 3" xfId="44266"/>
    <cellStyle name="Note 6 2 2 3 2" xfId="44267"/>
    <cellStyle name="Note 6 2 2 3 2 2" xfId="44268"/>
    <cellStyle name="Note 6 2 2 3 2 2 2" xfId="44269"/>
    <cellStyle name="Note 6 2 2 3 2 2 2 2" xfId="44270"/>
    <cellStyle name="Note 6 2 2 3 2 2 3" xfId="44271"/>
    <cellStyle name="Note 6 2 2 3 2 3" xfId="44272"/>
    <cellStyle name="Note 6 2 2 3 2 3 2" xfId="44273"/>
    <cellStyle name="Note 6 2 2 3 2 4" xfId="44274"/>
    <cellStyle name="Note 6 2 2 3 3" xfId="44275"/>
    <cellStyle name="Note 6 2 2 3 3 2" xfId="44276"/>
    <cellStyle name="Note 6 2 2 3 3 2 2" xfId="44277"/>
    <cellStyle name="Note 6 2 2 3 3 3" xfId="44278"/>
    <cellStyle name="Note 6 2 2 3 4" xfId="44279"/>
    <cellStyle name="Note 6 2 2 3 4 2" xfId="44280"/>
    <cellStyle name="Note 6 2 2 3 5" xfId="44281"/>
    <cellStyle name="Note 6 2 2 3 5 2" xfId="44282"/>
    <cellStyle name="Note 6 2 2 3 6" xfId="44283"/>
    <cellStyle name="Note 6 2 2 4" xfId="44284"/>
    <cellStyle name="Note 6 2 2 4 2" xfId="44285"/>
    <cellStyle name="Note 6 2 2 4 2 2" xfId="44286"/>
    <cellStyle name="Note 6 2 2 4 2 2 2" xfId="44287"/>
    <cellStyle name="Note 6 2 2 4 2 3" xfId="44288"/>
    <cellStyle name="Note 6 2 2 4 3" xfId="44289"/>
    <cellStyle name="Note 6 2 2 4 3 2" xfId="44290"/>
    <cellStyle name="Note 6 2 2 4 4" xfId="44291"/>
    <cellStyle name="Note 6 2 2 5" xfId="44292"/>
    <cellStyle name="Note 6 2 2 5 2" xfId="44293"/>
    <cellStyle name="Note 6 2 2 5 2 2" xfId="44294"/>
    <cellStyle name="Note 6 2 2 5 3" xfId="44295"/>
    <cellStyle name="Note 6 2 2 6" xfId="44296"/>
    <cellStyle name="Note 6 2 2 6 2" xfId="44297"/>
    <cellStyle name="Note 6 2 2 7" xfId="44298"/>
    <cellStyle name="Note 6 2 2 7 2" xfId="44299"/>
    <cellStyle name="Note 6 2 2 8" xfId="44300"/>
    <cellStyle name="Note 6 2 3" xfId="44301"/>
    <cellStyle name="Note 6 2 3 2" xfId="44302"/>
    <cellStyle name="Note 6 2 3 2 2" xfId="44303"/>
    <cellStyle name="Note 6 2 3 2 2 2" xfId="44304"/>
    <cellStyle name="Note 6 2 3 2 2 2 2" xfId="44305"/>
    <cellStyle name="Note 6 2 3 2 2 2 2 2" xfId="44306"/>
    <cellStyle name="Note 6 2 3 2 2 2 3" xfId="44307"/>
    <cellStyle name="Note 6 2 3 2 2 3" xfId="44308"/>
    <cellStyle name="Note 6 2 3 2 2 3 2" xfId="44309"/>
    <cellStyle name="Note 6 2 3 2 2 4" xfId="44310"/>
    <cellStyle name="Note 6 2 3 2 3" xfId="44311"/>
    <cellStyle name="Note 6 2 3 2 3 2" xfId="44312"/>
    <cellStyle name="Note 6 2 3 2 3 2 2" xfId="44313"/>
    <cellStyle name="Note 6 2 3 2 3 3" xfId="44314"/>
    <cellStyle name="Note 6 2 3 2 4" xfId="44315"/>
    <cellStyle name="Note 6 2 3 2 4 2" xfId="44316"/>
    <cellStyle name="Note 6 2 3 2 5" xfId="44317"/>
    <cellStyle name="Note 6 2 3 2 5 2" xfId="44318"/>
    <cellStyle name="Note 6 2 3 2 6" xfId="44319"/>
    <cellStyle name="Note 6 2 3 3" xfId="44320"/>
    <cellStyle name="Note 6 2 3 3 2" xfId="44321"/>
    <cellStyle name="Note 6 2 3 3 2 2" xfId="44322"/>
    <cellStyle name="Note 6 2 3 3 2 2 2" xfId="44323"/>
    <cellStyle name="Note 6 2 3 3 2 2 2 2" xfId="44324"/>
    <cellStyle name="Note 6 2 3 3 2 2 3" xfId="44325"/>
    <cellStyle name="Note 6 2 3 3 2 3" xfId="44326"/>
    <cellStyle name="Note 6 2 3 3 2 3 2" xfId="44327"/>
    <cellStyle name="Note 6 2 3 3 2 4" xfId="44328"/>
    <cellStyle name="Note 6 2 3 3 3" xfId="44329"/>
    <cellStyle name="Note 6 2 3 3 3 2" xfId="44330"/>
    <cellStyle name="Note 6 2 3 3 3 2 2" xfId="44331"/>
    <cellStyle name="Note 6 2 3 3 3 3" xfId="44332"/>
    <cellStyle name="Note 6 2 3 3 4" xfId="44333"/>
    <cellStyle name="Note 6 2 3 3 4 2" xfId="44334"/>
    <cellStyle name="Note 6 2 3 3 5" xfId="44335"/>
    <cellStyle name="Note 6 2 3 3 5 2" xfId="44336"/>
    <cellStyle name="Note 6 2 3 3 6" xfId="44337"/>
    <cellStyle name="Note 6 2 3 4" xfId="44338"/>
    <cellStyle name="Note 6 2 3 4 2" xfId="44339"/>
    <cellStyle name="Note 6 2 3 4 2 2" xfId="44340"/>
    <cellStyle name="Note 6 2 3 4 2 2 2" xfId="44341"/>
    <cellStyle name="Note 6 2 3 4 2 3" xfId="44342"/>
    <cellStyle name="Note 6 2 3 4 3" xfId="44343"/>
    <cellStyle name="Note 6 2 3 4 3 2" xfId="44344"/>
    <cellStyle name="Note 6 2 3 4 4" xfId="44345"/>
    <cellStyle name="Note 6 2 3 5" xfId="44346"/>
    <cellStyle name="Note 6 2 3 5 2" xfId="44347"/>
    <cellStyle name="Note 6 2 3 5 2 2" xfId="44348"/>
    <cellStyle name="Note 6 2 3 5 3" xfId="44349"/>
    <cellStyle name="Note 6 2 3 6" xfId="44350"/>
    <cellStyle name="Note 6 2 3 6 2" xfId="44351"/>
    <cellStyle name="Note 6 2 3 7" xfId="44352"/>
    <cellStyle name="Note 6 2 3 7 2" xfId="44353"/>
    <cellStyle name="Note 6 2 3 8" xfId="44354"/>
    <cellStyle name="Note 6 2 4" xfId="44355"/>
    <cellStyle name="Note 6 2 4 2" xfId="44356"/>
    <cellStyle name="Note 6 2 4 2 2" xfId="44357"/>
    <cellStyle name="Note 6 2 4 2 2 2" xfId="44358"/>
    <cellStyle name="Note 6 2 4 2 2 2 2" xfId="44359"/>
    <cellStyle name="Note 6 2 4 2 2 3" xfId="44360"/>
    <cellStyle name="Note 6 2 4 2 3" xfId="44361"/>
    <cellStyle name="Note 6 2 4 2 3 2" xfId="44362"/>
    <cellStyle name="Note 6 2 4 2 4" xfId="44363"/>
    <cellStyle name="Note 6 2 4 3" xfId="44364"/>
    <cellStyle name="Note 6 2 4 3 2" xfId="44365"/>
    <cellStyle name="Note 6 2 4 3 2 2" xfId="44366"/>
    <cellStyle name="Note 6 2 4 3 3" xfId="44367"/>
    <cellStyle name="Note 6 2 4 4" xfId="44368"/>
    <cellStyle name="Note 6 2 4 4 2" xfId="44369"/>
    <cellStyle name="Note 6 2 4 5" xfId="44370"/>
    <cellStyle name="Note 6 2 4 5 2" xfId="44371"/>
    <cellStyle name="Note 6 2 4 6" xfId="44372"/>
    <cellStyle name="Note 6 2 5" xfId="44373"/>
    <cellStyle name="Note 6 2 5 2" xfId="44374"/>
    <cellStyle name="Note 6 2 5 2 2" xfId="44375"/>
    <cellStyle name="Note 6 2 5 2 2 2" xfId="44376"/>
    <cellStyle name="Note 6 2 5 2 2 2 2" xfId="44377"/>
    <cellStyle name="Note 6 2 5 2 2 3" xfId="44378"/>
    <cellStyle name="Note 6 2 5 2 3" xfId="44379"/>
    <cellStyle name="Note 6 2 5 2 3 2" xfId="44380"/>
    <cellStyle name="Note 6 2 5 2 4" xfId="44381"/>
    <cellStyle name="Note 6 2 5 3" xfId="44382"/>
    <cellStyle name="Note 6 2 5 3 2" xfId="44383"/>
    <cellStyle name="Note 6 2 5 3 2 2" xfId="44384"/>
    <cellStyle name="Note 6 2 5 3 3" xfId="44385"/>
    <cellStyle name="Note 6 2 5 4" xfId="44386"/>
    <cellStyle name="Note 6 2 5 4 2" xfId="44387"/>
    <cellStyle name="Note 6 2 5 5" xfId="44388"/>
    <cellStyle name="Note 6 2 5 5 2" xfId="44389"/>
    <cellStyle name="Note 6 2 5 6" xfId="44390"/>
    <cellStyle name="Note 6 2 6" xfId="44391"/>
    <cellStyle name="Note 6 2 6 2" xfId="44392"/>
    <cellStyle name="Note 6 2 6 2 2" xfId="44393"/>
    <cellStyle name="Note 6 2 6 2 2 2" xfId="44394"/>
    <cellStyle name="Note 6 2 6 2 2 2 2" xfId="44395"/>
    <cellStyle name="Note 6 2 6 2 2 3" xfId="44396"/>
    <cellStyle name="Note 6 2 6 2 3" xfId="44397"/>
    <cellStyle name="Note 6 2 6 2 3 2" xfId="44398"/>
    <cellStyle name="Note 6 2 6 2 4" xfId="44399"/>
    <cellStyle name="Note 6 2 6 3" xfId="44400"/>
    <cellStyle name="Note 6 2 6 3 2" xfId="44401"/>
    <cellStyle name="Note 6 2 6 3 2 2" xfId="44402"/>
    <cellStyle name="Note 6 2 6 3 3" xfId="44403"/>
    <cellStyle name="Note 6 2 6 4" xfId="44404"/>
    <cellStyle name="Note 6 2 6 4 2" xfId="44405"/>
    <cellStyle name="Note 6 2 6 5" xfId="44406"/>
    <cellStyle name="Note 6 2 6 5 2" xfId="44407"/>
    <cellStyle name="Note 6 2 6 6" xfId="44408"/>
    <cellStyle name="Note 6 2 7" xfId="44409"/>
    <cellStyle name="Note 6 2 7 2" xfId="44410"/>
    <cellStyle name="Note 6 2 7 2 2" xfId="44411"/>
    <cellStyle name="Note 6 2 7 2 2 2" xfId="44412"/>
    <cellStyle name="Note 6 2 7 2 3" xfId="44413"/>
    <cellStyle name="Note 6 2 7 3" xfId="44414"/>
    <cellStyle name="Note 6 2 7 3 2" xfId="44415"/>
    <cellStyle name="Note 6 2 7 4" xfId="44416"/>
    <cellStyle name="Note 6 2 8" xfId="44417"/>
    <cellStyle name="Note 6 2 8 2" xfId="44418"/>
    <cellStyle name="Note 6 2 8 2 2" xfId="44419"/>
    <cellStyle name="Note 6 2 8 3" xfId="44420"/>
    <cellStyle name="Note 6 2 9" xfId="44421"/>
    <cellStyle name="Note 6 2 9 2" xfId="44422"/>
    <cellStyle name="Note 6 3" xfId="44423"/>
    <cellStyle name="Note 6 3 10" xfId="44424"/>
    <cellStyle name="Note 6 3 10 2" xfId="44425"/>
    <cellStyle name="Note 6 3 11" xfId="44426"/>
    <cellStyle name="Note 6 3 2" xfId="44427"/>
    <cellStyle name="Note 6 3 2 2" xfId="44428"/>
    <cellStyle name="Note 6 3 2 2 2" xfId="44429"/>
    <cellStyle name="Note 6 3 2 2 2 2" xfId="44430"/>
    <cellStyle name="Note 6 3 2 2 2 2 2" xfId="44431"/>
    <cellStyle name="Note 6 3 2 2 2 2 2 2" xfId="44432"/>
    <cellStyle name="Note 6 3 2 2 2 2 3" xfId="44433"/>
    <cellStyle name="Note 6 3 2 2 2 3" xfId="44434"/>
    <cellStyle name="Note 6 3 2 2 2 3 2" xfId="44435"/>
    <cellStyle name="Note 6 3 2 2 2 4" xfId="44436"/>
    <cellStyle name="Note 6 3 2 2 3" xfId="44437"/>
    <cellStyle name="Note 6 3 2 2 3 2" xfId="44438"/>
    <cellStyle name="Note 6 3 2 2 3 2 2" xfId="44439"/>
    <cellStyle name="Note 6 3 2 2 3 3" xfId="44440"/>
    <cellStyle name="Note 6 3 2 2 4" xfId="44441"/>
    <cellStyle name="Note 6 3 2 2 4 2" xfId="44442"/>
    <cellStyle name="Note 6 3 2 2 5" xfId="44443"/>
    <cellStyle name="Note 6 3 2 2 5 2" xfId="44444"/>
    <cellStyle name="Note 6 3 2 2 6" xfId="44445"/>
    <cellStyle name="Note 6 3 2 3" xfId="44446"/>
    <cellStyle name="Note 6 3 2 3 2" xfId="44447"/>
    <cellStyle name="Note 6 3 2 3 2 2" xfId="44448"/>
    <cellStyle name="Note 6 3 2 3 2 2 2" xfId="44449"/>
    <cellStyle name="Note 6 3 2 3 2 2 2 2" xfId="44450"/>
    <cellStyle name="Note 6 3 2 3 2 2 3" xfId="44451"/>
    <cellStyle name="Note 6 3 2 3 2 3" xfId="44452"/>
    <cellStyle name="Note 6 3 2 3 2 3 2" xfId="44453"/>
    <cellStyle name="Note 6 3 2 3 2 4" xfId="44454"/>
    <cellStyle name="Note 6 3 2 3 3" xfId="44455"/>
    <cellStyle name="Note 6 3 2 3 3 2" xfId="44456"/>
    <cellStyle name="Note 6 3 2 3 3 2 2" xfId="44457"/>
    <cellStyle name="Note 6 3 2 3 3 3" xfId="44458"/>
    <cellStyle name="Note 6 3 2 3 4" xfId="44459"/>
    <cellStyle name="Note 6 3 2 3 4 2" xfId="44460"/>
    <cellStyle name="Note 6 3 2 3 5" xfId="44461"/>
    <cellStyle name="Note 6 3 2 3 5 2" xfId="44462"/>
    <cellStyle name="Note 6 3 2 3 6" xfId="44463"/>
    <cellStyle name="Note 6 3 2 4" xfId="44464"/>
    <cellStyle name="Note 6 3 2 4 2" xfId="44465"/>
    <cellStyle name="Note 6 3 2 4 2 2" xfId="44466"/>
    <cellStyle name="Note 6 3 2 4 2 2 2" xfId="44467"/>
    <cellStyle name="Note 6 3 2 4 2 3" xfId="44468"/>
    <cellStyle name="Note 6 3 2 4 3" xfId="44469"/>
    <cellStyle name="Note 6 3 2 4 3 2" xfId="44470"/>
    <cellStyle name="Note 6 3 2 4 4" xfId="44471"/>
    <cellStyle name="Note 6 3 2 5" xfId="44472"/>
    <cellStyle name="Note 6 3 2 5 2" xfId="44473"/>
    <cellStyle name="Note 6 3 2 5 2 2" xfId="44474"/>
    <cellStyle name="Note 6 3 2 5 3" xfId="44475"/>
    <cellStyle name="Note 6 3 2 6" xfId="44476"/>
    <cellStyle name="Note 6 3 2 6 2" xfId="44477"/>
    <cellStyle name="Note 6 3 2 7" xfId="44478"/>
    <cellStyle name="Note 6 3 2 7 2" xfId="44479"/>
    <cellStyle name="Note 6 3 2 8" xfId="44480"/>
    <cellStyle name="Note 6 3 3" xfId="44481"/>
    <cellStyle name="Note 6 3 3 2" xfId="44482"/>
    <cellStyle name="Note 6 3 3 2 2" xfId="44483"/>
    <cellStyle name="Note 6 3 3 2 2 2" xfId="44484"/>
    <cellStyle name="Note 6 3 3 2 2 2 2" xfId="44485"/>
    <cellStyle name="Note 6 3 3 2 2 2 2 2" xfId="44486"/>
    <cellStyle name="Note 6 3 3 2 2 2 3" xfId="44487"/>
    <cellStyle name="Note 6 3 3 2 2 3" xfId="44488"/>
    <cellStyle name="Note 6 3 3 2 2 3 2" xfId="44489"/>
    <cellStyle name="Note 6 3 3 2 2 4" xfId="44490"/>
    <cellStyle name="Note 6 3 3 2 3" xfId="44491"/>
    <cellStyle name="Note 6 3 3 2 3 2" xfId="44492"/>
    <cellStyle name="Note 6 3 3 2 3 2 2" xfId="44493"/>
    <cellStyle name="Note 6 3 3 2 3 3" xfId="44494"/>
    <cellStyle name="Note 6 3 3 2 4" xfId="44495"/>
    <cellStyle name="Note 6 3 3 2 4 2" xfId="44496"/>
    <cellStyle name="Note 6 3 3 2 5" xfId="44497"/>
    <cellStyle name="Note 6 3 3 2 5 2" xfId="44498"/>
    <cellStyle name="Note 6 3 3 2 6" xfId="44499"/>
    <cellStyle name="Note 6 3 3 3" xfId="44500"/>
    <cellStyle name="Note 6 3 3 3 2" xfId="44501"/>
    <cellStyle name="Note 6 3 3 3 2 2" xfId="44502"/>
    <cellStyle name="Note 6 3 3 3 2 2 2" xfId="44503"/>
    <cellStyle name="Note 6 3 3 3 2 2 2 2" xfId="44504"/>
    <cellStyle name="Note 6 3 3 3 2 2 3" xfId="44505"/>
    <cellStyle name="Note 6 3 3 3 2 3" xfId="44506"/>
    <cellStyle name="Note 6 3 3 3 2 3 2" xfId="44507"/>
    <cellStyle name="Note 6 3 3 3 2 4" xfId="44508"/>
    <cellStyle name="Note 6 3 3 3 3" xfId="44509"/>
    <cellStyle name="Note 6 3 3 3 3 2" xfId="44510"/>
    <cellStyle name="Note 6 3 3 3 3 2 2" xfId="44511"/>
    <cellStyle name="Note 6 3 3 3 3 3" xfId="44512"/>
    <cellStyle name="Note 6 3 3 3 4" xfId="44513"/>
    <cellStyle name="Note 6 3 3 3 4 2" xfId="44514"/>
    <cellStyle name="Note 6 3 3 3 5" xfId="44515"/>
    <cellStyle name="Note 6 3 3 3 5 2" xfId="44516"/>
    <cellStyle name="Note 6 3 3 3 6" xfId="44517"/>
    <cellStyle name="Note 6 3 3 4" xfId="44518"/>
    <cellStyle name="Note 6 3 3 4 2" xfId="44519"/>
    <cellStyle name="Note 6 3 3 4 2 2" xfId="44520"/>
    <cellStyle name="Note 6 3 3 4 2 2 2" xfId="44521"/>
    <cellStyle name="Note 6 3 3 4 2 3" xfId="44522"/>
    <cellStyle name="Note 6 3 3 4 3" xfId="44523"/>
    <cellStyle name="Note 6 3 3 4 3 2" xfId="44524"/>
    <cellStyle name="Note 6 3 3 4 4" xfId="44525"/>
    <cellStyle name="Note 6 3 3 5" xfId="44526"/>
    <cellStyle name="Note 6 3 3 5 2" xfId="44527"/>
    <cellStyle name="Note 6 3 3 5 2 2" xfId="44528"/>
    <cellStyle name="Note 6 3 3 5 3" xfId="44529"/>
    <cellStyle name="Note 6 3 3 6" xfId="44530"/>
    <cellStyle name="Note 6 3 3 6 2" xfId="44531"/>
    <cellStyle name="Note 6 3 3 7" xfId="44532"/>
    <cellStyle name="Note 6 3 3 7 2" xfId="44533"/>
    <cellStyle name="Note 6 3 3 8" xfId="44534"/>
    <cellStyle name="Note 6 3 4" xfId="44535"/>
    <cellStyle name="Note 6 3 4 2" xfId="44536"/>
    <cellStyle name="Note 6 3 4 2 2" xfId="44537"/>
    <cellStyle name="Note 6 3 4 2 2 2" xfId="44538"/>
    <cellStyle name="Note 6 3 4 2 2 2 2" xfId="44539"/>
    <cellStyle name="Note 6 3 4 2 2 3" xfId="44540"/>
    <cellStyle name="Note 6 3 4 2 3" xfId="44541"/>
    <cellStyle name="Note 6 3 4 2 3 2" xfId="44542"/>
    <cellStyle name="Note 6 3 4 2 4" xfId="44543"/>
    <cellStyle name="Note 6 3 4 3" xfId="44544"/>
    <cellStyle name="Note 6 3 4 3 2" xfId="44545"/>
    <cellStyle name="Note 6 3 4 3 2 2" xfId="44546"/>
    <cellStyle name="Note 6 3 4 3 3" xfId="44547"/>
    <cellStyle name="Note 6 3 4 4" xfId="44548"/>
    <cellStyle name="Note 6 3 4 4 2" xfId="44549"/>
    <cellStyle name="Note 6 3 4 5" xfId="44550"/>
    <cellStyle name="Note 6 3 4 5 2" xfId="44551"/>
    <cellStyle name="Note 6 3 4 6" xfId="44552"/>
    <cellStyle name="Note 6 3 5" xfId="44553"/>
    <cellStyle name="Note 6 3 5 2" xfId="44554"/>
    <cellStyle name="Note 6 3 5 2 2" xfId="44555"/>
    <cellStyle name="Note 6 3 5 2 2 2" xfId="44556"/>
    <cellStyle name="Note 6 3 5 2 2 2 2" xfId="44557"/>
    <cellStyle name="Note 6 3 5 2 2 3" xfId="44558"/>
    <cellStyle name="Note 6 3 5 2 3" xfId="44559"/>
    <cellStyle name="Note 6 3 5 2 3 2" xfId="44560"/>
    <cellStyle name="Note 6 3 5 2 4" xfId="44561"/>
    <cellStyle name="Note 6 3 5 3" xfId="44562"/>
    <cellStyle name="Note 6 3 5 3 2" xfId="44563"/>
    <cellStyle name="Note 6 3 5 3 2 2" xfId="44564"/>
    <cellStyle name="Note 6 3 5 3 3" xfId="44565"/>
    <cellStyle name="Note 6 3 5 4" xfId="44566"/>
    <cellStyle name="Note 6 3 5 4 2" xfId="44567"/>
    <cellStyle name="Note 6 3 5 5" xfId="44568"/>
    <cellStyle name="Note 6 3 5 5 2" xfId="44569"/>
    <cellStyle name="Note 6 3 5 6" xfId="44570"/>
    <cellStyle name="Note 6 3 6" xfId="44571"/>
    <cellStyle name="Note 6 3 6 2" xfId="44572"/>
    <cellStyle name="Note 6 3 6 2 2" xfId="44573"/>
    <cellStyle name="Note 6 3 6 2 2 2" xfId="44574"/>
    <cellStyle name="Note 6 3 6 2 2 2 2" xfId="44575"/>
    <cellStyle name="Note 6 3 6 2 2 3" xfId="44576"/>
    <cellStyle name="Note 6 3 6 2 3" xfId="44577"/>
    <cellStyle name="Note 6 3 6 2 3 2" xfId="44578"/>
    <cellStyle name="Note 6 3 6 2 4" xfId="44579"/>
    <cellStyle name="Note 6 3 6 3" xfId="44580"/>
    <cellStyle name="Note 6 3 6 3 2" xfId="44581"/>
    <cellStyle name="Note 6 3 6 3 2 2" xfId="44582"/>
    <cellStyle name="Note 6 3 6 3 3" xfId="44583"/>
    <cellStyle name="Note 6 3 6 4" xfId="44584"/>
    <cellStyle name="Note 6 3 6 4 2" xfId="44585"/>
    <cellStyle name="Note 6 3 6 5" xfId="44586"/>
    <cellStyle name="Note 6 3 6 5 2" xfId="44587"/>
    <cellStyle name="Note 6 3 6 6" xfId="44588"/>
    <cellStyle name="Note 6 3 7" xfId="44589"/>
    <cellStyle name="Note 6 3 7 2" xfId="44590"/>
    <cellStyle name="Note 6 3 7 2 2" xfId="44591"/>
    <cellStyle name="Note 6 3 7 2 2 2" xfId="44592"/>
    <cellStyle name="Note 6 3 7 2 3" xfId="44593"/>
    <cellStyle name="Note 6 3 7 3" xfId="44594"/>
    <cellStyle name="Note 6 3 7 3 2" xfId="44595"/>
    <cellStyle name="Note 6 3 7 4" xfId="44596"/>
    <cellStyle name="Note 6 3 8" xfId="44597"/>
    <cellStyle name="Note 6 3 8 2" xfId="44598"/>
    <cellStyle name="Note 6 3 8 2 2" xfId="44599"/>
    <cellStyle name="Note 6 3 8 3" xfId="44600"/>
    <cellStyle name="Note 6 3 9" xfId="44601"/>
    <cellStyle name="Note 6 3 9 2" xfId="44602"/>
    <cellStyle name="Note 6 4" xfId="44603"/>
    <cellStyle name="Note 6 4 2" xfId="44604"/>
    <cellStyle name="Note 6 4 2 2" xfId="44605"/>
    <cellStyle name="Note 6 4 2 2 2" xfId="44606"/>
    <cellStyle name="Note 6 4 2 2 2 2" xfId="44607"/>
    <cellStyle name="Note 6 4 2 2 2 2 2" xfId="44608"/>
    <cellStyle name="Note 6 4 2 2 2 3" xfId="44609"/>
    <cellStyle name="Note 6 4 2 2 3" xfId="44610"/>
    <cellStyle name="Note 6 4 2 2 3 2" xfId="44611"/>
    <cellStyle name="Note 6 4 2 2 4" xfId="44612"/>
    <cellStyle name="Note 6 4 2 3" xfId="44613"/>
    <cellStyle name="Note 6 4 2 3 2" xfId="44614"/>
    <cellStyle name="Note 6 4 2 3 2 2" xfId="44615"/>
    <cellStyle name="Note 6 4 2 3 3" xfId="44616"/>
    <cellStyle name="Note 6 4 2 4" xfId="44617"/>
    <cellStyle name="Note 6 4 2 4 2" xfId="44618"/>
    <cellStyle name="Note 6 4 2 5" xfId="44619"/>
    <cellStyle name="Note 6 4 2 5 2" xfId="44620"/>
    <cellStyle name="Note 6 4 2 6" xfId="44621"/>
    <cellStyle name="Note 6 4 3" xfId="44622"/>
    <cellStyle name="Note 6 4 3 2" xfId="44623"/>
    <cellStyle name="Note 6 4 3 2 2" xfId="44624"/>
    <cellStyle name="Note 6 4 3 2 2 2" xfId="44625"/>
    <cellStyle name="Note 6 4 3 2 2 2 2" xfId="44626"/>
    <cellStyle name="Note 6 4 3 2 2 3" xfId="44627"/>
    <cellStyle name="Note 6 4 3 2 3" xfId="44628"/>
    <cellStyle name="Note 6 4 3 2 3 2" xfId="44629"/>
    <cellStyle name="Note 6 4 3 2 4" xfId="44630"/>
    <cellStyle name="Note 6 4 3 3" xfId="44631"/>
    <cellStyle name="Note 6 4 3 3 2" xfId="44632"/>
    <cellStyle name="Note 6 4 3 3 2 2" xfId="44633"/>
    <cellStyle name="Note 6 4 3 3 3" xfId="44634"/>
    <cellStyle name="Note 6 4 3 4" xfId="44635"/>
    <cellStyle name="Note 6 4 3 4 2" xfId="44636"/>
    <cellStyle name="Note 6 4 3 5" xfId="44637"/>
    <cellStyle name="Note 6 4 3 5 2" xfId="44638"/>
    <cellStyle name="Note 6 4 3 6" xfId="44639"/>
    <cellStyle name="Note 6 4 4" xfId="44640"/>
    <cellStyle name="Note 6 4 4 2" xfId="44641"/>
    <cellStyle name="Note 6 4 4 2 2" xfId="44642"/>
    <cellStyle name="Note 6 4 4 2 2 2" xfId="44643"/>
    <cellStyle name="Note 6 4 4 2 3" xfId="44644"/>
    <cellStyle name="Note 6 4 4 3" xfId="44645"/>
    <cellStyle name="Note 6 4 4 3 2" xfId="44646"/>
    <cellStyle name="Note 6 4 4 4" xfId="44647"/>
    <cellStyle name="Note 6 4 5" xfId="44648"/>
    <cellStyle name="Note 6 4 5 2" xfId="44649"/>
    <cellStyle name="Note 6 4 5 2 2" xfId="44650"/>
    <cellStyle name="Note 6 4 5 3" xfId="44651"/>
    <cellStyle name="Note 6 4 6" xfId="44652"/>
    <cellStyle name="Note 6 4 6 2" xfId="44653"/>
    <cellStyle name="Note 6 4 7" xfId="44654"/>
    <cellStyle name="Note 6 4 7 2" xfId="44655"/>
    <cellStyle name="Note 6 4 8" xfId="44656"/>
    <cellStyle name="Note 6 5" xfId="44657"/>
    <cellStyle name="Note 6 5 2" xfId="44658"/>
    <cellStyle name="Note 6 5 2 2" xfId="44659"/>
    <cellStyle name="Note 6 5 2 2 2" xfId="44660"/>
    <cellStyle name="Note 6 5 2 2 2 2" xfId="44661"/>
    <cellStyle name="Note 6 5 2 2 2 2 2" xfId="44662"/>
    <cellStyle name="Note 6 5 2 2 2 3" xfId="44663"/>
    <cellStyle name="Note 6 5 2 2 3" xfId="44664"/>
    <cellStyle name="Note 6 5 2 2 3 2" xfId="44665"/>
    <cellStyle name="Note 6 5 2 2 4" xfId="44666"/>
    <cellStyle name="Note 6 5 2 3" xfId="44667"/>
    <cellStyle name="Note 6 5 2 3 2" xfId="44668"/>
    <cellStyle name="Note 6 5 2 3 2 2" xfId="44669"/>
    <cellStyle name="Note 6 5 2 3 3" xfId="44670"/>
    <cellStyle name="Note 6 5 2 4" xfId="44671"/>
    <cellStyle name="Note 6 5 2 4 2" xfId="44672"/>
    <cellStyle name="Note 6 5 2 5" xfId="44673"/>
    <cellStyle name="Note 6 5 2 5 2" xfId="44674"/>
    <cellStyle name="Note 6 5 2 6" xfId="44675"/>
    <cellStyle name="Note 6 5 3" xfId="44676"/>
    <cellStyle name="Note 6 5 3 2" xfId="44677"/>
    <cellStyle name="Note 6 5 3 2 2" xfId="44678"/>
    <cellStyle name="Note 6 5 3 2 2 2" xfId="44679"/>
    <cellStyle name="Note 6 5 3 2 2 2 2" xfId="44680"/>
    <cellStyle name="Note 6 5 3 2 2 3" xfId="44681"/>
    <cellStyle name="Note 6 5 3 2 3" xfId="44682"/>
    <cellStyle name="Note 6 5 3 2 3 2" xfId="44683"/>
    <cellStyle name="Note 6 5 3 2 4" xfId="44684"/>
    <cellStyle name="Note 6 5 3 3" xfId="44685"/>
    <cellStyle name="Note 6 5 3 3 2" xfId="44686"/>
    <cellStyle name="Note 6 5 3 3 2 2" xfId="44687"/>
    <cellStyle name="Note 6 5 3 3 3" xfId="44688"/>
    <cellStyle name="Note 6 5 3 4" xfId="44689"/>
    <cellStyle name="Note 6 5 3 4 2" xfId="44690"/>
    <cellStyle name="Note 6 5 3 5" xfId="44691"/>
    <cellStyle name="Note 6 5 3 5 2" xfId="44692"/>
    <cellStyle name="Note 6 5 3 6" xfId="44693"/>
    <cellStyle name="Note 6 5 4" xfId="44694"/>
    <cellStyle name="Note 6 5 4 2" xfId="44695"/>
    <cellStyle name="Note 6 5 4 2 2" xfId="44696"/>
    <cellStyle name="Note 6 5 4 2 2 2" xfId="44697"/>
    <cellStyle name="Note 6 5 4 2 3" xfId="44698"/>
    <cellStyle name="Note 6 5 4 3" xfId="44699"/>
    <cellStyle name="Note 6 5 4 3 2" xfId="44700"/>
    <cellStyle name="Note 6 5 4 4" xfId="44701"/>
    <cellStyle name="Note 6 5 5" xfId="44702"/>
    <cellStyle name="Note 6 5 5 2" xfId="44703"/>
    <cellStyle name="Note 6 5 5 2 2" xfId="44704"/>
    <cellStyle name="Note 6 5 5 3" xfId="44705"/>
    <cellStyle name="Note 6 5 6" xfId="44706"/>
    <cellStyle name="Note 6 5 6 2" xfId="44707"/>
    <cellStyle name="Note 6 5 7" xfId="44708"/>
    <cellStyle name="Note 6 5 7 2" xfId="44709"/>
    <cellStyle name="Note 6 5 8" xfId="44710"/>
    <cellStyle name="Note 6 6" xfId="44711"/>
    <cellStyle name="Note 6 6 2" xfId="44712"/>
    <cellStyle name="Note 6 6 2 2" xfId="44713"/>
    <cellStyle name="Note 6 6 2 2 2" xfId="44714"/>
    <cellStyle name="Note 6 6 2 2 2 2" xfId="44715"/>
    <cellStyle name="Note 6 6 2 2 3" xfId="44716"/>
    <cellStyle name="Note 6 6 2 3" xfId="44717"/>
    <cellStyle name="Note 6 6 2 3 2" xfId="44718"/>
    <cellStyle name="Note 6 6 2 4" xfId="44719"/>
    <cellStyle name="Note 6 6 3" xfId="44720"/>
    <cellStyle name="Note 6 6 3 2" xfId="44721"/>
    <cellStyle name="Note 6 6 3 2 2" xfId="44722"/>
    <cellStyle name="Note 6 6 3 3" xfId="44723"/>
    <cellStyle name="Note 6 6 4" xfId="44724"/>
    <cellStyle name="Note 6 6 4 2" xfId="44725"/>
    <cellStyle name="Note 6 6 5" xfId="44726"/>
    <cellStyle name="Note 6 6 5 2" xfId="44727"/>
    <cellStyle name="Note 6 6 6" xfId="44728"/>
    <cellStyle name="Note 6 7" xfId="44729"/>
    <cellStyle name="Note 6 7 2" xfId="44730"/>
    <cellStyle name="Note 6 7 2 2" xfId="44731"/>
    <cellStyle name="Note 6 7 2 2 2" xfId="44732"/>
    <cellStyle name="Note 6 7 2 2 2 2" xfId="44733"/>
    <cellStyle name="Note 6 7 2 2 3" xfId="44734"/>
    <cellStyle name="Note 6 7 2 3" xfId="44735"/>
    <cellStyle name="Note 6 7 2 3 2" xfId="44736"/>
    <cellStyle name="Note 6 7 2 4" xfId="44737"/>
    <cellStyle name="Note 6 7 3" xfId="44738"/>
    <cellStyle name="Note 6 7 3 2" xfId="44739"/>
    <cellStyle name="Note 6 7 3 2 2" xfId="44740"/>
    <cellStyle name="Note 6 7 3 3" xfId="44741"/>
    <cellStyle name="Note 6 7 4" xfId="44742"/>
    <cellStyle name="Note 6 7 4 2" xfId="44743"/>
    <cellStyle name="Note 6 7 5" xfId="44744"/>
    <cellStyle name="Note 6 7 5 2" xfId="44745"/>
    <cellStyle name="Note 6 7 6" xfId="44746"/>
    <cellStyle name="Note 6 8" xfId="44747"/>
    <cellStyle name="Note 6 8 2" xfId="44748"/>
    <cellStyle name="Note 6 8 2 2" xfId="44749"/>
    <cellStyle name="Note 6 8 2 2 2" xfId="44750"/>
    <cellStyle name="Note 6 8 2 2 2 2" xfId="44751"/>
    <cellStyle name="Note 6 8 2 2 3" xfId="44752"/>
    <cellStyle name="Note 6 8 2 3" xfId="44753"/>
    <cellStyle name="Note 6 8 2 3 2" xfId="44754"/>
    <cellStyle name="Note 6 8 2 4" xfId="44755"/>
    <cellStyle name="Note 6 8 3" xfId="44756"/>
    <cellStyle name="Note 6 8 3 2" xfId="44757"/>
    <cellStyle name="Note 6 8 3 2 2" xfId="44758"/>
    <cellStyle name="Note 6 8 3 3" xfId="44759"/>
    <cellStyle name="Note 6 8 4" xfId="44760"/>
    <cellStyle name="Note 6 8 4 2" xfId="44761"/>
    <cellStyle name="Note 6 8 5" xfId="44762"/>
    <cellStyle name="Note 6 8 5 2" xfId="44763"/>
    <cellStyle name="Note 6 8 6" xfId="44764"/>
    <cellStyle name="Note 6 9" xfId="44765"/>
    <cellStyle name="Note 6 9 2" xfId="44766"/>
    <cellStyle name="Note 6 9 2 2" xfId="44767"/>
    <cellStyle name="Note 6 9 2 2 2" xfId="44768"/>
    <cellStyle name="Note 6 9 2 3" xfId="44769"/>
    <cellStyle name="Note 6 9 3" xfId="44770"/>
    <cellStyle name="Note 6 9 3 2" xfId="44771"/>
    <cellStyle name="Note 6 9 4" xfId="44772"/>
    <cellStyle name="Note 7" xfId="44773"/>
    <cellStyle name="Note 7 10" xfId="44774"/>
    <cellStyle name="Note 7 10 2" xfId="44775"/>
    <cellStyle name="Note 7 11" xfId="44776"/>
    <cellStyle name="Note 7 11 2" xfId="44777"/>
    <cellStyle name="Note 7 12" xfId="44778"/>
    <cellStyle name="Note 7 2" xfId="44779"/>
    <cellStyle name="Note 7 3" xfId="44780"/>
    <cellStyle name="Note 7 3 2" xfId="44781"/>
    <cellStyle name="Note 7 3 2 2" xfId="44782"/>
    <cellStyle name="Note 7 3 2 2 2" xfId="44783"/>
    <cellStyle name="Note 7 3 2 2 2 2" xfId="44784"/>
    <cellStyle name="Note 7 3 2 2 2 2 2" xfId="44785"/>
    <cellStyle name="Note 7 3 2 2 2 3" xfId="44786"/>
    <cellStyle name="Note 7 3 2 2 3" xfId="44787"/>
    <cellStyle name="Note 7 3 2 2 3 2" xfId="44788"/>
    <cellStyle name="Note 7 3 2 2 4" xfId="44789"/>
    <cellStyle name="Note 7 3 2 3" xfId="44790"/>
    <cellStyle name="Note 7 3 2 3 2" xfId="44791"/>
    <cellStyle name="Note 7 3 2 3 2 2" xfId="44792"/>
    <cellStyle name="Note 7 3 2 3 3" xfId="44793"/>
    <cellStyle name="Note 7 3 2 4" xfId="44794"/>
    <cellStyle name="Note 7 3 2 4 2" xfId="44795"/>
    <cellStyle name="Note 7 3 2 5" xfId="44796"/>
    <cellStyle name="Note 7 3 2 5 2" xfId="44797"/>
    <cellStyle name="Note 7 3 2 6" xfId="44798"/>
    <cellStyle name="Note 7 3 3" xfId="44799"/>
    <cellStyle name="Note 7 3 3 2" xfId="44800"/>
    <cellStyle name="Note 7 3 3 2 2" xfId="44801"/>
    <cellStyle name="Note 7 3 3 2 2 2" xfId="44802"/>
    <cellStyle name="Note 7 3 3 2 2 2 2" xfId="44803"/>
    <cellStyle name="Note 7 3 3 2 2 3" xfId="44804"/>
    <cellStyle name="Note 7 3 3 2 3" xfId="44805"/>
    <cellStyle name="Note 7 3 3 2 3 2" xfId="44806"/>
    <cellStyle name="Note 7 3 3 2 4" xfId="44807"/>
    <cellStyle name="Note 7 3 3 3" xfId="44808"/>
    <cellStyle name="Note 7 3 3 3 2" xfId="44809"/>
    <cellStyle name="Note 7 3 3 3 2 2" xfId="44810"/>
    <cellStyle name="Note 7 3 3 3 3" xfId="44811"/>
    <cellStyle name="Note 7 3 3 4" xfId="44812"/>
    <cellStyle name="Note 7 3 3 4 2" xfId="44813"/>
    <cellStyle name="Note 7 3 3 5" xfId="44814"/>
    <cellStyle name="Note 7 3 3 5 2" xfId="44815"/>
    <cellStyle name="Note 7 3 3 6" xfId="44816"/>
    <cellStyle name="Note 7 3 4" xfId="44817"/>
    <cellStyle name="Note 7 3 4 2" xfId="44818"/>
    <cellStyle name="Note 7 3 4 2 2" xfId="44819"/>
    <cellStyle name="Note 7 3 4 2 2 2" xfId="44820"/>
    <cellStyle name="Note 7 3 4 2 3" xfId="44821"/>
    <cellStyle name="Note 7 3 4 3" xfId="44822"/>
    <cellStyle name="Note 7 3 4 3 2" xfId="44823"/>
    <cellStyle name="Note 7 3 4 4" xfId="44824"/>
    <cellStyle name="Note 7 3 5" xfId="44825"/>
    <cellStyle name="Note 7 3 5 2" xfId="44826"/>
    <cellStyle name="Note 7 3 5 2 2" xfId="44827"/>
    <cellStyle name="Note 7 3 5 3" xfId="44828"/>
    <cellStyle name="Note 7 3 6" xfId="44829"/>
    <cellStyle name="Note 7 3 6 2" xfId="44830"/>
    <cellStyle name="Note 7 3 7" xfId="44831"/>
    <cellStyle name="Note 7 3 7 2" xfId="44832"/>
    <cellStyle name="Note 7 3 8" xfId="44833"/>
    <cellStyle name="Note 7 4" xfId="44834"/>
    <cellStyle name="Note 7 4 2" xfId="44835"/>
    <cellStyle name="Note 7 4 2 2" xfId="44836"/>
    <cellStyle name="Note 7 4 2 2 2" xfId="44837"/>
    <cellStyle name="Note 7 4 2 2 2 2" xfId="44838"/>
    <cellStyle name="Note 7 4 2 2 2 2 2" xfId="44839"/>
    <cellStyle name="Note 7 4 2 2 2 3" xfId="44840"/>
    <cellStyle name="Note 7 4 2 2 3" xfId="44841"/>
    <cellStyle name="Note 7 4 2 2 3 2" xfId="44842"/>
    <cellStyle name="Note 7 4 2 2 4" xfId="44843"/>
    <cellStyle name="Note 7 4 2 3" xfId="44844"/>
    <cellStyle name="Note 7 4 2 3 2" xfId="44845"/>
    <cellStyle name="Note 7 4 2 3 2 2" xfId="44846"/>
    <cellStyle name="Note 7 4 2 3 3" xfId="44847"/>
    <cellStyle name="Note 7 4 2 4" xfId="44848"/>
    <cellStyle name="Note 7 4 2 4 2" xfId="44849"/>
    <cellStyle name="Note 7 4 2 5" xfId="44850"/>
    <cellStyle name="Note 7 4 2 5 2" xfId="44851"/>
    <cellStyle name="Note 7 4 2 6" xfId="44852"/>
    <cellStyle name="Note 7 4 3" xfId="44853"/>
    <cellStyle name="Note 7 4 3 2" xfId="44854"/>
    <cellStyle name="Note 7 4 3 2 2" xfId="44855"/>
    <cellStyle name="Note 7 4 3 2 2 2" xfId="44856"/>
    <cellStyle name="Note 7 4 3 2 2 2 2" xfId="44857"/>
    <cellStyle name="Note 7 4 3 2 2 3" xfId="44858"/>
    <cellStyle name="Note 7 4 3 2 3" xfId="44859"/>
    <cellStyle name="Note 7 4 3 2 3 2" xfId="44860"/>
    <cellStyle name="Note 7 4 3 2 4" xfId="44861"/>
    <cellStyle name="Note 7 4 3 3" xfId="44862"/>
    <cellStyle name="Note 7 4 3 3 2" xfId="44863"/>
    <cellStyle name="Note 7 4 3 3 2 2" xfId="44864"/>
    <cellStyle name="Note 7 4 3 3 3" xfId="44865"/>
    <cellStyle name="Note 7 4 3 4" xfId="44866"/>
    <cellStyle name="Note 7 4 3 4 2" xfId="44867"/>
    <cellStyle name="Note 7 4 3 5" xfId="44868"/>
    <cellStyle name="Note 7 4 3 5 2" xfId="44869"/>
    <cellStyle name="Note 7 4 3 6" xfId="44870"/>
    <cellStyle name="Note 7 4 4" xfId="44871"/>
    <cellStyle name="Note 7 4 4 2" xfId="44872"/>
    <cellStyle name="Note 7 4 4 2 2" xfId="44873"/>
    <cellStyle name="Note 7 4 4 2 2 2" xfId="44874"/>
    <cellStyle name="Note 7 4 4 2 3" xfId="44875"/>
    <cellStyle name="Note 7 4 4 3" xfId="44876"/>
    <cellStyle name="Note 7 4 4 3 2" xfId="44877"/>
    <cellStyle name="Note 7 4 4 4" xfId="44878"/>
    <cellStyle name="Note 7 4 5" xfId="44879"/>
    <cellStyle name="Note 7 4 5 2" xfId="44880"/>
    <cellStyle name="Note 7 4 5 2 2" xfId="44881"/>
    <cellStyle name="Note 7 4 5 3" xfId="44882"/>
    <cellStyle name="Note 7 4 6" xfId="44883"/>
    <cellStyle name="Note 7 4 6 2" xfId="44884"/>
    <cellStyle name="Note 7 4 7" xfId="44885"/>
    <cellStyle name="Note 7 4 7 2" xfId="44886"/>
    <cellStyle name="Note 7 4 8" xfId="44887"/>
    <cellStyle name="Note 7 5" xfId="44888"/>
    <cellStyle name="Note 7 5 2" xfId="44889"/>
    <cellStyle name="Note 7 5 2 2" xfId="44890"/>
    <cellStyle name="Note 7 5 2 2 2" xfId="44891"/>
    <cellStyle name="Note 7 5 2 2 2 2" xfId="44892"/>
    <cellStyle name="Note 7 5 2 2 3" xfId="44893"/>
    <cellStyle name="Note 7 5 2 3" xfId="44894"/>
    <cellStyle name="Note 7 5 2 3 2" xfId="44895"/>
    <cellStyle name="Note 7 5 2 4" xfId="44896"/>
    <cellStyle name="Note 7 5 3" xfId="44897"/>
    <cellStyle name="Note 7 5 3 2" xfId="44898"/>
    <cellStyle name="Note 7 5 3 2 2" xfId="44899"/>
    <cellStyle name="Note 7 5 3 3" xfId="44900"/>
    <cellStyle name="Note 7 5 4" xfId="44901"/>
    <cellStyle name="Note 7 5 4 2" xfId="44902"/>
    <cellStyle name="Note 7 5 5" xfId="44903"/>
    <cellStyle name="Note 7 5 5 2" xfId="44904"/>
    <cellStyle name="Note 7 5 6" xfId="44905"/>
    <cellStyle name="Note 7 6" xfId="44906"/>
    <cellStyle name="Note 7 6 2" xfId="44907"/>
    <cellStyle name="Note 7 6 2 2" xfId="44908"/>
    <cellStyle name="Note 7 6 2 2 2" xfId="44909"/>
    <cellStyle name="Note 7 6 2 2 2 2" xfId="44910"/>
    <cellStyle name="Note 7 6 2 2 3" xfId="44911"/>
    <cellStyle name="Note 7 6 2 3" xfId="44912"/>
    <cellStyle name="Note 7 6 2 3 2" xfId="44913"/>
    <cellStyle name="Note 7 6 2 4" xfId="44914"/>
    <cellStyle name="Note 7 6 3" xfId="44915"/>
    <cellStyle name="Note 7 6 3 2" xfId="44916"/>
    <cellStyle name="Note 7 6 3 2 2" xfId="44917"/>
    <cellStyle name="Note 7 6 3 3" xfId="44918"/>
    <cellStyle name="Note 7 6 4" xfId="44919"/>
    <cellStyle name="Note 7 6 4 2" xfId="44920"/>
    <cellStyle name="Note 7 6 5" xfId="44921"/>
    <cellStyle name="Note 7 6 5 2" xfId="44922"/>
    <cellStyle name="Note 7 6 6" xfId="44923"/>
    <cellStyle name="Note 7 7" xfId="44924"/>
    <cellStyle name="Note 7 7 2" xfId="44925"/>
    <cellStyle name="Note 7 7 2 2" xfId="44926"/>
    <cellStyle name="Note 7 7 2 2 2" xfId="44927"/>
    <cellStyle name="Note 7 7 2 2 2 2" xfId="44928"/>
    <cellStyle name="Note 7 7 2 2 3" xfId="44929"/>
    <cellStyle name="Note 7 7 2 3" xfId="44930"/>
    <cellStyle name="Note 7 7 2 3 2" xfId="44931"/>
    <cellStyle name="Note 7 7 2 4" xfId="44932"/>
    <cellStyle name="Note 7 7 3" xfId="44933"/>
    <cellStyle name="Note 7 7 3 2" xfId="44934"/>
    <cellStyle name="Note 7 7 3 2 2" xfId="44935"/>
    <cellStyle name="Note 7 7 3 3" xfId="44936"/>
    <cellStyle name="Note 7 7 4" xfId="44937"/>
    <cellStyle name="Note 7 7 4 2" xfId="44938"/>
    <cellStyle name="Note 7 7 5" xfId="44939"/>
    <cellStyle name="Note 7 7 5 2" xfId="44940"/>
    <cellStyle name="Note 7 7 6" xfId="44941"/>
    <cellStyle name="Note 7 8" xfId="44942"/>
    <cellStyle name="Note 7 8 2" xfId="44943"/>
    <cellStyle name="Note 7 8 2 2" xfId="44944"/>
    <cellStyle name="Note 7 8 2 2 2" xfId="44945"/>
    <cellStyle name="Note 7 8 2 3" xfId="44946"/>
    <cellStyle name="Note 7 8 3" xfId="44947"/>
    <cellStyle name="Note 7 8 3 2" xfId="44948"/>
    <cellStyle name="Note 7 8 4" xfId="44949"/>
    <cellStyle name="Note 7 9" xfId="44950"/>
    <cellStyle name="Note 7 9 2" xfId="44951"/>
    <cellStyle name="Note 7 9 2 2" xfId="44952"/>
    <cellStyle name="Note 7 9 3" xfId="44953"/>
    <cellStyle name="Note 8" xfId="44954"/>
    <cellStyle name="Note 8 10" xfId="44955"/>
    <cellStyle name="Note 8 10 2" xfId="44956"/>
    <cellStyle name="Note 8 11" xfId="44957"/>
    <cellStyle name="Note 8 2" xfId="44958"/>
    <cellStyle name="Note 8 2 2" xfId="44959"/>
    <cellStyle name="Note 8 2 2 2" xfId="44960"/>
    <cellStyle name="Note 8 2 2 2 2" xfId="44961"/>
    <cellStyle name="Note 8 2 2 2 2 2" xfId="44962"/>
    <cellStyle name="Note 8 2 2 2 2 2 2" xfId="44963"/>
    <cellStyle name="Note 8 2 2 2 2 3" xfId="44964"/>
    <cellStyle name="Note 8 2 2 2 3" xfId="44965"/>
    <cellStyle name="Note 8 2 2 2 3 2" xfId="44966"/>
    <cellStyle name="Note 8 2 2 2 4" xfId="44967"/>
    <cellStyle name="Note 8 2 2 3" xfId="44968"/>
    <cellStyle name="Note 8 2 2 3 2" xfId="44969"/>
    <cellStyle name="Note 8 2 2 3 2 2" xfId="44970"/>
    <cellStyle name="Note 8 2 2 3 3" xfId="44971"/>
    <cellStyle name="Note 8 2 2 4" xfId="44972"/>
    <cellStyle name="Note 8 2 2 4 2" xfId="44973"/>
    <cellStyle name="Note 8 2 2 5" xfId="44974"/>
    <cellStyle name="Note 8 2 2 5 2" xfId="44975"/>
    <cellStyle name="Note 8 2 2 6" xfId="44976"/>
    <cellStyle name="Note 8 2 3" xfId="44977"/>
    <cellStyle name="Note 8 2 3 2" xfId="44978"/>
    <cellStyle name="Note 8 2 3 2 2" xfId="44979"/>
    <cellStyle name="Note 8 2 3 2 2 2" xfId="44980"/>
    <cellStyle name="Note 8 2 3 2 2 2 2" xfId="44981"/>
    <cellStyle name="Note 8 2 3 2 2 3" xfId="44982"/>
    <cellStyle name="Note 8 2 3 2 3" xfId="44983"/>
    <cellStyle name="Note 8 2 3 2 3 2" xfId="44984"/>
    <cellStyle name="Note 8 2 3 2 4" xfId="44985"/>
    <cellStyle name="Note 8 2 3 3" xfId="44986"/>
    <cellStyle name="Note 8 2 3 3 2" xfId="44987"/>
    <cellStyle name="Note 8 2 3 3 2 2" xfId="44988"/>
    <cellStyle name="Note 8 2 3 3 3" xfId="44989"/>
    <cellStyle name="Note 8 2 3 4" xfId="44990"/>
    <cellStyle name="Note 8 2 3 4 2" xfId="44991"/>
    <cellStyle name="Note 8 2 3 5" xfId="44992"/>
    <cellStyle name="Note 8 2 3 5 2" xfId="44993"/>
    <cellStyle name="Note 8 2 3 6" xfId="44994"/>
    <cellStyle name="Note 8 2 4" xfId="44995"/>
    <cellStyle name="Note 8 2 4 2" xfId="44996"/>
    <cellStyle name="Note 8 2 4 2 2" xfId="44997"/>
    <cellStyle name="Note 8 2 4 2 2 2" xfId="44998"/>
    <cellStyle name="Note 8 2 4 2 3" xfId="44999"/>
    <cellStyle name="Note 8 2 4 3" xfId="45000"/>
    <cellStyle name="Note 8 2 4 3 2" xfId="45001"/>
    <cellStyle name="Note 8 2 4 4" xfId="45002"/>
    <cellStyle name="Note 8 2 5" xfId="45003"/>
    <cellStyle name="Note 8 2 5 2" xfId="45004"/>
    <cellStyle name="Note 8 2 5 2 2" xfId="45005"/>
    <cellStyle name="Note 8 2 5 3" xfId="45006"/>
    <cellStyle name="Note 8 2 6" xfId="45007"/>
    <cellStyle name="Note 8 2 6 2" xfId="45008"/>
    <cellStyle name="Note 8 2 7" xfId="45009"/>
    <cellStyle name="Note 8 2 7 2" xfId="45010"/>
    <cellStyle name="Note 8 2 8" xfId="45011"/>
    <cellStyle name="Note 8 3" xfId="45012"/>
    <cellStyle name="Note 8 3 2" xfId="45013"/>
    <cellStyle name="Note 8 3 2 2" xfId="45014"/>
    <cellStyle name="Note 8 3 2 2 2" xfId="45015"/>
    <cellStyle name="Note 8 3 2 2 2 2" xfId="45016"/>
    <cellStyle name="Note 8 3 2 2 2 2 2" xfId="45017"/>
    <cellStyle name="Note 8 3 2 2 2 3" xfId="45018"/>
    <cellStyle name="Note 8 3 2 2 3" xfId="45019"/>
    <cellStyle name="Note 8 3 2 2 3 2" xfId="45020"/>
    <cellStyle name="Note 8 3 2 2 4" xfId="45021"/>
    <cellStyle name="Note 8 3 2 3" xfId="45022"/>
    <cellStyle name="Note 8 3 2 3 2" xfId="45023"/>
    <cellStyle name="Note 8 3 2 3 2 2" xfId="45024"/>
    <cellStyle name="Note 8 3 2 3 3" xfId="45025"/>
    <cellStyle name="Note 8 3 2 4" xfId="45026"/>
    <cellStyle name="Note 8 3 2 4 2" xfId="45027"/>
    <cellStyle name="Note 8 3 2 5" xfId="45028"/>
    <cellStyle name="Note 8 3 2 5 2" xfId="45029"/>
    <cellStyle name="Note 8 3 2 6" xfId="45030"/>
    <cellStyle name="Note 8 3 3" xfId="45031"/>
    <cellStyle name="Note 8 3 3 2" xfId="45032"/>
    <cellStyle name="Note 8 3 3 2 2" xfId="45033"/>
    <cellStyle name="Note 8 3 3 2 2 2" xfId="45034"/>
    <cellStyle name="Note 8 3 3 2 2 2 2" xfId="45035"/>
    <cellStyle name="Note 8 3 3 2 2 3" xfId="45036"/>
    <cellStyle name="Note 8 3 3 2 3" xfId="45037"/>
    <cellStyle name="Note 8 3 3 2 3 2" xfId="45038"/>
    <cellStyle name="Note 8 3 3 2 4" xfId="45039"/>
    <cellStyle name="Note 8 3 3 3" xfId="45040"/>
    <cellStyle name="Note 8 3 3 3 2" xfId="45041"/>
    <cellStyle name="Note 8 3 3 3 2 2" xfId="45042"/>
    <cellStyle name="Note 8 3 3 3 3" xfId="45043"/>
    <cellStyle name="Note 8 3 3 4" xfId="45044"/>
    <cellStyle name="Note 8 3 3 4 2" xfId="45045"/>
    <cellStyle name="Note 8 3 3 5" xfId="45046"/>
    <cellStyle name="Note 8 3 3 5 2" xfId="45047"/>
    <cellStyle name="Note 8 3 3 6" xfId="45048"/>
    <cellStyle name="Note 8 3 4" xfId="45049"/>
    <cellStyle name="Note 8 3 4 2" xfId="45050"/>
    <cellStyle name="Note 8 3 4 2 2" xfId="45051"/>
    <cellStyle name="Note 8 3 4 2 2 2" xfId="45052"/>
    <cellStyle name="Note 8 3 4 2 3" xfId="45053"/>
    <cellStyle name="Note 8 3 4 3" xfId="45054"/>
    <cellStyle name="Note 8 3 4 3 2" xfId="45055"/>
    <cellStyle name="Note 8 3 4 4" xfId="45056"/>
    <cellStyle name="Note 8 3 5" xfId="45057"/>
    <cellStyle name="Note 8 3 5 2" xfId="45058"/>
    <cellStyle name="Note 8 3 5 2 2" xfId="45059"/>
    <cellStyle name="Note 8 3 5 3" xfId="45060"/>
    <cellStyle name="Note 8 3 6" xfId="45061"/>
    <cellStyle name="Note 8 3 6 2" xfId="45062"/>
    <cellStyle name="Note 8 3 7" xfId="45063"/>
    <cellStyle name="Note 8 3 7 2" xfId="45064"/>
    <cellStyle name="Note 8 3 8" xfId="45065"/>
    <cellStyle name="Note 8 4" xfId="45066"/>
    <cellStyle name="Note 8 4 2" xfId="45067"/>
    <cellStyle name="Note 8 4 2 2" xfId="45068"/>
    <cellStyle name="Note 8 4 2 2 2" xfId="45069"/>
    <cellStyle name="Note 8 4 2 2 2 2" xfId="45070"/>
    <cellStyle name="Note 8 4 2 2 3" xfId="45071"/>
    <cellStyle name="Note 8 4 2 3" xfId="45072"/>
    <cellStyle name="Note 8 4 2 3 2" xfId="45073"/>
    <cellStyle name="Note 8 4 2 4" xfId="45074"/>
    <cellStyle name="Note 8 4 3" xfId="45075"/>
    <cellStyle name="Note 8 4 3 2" xfId="45076"/>
    <cellStyle name="Note 8 4 3 2 2" xfId="45077"/>
    <cellStyle name="Note 8 4 3 3" xfId="45078"/>
    <cellStyle name="Note 8 4 4" xfId="45079"/>
    <cellStyle name="Note 8 4 4 2" xfId="45080"/>
    <cellStyle name="Note 8 4 5" xfId="45081"/>
    <cellStyle name="Note 8 4 5 2" xfId="45082"/>
    <cellStyle name="Note 8 4 6" xfId="45083"/>
    <cellStyle name="Note 8 5" xfId="45084"/>
    <cellStyle name="Note 8 5 2" xfId="45085"/>
    <cellStyle name="Note 8 5 2 2" xfId="45086"/>
    <cellStyle name="Note 8 5 2 2 2" xfId="45087"/>
    <cellStyle name="Note 8 5 2 2 2 2" xfId="45088"/>
    <cellStyle name="Note 8 5 2 2 3" xfId="45089"/>
    <cellStyle name="Note 8 5 2 3" xfId="45090"/>
    <cellStyle name="Note 8 5 2 3 2" xfId="45091"/>
    <cellStyle name="Note 8 5 2 4" xfId="45092"/>
    <cellStyle name="Note 8 5 3" xfId="45093"/>
    <cellStyle name="Note 8 5 3 2" xfId="45094"/>
    <cellStyle name="Note 8 5 3 2 2" xfId="45095"/>
    <cellStyle name="Note 8 5 3 3" xfId="45096"/>
    <cellStyle name="Note 8 5 4" xfId="45097"/>
    <cellStyle name="Note 8 5 4 2" xfId="45098"/>
    <cellStyle name="Note 8 5 5" xfId="45099"/>
    <cellStyle name="Note 8 5 5 2" xfId="45100"/>
    <cellStyle name="Note 8 5 6" xfId="45101"/>
    <cellStyle name="Note 8 6" xfId="45102"/>
    <cellStyle name="Note 8 6 2" xfId="45103"/>
    <cellStyle name="Note 8 6 2 2" xfId="45104"/>
    <cellStyle name="Note 8 6 2 2 2" xfId="45105"/>
    <cellStyle name="Note 8 6 2 2 2 2" xfId="45106"/>
    <cellStyle name="Note 8 6 2 2 3" xfId="45107"/>
    <cellStyle name="Note 8 6 2 3" xfId="45108"/>
    <cellStyle name="Note 8 6 2 3 2" xfId="45109"/>
    <cellStyle name="Note 8 6 2 4" xfId="45110"/>
    <cellStyle name="Note 8 6 3" xfId="45111"/>
    <cellStyle name="Note 8 6 3 2" xfId="45112"/>
    <cellStyle name="Note 8 6 3 2 2" xfId="45113"/>
    <cellStyle name="Note 8 6 3 3" xfId="45114"/>
    <cellStyle name="Note 8 6 4" xfId="45115"/>
    <cellStyle name="Note 8 6 4 2" xfId="45116"/>
    <cellStyle name="Note 8 6 5" xfId="45117"/>
    <cellStyle name="Note 8 6 5 2" xfId="45118"/>
    <cellStyle name="Note 8 6 6" xfId="45119"/>
    <cellStyle name="Note 8 7" xfId="45120"/>
    <cellStyle name="Note 8 7 2" xfId="45121"/>
    <cellStyle name="Note 8 7 2 2" xfId="45122"/>
    <cellStyle name="Note 8 7 2 2 2" xfId="45123"/>
    <cellStyle name="Note 8 7 2 3" xfId="45124"/>
    <cellStyle name="Note 8 7 3" xfId="45125"/>
    <cellStyle name="Note 8 7 3 2" xfId="45126"/>
    <cellStyle name="Note 8 7 4" xfId="45127"/>
    <cellStyle name="Note 8 8" xfId="45128"/>
    <cellStyle name="Note 8 8 2" xfId="45129"/>
    <cellStyle name="Note 8 8 2 2" xfId="45130"/>
    <cellStyle name="Note 8 8 3" xfId="45131"/>
    <cellStyle name="Note 8 9" xfId="45132"/>
    <cellStyle name="Note 8 9 2" xfId="45133"/>
    <cellStyle name="Note 9" xfId="45134"/>
    <cellStyle name="Note 9 10" xfId="45135"/>
    <cellStyle name="Note 9 10 2" xfId="45136"/>
    <cellStyle name="Note 9 11" xfId="45137"/>
    <cellStyle name="Note 9 2" xfId="45138"/>
    <cellStyle name="Note 9 2 2" xfId="45139"/>
    <cellStyle name="Note 9 2 2 2" xfId="45140"/>
    <cellStyle name="Note 9 2 2 2 2" xfId="45141"/>
    <cellStyle name="Note 9 2 2 2 2 2" xfId="45142"/>
    <cellStyle name="Note 9 2 2 2 2 2 2" xfId="45143"/>
    <cellStyle name="Note 9 2 2 2 2 3" xfId="45144"/>
    <cellStyle name="Note 9 2 2 2 3" xfId="45145"/>
    <cellStyle name="Note 9 2 2 2 3 2" xfId="45146"/>
    <cellStyle name="Note 9 2 2 2 4" xfId="45147"/>
    <cellStyle name="Note 9 2 2 3" xfId="45148"/>
    <cellStyle name="Note 9 2 2 3 2" xfId="45149"/>
    <cellStyle name="Note 9 2 2 3 2 2" xfId="45150"/>
    <cellStyle name="Note 9 2 2 3 3" xfId="45151"/>
    <cellStyle name="Note 9 2 2 4" xfId="45152"/>
    <cellStyle name="Note 9 2 2 4 2" xfId="45153"/>
    <cellStyle name="Note 9 2 2 5" xfId="45154"/>
    <cellStyle name="Note 9 2 2 5 2" xfId="45155"/>
    <cellStyle name="Note 9 2 2 6" xfId="45156"/>
    <cellStyle name="Note 9 2 3" xfId="45157"/>
    <cellStyle name="Note 9 2 3 2" xfId="45158"/>
    <cellStyle name="Note 9 2 3 2 2" xfId="45159"/>
    <cellStyle name="Note 9 2 3 2 2 2" xfId="45160"/>
    <cellStyle name="Note 9 2 3 2 2 2 2" xfId="45161"/>
    <cellStyle name="Note 9 2 3 2 2 3" xfId="45162"/>
    <cellStyle name="Note 9 2 3 2 3" xfId="45163"/>
    <cellStyle name="Note 9 2 3 2 3 2" xfId="45164"/>
    <cellStyle name="Note 9 2 3 2 4" xfId="45165"/>
    <cellStyle name="Note 9 2 3 3" xfId="45166"/>
    <cellStyle name="Note 9 2 3 3 2" xfId="45167"/>
    <cellStyle name="Note 9 2 3 3 2 2" xfId="45168"/>
    <cellStyle name="Note 9 2 3 3 3" xfId="45169"/>
    <cellStyle name="Note 9 2 3 4" xfId="45170"/>
    <cellStyle name="Note 9 2 3 4 2" xfId="45171"/>
    <cellStyle name="Note 9 2 3 5" xfId="45172"/>
    <cellStyle name="Note 9 2 3 5 2" xfId="45173"/>
    <cellStyle name="Note 9 2 3 6" xfId="45174"/>
    <cellStyle name="Note 9 2 4" xfId="45175"/>
    <cellStyle name="Note 9 2 4 2" xfId="45176"/>
    <cellStyle name="Note 9 2 4 2 2" xfId="45177"/>
    <cellStyle name="Note 9 2 4 2 2 2" xfId="45178"/>
    <cellStyle name="Note 9 2 4 2 3" xfId="45179"/>
    <cellStyle name="Note 9 2 4 3" xfId="45180"/>
    <cellStyle name="Note 9 2 4 3 2" xfId="45181"/>
    <cellStyle name="Note 9 2 4 4" xfId="45182"/>
    <cellStyle name="Note 9 2 5" xfId="45183"/>
    <cellStyle name="Note 9 2 5 2" xfId="45184"/>
    <cellStyle name="Note 9 2 5 2 2" xfId="45185"/>
    <cellStyle name="Note 9 2 5 3" xfId="45186"/>
    <cellStyle name="Note 9 2 6" xfId="45187"/>
    <cellStyle name="Note 9 2 6 2" xfId="45188"/>
    <cellStyle name="Note 9 2 7" xfId="45189"/>
    <cellStyle name="Note 9 2 7 2" xfId="45190"/>
    <cellStyle name="Note 9 2 8" xfId="45191"/>
    <cellStyle name="Note 9 3" xfId="45192"/>
    <cellStyle name="Note 9 3 2" xfId="45193"/>
    <cellStyle name="Note 9 3 2 2" xfId="45194"/>
    <cellStyle name="Note 9 3 2 2 2" xfId="45195"/>
    <cellStyle name="Note 9 3 2 2 2 2" xfId="45196"/>
    <cellStyle name="Note 9 3 2 2 2 2 2" xfId="45197"/>
    <cellStyle name="Note 9 3 2 2 2 3" xfId="45198"/>
    <cellStyle name="Note 9 3 2 2 3" xfId="45199"/>
    <cellStyle name="Note 9 3 2 2 3 2" xfId="45200"/>
    <cellStyle name="Note 9 3 2 2 4" xfId="45201"/>
    <cellStyle name="Note 9 3 2 3" xfId="45202"/>
    <cellStyle name="Note 9 3 2 3 2" xfId="45203"/>
    <cellStyle name="Note 9 3 2 3 2 2" xfId="45204"/>
    <cellStyle name="Note 9 3 2 3 3" xfId="45205"/>
    <cellStyle name="Note 9 3 2 4" xfId="45206"/>
    <cellStyle name="Note 9 3 2 4 2" xfId="45207"/>
    <cellStyle name="Note 9 3 2 5" xfId="45208"/>
    <cellStyle name="Note 9 3 2 5 2" xfId="45209"/>
    <cellStyle name="Note 9 3 2 6" xfId="45210"/>
    <cellStyle name="Note 9 3 3" xfId="45211"/>
    <cellStyle name="Note 9 3 3 2" xfId="45212"/>
    <cellStyle name="Note 9 3 3 2 2" xfId="45213"/>
    <cellStyle name="Note 9 3 3 2 2 2" xfId="45214"/>
    <cellStyle name="Note 9 3 3 2 2 2 2" xfId="45215"/>
    <cellStyle name="Note 9 3 3 2 2 3" xfId="45216"/>
    <cellStyle name="Note 9 3 3 2 3" xfId="45217"/>
    <cellStyle name="Note 9 3 3 2 3 2" xfId="45218"/>
    <cellStyle name="Note 9 3 3 2 4" xfId="45219"/>
    <cellStyle name="Note 9 3 3 3" xfId="45220"/>
    <cellStyle name="Note 9 3 3 3 2" xfId="45221"/>
    <cellStyle name="Note 9 3 3 3 2 2" xfId="45222"/>
    <cellStyle name="Note 9 3 3 3 3" xfId="45223"/>
    <cellStyle name="Note 9 3 3 4" xfId="45224"/>
    <cellStyle name="Note 9 3 3 4 2" xfId="45225"/>
    <cellStyle name="Note 9 3 3 5" xfId="45226"/>
    <cellStyle name="Note 9 3 3 5 2" xfId="45227"/>
    <cellStyle name="Note 9 3 3 6" xfId="45228"/>
    <cellStyle name="Note 9 3 4" xfId="45229"/>
    <cellStyle name="Note 9 3 4 2" xfId="45230"/>
    <cellStyle name="Note 9 3 4 2 2" xfId="45231"/>
    <cellStyle name="Note 9 3 4 2 2 2" xfId="45232"/>
    <cellStyle name="Note 9 3 4 2 3" xfId="45233"/>
    <cellStyle name="Note 9 3 4 3" xfId="45234"/>
    <cellStyle name="Note 9 3 4 3 2" xfId="45235"/>
    <cellStyle name="Note 9 3 4 4" xfId="45236"/>
    <cellStyle name="Note 9 3 5" xfId="45237"/>
    <cellStyle name="Note 9 3 5 2" xfId="45238"/>
    <cellStyle name="Note 9 3 5 2 2" xfId="45239"/>
    <cellStyle name="Note 9 3 5 3" xfId="45240"/>
    <cellStyle name="Note 9 3 6" xfId="45241"/>
    <cellStyle name="Note 9 3 6 2" xfId="45242"/>
    <cellStyle name="Note 9 3 7" xfId="45243"/>
    <cellStyle name="Note 9 3 7 2" xfId="45244"/>
    <cellStyle name="Note 9 3 8" xfId="45245"/>
    <cellStyle name="Note 9 4" xfId="45246"/>
    <cellStyle name="Note 9 4 2" xfId="45247"/>
    <cellStyle name="Note 9 4 2 2" xfId="45248"/>
    <cellStyle name="Note 9 4 2 2 2" xfId="45249"/>
    <cellStyle name="Note 9 4 2 2 2 2" xfId="45250"/>
    <cellStyle name="Note 9 4 2 2 3" xfId="45251"/>
    <cellStyle name="Note 9 4 2 3" xfId="45252"/>
    <cellStyle name="Note 9 4 2 3 2" xfId="45253"/>
    <cellStyle name="Note 9 4 2 4" xfId="45254"/>
    <cellStyle name="Note 9 4 3" xfId="45255"/>
    <cellStyle name="Note 9 4 3 2" xfId="45256"/>
    <cellStyle name="Note 9 4 3 2 2" xfId="45257"/>
    <cellStyle name="Note 9 4 3 3" xfId="45258"/>
    <cellStyle name="Note 9 4 4" xfId="45259"/>
    <cellStyle name="Note 9 4 4 2" xfId="45260"/>
    <cellStyle name="Note 9 4 5" xfId="45261"/>
    <cellStyle name="Note 9 4 5 2" xfId="45262"/>
    <cellStyle name="Note 9 4 6" xfId="45263"/>
    <cellStyle name="Note 9 5" xfId="45264"/>
    <cellStyle name="Note 9 5 2" xfId="45265"/>
    <cellStyle name="Note 9 5 2 2" xfId="45266"/>
    <cellStyle name="Note 9 5 2 2 2" xfId="45267"/>
    <cellStyle name="Note 9 5 2 2 2 2" xfId="45268"/>
    <cellStyle name="Note 9 5 2 2 3" xfId="45269"/>
    <cellStyle name="Note 9 5 2 3" xfId="45270"/>
    <cellStyle name="Note 9 5 2 3 2" xfId="45271"/>
    <cellStyle name="Note 9 5 2 4" xfId="45272"/>
    <cellStyle name="Note 9 5 3" xfId="45273"/>
    <cellStyle name="Note 9 5 3 2" xfId="45274"/>
    <cellStyle name="Note 9 5 3 2 2" xfId="45275"/>
    <cellStyle name="Note 9 5 3 3" xfId="45276"/>
    <cellStyle name="Note 9 5 4" xfId="45277"/>
    <cellStyle name="Note 9 5 4 2" xfId="45278"/>
    <cellStyle name="Note 9 5 5" xfId="45279"/>
    <cellStyle name="Note 9 5 5 2" xfId="45280"/>
    <cellStyle name="Note 9 5 6" xfId="45281"/>
    <cellStyle name="Note 9 6" xfId="45282"/>
    <cellStyle name="Note 9 6 2" xfId="45283"/>
    <cellStyle name="Note 9 6 2 2" xfId="45284"/>
    <cellStyle name="Note 9 6 2 2 2" xfId="45285"/>
    <cellStyle name="Note 9 6 2 2 2 2" xfId="45286"/>
    <cellStyle name="Note 9 6 2 2 3" xfId="45287"/>
    <cellStyle name="Note 9 6 2 3" xfId="45288"/>
    <cellStyle name="Note 9 6 2 3 2" xfId="45289"/>
    <cellStyle name="Note 9 6 2 4" xfId="45290"/>
    <cellStyle name="Note 9 6 3" xfId="45291"/>
    <cellStyle name="Note 9 6 3 2" xfId="45292"/>
    <cellStyle name="Note 9 6 3 2 2" xfId="45293"/>
    <cellStyle name="Note 9 6 3 3" xfId="45294"/>
    <cellStyle name="Note 9 6 4" xfId="45295"/>
    <cellStyle name="Note 9 6 4 2" xfId="45296"/>
    <cellStyle name="Note 9 6 5" xfId="45297"/>
    <cellStyle name="Note 9 6 5 2" xfId="45298"/>
    <cellStyle name="Note 9 6 6" xfId="45299"/>
    <cellStyle name="Note 9 7" xfId="45300"/>
    <cellStyle name="Note 9 7 2" xfId="45301"/>
    <cellStyle name="Note 9 7 2 2" xfId="45302"/>
    <cellStyle name="Note 9 7 2 2 2" xfId="45303"/>
    <cellStyle name="Note 9 7 2 3" xfId="45304"/>
    <cellStyle name="Note 9 7 3" xfId="45305"/>
    <cellStyle name="Note 9 7 3 2" xfId="45306"/>
    <cellStyle name="Note 9 7 4" xfId="45307"/>
    <cellStyle name="Note 9 8" xfId="45308"/>
    <cellStyle name="Note 9 8 2" xfId="45309"/>
    <cellStyle name="Note 9 8 2 2" xfId="45310"/>
    <cellStyle name="Note 9 8 3" xfId="45311"/>
    <cellStyle name="Note 9 9" xfId="45312"/>
    <cellStyle name="Note 9 9 2" xfId="45313"/>
    <cellStyle name="Number" xfId="482"/>
    <cellStyle name="Number Input" xfId="483"/>
    <cellStyle name="Number Total" xfId="484"/>
    <cellStyle name="Number." xfId="248"/>
    <cellStyle name="Number. 2" xfId="303"/>
    <cellStyle name="NumberWholeUnlocked" xfId="485"/>
    <cellStyle name="Output 2" xfId="45314"/>
    <cellStyle name="Output 3" xfId="45315"/>
    <cellStyle name="Output 3 2" xfId="45316"/>
    <cellStyle name="Output 4" xfId="45317"/>
    <cellStyle name="Output Amounts" xfId="145"/>
    <cellStyle name="OUTPUT AMOUNTS 2" xfId="486"/>
    <cellStyle name="Output Column Headings" xfId="146"/>
    <cellStyle name="Output Company Name" xfId="487"/>
    <cellStyle name="Output Forecast Currency" xfId="488"/>
    <cellStyle name="Output Forecast Date" xfId="489"/>
    <cellStyle name="Output Forecast Multiple" xfId="490"/>
    <cellStyle name="Output Forecast Number" xfId="491"/>
    <cellStyle name="Output Forecast Percentage" xfId="492"/>
    <cellStyle name="Output Forecast Period Title" xfId="493"/>
    <cellStyle name="Output Forecast Year" xfId="494"/>
    <cellStyle name="Output Heading 1" xfId="495"/>
    <cellStyle name="Output Heading 2" xfId="496"/>
    <cellStyle name="Output Heading 3" xfId="497"/>
    <cellStyle name="Output Heading 4" xfId="498"/>
    <cellStyle name="Output Line Items" xfId="147"/>
    <cellStyle name="Output Middle Currency" xfId="499"/>
    <cellStyle name="Output Middle Date" xfId="500"/>
    <cellStyle name="Output Middle Multiple" xfId="501"/>
    <cellStyle name="Output Middle Number" xfId="502"/>
    <cellStyle name="Output Middle Percentage" xfId="503"/>
    <cellStyle name="Output Middle Title / Name" xfId="504"/>
    <cellStyle name="Output Middle Year" xfId="505"/>
    <cellStyle name="Output Report Heading" xfId="148"/>
    <cellStyle name="Output Report Title" xfId="149"/>
    <cellStyle name="Output Sheet Title" xfId="506"/>
    <cellStyle name="Page Number" xfId="507"/>
    <cellStyle name="Percent" xfId="150" builtinId="5"/>
    <cellStyle name="Percent [2]" xfId="151"/>
    <cellStyle name="Percent 10" xfId="152"/>
    <cellStyle name="Percent 11" xfId="153"/>
    <cellStyle name="Percent 12" xfId="154"/>
    <cellStyle name="Percent 13" xfId="155"/>
    <cellStyle name="Percent 14" xfId="156"/>
    <cellStyle name="Percent 15" xfId="157"/>
    <cellStyle name="Percent 16" xfId="158"/>
    <cellStyle name="Percent 17" xfId="159"/>
    <cellStyle name="Percent 18" xfId="45464"/>
    <cellStyle name="Percent 2" xfId="160"/>
    <cellStyle name="Percent 2 2" xfId="161"/>
    <cellStyle name="Percent 2 2 2" xfId="45318"/>
    <cellStyle name="Percent 2 2 2 2" xfId="45319"/>
    <cellStyle name="Percent 2 2 2 3" xfId="45320"/>
    <cellStyle name="Percent 2 2 2 4" xfId="45321"/>
    <cellStyle name="Percent 2 2 3" xfId="45322"/>
    <cellStyle name="Percent 2 2 4" xfId="45323"/>
    <cellStyle name="Percent 2 2 4 2" xfId="45324"/>
    <cellStyle name="Percent 2 2 5" xfId="45325"/>
    <cellStyle name="Percent 2 2 6" xfId="623"/>
    <cellStyle name="Percent 2 2 7" xfId="337"/>
    <cellStyle name="Percent 2 3" xfId="162"/>
    <cellStyle name="Percent 2 3 2" xfId="45327"/>
    <cellStyle name="Percent 2 3 3" xfId="45326"/>
    <cellStyle name="Percent 2 3 4" xfId="335"/>
    <cellStyle name="Percent 2 4" xfId="163"/>
    <cellStyle name="Percent 2 4 2" xfId="45329"/>
    <cellStyle name="Percent 2 4 2 2" xfId="45330"/>
    <cellStyle name="Percent 2 4 2 3" xfId="45331"/>
    <cellStyle name="Percent 2 4 3" xfId="45332"/>
    <cellStyle name="Percent 2 4 3 2" xfId="45333"/>
    <cellStyle name="Percent 2 4 4" xfId="45334"/>
    <cellStyle name="Percent 2 4 4 2" xfId="45335"/>
    <cellStyle name="Percent 2 4 5" xfId="45336"/>
    <cellStyle name="Percent 2 4 6" xfId="45328"/>
    <cellStyle name="Percent 2 5" xfId="45337"/>
    <cellStyle name="Percent 2 6" xfId="45338"/>
    <cellStyle name="Percent 2 7" xfId="249"/>
    <cellStyle name="Percent 3" xfId="164"/>
    <cellStyle name="Percent 3 2" xfId="165"/>
    <cellStyle name="Percent 3 3" xfId="166"/>
    <cellStyle name="Percent 3 3 2" xfId="167"/>
    <cellStyle name="Percent 3 3 3" xfId="168"/>
    <cellStyle name="Percent 3 4" xfId="508"/>
    <cellStyle name="Percent 4" xfId="169"/>
    <cellStyle name="Percent 4 2" xfId="170"/>
    <cellStyle name="Percent 4 3" xfId="624"/>
    <cellStyle name="Percent 5" xfId="171"/>
    <cellStyle name="Percent 5 2" xfId="172"/>
    <cellStyle name="Percent 6" xfId="173"/>
    <cellStyle name="Percent 6 2" xfId="45339"/>
    <cellStyle name="Percent 7" xfId="174"/>
    <cellStyle name="Percent 8" xfId="175"/>
    <cellStyle name="Percent 8 2" xfId="45430"/>
    <cellStyle name="Percent 9" xfId="176"/>
    <cellStyle name="Percent 9 2" xfId="45456"/>
    <cellStyle name="Percent Input" xfId="509"/>
    <cellStyle name="Percentage." xfId="250"/>
    <cellStyle name="Percentage. 2" xfId="304"/>
    <cellStyle name="Period Title" xfId="177"/>
    <cellStyle name="Period Title." xfId="251"/>
    <cellStyle name="Period Title. 2" xfId="305"/>
    <cellStyle name="Period Title_Book3 (2)" xfId="510"/>
    <cellStyle name="Presentation Currency" xfId="178"/>
    <cellStyle name="Presentation Currency 2" xfId="511"/>
    <cellStyle name="Presentation Currency." xfId="252"/>
    <cellStyle name="Presentation Currency. 2" xfId="306"/>
    <cellStyle name="Presentation Currency_20110216 Corp Capex Workingsv4" xfId="512"/>
    <cellStyle name="Presentation Date" xfId="179"/>
    <cellStyle name="Presentation Date 2" xfId="513"/>
    <cellStyle name="Presentation Date." xfId="253"/>
    <cellStyle name="Presentation Date. 2" xfId="307"/>
    <cellStyle name="Presentation Date_20110216 Corp Capex Workingsv4" xfId="514"/>
    <cellStyle name="Presentation Heading 1" xfId="180"/>
    <cellStyle name="Presentation Heading 1 2" xfId="515"/>
    <cellStyle name="Presentation Heading 1." xfId="254"/>
    <cellStyle name="Presentation Heading 1. 2" xfId="308"/>
    <cellStyle name="Presentation Heading 1_20110216 Corp Capex Workingsv4" xfId="516"/>
    <cellStyle name="Presentation Heading 2" xfId="181"/>
    <cellStyle name="Presentation Heading 2 2" xfId="517"/>
    <cellStyle name="Presentation Heading 2." xfId="255"/>
    <cellStyle name="Presentation Heading 2. 2" xfId="309"/>
    <cellStyle name="Presentation Heading 2_20110216 Corp Capex Workingsv4" xfId="518"/>
    <cellStyle name="Presentation Heading 3" xfId="182"/>
    <cellStyle name="Presentation Heading 3 2" xfId="519"/>
    <cellStyle name="Presentation Heading 3." xfId="256"/>
    <cellStyle name="Presentation Heading 3. 2" xfId="310"/>
    <cellStyle name="Presentation Heading 3_20110216 Corp Capex Workingsv4" xfId="520"/>
    <cellStyle name="Presentation Heading 4" xfId="183"/>
    <cellStyle name="Presentation Heading 4 2" xfId="521"/>
    <cellStyle name="Presentation Heading 4." xfId="257"/>
    <cellStyle name="Presentation Heading 4. 2" xfId="311"/>
    <cellStyle name="Presentation Heading 4_20110216 Corp Capex Workingsv4" xfId="522"/>
    <cellStyle name="Presentation Hyperlink Arrow" xfId="184"/>
    <cellStyle name="Presentation Hyperlink Arrow 2" xfId="523"/>
    <cellStyle name="Presentation Hyperlink Arrow." xfId="258"/>
    <cellStyle name="Presentation Hyperlink Arrow_20110216 Corp Capex Workingsv4" xfId="524"/>
    <cellStyle name="Presentation Hyperlink Check" xfId="185"/>
    <cellStyle name="Presentation Hyperlink Check 2" xfId="525"/>
    <cellStyle name="Presentation Hyperlink Check." xfId="259"/>
    <cellStyle name="Presentation Hyperlink Check_20110216 Corp Capex Workingsv4" xfId="526"/>
    <cellStyle name="Presentation Hyperlink Text" xfId="186"/>
    <cellStyle name="Presentation Hyperlink Text 2" xfId="527"/>
    <cellStyle name="Presentation Hyperlink Text." xfId="260"/>
    <cellStyle name="Presentation Hyperlink Text. 2" xfId="312"/>
    <cellStyle name="Presentation Hyperlink Text_20110216 Corp Capex Workingsv4" xfId="528"/>
    <cellStyle name="Presentation Model Name" xfId="187"/>
    <cellStyle name="Presentation Model Name 2" xfId="529"/>
    <cellStyle name="Presentation Model Name." xfId="261"/>
    <cellStyle name="Presentation Model Name. 2" xfId="313"/>
    <cellStyle name="Presentation Model Name_20110216 Corp Capex Workingsv4" xfId="530"/>
    <cellStyle name="Presentation Multiple" xfId="188"/>
    <cellStyle name="Presentation Multiple 2" xfId="531"/>
    <cellStyle name="Presentation Multiple." xfId="262"/>
    <cellStyle name="Presentation Multiple. 2" xfId="314"/>
    <cellStyle name="Presentation Multiple_20110216 Corp Capex Workingsv4" xfId="532"/>
    <cellStyle name="Presentation Normal" xfId="189"/>
    <cellStyle name="Presentation Normal 2" xfId="533"/>
    <cellStyle name="Presentation Normal." xfId="263"/>
    <cellStyle name="Presentation Normal. 2" xfId="315"/>
    <cellStyle name="Presentation Normal_20110216 Corp Capex Workingsv4" xfId="534"/>
    <cellStyle name="Presentation Number" xfId="190"/>
    <cellStyle name="Presentation Number 2" xfId="535"/>
    <cellStyle name="Presentation Number." xfId="264"/>
    <cellStyle name="Presentation Number. 2" xfId="316"/>
    <cellStyle name="Presentation Number_20110216 Corp Capex Workingsv4" xfId="536"/>
    <cellStyle name="Presentation Percentage" xfId="191"/>
    <cellStyle name="Presentation Percentage 2" xfId="537"/>
    <cellStyle name="Presentation Percentage." xfId="265"/>
    <cellStyle name="Presentation Percentage. 2" xfId="317"/>
    <cellStyle name="Presentation Percentage_20110216 Corp Capex Workingsv4" xfId="538"/>
    <cellStyle name="Presentation Period Title" xfId="192"/>
    <cellStyle name="Presentation Period Title 2" xfId="539"/>
    <cellStyle name="Presentation Period Title." xfId="266"/>
    <cellStyle name="Presentation Period Title. 2" xfId="318"/>
    <cellStyle name="Presentation Period Title_20110216 Corp Capex Workingsv4" xfId="540"/>
    <cellStyle name="Presentation Section Number" xfId="193"/>
    <cellStyle name="Presentation Section Number 2" xfId="541"/>
    <cellStyle name="Presentation Section Number." xfId="267"/>
    <cellStyle name="Presentation Section Number. 2" xfId="319"/>
    <cellStyle name="Presentation Section Number_20110216 Corp Capex Workingsv4" xfId="542"/>
    <cellStyle name="Presentation Sheet Title" xfId="194"/>
    <cellStyle name="Presentation Sheet Title 2" xfId="543"/>
    <cellStyle name="Presentation Sheet Title." xfId="268"/>
    <cellStyle name="Presentation Sheet Title. 2" xfId="320"/>
    <cellStyle name="Presentation Sheet Title_20110216 Corp Capex Workingsv4" xfId="544"/>
    <cellStyle name="Presentation Sub Total." xfId="269"/>
    <cellStyle name="Presentation Sub Total. 2" xfId="321"/>
    <cellStyle name="Presentation TOC 1." xfId="270"/>
    <cellStyle name="Presentation TOC 2." xfId="271"/>
    <cellStyle name="Presentation TOC 2. 2" xfId="322"/>
    <cellStyle name="Presentation TOC 3." xfId="272"/>
    <cellStyle name="Presentation TOC 3. 2" xfId="323"/>
    <cellStyle name="Presentation TOC 4." xfId="273"/>
    <cellStyle name="Presentation TOC 4. 2" xfId="324"/>
    <cellStyle name="Presentation Year" xfId="195"/>
    <cellStyle name="Presentation Year 2" xfId="545"/>
    <cellStyle name="Presentation Year." xfId="274"/>
    <cellStyle name="Presentation Year. 2" xfId="325"/>
    <cellStyle name="Presentation Year_20110216 Corp Capex Workingsv4" xfId="546"/>
    <cellStyle name="PSChar" xfId="196"/>
    <cellStyle name="PSChar 2" xfId="45340"/>
    <cellStyle name="PSChar 3" xfId="45341"/>
    <cellStyle name="PSChar 3 2" xfId="45342"/>
    <cellStyle name="PSChar 3 2 2" xfId="45343"/>
    <cellStyle name="PSChar 3 2 3" xfId="45344"/>
    <cellStyle name="PSChar 3 3" xfId="45345"/>
    <cellStyle name="PSChar 3 3 2" xfId="45346"/>
    <cellStyle name="PSChar 3 4" xfId="45347"/>
    <cellStyle name="PSChar 3 4 2" xfId="45348"/>
    <cellStyle name="PSChar 3 5" xfId="45349"/>
    <cellStyle name="PSChar 4" xfId="45350"/>
    <cellStyle name="PSDate" xfId="197"/>
    <cellStyle name="PSDate 2" xfId="45351"/>
    <cellStyle name="PSDate 3" xfId="45352"/>
    <cellStyle name="PSDate 3 2" xfId="45353"/>
    <cellStyle name="PSDate 3 2 2" xfId="45354"/>
    <cellStyle name="PSDate 3 2 3" xfId="45355"/>
    <cellStyle name="PSDate 3 3" xfId="45356"/>
    <cellStyle name="PSDate 3 3 2" xfId="45357"/>
    <cellStyle name="PSDate 3 4" xfId="45358"/>
    <cellStyle name="PSDate 3 4 2" xfId="45359"/>
    <cellStyle name="PSDate 3 5" xfId="45360"/>
    <cellStyle name="PSDate 4" xfId="45361"/>
    <cellStyle name="PSDec" xfId="198"/>
    <cellStyle name="PSDec 2" xfId="45362"/>
    <cellStyle name="PSDec 3" xfId="45363"/>
    <cellStyle name="PSDec 3 2" xfId="45364"/>
    <cellStyle name="PSDec 3 2 2" xfId="45365"/>
    <cellStyle name="PSDec 3 2 3" xfId="45366"/>
    <cellStyle name="PSDec 3 3" xfId="45367"/>
    <cellStyle name="PSDec 3 3 2" xfId="45368"/>
    <cellStyle name="PSDec 3 4" xfId="45369"/>
    <cellStyle name="PSDec 3 4 2" xfId="45370"/>
    <cellStyle name="PSDec 3 5" xfId="45371"/>
    <cellStyle name="PSDec 4" xfId="45372"/>
    <cellStyle name="PSHeading" xfId="199"/>
    <cellStyle name="PSHeading 2" xfId="45373"/>
    <cellStyle name="PSHeading 3" xfId="45374"/>
    <cellStyle name="PSHeading 3 2" xfId="45375"/>
    <cellStyle name="PSHeading 3 2 2" xfId="45376"/>
    <cellStyle name="PSHeading 3 2 3" xfId="45377"/>
    <cellStyle name="PSHeading 3 3" xfId="45378"/>
    <cellStyle name="PSHeading 3 3 2" xfId="45379"/>
    <cellStyle name="PSHeading 3 4" xfId="45380"/>
    <cellStyle name="PSHeading 3 4 2" xfId="45381"/>
    <cellStyle name="PSHeading 3 5" xfId="45382"/>
    <cellStyle name="PSHeading 4" xfId="45383"/>
    <cellStyle name="PSInt" xfId="200"/>
    <cellStyle name="PSInt 2" xfId="45384"/>
    <cellStyle name="PSInt 3" xfId="45385"/>
    <cellStyle name="PSInt 3 2" xfId="45386"/>
    <cellStyle name="PSInt 3 2 2" xfId="45387"/>
    <cellStyle name="PSInt 3 2 3" xfId="45388"/>
    <cellStyle name="PSInt 3 3" xfId="45389"/>
    <cellStyle name="PSInt 3 3 2" xfId="45390"/>
    <cellStyle name="PSInt 3 4" xfId="45391"/>
    <cellStyle name="PSInt 3 4 2" xfId="45392"/>
    <cellStyle name="PSInt 3 5" xfId="45393"/>
    <cellStyle name="PSInt 4" xfId="45394"/>
    <cellStyle name="PSSpacer" xfId="201"/>
    <cellStyle name="PSSpacer 2" xfId="45395"/>
    <cellStyle name="PSSpacer 3" xfId="45396"/>
    <cellStyle name="PSSpacer 3 2" xfId="45397"/>
    <cellStyle name="PSSpacer 3 2 2" xfId="45398"/>
    <cellStyle name="PSSpacer 3 2 3" xfId="45399"/>
    <cellStyle name="PSSpacer 3 3" xfId="45400"/>
    <cellStyle name="PSSpacer 3 3 2" xfId="45401"/>
    <cellStyle name="PSSpacer 3 4" xfId="45402"/>
    <cellStyle name="PSSpacer 3 4 2" xfId="45403"/>
    <cellStyle name="PSSpacer 3 5" xfId="45404"/>
    <cellStyle name="PSSpacer 4" xfId="45405"/>
    <cellStyle name="Right Currency" xfId="202"/>
    <cellStyle name="Right Currency 2" xfId="45406"/>
    <cellStyle name="Right Currency 3" xfId="547"/>
    <cellStyle name="Right Date" xfId="203"/>
    <cellStyle name="Right Date 2" xfId="45407"/>
    <cellStyle name="Right Date 3" xfId="548"/>
    <cellStyle name="Right Multiple" xfId="204"/>
    <cellStyle name="Right Multiple 2" xfId="45408"/>
    <cellStyle name="Right Multiple 3" xfId="549"/>
    <cellStyle name="Right Number" xfId="205"/>
    <cellStyle name="Right Number 2" xfId="45409"/>
    <cellStyle name="Right Number 3" xfId="550"/>
    <cellStyle name="Right Percentage" xfId="206"/>
    <cellStyle name="Right Percentage 2" xfId="45410"/>
    <cellStyle name="Right Percentage 3" xfId="551"/>
    <cellStyle name="Right Year" xfId="207"/>
    <cellStyle name="Right Year 2" xfId="45411"/>
    <cellStyle name="Right Year 3" xfId="552"/>
    <cellStyle name="Section Number" xfId="208"/>
    <cellStyle name="Section Number 2" xfId="45412"/>
    <cellStyle name="Section Number 3" xfId="553"/>
    <cellStyle name="Section Number." xfId="275"/>
    <cellStyle name="Section Number. 2" xfId="326"/>
    <cellStyle name="Section Number_20110216 Corp Capex Workingsv4" xfId="554"/>
    <cellStyle name="Sheet Title" xfId="209"/>
    <cellStyle name="Sheet Title 2" xfId="45413"/>
    <cellStyle name="Sheet Title 3" xfId="45431"/>
    <cellStyle name="Sheet Title 4" xfId="555"/>
    <cellStyle name="Sheet Title." xfId="276"/>
    <cellStyle name="Sheet Title. 2" xfId="327"/>
    <cellStyle name="Sheet Title_20110216 Corp Capex Workingsv4" xfId="556"/>
    <cellStyle name="Sub Total." xfId="277"/>
    <cellStyle name="Sub Total. 2" xfId="328"/>
    <cellStyle name="Table Head" xfId="557"/>
    <cellStyle name="Table Head Aligned" xfId="558"/>
    <cellStyle name="Table Head Blue" xfId="559"/>
    <cellStyle name="Table Head Green" xfId="560"/>
    <cellStyle name="Table Title" xfId="561"/>
    <cellStyle name="Table Units" xfId="562"/>
    <cellStyle name="Tickmark" xfId="563"/>
    <cellStyle name="Times New Roman" xfId="210"/>
    <cellStyle name="Title 2" xfId="45414"/>
    <cellStyle name="Title 3" xfId="45415"/>
    <cellStyle name="Title 3 2" xfId="45416"/>
    <cellStyle name="Title 4" xfId="45417"/>
    <cellStyle name="TOC 1" xfId="211"/>
    <cellStyle name="TOC 1 2" xfId="625"/>
    <cellStyle name="TOC 1 3" xfId="564"/>
    <cellStyle name="TOC 2" xfId="212"/>
    <cellStyle name="TOC 2 2" xfId="626"/>
    <cellStyle name="TOC 2 3" xfId="45457"/>
    <cellStyle name="TOC 2 4" xfId="565"/>
    <cellStyle name="TOC 3" xfId="213"/>
    <cellStyle name="TOC 3 2" xfId="627"/>
    <cellStyle name="TOC 3 3" xfId="566"/>
    <cellStyle name="TOC 3 4" xfId="278"/>
    <cellStyle name="TOC 4" xfId="214"/>
    <cellStyle name="TOC 4 2" xfId="628"/>
    <cellStyle name="TOC 4 3" xfId="567"/>
    <cellStyle name="TOC 4 4" xfId="279"/>
    <cellStyle name="Total 2" xfId="45418"/>
    <cellStyle name="Total 3" xfId="45419"/>
    <cellStyle name="Total 3 2" xfId="45420"/>
    <cellStyle name="Total 4" xfId="45421"/>
    <cellStyle name="Warning Text 2" xfId="45422"/>
    <cellStyle name="Warning Text 3" xfId="45423"/>
    <cellStyle name="Warning Text 3 2" xfId="45424"/>
    <cellStyle name="Warning Text 4" xfId="45425"/>
    <cellStyle name="Year." xfId="280"/>
    <cellStyle name="Year. 2" xfId="329"/>
  </cellStyles>
  <dxfs count="1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00FF"/>
      <color rgb="FFFFFFCC"/>
      <color rgb="FF0000FF"/>
      <color rgb="FF0066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41413</xdr:colOff>
      <xdr:row>3</xdr:row>
      <xdr:rowOff>123246</xdr:rowOff>
    </xdr:from>
    <xdr:ext cx="1457739" cy="96701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563" y="504246"/>
          <a:ext cx="1457739" cy="96701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ft\AppData\Local\Microsoft\Windows\Temporary%20Internet%20Files\Content.Outlook\70UO2B3O\zzCapex%20input%20Panels%20(mr%2020160614)%20v1.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_Inputs - AER"/>
      <sheetName val="AER Ohds &amp; Escalation Rates"/>
      <sheetName val="Project_Inputs - Subm"/>
    </sheetNames>
    <sheetDataSet>
      <sheetData sheetId="0">
        <row r="5">
          <cell r="U5">
            <v>3437.5540000000001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  <row r="6">
          <cell r="U6">
            <v>7713.2460000000001</v>
          </cell>
          <cell r="V6">
            <v>3649.6019999999999</v>
          </cell>
          <cell r="W6">
            <v>0</v>
          </cell>
          <cell r="X6">
            <v>0</v>
          </cell>
          <cell r="Y6">
            <v>0</v>
          </cell>
        </row>
        <row r="7">
          <cell r="U7">
            <v>11436.882</v>
          </cell>
          <cell r="V7">
            <v>1094.058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3639.5480000000002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U9">
            <v>16207.048000000001</v>
          </cell>
          <cell r="V9">
            <v>816.202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519.18004152000003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6076</v>
          </cell>
          <cell r="V11">
            <v>3867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W12">
            <v>392.75599999999997</v>
          </cell>
          <cell r="X12">
            <v>5104.4759999999997</v>
          </cell>
          <cell r="Y12">
            <v>8637.9279999999999</v>
          </cell>
        </row>
        <row r="13">
          <cell r="U13">
            <v>430.00299999999993</v>
          </cell>
          <cell r="V13">
            <v>2579.6889999999999</v>
          </cell>
          <cell r="W13">
            <v>5589.0519999999997</v>
          </cell>
          <cell r="X13">
            <v>6878.7319999999991</v>
          </cell>
          <cell r="Y13">
            <v>5911.4719999999988</v>
          </cell>
        </row>
        <row r="14">
          <cell r="U14">
            <v>11361.44</v>
          </cell>
          <cell r="V14">
            <v>11911.424000000001</v>
          </cell>
          <cell r="W14">
            <v>14141.28</v>
          </cell>
          <cell r="X14">
            <v>8704</v>
          </cell>
          <cell r="Y14">
            <v>3888.5120000000002</v>
          </cell>
        </row>
        <row r="15">
          <cell r="U15">
            <v>3046</v>
          </cell>
          <cell r="V15">
            <v>1938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203.52199999999996</v>
          </cell>
          <cell r="V16">
            <v>2644.1909999999998</v>
          </cell>
          <cell r="W16">
            <v>4474.6129999999994</v>
          </cell>
          <cell r="X16">
            <v>2847.3939999999998</v>
          </cell>
          <cell r="Y16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U24">
            <v>592.96</v>
          </cell>
          <cell r="V24">
            <v>592.96</v>
          </cell>
          <cell r="W24">
            <v>592.96</v>
          </cell>
          <cell r="X24">
            <v>592.96</v>
          </cell>
          <cell r="Y24">
            <v>592.96</v>
          </cell>
        </row>
        <row r="25">
          <cell r="U25">
            <v>1095.232</v>
          </cell>
          <cell r="V25">
            <v>1095.232</v>
          </cell>
          <cell r="W25">
            <v>1095.232</v>
          </cell>
          <cell r="X25">
            <v>1095.232</v>
          </cell>
          <cell r="Y25">
            <v>1095.232</v>
          </cell>
        </row>
        <row r="26">
          <cell r="U26">
            <v>436</v>
          </cell>
          <cell r="V26">
            <v>436</v>
          </cell>
          <cell r="W26">
            <v>436</v>
          </cell>
          <cell r="X26">
            <v>436</v>
          </cell>
          <cell r="Y26">
            <v>436</v>
          </cell>
        </row>
        <row r="27">
          <cell r="U27">
            <v>5164.3327999999992</v>
          </cell>
          <cell r="V27">
            <v>5164.3327999999992</v>
          </cell>
          <cell r="W27">
            <v>5164.3327999999992</v>
          </cell>
          <cell r="X27">
            <v>5164.3327999999992</v>
          </cell>
          <cell r="Y27">
            <v>5164.3327999999992</v>
          </cell>
        </row>
        <row r="28">
          <cell r="U28">
            <v>1290.56</v>
          </cell>
          <cell r="V28">
            <v>1290.56</v>
          </cell>
          <cell r="W28">
            <v>1290.56</v>
          </cell>
          <cell r="X28">
            <v>1290.56</v>
          </cell>
          <cell r="Y28">
            <v>1290.56</v>
          </cell>
        </row>
        <row r="29">
          <cell r="U29">
            <v>739.45600000000002</v>
          </cell>
          <cell r="V29">
            <v>2127.6799999999998</v>
          </cell>
          <cell r="W29">
            <v>2127.6799999999998</v>
          </cell>
          <cell r="X29">
            <v>2127.6799999999998</v>
          </cell>
          <cell r="Y29">
            <v>2127.6799999999998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143.00800000000001</v>
          </cell>
          <cell r="V31">
            <v>143.00800000000001</v>
          </cell>
          <cell r="W31">
            <v>143.00800000000001</v>
          </cell>
          <cell r="X31">
            <v>143.00800000000001</v>
          </cell>
          <cell r="Y31">
            <v>143.00800000000001</v>
          </cell>
        </row>
        <row r="32">
          <cell r="U32">
            <v>148.24</v>
          </cell>
          <cell r="V32">
            <v>174.4</v>
          </cell>
          <cell r="W32">
            <v>87.2</v>
          </cell>
          <cell r="X32">
            <v>87.2</v>
          </cell>
          <cell r="Y32">
            <v>87.2</v>
          </cell>
        </row>
        <row r="33">
          <cell r="U33">
            <v>1530.36</v>
          </cell>
          <cell r="V33">
            <v>1530.36</v>
          </cell>
          <cell r="W33">
            <v>1530.36</v>
          </cell>
          <cell r="X33">
            <v>1530.36</v>
          </cell>
          <cell r="Y33">
            <v>1530.36</v>
          </cell>
        </row>
        <row r="34">
          <cell r="U34">
            <v>1543.44</v>
          </cell>
          <cell r="V34">
            <v>1543.44</v>
          </cell>
          <cell r="W34">
            <v>1543.44</v>
          </cell>
          <cell r="X34">
            <v>1543.44</v>
          </cell>
          <cell r="Y34">
            <v>1543.44</v>
          </cell>
        </row>
        <row r="35">
          <cell r="U35">
            <v>2180</v>
          </cell>
          <cell r="V35">
            <v>2180</v>
          </cell>
          <cell r="W35">
            <v>2180</v>
          </cell>
          <cell r="X35">
            <v>2180</v>
          </cell>
          <cell r="Y35">
            <v>2180</v>
          </cell>
        </row>
        <row r="36">
          <cell r="U36">
            <v>6.7308834160000002</v>
          </cell>
          <cell r="V36">
            <v>297.59816559999996</v>
          </cell>
          <cell r="W36">
            <v>461.70261855999996</v>
          </cell>
          <cell r="X36">
            <v>0</v>
          </cell>
          <cell r="Y36">
            <v>0</v>
          </cell>
        </row>
        <row r="37">
          <cell r="U37">
            <v>3315.3440000000001</v>
          </cell>
          <cell r="V37">
            <v>3315.3440000000001</v>
          </cell>
          <cell r="W37">
            <v>3315.3440000000001</v>
          </cell>
          <cell r="X37">
            <v>3315.3440000000001</v>
          </cell>
          <cell r="Y37">
            <v>3315.3440000000001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988.98926400000005</v>
          </cell>
          <cell r="V39">
            <v>932.96064800000011</v>
          </cell>
          <cell r="W39">
            <v>932.96064800000011</v>
          </cell>
          <cell r="X39">
            <v>932.96064800000011</v>
          </cell>
          <cell r="Y39">
            <v>773.34627999999998</v>
          </cell>
        </row>
        <row r="40">
          <cell r="U40">
            <v>20.3612</v>
          </cell>
          <cell r="V40">
            <v>3068.4694640000002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3761.808</v>
          </cell>
          <cell r="V41">
            <v>3761.808</v>
          </cell>
          <cell r="W41">
            <v>3761.808</v>
          </cell>
          <cell r="X41">
            <v>3761.808</v>
          </cell>
          <cell r="Y41">
            <v>3761.808</v>
          </cell>
        </row>
        <row r="42">
          <cell r="U42">
            <v>18141.96</v>
          </cell>
          <cell r="V42">
            <v>15423.936</v>
          </cell>
          <cell r="W42">
            <v>13084.36</v>
          </cell>
          <cell r="X42">
            <v>12452.16</v>
          </cell>
          <cell r="Y42">
            <v>13182.023999999999</v>
          </cell>
        </row>
        <row r="43">
          <cell r="U43">
            <v>7580.3028312480001</v>
          </cell>
          <cell r="V43">
            <v>10237.379268479999</v>
          </cell>
          <cell r="W43">
            <v>11615.811615241275</v>
          </cell>
          <cell r="X43">
            <v>10695.037468081275</v>
          </cell>
          <cell r="Y43">
            <v>6484.6310911212749</v>
          </cell>
        </row>
        <row r="44">
          <cell r="U44">
            <v>1162.5373199999999</v>
          </cell>
          <cell r="V44">
            <v>247.07465999999997</v>
          </cell>
          <cell r="W44">
            <v>658.27062000000001</v>
          </cell>
          <cell r="X44">
            <v>0</v>
          </cell>
          <cell r="Y44">
            <v>1201.18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213</v>
          </cell>
          <cell r="V47">
            <v>574.9</v>
          </cell>
          <cell r="W47">
            <v>91.75</v>
          </cell>
          <cell r="X47">
            <v>201.53</v>
          </cell>
          <cell r="Y47">
            <v>979.32999999999993</v>
          </cell>
        </row>
        <row r="48">
          <cell r="U48">
            <v>2838.7039768405721</v>
          </cell>
          <cell r="V48">
            <v>2838.7039768405721</v>
          </cell>
          <cell r="W48">
            <v>2838.7039768405721</v>
          </cell>
          <cell r="X48">
            <v>2838.7039768405721</v>
          </cell>
          <cell r="Y48">
            <v>2838.7039768405721</v>
          </cell>
        </row>
        <row r="49">
          <cell r="U49">
            <v>21650.058690000002</v>
          </cell>
          <cell r="V49">
            <v>19533.919019999998</v>
          </cell>
          <cell r="W49">
            <v>11580.803610000001</v>
          </cell>
          <cell r="X49">
            <v>9622.2468599999993</v>
          </cell>
          <cell r="Y49">
            <v>8141.3250899999985</v>
          </cell>
        </row>
        <row r="50">
          <cell r="U50">
            <v>1867.8901445283207</v>
          </cell>
          <cell r="V50">
            <v>1465.7381587375207</v>
          </cell>
          <cell r="W50">
            <v>2021.3428759484943</v>
          </cell>
          <cell r="X50">
            <v>1697.5046979169554</v>
          </cell>
          <cell r="Y50">
            <v>1697.5046979169554</v>
          </cell>
        </row>
      </sheetData>
      <sheetData sheetId="1">
        <row r="5">
          <cell r="B5">
            <v>10.535390968679303</v>
          </cell>
        </row>
        <row r="18">
          <cell r="B18">
            <v>0.75</v>
          </cell>
        </row>
        <row r="19">
          <cell r="B19">
            <v>0.25</v>
          </cell>
        </row>
        <row r="67">
          <cell r="E67">
            <v>108</v>
          </cell>
          <cell r="F67">
            <v>108.2</v>
          </cell>
        </row>
        <row r="68">
          <cell r="G68">
            <v>2.35E-2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9"/>
  <sheetViews>
    <sheetView tabSelected="1" workbookViewId="0">
      <selection activeCell="P47" sqref="O47:P47"/>
    </sheetView>
  </sheetViews>
  <sheetFormatPr defaultRowHeight="15"/>
  <cols>
    <col min="1" max="1" width="9.140625" style="236"/>
    <col min="2" max="2" width="2.5703125" style="236" customWidth="1"/>
    <col min="3" max="3" width="4" style="236" customWidth="1"/>
    <col min="4" max="16384" width="9.140625" style="236"/>
  </cols>
  <sheetData>
    <row r="2" spans="2:4" ht="21">
      <c r="B2" s="235" t="s">
        <v>172</v>
      </c>
      <c r="C2" s="235"/>
    </row>
    <row r="3" spans="2:4" ht="21">
      <c r="B3" s="235" t="s">
        <v>160</v>
      </c>
      <c r="C3" s="235"/>
    </row>
    <row r="4" spans="2:4">
      <c r="B4" s="237"/>
      <c r="C4" s="237"/>
    </row>
    <row r="5" spans="2:4">
      <c r="B5" s="237"/>
      <c r="C5" s="237"/>
    </row>
    <row r="6" spans="2:4">
      <c r="B6" s="237"/>
      <c r="C6" s="237"/>
    </row>
    <row r="7" spans="2:4">
      <c r="B7" s="237"/>
      <c r="C7" s="237"/>
    </row>
    <row r="8" spans="2:4">
      <c r="B8" s="237"/>
      <c r="C8" s="237"/>
    </row>
    <row r="9" spans="2:4">
      <c r="B9" s="237"/>
      <c r="C9" s="237"/>
    </row>
    <row r="11" spans="2:4">
      <c r="B11" s="238" t="s">
        <v>459</v>
      </c>
      <c r="C11" s="238"/>
    </row>
    <row r="12" spans="2:4" ht="6" customHeight="1"/>
    <row r="13" spans="2:4">
      <c r="B13" s="238" t="s">
        <v>460</v>
      </c>
      <c r="C13" s="238"/>
      <c r="D13" s="238"/>
    </row>
    <row r="14" spans="2:4" ht="6" customHeight="1"/>
    <row r="15" spans="2:4">
      <c r="B15" s="238" t="s">
        <v>461</v>
      </c>
      <c r="C15" s="238"/>
    </row>
    <row r="16" spans="2:4" ht="7.5" customHeight="1"/>
    <row r="17" spans="2:4">
      <c r="B17" s="916" t="s">
        <v>462</v>
      </c>
      <c r="C17" s="916"/>
      <c r="D17" s="916"/>
    </row>
    <row r="18" spans="2:4" ht="6" customHeight="1">
      <c r="B18" s="916"/>
      <c r="C18" s="916"/>
      <c r="D18" s="916"/>
    </row>
    <row r="19" spans="2:4">
      <c r="B19" s="920" t="s">
        <v>463</v>
      </c>
      <c r="C19" s="917"/>
      <c r="D19" s="916"/>
    </row>
    <row r="20" spans="2:4" ht="4.5" customHeight="1">
      <c r="B20" s="917"/>
      <c r="C20" s="917"/>
      <c r="D20" s="916"/>
    </row>
    <row r="21" spans="2:4">
      <c r="B21" s="916"/>
      <c r="C21" s="918" t="s">
        <v>468</v>
      </c>
      <c r="D21" s="916"/>
    </row>
    <row r="22" spans="2:4" ht="6" customHeight="1"/>
    <row r="23" spans="2:4">
      <c r="B23" s="916"/>
      <c r="C23" s="919" t="s">
        <v>464</v>
      </c>
      <c r="D23" s="238" t="s">
        <v>257</v>
      </c>
    </row>
    <row r="24" spans="2:4" ht="6" customHeight="1">
      <c r="B24" s="916"/>
      <c r="C24" s="919"/>
    </row>
    <row r="25" spans="2:4">
      <c r="B25" s="916"/>
      <c r="C25" s="919" t="s">
        <v>465</v>
      </c>
      <c r="D25" s="238" t="s">
        <v>260</v>
      </c>
    </row>
    <row r="26" spans="2:4" ht="6" customHeight="1">
      <c r="B26" s="916"/>
      <c r="C26" s="919"/>
      <c r="D26" s="239"/>
    </row>
    <row r="27" spans="2:4">
      <c r="B27" s="916"/>
      <c r="C27" s="919" t="s">
        <v>466</v>
      </c>
      <c r="D27" s="238" t="s">
        <v>258</v>
      </c>
    </row>
    <row r="28" spans="2:4" ht="6" customHeight="1">
      <c r="B28" s="916"/>
      <c r="C28" s="919"/>
      <c r="D28" s="238"/>
    </row>
    <row r="29" spans="2:4">
      <c r="B29" s="916"/>
      <c r="C29" s="919" t="s">
        <v>467</v>
      </c>
      <c r="D29" s="238" t="s">
        <v>331</v>
      </c>
    </row>
    <row r="30" spans="2:4" ht="8.25" customHeight="1">
      <c r="B30" s="916"/>
      <c r="C30" s="916"/>
      <c r="D30" s="238"/>
    </row>
    <row r="31" spans="2:4">
      <c r="B31" s="916"/>
      <c r="C31" s="918" t="s">
        <v>469</v>
      </c>
    </row>
    <row r="32" spans="2:4" ht="5.25" customHeight="1">
      <c r="B32" s="916"/>
      <c r="C32" s="916"/>
    </row>
    <row r="33" spans="2:4">
      <c r="B33" s="916"/>
      <c r="C33" s="919" t="s">
        <v>464</v>
      </c>
      <c r="D33" s="238" t="s">
        <v>261</v>
      </c>
    </row>
    <row r="34" spans="2:4" ht="6.75" customHeight="1">
      <c r="B34" s="916"/>
      <c r="C34" s="919"/>
      <c r="D34" s="238"/>
    </row>
    <row r="35" spans="2:4">
      <c r="B35" s="916"/>
      <c r="C35" s="919" t="s">
        <v>465</v>
      </c>
      <c r="D35" s="238" t="s">
        <v>259</v>
      </c>
    </row>
    <row r="36" spans="2:4" ht="7.5" customHeight="1">
      <c r="B36" s="916"/>
      <c r="C36" s="916"/>
    </row>
    <row r="37" spans="2:4">
      <c r="B37" s="916"/>
      <c r="C37" s="920" t="s">
        <v>470</v>
      </c>
    </row>
    <row r="38" spans="2:4" ht="5.25" customHeight="1">
      <c r="B38" s="916"/>
      <c r="C38" s="916"/>
    </row>
    <row r="39" spans="2:4">
      <c r="B39" s="916"/>
      <c r="C39" s="916"/>
      <c r="D39" s="238" t="s">
        <v>393</v>
      </c>
    </row>
    <row r="40" spans="2:4" ht="4.5" customHeight="1">
      <c r="B40" s="916"/>
      <c r="C40" s="916"/>
      <c r="D40" s="238"/>
    </row>
    <row r="41" spans="2:4">
      <c r="B41" s="916"/>
      <c r="C41" s="916"/>
      <c r="D41" s="238" t="s">
        <v>508</v>
      </c>
    </row>
    <row r="42" spans="2:4" ht="4.5" customHeight="1">
      <c r="B42" s="916"/>
      <c r="C42" s="916"/>
      <c r="D42" s="238"/>
    </row>
    <row r="43" spans="2:4">
      <c r="B43" s="916"/>
      <c r="C43" s="916"/>
      <c r="D43" s="238" t="s">
        <v>507</v>
      </c>
    </row>
    <row r="44" spans="2:4" ht="4.5" customHeight="1">
      <c r="B44" s="916"/>
      <c r="C44" s="916"/>
      <c r="D44" s="238"/>
    </row>
    <row r="45" spans="2:4">
      <c r="B45" s="916"/>
      <c r="C45" s="916"/>
      <c r="D45" s="238" t="s">
        <v>392</v>
      </c>
    </row>
    <row r="46" spans="2:4" ht="7.5" customHeight="1">
      <c r="B46" s="916"/>
      <c r="C46" s="916"/>
    </row>
    <row r="47" spans="2:4">
      <c r="B47" s="920" t="s">
        <v>471</v>
      </c>
      <c r="C47" s="920"/>
    </row>
    <row r="48" spans="2:4" ht="4.5" customHeight="1">
      <c r="B48" s="491"/>
      <c r="C48" s="491"/>
    </row>
    <row r="49" spans="3:3">
      <c r="C49" s="604" t="s">
        <v>330</v>
      </c>
    </row>
  </sheetData>
  <hyperlinks>
    <hyperlink ref="D25" location="'5.1(b)_Total_Fcast'!A1" display="Total Expenditure Forecast - Summary by Asset Class (As Incurred)"/>
    <hyperlink ref="D27" location="'5.1(c)_Total_Fcast'!A1" display="Total Expenditure Forecast - Summary by Replacement Driver (As Incurred)"/>
    <hyperlink ref="D33" location="'5.2(a)_Total_Fcast'!A1" display="Total Expenditure Forecast - Summary by Asset Class (As Commissioned)"/>
    <hyperlink ref="D35" location="'5.2(b)_Total_Fcast'!A1" display="Total Expenditure Forecast - Summary by Replacement Driver (As Commissioned)"/>
    <hyperlink ref="D23" location="'5.1(a)_Direct_Fcast'!A1" display="Direct Expenditure Forecast Summary - As Incurred"/>
    <hyperlink ref="B15" location="Project_Inputs!A1" display="Project Inputs - Master sheet"/>
    <hyperlink ref="B11" location="Assumptions!A1" display="Key Assumptions"/>
    <hyperlink ref="B13" location="Lookups!A1" display="Lookups"/>
    <hyperlink ref="C49" location="Error_Chks!A1" display="Error Checks"/>
    <hyperlink ref="D29" location="'5.1(d)_Repl_Fcast'!A1" display="Selected As Incurred Forecasts"/>
    <hyperlink ref="D39" location="'2.1 Exp Summary'!A1" display="Expenditure Summary"/>
    <hyperlink ref="D41" location="'2.6 Non Network - Submission'!A1" display="2.6 Non Network - Submission"/>
    <hyperlink ref="D43" location="'2.10 Overheads - Submission'!A1" display="2.10 Overheads - Submission"/>
    <hyperlink ref="D45" location="'2.12 Input Tables'!A1" display="2.12 Input Tables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Project_Inputs!B10</f>
        <v>Various</v>
      </c>
      <c r="F3" s="249" t="s">
        <v>63</v>
      </c>
      <c r="G3" s="249">
        <f>Project_Inputs!F10</f>
        <v>0</v>
      </c>
    </row>
    <row r="4" spans="1:21" ht="18.75">
      <c r="A4" s="6"/>
      <c r="B4" s="6"/>
      <c r="C4" s="13" t="s">
        <v>15</v>
      </c>
      <c r="D4" s="339" t="str">
        <f>Project_Inputs!D10</f>
        <v>Other committed projects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Project_Inputs!H10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Project_Inputs!I10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Project_Inputs!J10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0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318.74142433478517</v>
      </c>
      <c r="I11" s="399">
        <f>IF(I$10="Prior",SUMIFS(Project_Inputs!$W$5:$W$50,Project_Inputs!$D$5:$D$50,$D$4),SUMIFS(Project_Inputs!O$5:O$50,Project_Inputs!$D$5:$D$50,$D$4))</f>
        <v>519.18004152000003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837.9214658547852</v>
      </c>
      <c r="P11" s="300">
        <f t="shared" ref="P11" si="0">SUM(I11:M11)</f>
        <v>519.18004152000003</v>
      </c>
      <c r="R11" s="608" t="str">
        <f>IF(O11=Project_Inputs!V10,"ok","error")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 t="s">
        <v>132</v>
      </c>
      <c r="J13" s="10"/>
      <c r="K13" s="10"/>
      <c r="L13" s="10"/>
      <c r="M13" s="10"/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837.9214658547852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837.9214658547852</v>
      </c>
      <c r="P14" s="451">
        <f>SUM(I14:M14)</f>
        <v>837.9214658547852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0.13063318055555556</v>
      </c>
      <c r="G17" s="341">
        <v>0.13063318055555556</v>
      </c>
      <c r="H17" s="392">
        <v>0.13063318055555556</v>
      </c>
      <c r="I17" s="404">
        <v>0.13063318055555556</v>
      </c>
      <c r="J17" s="341">
        <v>0.13063318055555556</v>
      </c>
      <c r="K17" s="341">
        <v>0.13063318055555556</v>
      </c>
      <c r="L17" s="341">
        <v>0.13063318055555556</v>
      </c>
      <c r="M17" s="341">
        <v>0.13063318055555556</v>
      </c>
      <c r="N17" s="342">
        <v>0.13063318055555556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0.40952448718452389</v>
      </c>
      <c r="G18" s="341">
        <v>0.40952448718452389</v>
      </c>
      <c r="H18" s="392">
        <v>0.40952448718452389</v>
      </c>
      <c r="I18" s="404">
        <v>0.40952448718452389</v>
      </c>
      <c r="J18" s="341">
        <v>0.40952448718452389</v>
      </c>
      <c r="K18" s="341">
        <v>0.40952448718452389</v>
      </c>
      <c r="L18" s="341">
        <v>0.40952448718452389</v>
      </c>
      <c r="M18" s="341">
        <v>0.40952448718452389</v>
      </c>
      <c r="N18" s="342">
        <v>0.40952448718452389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0.32880604288888887</v>
      </c>
      <c r="G19" s="341">
        <v>0.32880604288888887</v>
      </c>
      <c r="H19" s="392">
        <v>0.32880604288888887</v>
      </c>
      <c r="I19" s="404">
        <v>0.32880604288888887</v>
      </c>
      <c r="J19" s="341">
        <v>0.32880604288888887</v>
      </c>
      <c r="K19" s="341">
        <v>0.32880604288888887</v>
      </c>
      <c r="L19" s="341">
        <v>0.32880604288888887</v>
      </c>
      <c r="M19" s="341">
        <v>0.32880604288888887</v>
      </c>
      <c r="N19" s="342">
        <v>0.32880604288888887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1.4167023857142858E-2</v>
      </c>
      <c r="G21" s="341">
        <v>1.4167023857142858E-2</v>
      </c>
      <c r="H21" s="392">
        <v>1.4167023857142858E-2</v>
      </c>
      <c r="I21" s="404">
        <v>1.4167023857142858E-2</v>
      </c>
      <c r="J21" s="341">
        <v>1.4167023857142858E-2</v>
      </c>
      <c r="K21" s="341">
        <v>1.4167023857142858E-2</v>
      </c>
      <c r="L21" s="341">
        <v>1.4167023857142858E-2</v>
      </c>
      <c r="M21" s="341">
        <v>1.4167023857142858E-2</v>
      </c>
      <c r="N21" s="342">
        <v>1.4167023857142858E-2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0.11353940188888889</v>
      </c>
      <c r="G22" s="341">
        <v>0.11353940188888889</v>
      </c>
      <c r="H22" s="392">
        <v>0.11353940188888889</v>
      </c>
      <c r="I22" s="404">
        <v>0.11353940188888889</v>
      </c>
      <c r="J22" s="341">
        <v>0.11353940188888889</v>
      </c>
      <c r="K22" s="341">
        <v>0.11353940188888889</v>
      </c>
      <c r="L22" s="341">
        <v>0.11353940188888889</v>
      </c>
      <c r="M22" s="341">
        <v>0.11353940188888889</v>
      </c>
      <c r="N22" s="342">
        <v>0.11353940188888889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3.3298636249999999E-3</v>
      </c>
      <c r="G23" s="341">
        <v>3.3298636249999999E-3</v>
      </c>
      <c r="H23" s="392">
        <v>3.3298636249999999E-3</v>
      </c>
      <c r="I23" s="404">
        <v>3.3298636249999999E-3</v>
      </c>
      <c r="J23" s="341">
        <v>3.3298636249999999E-3</v>
      </c>
      <c r="K23" s="341">
        <v>3.3298636249999999E-3</v>
      </c>
      <c r="L23" s="341">
        <v>3.3298636249999999E-3</v>
      </c>
      <c r="M23" s="341">
        <v>3.3298636249999999E-3</v>
      </c>
      <c r="N23" s="342">
        <v>3.3298636249999999E-3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0.39886584673050102</v>
      </c>
      <c r="I46" s="407">
        <f>IF(I$10="Prior",0,(I11*I29)*(Assumptions!I28-1))</f>
        <v>1.0728601621211598</v>
      </c>
      <c r="J46" s="282">
        <f>IF(J$10="Prior",0,(J11*J29)*(Assumptions!J28-1))</f>
        <v>0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1.4717260088516608</v>
      </c>
      <c r="P46" s="300">
        <f t="shared" ref="P46:P47" si="7">SUM(I46:M46)</f>
        <v>1.0728601621211598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1.7135797949645315</v>
      </c>
      <c r="I47" s="407">
        <f>IF(I$10="Prior",0,(I11*I30)*(Assumptions!I30-1))</f>
        <v>5.5133587756232725</v>
      </c>
      <c r="J47" s="282">
        <f>IF(J$10="Prior",0,(J11*J30)*(Assumptions!J30-1))</f>
        <v>0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7.2269385705878042</v>
      </c>
      <c r="P47" s="300">
        <f t="shared" si="7"/>
        <v>5.5133587756232725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</v>
      </c>
      <c r="H48" s="253">
        <f t="shared" si="8"/>
        <v>2.1124456416950324</v>
      </c>
      <c r="I48" s="408">
        <f t="shared" si="8"/>
        <v>6.586218937744432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8.6986645794394644</v>
      </c>
      <c r="P48" s="434">
        <f>SUM(P46:P47)</f>
        <v>6.586218937744432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</v>
      </c>
      <c r="H49" s="253">
        <f t="shared" si="9"/>
        <v>2.1124456416950324</v>
      </c>
      <c r="I49" s="408">
        <f t="shared" si="9"/>
        <v>6.586218937744432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8.6986645794394644</v>
      </c>
      <c r="P49" s="371">
        <f>P44+P48</f>
        <v>6.586218937744432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6.6274587499999919E-3</v>
      </c>
      <c r="I50" s="442">
        <f t="shared" si="10"/>
        <v>1.2685809181843742E-2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1.038124088462841E-2</v>
      </c>
      <c r="P50" s="444">
        <f t="shared" si="10"/>
        <v>1.2685809181843742E-2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0</v>
      </c>
      <c r="G51" s="280">
        <f>(G29*G$11+G46)*Assumptions!$G$21</f>
        <v>0</v>
      </c>
      <c r="H51" s="280">
        <f>(H29*H$11+H46)*Assumptions!$G$21</f>
        <v>32.818980224799027</v>
      </c>
      <c r="I51" s="410">
        <f>(I29*I$11+I46)*Assumptions!$G$21</f>
        <v>53.887326304397661</v>
      </c>
      <c r="J51" s="280">
        <f>(J29*J$11+J46)*Assumptions!$G$21</f>
        <v>0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86.706306529196695</v>
      </c>
      <c r="P51" s="375">
        <f>SUM(I51:M51)</f>
        <v>53.887326304397661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0</v>
      </c>
      <c r="G52" s="282">
        <f>(G30*G$11+G47)*Assumptions!$G$21</f>
        <v>0</v>
      </c>
      <c r="H52" s="282">
        <f>(H30*H$11+H47)*Assumptions!$G$21</f>
        <v>163.80940216472783</v>
      </c>
      <c r="I52" s="407">
        <f>(I30*I$11+I47)*Assumptions!$G$21</f>
        <v>269.58821114430867</v>
      </c>
      <c r="J52" s="282">
        <f>(J30*J$11+J47)*Assumptions!$G$21</f>
        <v>0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433.3976133090365</v>
      </c>
      <c r="P52" s="376">
        <f>SUM(I52:M52)</f>
        <v>269.58821114430867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0</v>
      </c>
      <c r="G53" s="282">
        <f>(G31*G$11+G$44)*Assumptions!$G$21</f>
        <v>0</v>
      </c>
      <c r="H53" s="282">
        <f>(H31*H$11+H$44)*Assumptions!$G$21</f>
        <v>129.65346659031488</v>
      </c>
      <c r="I53" s="407">
        <f>(I31*I$11+I$44)*Assumptions!$G$21</f>
        <v>211.18526500926322</v>
      </c>
      <c r="J53" s="282">
        <f>(J31*J$11+J$44)*Assumptions!$G$21</f>
        <v>0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340.83873159957807</v>
      </c>
      <c r="P53" s="376">
        <f>SUM(I53:M53)</f>
        <v>211.18526500926322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0</v>
      </c>
      <c r="G54" s="5">
        <f t="shared" si="12"/>
        <v>0</v>
      </c>
      <c r="H54" s="5">
        <f t="shared" si="12"/>
        <v>326.2818489798417</v>
      </c>
      <c r="I54" s="411">
        <f t="shared" si="12"/>
        <v>534.66080245796957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860.94265143781126</v>
      </c>
      <c r="P54" s="428">
        <f t="shared" si="12"/>
        <v>534.66080245796957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0</v>
      </c>
      <c r="H57" s="290">
        <f t="shared" si="13"/>
        <v>23.6860023423218</v>
      </c>
      <c r="I57" s="407">
        <f t="shared" si="13"/>
        <v>47.149935642465884</v>
      </c>
      <c r="J57" s="282">
        <f t="shared" si="13"/>
        <v>0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70.835937984787677</v>
      </c>
      <c r="P57" s="300">
        <f>SUM(I57:M57)</f>
        <v>47.149935642465884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0</v>
      </c>
      <c r="G59" s="5">
        <f t="shared" si="14"/>
        <v>0</v>
      </c>
      <c r="H59" s="5">
        <f t="shared" si="14"/>
        <v>349.96785132216348</v>
      </c>
      <c r="I59" s="411">
        <f t="shared" si="14"/>
        <v>581.8107381004354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931.778589422599</v>
      </c>
      <c r="P59" s="429">
        <f t="shared" si="15"/>
        <v>581.8107381004354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0</v>
      </c>
      <c r="H60" s="290">
        <f t="shared" si="16"/>
        <v>23.6860023423218</v>
      </c>
      <c r="I60" s="290">
        <f t="shared" si="16"/>
        <v>70.835937984787677</v>
      </c>
      <c r="J60" s="290">
        <f t="shared" si="16"/>
        <v>70.835937984787677</v>
      </c>
      <c r="K60" s="290">
        <f t="shared" si="16"/>
        <v>70.835937984787677</v>
      </c>
      <c r="L60" s="290">
        <f t="shared" si="16"/>
        <v>70.835937984787677</v>
      </c>
      <c r="M60" s="290">
        <f t="shared" si="16"/>
        <v>70.835937984787677</v>
      </c>
      <c r="N60" s="290">
        <f t="shared" si="16"/>
        <v>70.835937984787677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2.1124456416950324</v>
      </c>
      <c r="I61" s="252">
        <f t="shared" si="17"/>
        <v>8.6986645794394644</v>
      </c>
      <c r="J61" s="252">
        <f t="shared" si="17"/>
        <v>8.6986645794394644</v>
      </c>
      <c r="K61" s="252">
        <f t="shared" si="17"/>
        <v>8.6986645794394644</v>
      </c>
      <c r="L61" s="252">
        <f t="shared" si="17"/>
        <v>8.6986645794394644</v>
      </c>
      <c r="M61" s="252">
        <f t="shared" si="17"/>
        <v>8.6986645794394644</v>
      </c>
      <c r="N61" s="252">
        <f t="shared" si="17"/>
        <v>8.6986645794394644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45.717413510408008</v>
      </c>
      <c r="I64" s="415">
        <f t="shared" si="18"/>
        <v>76.003787199435223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121.72120070984323</v>
      </c>
      <c r="P64" s="430">
        <f>SUM(I64:M64)</f>
        <v>76.003787199435223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143.3204048437787</v>
      </c>
      <c r="I65" s="416">
        <f t="shared" si="19"/>
        <v>238.26574415903013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381.58614900280884</v>
      </c>
      <c r="P65" s="431">
        <f t="shared" ref="P65:P73" si="21">SUM(I65:M65)</f>
        <v>238.26574415903013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115.07154433156757</v>
      </c>
      <c r="I66" s="416">
        <f t="shared" si="22"/>
        <v>191.30288650506785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306.37443083663538</v>
      </c>
      <c r="P66" s="431">
        <f t="shared" si="21"/>
        <v>191.30288650506785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4.9580028989141143</v>
      </c>
      <c r="I68" s="416">
        <f t="shared" si="24"/>
        <v>8.2425266070107632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13.200529505924877</v>
      </c>
      <c r="P68" s="431">
        <f t="shared" si="21"/>
        <v>8.2425266070107632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39.735140519458035</v>
      </c>
      <c r="I69" s="416">
        <f t="shared" si="25"/>
        <v>66.058443216456411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105.79358373591444</v>
      </c>
      <c r="P69" s="431">
        <f t="shared" si="21"/>
        <v>66.058443216456411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1.1653452180370802</v>
      </c>
      <c r="I70" s="416">
        <f t="shared" si="26"/>
        <v>1.9373504134350414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3.1026956314721215</v>
      </c>
      <c r="P70" s="431">
        <f t="shared" si="21"/>
        <v>1.9373504134350414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0</v>
      </c>
      <c r="G74" s="5">
        <f t="shared" ref="G74:N74" si="30">+SUM(G64:G73)</f>
        <v>0</v>
      </c>
      <c r="H74" s="5">
        <f t="shared" si="30"/>
        <v>349.96785132216348</v>
      </c>
      <c r="I74" s="411">
        <f t="shared" si="30"/>
        <v>581.81073810043551</v>
      </c>
      <c r="J74" s="382">
        <f t="shared" si="30"/>
        <v>0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931.77858942259888</v>
      </c>
      <c r="P74" s="428">
        <f>SUM(P64:P73)</f>
        <v>581.81073810043551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0</v>
      </c>
      <c r="I76" s="410">
        <f t="shared" si="32"/>
        <v>837.9214658547852</v>
      </c>
      <c r="J76" s="280">
        <f t="shared" si="32"/>
        <v>0</v>
      </c>
      <c r="K76" s="280">
        <f t="shared" si="32"/>
        <v>0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837.9214658547852</v>
      </c>
      <c r="P76" s="378">
        <f t="shared" ref="P76:P80" si="33">SUM(I76:M76)</f>
        <v>837.9214658547852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8.6986645794394644</v>
      </c>
      <c r="J77" s="282">
        <f>IF(J$10="Prior",0,IF(AND(J76&lt;&gt;0,SUM($F76:I76)=0),J76/SUM($F$76:J76)*J61,IF(J76&lt;&gt;0,SUM($F$76:J76)/SUM($F$11:J11)*J61-I83,0)))</f>
        <v>0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8.6986645794394644</v>
      </c>
      <c r="P77" s="455">
        <f t="shared" si="33"/>
        <v>8.6986645794394644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846.62013043422462</v>
      </c>
      <c r="J78" s="457">
        <f t="shared" si="34"/>
        <v>0</v>
      </c>
      <c r="K78" s="457">
        <f t="shared" si="34"/>
        <v>0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846.62013043422462</v>
      </c>
      <c r="P78" s="461">
        <f t="shared" si="33"/>
        <v>846.62013043422462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0</v>
      </c>
      <c r="I79" s="458">
        <f>I78*Assumptions!$G$21</f>
        <v>860.94265143781115</v>
      </c>
      <c r="J79" s="457">
        <f>J78*Assumptions!$G$21</f>
        <v>0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860.94265143781115</v>
      </c>
      <c r="P79" s="461">
        <f t="shared" si="33"/>
        <v>860.94265143781115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70.835937984787662</v>
      </c>
      <c r="J80" s="282">
        <f>IF(J$10="Prior",J79*J56,IF(AND(J79&lt;&gt;0,SUM($F79:I79)=0),J79/SUM($F$54:J54)*J60,IF(J79&lt;&gt;0,SUM($F$79:J79)/SUM($F$54:J54)*J60-I82,0)))</f>
        <v>0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70.835937984787662</v>
      </c>
      <c r="P80" s="300">
        <f t="shared" si="33"/>
        <v>70.835937984787662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931.77858942259877</v>
      </c>
      <c r="J81" s="387">
        <f t="shared" si="35"/>
        <v>0</v>
      </c>
      <c r="K81" s="387">
        <f t="shared" si="35"/>
        <v>0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931.77858942259877</v>
      </c>
      <c r="P81" s="388">
        <f t="shared" si="35"/>
        <v>931.77858942259877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70.835937984787662</v>
      </c>
      <c r="J82" s="252">
        <f t="shared" si="36"/>
        <v>70.835937984787662</v>
      </c>
      <c r="K82" s="252">
        <f t="shared" si="36"/>
        <v>70.835937984787662</v>
      </c>
      <c r="L82" s="252">
        <f t="shared" si="36"/>
        <v>70.835937984787662</v>
      </c>
      <c r="M82" s="252">
        <f t="shared" si="36"/>
        <v>70.835937984787662</v>
      </c>
      <c r="N82" s="252">
        <f t="shared" si="36"/>
        <v>70.835937984787662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8.6986645794394644</v>
      </c>
      <c r="J83" s="252">
        <f t="shared" si="37"/>
        <v>8.6986645794394644</v>
      </c>
      <c r="K83" s="252">
        <f t="shared" si="37"/>
        <v>8.6986645794394644</v>
      </c>
      <c r="L83" s="252">
        <f t="shared" si="37"/>
        <v>8.6986645794394644</v>
      </c>
      <c r="M83" s="252">
        <f t="shared" si="37"/>
        <v>8.6986645794394644</v>
      </c>
      <c r="N83" s="252">
        <f t="shared" si="37"/>
        <v>8.6986645794394644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121.72120070984323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121.72120070984323</v>
      </c>
      <c r="P85" s="430">
        <f t="shared" ref="P85:P94" si="39">SUM(I85:M85)</f>
        <v>121.72120070984323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381.58614900280884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381.58614900280884</v>
      </c>
      <c r="P86" s="431">
        <f t="shared" si="39"/>
        <v>381.58614900280884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306.37443083663544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306.37443083663544</v>
      </c>
      <c r="P87" s="431">
        <f t="shared" si="39"/>
        <v>306.37443083663544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13.200529505924878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13.200529505924878</v>
      </c>
      <c r="P89" s="431">
        <f t="shared" si="39"/>
        <v>13.200529505924878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105.79358373591445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105.79358373591445</v>
      </c>
      <c r="P90" s="431">
        <f t="shared" si="39"/>
        <v>105.79358373591445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3.1026956314721215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3.1026956314721215</v>
      </c>
      <c r="P91" s="431">
        <f t="shared" si="39"/>
        <v>3.1026956314721215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931.778589422599</v>
      </c>
      <c r="J95" s="382">
        <f t="shared" si="51"/>
        <v>0</v>
      </c>
      <c r="K95" s="382">
        <f t="shared" si="51"/>
        <v>0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931.778589422599</v>
      </c>
      <c r="P95" s="428">
        <f>SUM(P85:P94)</f>
        <v>931.778589422599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48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48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0.9184018771731326</v>
      </c>
      <c r="I111" s="191">
        <f t="shared" si="59"/>
        <v>1.4959333438316345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2.4143352210047668</v>
      </c>
      <c r="P111" s="191">
        <f t="shared" ref="P111:P119" si="61">SUM(I111:M111)</f>
        <v>1.4959333438316345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0.9184018771731326</v>
      </c>
      <c r="I113" s="191">
        <f t="shared" si="62"/>
        <v>1.4959333438316345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2.4143352210047668</v>
      </c>
      <c r="P113" s="191">
        <f t="shared" si="61"/>
        <v>1.4959333438316345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53.096269417094504</v>
      </c>
      <c r="I115" s="191">
        <f t="shared" si="62"/>
        <v>86.485537353846297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139.5818067709408</v>
      </c>
      <c r="P115" s="191">
        <f t="shared" si="61"/>
        <v>86.485537353846297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42.630843296388193</v>
      </c>
      <c r="I116" s="191">
        <f t="shared" si="62"/>
        <v>69.438991304137161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112.06983460052535</v>
      </c>
      <c r="P116" s="191">
        <f t="shared" si="61"/>
        <v>69.438991304137161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17.368773073000536</v>
      </c>
      <c r="I118" s="191">
        <f t="shared" si="62"/>
        <v>28.291020986718266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45.659794059718806</v>
      </c>
      <c r="P118" s="191">
        <f t="shared" si="61"/>
        <v>28.291020986718266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14.72077704948539</v>
      </c>
      <c r="I119" s="912">
        <f t="shared" si="62"/>
        <v>23.97784867689824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38.698625726383632</v>
      </c>
      <c r="P119" s="912">
        <f t="shared" si="61"/>
        <v>23.97784867689824</v>
      </c>
    </row>
    <row r="120" spans="4:16" hidden="1" outlineLevel="1">
      <c r="D120" s="248" t="s">
        <v>440</v>
      </c>
      <c r="G120" s="191">
        <f>SUM(G111:G119)</f>
        <v>0</v>
      </c>
      <c r="H120" s="191">
        <f t="shared" ref="H120:P120" si="63">SUM(H111:H119)</f>
        <v>129.65346659031488</v>
      </c>
      <c r="I120" s="191">
        <f t="shared" si="63"/>
        <v>211.18526500926322</v>
      </c>
      <c r="J120" s="191">
        <f t="shared" si="63"/>
        <v>0</v>
      </c>
      <c r="K120" s="191">
        <f t="shared" si="63"/>
        <v>0</v>
      </c>
      <c r="L120" s="191">
        <f t="shared" si="63"/>
        <v>0</v>
      </c>
      <c r="M120" s="191">
        <f t="shared" si="63"/>
        <v>0</v>
      </c>
      <c r="N120" s="191">
        <f t="shared" si="63"/>
        <v>0</v>
      </c>
      <c r="O120" s="191">
        <f t="shared" si="63"/>
        <v>340.83873159957813</v>
      </c>
      <c r="P120" s="191">
        <f t="shared" si="63"/>
        <v>211.18526500926322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0.23247363790591374</v>
      </c>
      <c r="I123" s="191">
        <f t="shared" si="64"/>
        <v>0.38171151867602177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0.61418515658193551</v>
      </c>
      <c r="P123" s="191">
        <f t="shared" ref="P123:P131" si="66">SUM(I123:M123)</f>
        <v>0.38171151867602177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0.23247363790591374</v>
      </c>
      <c r="I125" s="191">
        <f t="shared" si="67"/>
        <v>0.38171151867602177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0.61418515658193551</v>
      </c>
      <c r="P125" s="191">
        <f t="shared" si="66"/>
        <v>0.38171151867602177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13.440176046479852</v>
      </c>
      <c r="I127" s="191">
        <f t="shared" si="67"/>
        <v>22.068179670553558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35.50835571703341</v>
      </c>
      <c r="P127" s="191">
        <f t="shared" si="66"/>
        <v>22.068179670553558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10.791079019364865</v>
      </c>
      <c r="I128" s="191">
        <f t="shared" si="67"/>
        <v>17.718478524011328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28.509557543376193</v>
      </c>
      <c r="P128" s="191">
        <f t="shared" si="66"/>
        <v>17.718478524011328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4.3965304978155322</v>
      </c>
      <c r="I130" s="191">
        <f t="shared" si="67"/>
        <v>7.2189102744880387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11.615440772303572</v>
      </c>
      <c r="P130" s="191">
        <f t="shared" si="66"/>
        <v>7.2189102744880387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3.7262473853269538</v>
      </c>
      <c r="I131" s="912">
        <f t="shared" si="67"/>
        <v>6.1183347979926994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9.8445821833196536</v>
      </c>
      <c r="P131" s="912">
        <f t="shared" si="66"/>
        <v>6.1183347979926994</v>
      </c>
    </row>
    <row r="132" spans="4:16" hidden="1" outlineLevel="1">
      <c r="D132" s="248" t="s">
        <v>441</v>
      </c>
      <c r="G132" s="191">
        <f>SUM(G123:G131)</f>
        <v>0</v>
      </c>
      <c r="H132" s="191">
        <f t="shared" ref="H132:P132" si="68">SUM(H123:H131)</f>
        <v>32.818980224799034</v>
      </c>
      <c r="I132" s="191">
        <f t="shared" si="68"/>
        <v>53.887326304397675</v>
      </c>
      <c r="J132" s="191">
        <f t="shared" si="68"/>
        <v>0</v>
      </c>
      <c r="K132" s="191">
        <f t="shared" si="68"/>
        <v>0</v>
      </c>
      <c r="L132" s="191">
        <f t="shared" si="68"/>
        <v>0</v>
      </c>
      <c r="M132" s="191">
        <f t="shared" si="68"/>
        <v>0</v>
      </c>
      <c r="N132" s="191">
        <f t="shared" si="68"/>
        <v>0</v>
      </c>
      <c r="O132" s="191">
        <f t="shared" si="68"/>
        <v>86.706306529196709</v>
      </c>
      <c r="P132" s="191">
        <f t="shared" si="68"/>
        <v>53.887326304397675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1.1603458542460039</v>
      </c>
      <c r="I135" s="191">
        <f t="shared" si="69"/>
        <v>1.9096313094429436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3.0699771636889475</v>
      </c>
      <c r="P135" s="191">
        <f t="shared" ref="P135:P143" si="71">SUM(I135:M135)</f>
        <v>1.9096313094429436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1.1603458542460039</v>
      </c>
      <c r="I137" s="191">
        <f t="shared" si="72"/>
        <v>1.9096313094429436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3.0699771636889475</v>
      </c>
      <c r="P137" s="191">
        <f t="shared" si="71"/>
        <v>1.9096313094429436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67.083961417513606</v>
      </c>
      <c r="I139" s="191">
        <f t="shared" si="72"/>
        <v>110.40297391986616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177.48693533737975</v>
      </c>
      <c r="P139" s="191">
        <f t="shared" si="71"/>
        <v>110.40297391986616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53.861521313778745</v>
      </c>
      <c r="I140" s="191">
        <f t="shared" si="72"/>
        <v>88.642232915854393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142.50375422963313</v>
      </c>
      <c r="P140" s="191">
        <f t="shared" si="71"/>
        <v>88.642232915854393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21.944406179383829</v>
      </c>
      <c r="I142" s="191">
        <f t="shared" si="72"/>
        <v>36.11485744008197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58.059263619465796</v>
      </c>
      <c r="P142" s="191">
        <f t="shared" si="71"/>
        <v>36.11485744008197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18.598821545559659</v>
      </c>
      <c r="I143" s="912">
        <f t="shared" si="72"/>
        <v>30.608884249620296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49.207705795179955</v>
      </c>
      <c r="P143" s="912">
        <f t="shared" si="71"/>
        <v>30.608884249620296</v>
      </c>
    </row>
    <row r="144" spans="4:16" hidden="1" outlineLevel="1">
      <c r="D144" s="248" t="s">
        <v>442</v>
      </c>
      <c r="G144" s="191">
        <f>SUM(G135:G143)</f>
        <v>0</v>
      </c>
      <c r="H144" s="191">
        <f t="shared" ref="H144:P144" si="73">SUM(H135:H143)</f>
        <v>163.80940216472783</v>
      </c>
      <c r="I144" s="191">
        <f t="shared" si="73"/>
        <v>269.58821114430867</v>
      </c>
      <c r="J144" s="191">
        <f t="shared" si="73"/>
        <v>0</v>
      </c>
      <c r="K144" s="191">
        <f t="shared" si="73"/>
        <v>0</v>
      </c>
      <c r="L144" s="191">
        <f t="shared" si="73"/>
        <v>0</v>
      </c>
      <c r="M144" s="191">
        <f t="shared" si="73"/>
        <v>0</v>
      </c>
      <c r="N144" s="191">
        <f t="shared" si="73"/>
        <v>0</v>
      </c>
      <c r="O144" s="191">
        <f t="shared" si="73"/>
        <v>433.39761330903656</v>
      </c>
      <c r="P144" s="191">
        <f t="shared" si="73"/>
        <v>269.58821114430867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2.3112213693250503</v>
      </c>
      <c r="I147" s="191">
        <f t="shared" si="74"/>
        <v>3.7872761719505998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6.0984975412756501</v>
      </c>
      <c r="P147" s="191">
        <f t="shared" ref="P147:P155" si="76">SUM(I147:M147)</f>
        <v>3.7872761719505998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2.3112213693250503</v>
      </c>
      <c r="I149" s="191">
        <f t="shared" si="74"/>
        <v>3.7872761719505998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6.0984975412756501</v>
      </c>
      <c r="P149" s="191">
        <f t="shared" si="76"/>
        <v>3.7872761719505998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133.62040688108794</v>
      </c>
      <c r="I151" s="191">
        <f t="shared" si="74"/>
        <v>218.95669094426603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352.57709782535397</v>
      </c>
      <c r="P151" s="191">
        <f t="shared" si="76"/>
        <v>218.95669094426603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107.2834436295318</v>
      </c>
      <c r="I152" s="191">
        <f t="shared" si="74"/>
        <v>175.7997027440029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283.0831463735347</v>
      </c>
      <c r="P152" s="191">
        <f t="shared" si="76"/>
        <v>175.7997027440029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43.709709750199899</v>
      </c>
      <c r="I154" s="191">
        <f t="shared" si="74"/>
        <v>71.624788701288281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115.33449845148817</v>
      </c>
      <c r="P154" s="191">
        <f t="shared" si="76"/>
        <v>71.624788701288281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37.045845980372007</v>
      </c>
      <c r="I155" s="912">
        <f t="shared" si="74"/>
        <v>60.705067724511238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97.750913704883246</v>
      </c>
      <c r="P155" s="912">
        <f t="shared" si="76"/>
        <v>60.705067724511238</v>
      </c>
    </row>
    <row r="156" spans="4:16" hidden="1" outlineLevel="1">
      <c r="D156" s="248" t="s">
        <v>454</v>
      </c>
      <c r="G156" s="191">
        <f>SUM(G147:G155)</f>
        <v>0</v>
      </c>
      <c r="H156" s="191">
        <f t="shared" ref="H156:N156" si="77">SUM(H147:H155)</f>
        <v>326.28184897984175</v>
      </c>
      <c r="I156" s="191">
        <f t="shared" si="77"/>
        <v>534.66080245796957</v>
      </c>
      <c r="J156" s="191">
        <f t="shared" si="77"/>
        <v>0</v>
      </c>
      <c r="K156" s="191">
        <f t="shared" si="77"/>
        <v>0</v>
      </c>
      <c r="L156" s="191">
        <f t="shared" si="77"/>
        <v>0</v>
      </c>
      <c r="M156" s="191">
        <f t="shared" si="77"/>
        <v>0</v>
      </c>
      <c r="N156" s="191">
        <f t="shared" si="77"/>
        <v>0</v>
      </c>
      <c r="O156" s="191">
        <f t="shared" ref="O156:P156" si="78">SUM(O147:O155)</f>
        <v>860.94265143781149</v>
      </c>
      <c r="P156" s="191">
        <f t="shared" si="78"/>
        <v>534.66080245796957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3" priority="4" operator="equal">
      <formula>"Error"</formula>
    </cfRule>
  </conditionalFormatting>
  <conditionalFormatting sqref="R11">
    <cfRule type="cellIs" dxfId="122" priority="3" operator="equal">
      <formula>"Error"</formula>
    </cfRule>
  </conditionalFormatting>
  <conditionalFormatting sqref="R54">
    <cfRule type="cellIs" dxfId="12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Project_Inputs!B11</f>
        <v>XC21</v>
      </c>
      <c r="F3" s="249" t="s">
        <v>63</v>
      </c>
      <c r="G3" s="249">
        <f>Project_Inputs!F11</f>
        <v>0</v>
      </c>
    </row>
    <row r="4" spans="1:21" ht="18.75">
      <c r="A4" s="6"/>
      <c r="B4" s="6"/>
      <c r="C4" s="13" t="s">
        <v>15</v>
      </c>
      <c r="D4" s="339" t="str">
        <f>Project_Inputs!D11</f>
        <v>RWTS B4 220/66kV Transformer and 66kV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Project_Inputs!H11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Project_Inputs!I11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Project_Inputs!J11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0</v>
      </c>
      <c r="G11" s="319">
        <f>IF(G$10="Prior",SUMIFS(Project_Inputs!$W$5:$W$50,Project_Inputs!$D$5:$D$50,$D$4),SUMIFS(Project_Inputs!M$5:M$50,Project_Inputs!$D$5:$D$50,$D$4))</f>
        <v>276</v>
      </c>
      <c r="H11" s="389">
        <f>IF(H$10="Prior",SUMIFS(Project_Inputs!$W$5:$W$50,Project_Inputs!$D$5:$D$50,$D$4),SUMIFS(Project_Inputs!N$5:N$50,Project_Inputs!$D$5:$D$50,$D$4))</f>
        <v>3590</v>
      </c>
      <c r="I11" s="399">
        <f>IF(I$10="Prior",SUMIFS(Project_Inputs!$W$5:$W$50,Project_Inputs!$D$5:$D$50,$D$4),SUMIFS(Project_Inputs!O$5:O$50,Project_Inputs!$D$5:$D$50,$D$4))</f>
        <v>6076</v>
      </c>
      <c r="J11" s="320">
        <f>IF(J$10="Prior",SUMIFS(Project_Inputs!$W$5:$W$50,Project_Inputs!$D$5:$D$50,$D$4),SUMIFS(Project_Inputs!P$5:P$50,Project_Inputs!$D$5:$D$50,$D$4))</f>
        <v>3867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13809</v>
      </c>
      <c r="P11" s="300">
        <f t="shared" ref="P11" si="0">SUM(I11:M11)</f>
        <v>9943</v>
      </c>
      <c r="R11" s="608" t="str">
        <f>IF(O11=Project_Inputs!V11,"ok","error")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/>
      <c r="J13" s="10" t="s">
        <v>132</v>
      </c>
      <c r="K13" s="10"/>
      <c r="L13" s="10"/>
      <c r="M13" s="10"/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13809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13809</v>
      </c>
      <c r="P14" s="451">
        <f>SUM(I14:M14)</f>
        <v>13809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0.13063318055555556</v>
      </c>
      <c r="G17" s="341">
        <v>0.13063318055555556</v>
      </c>
      <c r="H17" s="392">
        <v>0.13063318055555556</v>
      </c>
      <c r="I17" s="404">
        <v>0.13063318055555556</v>
      </c>
      <c r="J17" s="341">
        <v>0.13063318055555556</v>
      </c>
      <c r="K17" s="341">
        <v>0.13063318055555556</v>
      </c>
      <c r="L17" s="341">
        <v>0.13063318055555556</v>
      </c>
      <c r="M17" s="341">
        <v>0.13063318055555556</v>
      </c>
      <c r="N17" s="342">
        <v>0.13063318055555556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0.40952448718452389</v>
      </c>
      <c r="G18" s="341">
        <v>0.40952448718452389</v>
      </c>
      <c r="H18" s="392">
        <v>0.40952448718452389</v>
      </c>
      <c r="I18" s="404">
        <v>0.40952448718452389</v>
      </c>
      <c r="J18" s="341">
        <v>0.40952448718452389</v>
      </c>
      <c r="K18" s="341">
        <v>0.40952448718452389</v>
      </c>
      <c r="L18" s="341">
        <v>0.40952448718452389</v>
      </c>
      <c r="M18" s="341">
        <v>0.40952448718452389</v>
      </c>
      <c r="N18" s="342">
        <v>0.40952448718452389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0.32880604288888887</v>
      </c>
      <c r="G19" s="341">
        <v>0.32880604288888887</v>
      </c>
      <c r="H19" s="392">
        <v>0.32880604288888887</v>
      </c>
      <c r="I19" s="404">
        <v>0.32880604288888887</v>
      </c>
      <c r="J19" s="341">
        <v>0.32880604288888887</v>
      </c>
      <c r="K19" s="341">
        <v>0.32880604288888887</v>
      </c>
      <c r="L19" s="341">
        <v>0.32880604288888887</v>
      </c>
      <c r="M19" s="341">
        <v>0.32880604288888887</v>
      </c>
      <c r="N19" s="342">
        <v>0.32880604288888887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1.4167023857142858E-2</v>
      </c>
      <c r="G21" s="341">
        <v>1.4167023857142858E-2</v>
      </c>
      <c r="H21" s="392">
        <v>1.4167023857142858E-2</v>
      </c>
      <c r="I21" s="404">
        <v>1.4167023857142858E-2</v>
      </c>
      <c r="J21" s="341">
        <v>1.4167023857142858E-2</v>
      </c>
      <c r="K21" s="341">
        <v>1.4167023857142858E-2</v>
      </c>
      <c r="L21" s="341">
        <v>1.4167023857142858E-2</v>
      </c>
      <c r="M21" s="341">
        <v>1.4167023857142858E-2</v>
      </c>
      <c r="N21" s="342">
        <v>1.4167023857142858E-2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0.11353940188888889</v>
      </c>
      <c r="G22" s="341">
        <v>0.11353940188888889</v>
      </c>
      <c r="H22" s="392">
        <v>0.11353940188888889</v>
      </c>
      <c r="I22" s="404">
        <v>0.11353940188888889</v>
      </c>
      <c r="J22" s="341">
        <v>0.11353940188888889</v>
      </c>
      <c r="K22" s="341">
        <v>0.11353940188888889</v>
      </c>
      <c r="L22" s="341">
        <v>0.11353940188888889</v>
      </c>
      <c r="M22" s="341">
        <v>0.11353940188888889</v>
      </c>
      <c r="N22" s="342">
        <v>0.11353940188888889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3.3298636249999999E-3</v>
      </c>
      <c r="G23" s="341">
        <v>3.3298636249999999E-3</v>
      </c>
      <c r="H23" s="392">
        <v>3.3298636249999999E-3</v>
      </c>
      <c r="I23" s="404">
        <v>3.3298636249999999E-3</v>
      </c>
      <c r="J23" s="341">
        <v>3.3298636249999999E-3</v>
      </c>
      <c r="K23" s="341">
        <v>3.3298636249999999E-3</v>
      </c>
      <c r="L23" s="341">
        <v>3.3298636249999999E-3</v>
      </c>
      <c r="M23" s="341">
        <v>3.3298636249999999E-3</v>
      </c>
      <c r="N23" s="342">
        <v>3.3298636249999999E-3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0.16215000000000207</v>
      </c>
      <c r="H46" s="290">
        <f>IF(H$10="Prior",0,(H11*H29)*(Assumptions!H28-1))</f>
        <v>4.4924452249999813</v>
      </c>
      <c r="I46" s="407">
        <f>IF(I$10="Prior",0,(I11*I29)*(Assumptions!I28-1))</f>
        <v>12.555756816004358</v>
      </c>
      <c r="J46" s="282">
        <f>IF(J$10="Prior",0,(J11*J29)*(Assumptions!J28-1))</f>
        <v>11.187963188201058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28.398315229205402</v>
      </c>
      <c r="P46" s="300">
        <f t="shared" ref="P46:P47" si="7">SUM(I46:M46)</f>
        <v>23.743720004205414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0.56579999999999897</v>
      </c>
      <c r="H47" s="290">
        <f>IF(H$10="Prior",0,(H11*H30)*(Assumptions!H30-1))</f>
        <v>19.300131687499992</v>
      </c>
      <c r="I47" s="407">
        <f>IF(I$10="Prior",0,(I11*I30)*(Assumptions!I30-1))</f>
        <v>64.523219772878235</v>
      </c>
      <c r="J47" s="282">
        <f>IF(J$10="Prior",0,(J11*J30)*(Assumptions!J30-1))</f>
        <v>61.649898472506983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146.03904993288521</v>
      </c>
      <c r="P47" s="300">
        <f t="shared" si="7"/>
        <v>126.17311824538521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0.72795000000000099</v>
      </c>
      <c r="H48" s="253">
        <f t="shared" si="8"/>
        <v>23.792576912499975</v>
      </c>
      <c r="I48" s="408">
        <f t="shared" si="8"/>
        <v>77.078976588882597</v>
      </c>
      <c r="J48" s="5">
        <f t="shared" si="8"/>
        <v>72.837861660708043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174.4373651620906</v>
      </c>
      <c r="P48" s="434">
        <f>SUM(P46:P47)</f>
        <v>149.91683824959063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0.72795000000000099</v>
      </c>
      <c r="H49" s="253">
        <f t="shared" si="9"/>
        <v>23.792576912499975</v>
      </c>
      <c r="I49" s="408">
        <f t="shared" si="9"/>
        <v>77.078976588882597</v>
      </c>
      <c r="J49" s="5">
        <f t="shared" si="9"/>
        <v>72.837861660708043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174.4373651620906</v>
      </c>
      <c r="P49" s="371">
        <f>P44+P48</f>
        <v>149.91683824959063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442">
        <f t="shared" si="10"/>
        <v>1.2685809181843746E-2</v>
      </c>
      <c r="J50" s="443">
        <f t="shared" si="10"/>
        <v>1.8835754243782789E-2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1.2632150420891492E-2</v>
      </c>
      <c r="P50" s="444">
        <f t="shared" si="10"/>
        <v>1.5077626294839648E-2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0</v>
      </c>
      <c r="G51" s="280">
        <f>(G29*G$11+G46)*Assumptions!$G$21</f>
        <v>28.231810432330832</v>
      </c>
      <c r="H51" s="280">
        <f>(H29*H$11+H46)*Assumptions!$G$21</f>
        <v>369.64175350888161</v>
      </c>
      <c r="I51" s="410">
        <f>(I29*I$11+I46)*Assumptions!$G$21</f>
        <v>630.64711360424508</v>
      </c>
      <c r="J51" s="280">
        <f>(J29*J$11+J46)*Assumptions!$G$21</f>
        <v>404.61915053536995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1433.1398280808276</v>
      </c>
      <c r="P51" s="375">
        <f>SUM(I51:M51)</f>
        <v>1035.266264139615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0</v>
      </c>
      <c r="G52" s="282">
        <f>(G30*G$11+G47)*Assumptions!$G$21</f>
        <v>140.9099582706767</v>
      </c>
      <c r="H52" s="282">
        <f>(H30*H$11+H47)*Assumptions!$G$21</f>
        <v>1844.9931790280782</v>
      </c>
      <c r="I52" s="407">
        <f>(I30*I$11+I47)*Assumptions!$G$21</f>
        <v>3155.0095148442242</v>
      </c>
      <c r="J52" s="282">
        <f>(J30*J$11+J47)*Assumptions!$G$21</f>
        <v>2028.9024343489216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7169.8150864919007</v>
      </c>
      <c r="P52" s="376">
        <f>SUM(I52:M52)</f>
        <v>5183.911949193146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0</v>
      </c>
      <c r="G53" s="282">
        <f>(G31*G$11+G$44)*Assumptions!$G$21</f>
        <v>112.26766917293234</v>
      </c>
      <c r="H53" s="282">
        <f>(H31*H$11+H$44)*Assumptions!$G$21</f>
        <v>1460.2932330827068</v>
      </c>
      <c r="I53" s="407">
        <f>(I31*I$11+I$44)*Assumptions!$G$21</f>
        <v>2471.5157894736844</v>
      </c>
      <c r="J53" s="282">
        <f>(J31*J$11+J$44)*Assumptions!$G$21</f>
        <v>1572.9676691729326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5617.0443609022559</v>
      </c>
      <c r="P53" s="376">
        <f>SUM(I53:M53)</f>
        <v>4044.4834586466168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0</v>
      </c>
      <c r="G54" s="5">
        <f t="shared" si="12"/>
        <v>281.40943787593989</v>
      </c>
      <c r="H54" s="5">
        <f t="shared" si="12"/>
        <v>3674.9281656196663</v>
      </c>
      <c r="I54" s="411">
        <f t="shared" si="12"/>
        <v>6257.1724179221537</v>
      </c>
      <c r="J54" s="382">
        <f t="shared" si="12"/>
        <v>4006.4892540572246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14219.999275474984</v>
      </c>
      <c r="P54" s="428">
        <f t="shared" si="12"/>
        <v>10263.661671979378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16.728323590660267</v>
      </c>
      <c r="H57" s="290">
        <f t="shared" si="13"/>
        <v>266.77658414308399</v>
      </c>
      <c r="I57" s="407">
        <f t="shared" si="13"/>
        <v>551.79896385247832</v>
      </c>
      <c r="J57" s="282">
        <f t="shared" si="13"/>
        <v>481.97920532563285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1317.2830769118555</v>
      </c>
      <c r="P57" s="300">
        <f>SUM(I57:M57)</f>
        <v>1033.7781691781111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0</v>
      </c>
      <c r="G59" s="5">
        <f t="shared" si="14"/>
        <v>298.13776146660018</v>
      </c>
      <c r="H59" s="5">
        <f t="shared" si="14"/>
        <v>3941.7047497627505</v>
      </c>
      <c r="I59" s="411">
        <f t="shared" si="14"/>
        <v>6808.9713817746324</v>
      </c>
      <c r="J59" s="382">
        <f t="shared" si="14"/>
        <v>4488.468459382857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15537.282352386839</v>
      </c>
      <c r="P59" s="429">
        <f t="shared" si="15"/>
        <v>11297.439841157489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16.728323590660267</v>
      </c>
      <c r="H60" s="290">
        <f t="shared" si="16"/>
        <v>283.50490773374429</v>
      </c>
      <c r="I60" s="290">
        <f t="shared" si="16"/>
        <v>835.30387158622261</v>
      </c>
      <c r="J60" s="290">
        <f t="shared" si="16"/>
        <v>1317.2830769118555</v>
      </c>
      <c r="K60" s="290">
        <f t="shared" si="16"/>
        <v>1317.2830769118555</v>
      </c>
      <c r="L60" s="290">
        <f t="shared" si="16"/>
        <v>1317.2830769118555</v>
      </c>
      <c r="M60" s="290">
        <f t="shared" si="16"/>
        <v>1317.2830769118555</v>
      </c>
      <c r="N60" s="290">
        <f t="shared" si="16"/>
        <v>1317.2830769118555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0.72795000000000099</v>
      </c>
      <c r="H61" s="252">
        <f t="shared" ref="H61:N61" si="17">H49+G61</f>
        <v>24.520526912499975</v>
      </c>
      <c r="I61" s="252">
        <f t="shared" si="17"/>
        <v>101.59950350138257</v>
      </c>
      <c r="J61" s="252">
        <f t="shared" si="17"/>
        <v>174.4373651620906</v>
      </c>
      <c r="K61" s="252">
        <f t="shared" si="17"/>
        <v>174.4373651620906</v>
      </c>
      <c r="L61" s="252">
        <f t="shared" si="17"/>
        <v>174.4373651620906</v>
      </c>
      <c r="M61" s="252">
        <f t="shared" si="17"/>
        <v>174.4373651620906</v>
      </c>
      <c r="N61" s="252">
        <f t="shared" si="17"/>
        <v>174.4373651620906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38.946684024095539</v>
      </c>
      <c r="H64" s="280">
        <f t="shared" si="18"/>
        <v>514.91742827244832</v>
      </c>
      <c r="I64" s="415">
        <f t="shared" si="18"/>
        <v>889.47758791297622</v>
      </c>
      <c r="J64" s="380">
        <f t="shared" si="18"/>
        <v>586.34291067247705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2029.6846108819973</v>
      </c>
      <c r="P64" s="430">
        <f>SUM(I64:M64)</f>
        <v>1475.8204985854532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122.09471387495135</v>
      </c>
      <c r="H65" s="282">
        <f t="shared" si="19"/>
        <v>1614.2246162793924</v>
      </c>
      <c r="I65" s="416">
        <f t="shared" si="19"/>
        <v>2788.4405133753553</v>
      </c>
      <c r="J65" s="381">
        <f t="shared" si="19"/>
        <v>1838.1377440726744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6362.8975876023733</v>
      </c>
      <c r="P65" s="431">
        <f t="shared" ref="P65:P73" si="21">SUM(I65:M65)</f>
        <v>4626.5782574480299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98.029497583584259</v>
      </c>
      <c r="H66" s="282">
        <f t="shared" si="22"/>
        <v>1296.056341005828</v>
      </c>
      <c r="I66" s="416">
        <f t="shared" si="22"/>
        <v>2238.8309361850065</v>
      </c>
      <c r="J66" s="381">
        <f t="shared" si="22"/>
        <v>1475.8355527612646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5108.7523275356834</v>
      </c>
      <c r="P66" s="431">
        <f t="shared" si="21"/>
        <v>3714.6664889462709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4.2237247794124917</v>
      </c>
      <c r="H68" s="282">
        <f t="shared" si="24"/>
        <v>55.842225227702201</v>
      </c>
      <c r="I68" s="416">
        <f t="shared" si="24"/>
        <v>96.462860008204188</v>
      </c>
      <c r="J68" s="381">
        <f t="shared" si="24"/>
        <v>63.588239746110183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220.11704976142906</v>
      </c>
      <c r="P68" s="431">
        <f t="shared" si="21"/>
        <v>160.05109975431438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33.850383117410011</v>
      </c>
      <c r="H69" s="282">
        <f t="shared" si="25"/>
        <v>447.53879971065516</v>
      </c>
      <c r="I69" s="416">
        <f t="shared" si="25"/>
        <v>773.08653816525305</v>
      </c>
      <c r="J69" s="381">
        <f t="shared" si="25"/>
        <v>509.61802427547218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1764.0937452687904</v>
      </c>
      <c r="P69" s="431">
        <f t="shared" si="21"/>
        <v>1282.7045624407251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0.99275808714655855</v>
      </c>
      <c r="H70" s="282">
        <f t="shared" si="26"/>
        <v>13.12533926672471</v>
      </c>
      <c r="I70" s="416">
        <f t="shared" si="26"/>
        <v>22.672946127837335</v>
      </c>
      <c r="J70" s="381">
        <f t="shared" si="26"/>
        <v>14.945987854858764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51.73703133656737</v>
      </c>
      <c r="P70" s="431">
        <f t="shared" si="21"/>
        <v>37.618933982696099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0</v>
      </c>
      <c r="G74" s="5">
        <f t="shared" ref="G74:N74" si="30">+SUM(G64:G73)</f>
        <v>298.13776146660018</v>
      </c>
      <c r="H74" s="5">
        <f t="shared" si="30"/>
        <v>3941.7047497627505</v>
      </c>
      <c r="I74" s="411">
        <f t="shared" si="30"/>
        <v>6808.9713817746324</v>
      </c>
      <c r="J74" s="382">
        <f t="shared" si="30"/>
        <v>4488.468459382857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15537.282352386843</v>
      </c>
      <c r="P74" s="428">
        <f>SUM(P64:P73)</f>
        <v>11297.439841157489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0</v>
      </c>
      <c r="I76" s="410">
        <f t="shared" si="32"/>
        <v>0</v>
      </c>
      <c r="J76" s="280">
        <f t="shared" si="32"/>
        <v>13809</v>
      </c>
      <c r="K76" s="280">
        <f t="shared" si="32"/>
        <v>0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13809</v>
      </c>
      <c r="P76" s="378">
        <f t="shared" ref="P76:P80" si="33">SUM(I76:M76)</f>
        <v>13809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0</v>
      </c>
      <c r="J77" s="282">
        <f>IF(J$10="Prior",0,IF(AND(J76&lt;&gt;0,SUM($F76:I76)=0),J76/SUM($F$76:J76)*J61,IF(J76&lt;&gt;0,SUM($F$76:J76)/SUM($F$11:J11)*J61-I83,0)))</f>
        <v>174.4373651620906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174.4373651620906</v>
      </c>
      <c r="P77" s="455">
        <f t="shared" si="33"/>
        <v>174.4373651620906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0</v>
      </c>
      <c r="J78" s="457">
        <f t="shared" si="34"/>
        <v>13983.43736516209</v>
      </c>
      <c r="K78" s="457">
        <f t="shared" si="34"/>
        <v>0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13983.43736516209</v>
      </c>
      <c r="P78" s="461">
        <f t="shared" si="33"/>
        <v>13983.43736516209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0</v>
      </c>
      <c r="I79" s="458">
        <f>I78*Assumptions!$G$21</f>
        <v>0</v>
      </c>
      <c r="J79" s="457">
        <f>J78*Assumptions!$G$21</f>
        <v>14219.999275474984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14219.999275474984</v>
      </c>
      <c r="P79" s="461">
        <f t="shared" si="33"/>
        <v>14219.999275474984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1317.2830769118555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1317.2830769118555</v>
      </c>
      <c r="P80" s="300">
        <f t="shared" si="33"/>
        <v>1317.2830769118555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0</v>
      </c>
      <c r="J81" s="387">
        <f t="shared" si="35"/>
        <v>15537.282352386839</v>
      </c>
      <c r="K81" s="387">
        <f t="shared" si="35"/>
        <v>0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15537.282352386839</v>
      </c>
      <c r="P81" s="388">
        <f t="shared" si="35"/>
        <v>15537.282352386839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0</v>
      </c>
      <c r="J82" s="252">
        <f t="shared" si="36"/>
        <v>1317.2830769118555</v>
      </c>
      <c r="K82" s="252">
        <f t="shared" si="36"/>
        <v>1317.2830769118555</v>
      </c>
      <c r="L82" s="252">
        <f t="shared" si="36"/>
        <v>1317.2830769118555</v>
      </c>
      <c r="M82" s="252">
        <f t="shared" si="36"/>
        <v>1317.2830769118555</v>
      </c>
      <c r="N82" s="252">
        <f t="shared" si="36"/>
        <v>1317.2830769118555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0</v>
      </c>
      <c r="J83" s="252">
        <f t="shared" si="37"/>
        <v>174.4373651620906</v>
      </c>
      <c r="K83" s="252">
        <f t="shared" si="37"/>
        <v>174.4373651620906</v>
      </c>
      <c r="L83" s="252">
        <f t="shared" si="37"/>
        <v>174.4373651620906</v>
      </c>
      <c r="M83" s="252">
        <f t="shared" si="37"/>
        <v>174.4373651620906</v>
      </c>
      <c r="N83" s="252">
        <f t="shared" si="37"/>
        <v>174.4373651620906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2029.6846108819975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2029.6846108819975</v>
      </c>
      <c r="P85" s="430">
        <f t="shared" ref="P85:P94" si="39">SUM(I85:M85)</f>
        <v>2029.6846108819975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6362.8975876023751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6362.8975876023751</v>
      </c>
      <c r="P86" s="431">
        <f t="shared" si="39"/>
        <v>6362.8975876023751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5108.7523275356843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5108.7523275356843</v>
      </c>
      <c r="P87" s="431">
        <f t="shared" si="39"/>
        <v>5108.7523275356843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220.11704976142909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220.11704976142909</v>
      </c>
      <c r="P89" s="431">
        <f t="shared" si="39"/>
        <v>220.11704976142909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1764.0937452687908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1764.0937452687908</v>
      </c>
      <c r="P90" s="431">
        <f t="shared" si="39"/>
        <v>1764.0937452687908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51.737031336567377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51.737031336567377</v>
      </c>
      <c r="P91" s="431">
        <f t="shared" si="39"/>
        <v>51.737031336567377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0</v>
      </c>
      <c r="J95" s="382">
        <f t="shared" si="51"/>
        <v>15537.282352386846</v>
      </c>
      <c r="K95" s="382">
        <f t="shared" si="51"/>
        <v>0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15537.282352386846</v>
      </c>
      <c r="P95" s="428">
        <f>SUM(P85:P94)</f>
        <v>15537.282352386846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48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48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0.7952493737793771</v>
      </c>
      <c r="H111" s="191">
        <f t="shared" ref="H111:N111" si="59">H99*H$53</f>
        <v>10.344004535753491</v>
      </c>
      <c r="I111" s="191">
        <f t="shared" si="59"/>
        <v>17.507011576389477</v>
      </c>
      <c r="J111" s="191">
        <f t="shared" si="59"/>
        <v>11.142135247843665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39.788400733766011</v>
      </c>
      <c r="P111" s="191">
        <f t="shared" ref="P111:P119" si="61">SUM(I111:M111)</f>
        <v>28.649146824233142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0.7952493737793771</v>
      </c>
      <c r="H113" s="191">
        <f t="shared" si="62"/>
        <v>10.344004535753491</v>
      </c>
      <c r="I113" s="191">
        <f t="shared" si="62"/>
        <v>17.507011576389477</v>
      </c>
      <c r="J113" s="191">
        <f t="shared" si="62"/>
        <v>11.142135247843665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39.788400733766011</v>
      </c>
      <c r="P113" s="191">
        <f t="shared" si="61"/>
        <v>28.649146824233142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45.976359645446898</v>
      </c>
      <c r="H115" s="191">
        <f t="shared" si="62"/>
        <v>598.02583741722594</v>
      </c>
      <c r="I115" s="191">
        <f t="shared" si="62"/>
        <v>1012.1462362526643</v>
      </c>
      <c r="J115" s="191">
        <f t="shared" si="62"/>
        <v>644.16877807588105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2300.3172113912183</v>
      </c>
      <c r="P115" s="191">
        <f t="shared" si="61"/>
        <v>1656.3150143285452</v>
      </c>
    </row>
    <row r="116" spans="4:16" hidden="1" outlineLevel="1">
      <c r="D116" s="248" t="s">
        <v>384</v>
      </c>
      <c r="G116" s="191">
        <f t="shared" si="62"/>
        <v>36.91428804511078</v>
      </c>
      <c r="H116" s="191">
        <f t="shared" si="62"/>
        <v>480.1532394273467</v>
      </c>
      <c r="I116" s="191">
        <f t="shared" si="62"/>
        <v>812.64932667425035</v>
      </c>
      <c r="J116" s="191">
        <f t="shared" si="62"/>
        <v>517.20127489291087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1846.9181290396186</v>
      </c>
      <c r="P116" s="191">
        <f t="shared" si="61"/>
        <v>1329.8506015671612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15.039718725461533</v>
      </c>
      <c r="H118" s="191">
        <f t="shared" si="62"/>
        <v>195.62532690002499</v>
      </c>
      <c r="I118" s="191">
        <f t="shared" si="62"/>
        <v>331.09177889820387</v>
      </c>
      <c r="J118" s="191">
        <f t="shared" si="62"/>
        <v>210.71953735999909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752.47636188368949</v>
      </c>
      <c r="P118" s="191">
        <f t="shared" si="61"/>
        <v>541.81131625820296</v>
      </c>
    </row>
    <row r="119" spans="4:16" hidden="1" outlineLevel="1">
      <c r="D119" s="248" t="s">
        <v>387</v>
      </c>
      <c r="G119" s="912">
        <f t="shared" si="62"/>
        <v>12.746804009354388</v>
      </c>
      <c r="H119" s="912">
        <f t="shared" si="62"/>
        <v>165.80082026660236</v>
      </c>
      <c r="I119" s="912">
        <f t="shared" si="62"/>
        <v>280.61442449578715</v>
      </c>
      <c r="J119" s="912">
        <f t="shared" si="62"/>
        <v>178.59380834845442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637.75585712019836</v>
      </c>
      <c r="P119" s="912">
        <f t="shared" si="61"/>
        <v>459.20823284424159</v>
      </c>
    </row>
    <row r="120" spans="4:16" hidden="1" outlineLevel="1">
      <c r="D120" s="248" t="s">
        <v>440</v>
      </c>
      <c r="G120" s="191">
        <f>SUM(G111:G119)</f>
        <v>112.26766917293237</v>
      </c>
      <c r="H120" s="191">
        <f t="shared" ref="H120:P120" si="63">SUM(H111:H119)</f>
        <v>1460.2932330827068</v>
      </c>
      <c r="I120" s="191">
        <f t="shared" si="63"/>
        <v>2471.5157894736844</v>
      </c>
      <c r="J120" s="191">
        <f t="shared" si="63"/>
        <v>1572.9676691729326</v>
      </c>
      <c r="K120" s="191">
        <f t="shared" si="63"/>
        <v>0</v>
      </c>
      <c r="L120" s="191">
        <f t="shared" si="63"/>
        <v>0</v>
      </c>
      <c r="M120" s="191">
        <f t="shared" si="63"/>
        <v>0</v>
      </c>
      <c r="N120" s="191">
        <f t="shared" si="63"/>
        <v>0</v>
      </c>
      <c r="O120" s="191">
        <f t="shared" si="63"/>
        <v>5617.0443609022559</v>
      </c>
      <c r="P120" s="191">
        <f t="shared" si="63"/>
        <v>4044.4834586466172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0.19998036596258276</v>
      </c>
      <c r="H123" s="191">
        <f t="shared" ref="H123:N123" si="64">H99*H$51</f>
        <v>2.6183617702782227</v>
      </c>
      <c r="I123" s="191">
        <f t="shared" si="64"/>
        <v>4.4671963519348106</v>
      </c>
      <c r="J123" s="191">
        <f t="shared" si="64"/>
        <v>2.8661245793457315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10.151663067521348</v>
      </c>
      <c r="P123" s="191">
        <f t="shared" ref="P123:P131" si="66">SUM(I123:M123)</f>
        <v>7.3333209312805421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0.19998036596258276</v>
      </c>
      <c r="H125" s="191">
        <f t="shared" si="67"/>
        <v>2.6183617702782227</v>
      </c>
      <c r="I125" s="191">
        <f t="shared" si="67"/>
        <v>4.4671963519348106</v>
      </c>
      <c r="J125" s="191">
        <f t="shared" si="67"/>
        <v>2.8661245793457315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10.151663067521348</v>
      </c>
      <c r="P125" s="191">
        <f t="shared" si="66"/>
        <v>7.3333209312805421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11.561617689590976</v>
      </c>
      <c r="H127" s="191">
        <f t="shared" si="67"/>
        <v>151.37734954771292</v>
      </c>
      <c r="I127" s="191">
        <f t="shared" si="67"/>
        <v>258.26543579317865</v>
      </c>
      <c r="J127" s="191">
        <f t="shared" si="67"/>
        <v>165.70145012803505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586.90585315851763</v>
      </c>
      <c r="P127" s="191">
        <f t="shared" si="66"/>
        <v>423.9668859212137</v>
      </c>
    </row>
    <row r="128" spans="4:16" hidden="1" outlineLevel="1">
      <c r="D128" s="248" t="s">
        <v>384</v>
      </c>
      <c r="G128" s="191">
        <f t="shared" si="67"/>
        <v>9.282789871843951</v>
      </c>
      <c r="H128" s="191">
        <f t="shared" si="67"/>
        <v>121.54044225776542</v>
      </c>
      <c r="I128" s="191">
        <f t="shared" si="67"/>
        <v>207.36058188351137</v>
      </c>
      <c r="J128" s="191">
        <f t="shared" si="67"/>
        <v>133.04122176459865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471.22503577771943</v>
      </c>
      <c r="P128" s="191">
        <f t="shared" si="66"/>
        <v>340.40180364810999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3.7820192682434048</v>
      </c>
      <c r="H130" s="191">
        <f t="shared" si="67"/>
        <v>49.518334556288337</v>
      </c>
      <c r="I130" s="191">
        <f t="shared" si="67"/>
        <v>84.483407142105335</v>
      </c>
      <c r="J130" s="191">
        <f t="shared" si="67"/>
        <v>54.204013139468628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191.98777410610572</v>
      </c>
      <c r="P130" s="191">
        <f t="shared" si="66"/>
        <v>138.68742028157396</v>
      </c>
    </row>
    <row r="131" spans="4:16" hidden="1" outlineLevel="1">
      <c r="D131" s="248" t="s">
        <v>387</v>
      </c>
      <c r="G131" s="912">
        <f t="shared" si="67"/>
        <v>3.2054228707273364</v>
      </c>
      <c r="H131" s="912">
        <f t="shared" si="67"/>
        <v>41.968903606558513</v>
      </c>
      <c r="I131" s="912">
        <f t="shared" si="67"/>
        <v>71.603296081580154</v>
      </c>
      <c r="J131" s="912">
        <f t="shared" si="67"/>
        <v>45.9402163445762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162.71783890344221</v>
      </c>
      <c r="P131" s="912">
        <f t="shared" si="66"/>
        <v>117.54351242615635</v>
      </c>
    </row>
    <row r="132" spans="4:16" hidden="1" outlineLevel="1">
      <c r="D132" s="248" t="s">
        <v>441</v>
      </c>
      <c r="G132" s="191">
        <f>SUM(G123:G131)</f>
        <v>28.231810432330835</v>
      </c>
      <c r="H132" s="191">
        <f t="shared" ref="H132:P132" si="68">SUM(H123:H131)</f>
        <v>369.64175350888166</v>
      </c>
      <c r="I132" s="191">
        <f t="shared" si="68"/>
        <v>630.64711360424519</v>
      </c>
      <c r="J132" s="191">
        <f t="shared" si="68"/>
        <v>404.61915053537001</v>
      </c>
      <c r="K132" s="191">
        <f t="shared" si="68"/>
        <v>0</v>
      </c>
      <c r="L132" s="191">
        <f t="shared" si="68"/>
        <v>0</v>
      </c>
      <c r="M132" s="191">
        <f t="shared" si="68"/>
        <v>0</v>
      </c>
      <c r="N132" s="191">
        <f t="shared" si="68"/>
        <v>0</v>
      </c>
      <c r="O132" s="191">
        <f t="shared" si="68"/>
        <v>1433.1398280808276</v>
      </c>
      <c r="P132" s="191">
        <f t="shared" si="68"/>
        <v>1035.266264139615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0.99813737026484062</v>
      </c>
      <c r="H135" s="191">
        <f t="shared" ref="H135:N135" si="69">H99*H$52</f>
        <v>13.069031191778313</v>
      </c>
      <c r="I135" s="191">
        <f t="shared" si="69"/>
        <v>22.348547533155418</v>
      </c>
      <c r="J135" s="191">
        <f t="shared" si="69"/>
        <v>14.371754595618196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50.787470690816775</v>
      </c>
      <c r="P135" s="191">
        <f t="shared" ref="P135:P143" si="71">SUM(I135:M135)</f>
        <v>36.720302128773611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0.99813737026484062</v>
      </c>
      <c r="H137" s="191">
        <f t="shared" si="72"/>
        <v>13.069031191778313</v>
      </c>
      <c r="I137" s="191">
        <f t="shared" si="72"/>
        <v>22.348547533155418</v>
      </c>
      <c r="J137" s="191">
        <f t="shared" si="72"/>
        <v>14.371754595618196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50.787470690816775</v>
      </c>
      <c r="P137" s="191">
        <f t="shared" si="71"/>
        <v>36.720302128773611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57.706078399991533</v>
      </c>
      <c r="H139" s="191">
        <f t="shared" si="72"/>
        <v>755.5698855004182</v>
      </c>
      <c r="I139" s="191">
        <f t="shared" si="72"/>
        <v>1292.0536536288744</v>
      </c>
      <c r="J139" s="191">
        <f t="shared" si="72"/>
        <v>830.88522897417431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2936.2148465034584</v>
      </c>
      <c r="P139" s="191">
        <f t="shared" si="71"/>
        <v>2122.9388826030486</v>
      </c>
    </row>
    <row r="140" spans="4:16" hidden="1" outlineLevel="1">
      <c r="D140" s="248" t="s">
        <v>384</v>
      </c>
      <c r="G140" s="191">
        <f t="shared" si="72"/>
        <v>46.332045782619666</v>
      </c>
      <c r="H140" s="191">
        <f t="shared" si="72"/>
        <v>606.64490635321374</v>
      </c>
      <c r="I140" s="191">
        <f t="shared" si="72"/>
        <v>1037.3861938527225</v>
      </c>
      <c r="J140" s="191">
        <f t="shared" si="72"/>
        <v>667.11538084590256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2357.4785268344585</v>
      </c>
      <c r="P140" s="191">
        <f t="shared" si="71"/>
        <v>1704.5015746986251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18.876726965294903</v>
      </c>
      <c r="H142" s="191">
        <f t="shared" si="72"/>
        <v>247.16090275496211</v>
      </c>
      <c r="I142" s="191">
        <f t="shared" si="72"/>
        <v>422.65467902715</v>
      </c>
      <c r="J142" s="191">
        <f t="shared" si="72"/>
        <v>271.79794645072133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960.49025519812835</v>
      </c>
      <c r="P142" s="191">
        <f t="shared" si="71"/>
        <v>694.45262547787138</v>
      </c>
    </row>
    <row r="143" spans="4:16" hidden="1" outlineLevel="1">
      <c r="D143" s="248" t="s">
        <v>387</v>
      </c>
      <c r="G143" s="912">
        <f t="shared" si="72"/>
        <v>15.998832382240925</v>
      </c>
      <c r="H143" s="912">
        <f t="shared" si="72"/>
        <v>209.47942203592771</v>
      </c>
      <c r="I143" s="912">
        <f t="shared" si="72"/>
        <v>358.21789326916672</v>
      </c>
      <c r="J143" s="912">
        <f t="shared" si="72"/>
        <v>230.36036888688722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814.05651657422254</v>
      </c>
      <c r="P143" s="912">
        <f t="shared" si="71"/>
        <v>588.57826215605394</v>
      </c>
    </row>
    <row r="144" spans="4:16" hidden="1" outlineLevel="1">
      <c r="D144" s="248" t="s">
        <v>442</v>
      </c>
      <c r="G144" s="191">
        <f>SUM(G135:G143)</f>
        <v>140.90995827067673</v>
      </c>
      <c r="H144" s="191">
        <f t="shared" ref="H144:P144" si="73">SUM(H135:H143)</f>
        <v>1844.9931790280784</v>
      </c>
      <c r="I144" s="191">
        <f t="shared" si="73"/>
        <v>3155.0095148442247</v>
      </c>
      <c r="J144" s="191">
        <f t="shared" si="73"/>
        <v>2028.9024343489218</v>
      </c>
      <c r="K144" s="191">
        <f t="shared" si="73"/>
        <v>0</v>
      </c>
      <c r="L144" s="191">
        <f t="shared" si="73"/>
        <v>0</v>
      </c>
      <c r="M144" s="191">
        <f t="shared" si="73"/>
        <v>0</v>
      </c>
      <c r="N144" s="191">
        <f t="shared" si="73"/>
        <v>0</v>
      </c>
      <c r="O144" s="191">
        <f t="shared" si="73"/>
        <v>7169.8150864919016</v>
      </c>
      <c r="P144" s="191">
        <f t="shared" si="73"/>
        <v>5183.911949193146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1.9933671100068004</v>
      </c>
      <c r="H147" s="191">
        <f t="shared" si="74"/>
        <v>26.031397497810026</v>
      </c>
      <c r="I147" s="191">
        <f t="shared" si="74"/>
        <v>44.322755461479701</v>
      </c>
      <c r="J147" s="191">
        <f t="shared" si="74"/>
        <v>28.380014422807591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100.72753449210413</v>
      </c>
      <c r="P147" s="191">
        <f t="shared" ref="P147:P155" si="76">SUM(I147:M147)</f>
        <v>72.702769884287292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1.9933671100068004</v>
      </c>
      <c r="H149" s="191">
        <f t="shared" si="74"/>
        <v>26.031397497810026</v>
      </c>
      <c r="I149" s="191">
        <f t="shared" si="74"/>
        <v>44.322755461479701</v>
      </c>
      <c r="J149" s="191">
        <f t="shared" si="74"/>
        <v>28.380014422807591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100.72753449210413</v>
      </c>
      <c r="P149" s="191">
        <f t="shared" si="76"/>
        <v>72.702769884287292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115.24405573502941</v>
      </c>
      <c r="H151" s="191">
        <f t="shared" si="74"/>
        <v>1504.9730724653571</v>
      </c>
      <c r="I151" s="191">
        <f t="shared" si="74"/>
        <v>2562.465325674717</v>
      </c>
      <c r="J151" s="191">
        <f t="shared" si="74"/>
        <v>1640.7554571780904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5823.4379110531936</v>
      </c>
      <c r="P151" s="191">
        <f t="shared" si="76"/>
        <v>4203.2207828528071</v>
      </c>
    </row>
    <row r="152" spans="4:16" hidden="1" outlineLevel="1">
      <c r="D152" s="248" t="s">
        <v>384</v>
      </c>
      <c r="G152" s="191">
        <f t="shared" si="74"/>
        <v>92.529123699574399</v>
      </c>
      <c r="H152" s="191">
        <f t="shared" si="74"/>
        <v>1208.3385880383257</v>
      </c>
      <c r="I152" s="191">
        <f t="shared" si="74"/>
        <v>2057.3961024104842</v>
      </c>
      <c r="J152" s="191">
        <f t="shared" si="74"/>
        <v>1317.3578775034121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4675.6216916517969</v>
      </c>
      <c r="P152" s="191">
        <f t="shared" si="76"/>
        <v>3374.7539799138963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37.698464958999843</v>
      </c>
      <c r="H154" s="191">
        <f t="shared" si="74"/>
        <v>492.30456421127542</v>
      </c>
      <c r="I154" s="191">
        <f t="shared" si="74"/>
        <v>838.22986506745917</v>
      </c>
      <c r="J154" s="191">
        <f t="shared" si="74"/>
        <v>536.72149695018902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1904.9543911879234</v>
      </c>
      <c r="P154" s="191">
        <f t="shared" si="76"/>
        <v>1374.9513620176481</v>
      </c>
    </row>
    <row r="155" spans="4:16" hidden="1" outlineLevel="1">
      <c r="D155" s="248" t="s">
        <v>387</v>
      </c>
      <c r="G155" s="912">
        <f t="shared" si="74"/>
        <v>31.951059262322651</v>
      </c>
      <c r="H155" s="912">
        <f t="shared" si="74"/>
        <v>417.24914590908861</v>
      </c>
      <c r="I155" s="912">
        <f t="shared" si="74"/>
        <v>710.43561384653401</v>
      </c>
      <c r="J155" s="912">
        <f t="shared" si="74"/>
        <v>454.89439357991785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1614.5302125978633</v>
      </c>
      <c r="P155" s="912">
        <f t="shared" si="76"/>
        <v>1165.3300074264519</v>
      </c>
    </row>
    <row r="156" spans="4:16" hidden="1" outlineLevel="1">
      <c r="D156" s="248" t="s">
        <v>454</v>
      </c>
      <c r="G156" s="191">
        <f>SUM(G147:G155)</f>
        <v>281.40943787593989</v>
      </c>
      <c r="H156" s="191">
        <f t="shared" ref="H156:N156" si="77">SUM(H147:H155)</f>
        <v>3674.9281656196672</v>
      </c>
      <c r="I156" s="191">
        <f t="shared" si="77"/>
        <v>6257.1724179221537</v>
      </c>
      <c r="J156" s="191">
        <f t="shared" si="77"/>
        <v>4006.4892540572246</v>
      </c>
      <c r="K156" s="191">
        <f t="shared" si="77"/>
        <v>0</v>
      </c>
      <c r="L156" s="191">
        <f t="shared" si="77"/>
        <v>0</v>
      </c>
      <c r="M156" s="191">
        <f t="shared" si="77"/>
        <v>0</v>
      </c>
      <c r="N156" s="191">
        <f t="shared" si="77"/>
        <v>0</v>
      </c>
      <c r="O156" s="191">
        <f t="shared" ref="O156:P156" si="78">SUM(O147:O155)</f>
        <v>14219.999275474984</v>
      </c>
      <c r="P156" s="191">
        <f t="shared" si="78"/>
        <v>10263.661671979376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0" priority="4" operator="equal">
      <formula>"Error"</formula>
    </cfRule>
  </conditionalFormatting>
  <conditionalFormatting sqref="R11">
    <cfRule type="cellIs" dxfId="119" priority="3" operator="equal">
      <formula>"Error"</formula>
    </cfRule>
  </conditionalFormatting>
  <conditionalFormatting sqref="R54">
    <cfRule type="cellIs" dxfId="11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Project_Inputs!B12</f>
        <v>XC15</v>
      </c>
      <c r="F3" s="249" t="s">
        <v>63</v>
      </c>
      <c r="G3" s="249">
        <f>Project_Inputs!F12</f>
        <v>0</v>
      </c>
    </row>
    <row r="4" spans="1:21" ht="18.75">
      <c r="A4" s="6"/>
      <c r="B4" s="6"/>
      <c r="C4" s="13" t="s">
        <v>15</v>
      </c>
      <c r="D4" s="339" t="str">
        <f>Project_Inputs!D12</f>
        <v>TSTS B2 Transformer and 66kV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Project_Inputs!H12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Project_Inputs!I12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Project_Inputs!J12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35.815524876157326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392.75599999999997</v>
      </c>
      <c r="L11" s="320">
        <f>IF(L$10="Prior",SUMIFS(Project_Inputs!$W$5:$W$50,Project_Inputs!$D$5:$D$50,$D$4),SUMIFS(Project_Inputs!R$5:R$50,Project_Inputs!$D$5:$D$50,$D$4))</f>
        <v>5104.4759999999997</v>
      </c>
      <c r="M11" s="320">
        <f>IF(M$10="Prior",SUMIFS(Project_Inputs!$W$5:$W$50,Project_Inputs!$D$5:$D$50,$D$4),SUMIFS(Project_Inputs!S$5:S$50,Project_Inputs!$D$5:$D$50,$D$4))</f>
        <v>8637.9279999999999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14170.975524876158</v>
      </c>
      <c r="P11" s="300">
        <f t="shared" ref="P11" si="0">SUM(I11:M11)</f>
        <v>14135.16</v>
      </c>
      <c r="R11" s="608" t="str">
        <f>IF(O11=Project_Inputs!V12,"ok","error")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/>
      <c r="J13" s="10"/>
      <c r="K13" s="10"/>
      <c r="L13" s="10" t="s">
        <v>132</v>
      </c>
      <c r="M13" s="10" t="s">
        <v>132</v>
      </c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5533.0475248761568</v>
      </c>
      <c r="M14" s="447">
        <f>IF($G$3="Yes",SUMIFS(Project_Inputs!AQ$5:AQ$50,Project_Inputs!$D$5:$D$50,$D$4),IF(AND(M$13="X",M$10="Prior"),M11,IF(M$13="X",SUM($F11:M11)-SUM($F14:L14),0)))</f>
        <v>8637.9279999999999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14170.975524876158</v>
      </c>
      <c r="P14" s="451">
        <f>SUM(I14:M14)</f>
        <v>14170.975524876158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0.13063318055555556</v>
      </c>
      <c r="G17" s="341">
        <v>0.13063318055555556</v>
      </c>
      <c r="H17" s="392">
        <v>0.13063318055555556</v>
      </c>
      <c r="I17" s="404">
        <v>0.13063318055555556</v>
      </c>
      <c r="J17" s="341">
        <v>0.13063318055555556</v>
      </c>
      <c r="K17" s="341">
        <v>0.13063318055555556</v>
      </c>
      <c r="L17" s="341">
        <v>0.13063318055555556</v>
      </c>
      <c r="M17" s="341">
        <v>0.13063318055555556</v>
      </c>
      <c r="N17" s="342">
        <v>0.13063318055555556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0.40952448718452389</v>
      </c>
      <c r="G18" s="341">
        <v>0.40952448718452389</v>
      </c>
      <c r="H18" s="392">
        <v>0.40952448718452389</v>
      </c>
      <c r="I18" s="404">
        <v>0.40952448718452389</v>
      </c>
      <c r="J18" s="341">
        <v>0.40952448718452389</v>
      </c>
      <c r="K18" s="341">
        <v>0.40952448718452389</v>
      </c>
      <c r="L18" s="341">
        <v>0.40952448718452389</v>
      </c>
      <c r="M18" s="341">
        <v>0.40952448718452389</v>
      </c>
      <c r="N18" s="342">
        <v>0.40952448718452389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0.32880604288888887</v>
      </c>
      <c r="G19" s="341">
        <v>0.32880604288888887</v>
      </c>
      <c r="H19" s="392">
        <v>0.32880604288888887</v>
      </c>
      <c r="I19" s="404">
        <v>0.32880604288888887</v>
      </c>
      <c r="J19" s="341">
        <v>0.32880604288888887</v>
      </c>
      <c r="K19" s="341">
        <v>0.32880604288888887</v>
      </c>
      <c r="L19" s="341">
        <v>0.32880604288888887</v>
      </c>
      <c r="M19" s="341">
        <v>0.32880604288888887</v>
      </c>
      <c r="N19" s="342">
        <v>0.32880604288888887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1.4167023857142858E-2</v>
      </c>
      <c r="G21" s="341">
        <v>1.4167023857142858E-2</v>
      </c>
      <c r="H21" s="392">
        <v>1.4167023857142858E-2</v>
      </c>
      <c r="I21" s="404">
        <v>1.4167023857142858E-2</v>
      </c>
      <c r="J21" s="341">
        <v>1.4167023857142858E-2</v>
      </c>
      <c r="K21" s="341">
        <v>1.4167023857142858E-2</v>
      </c>
      <c r="L21" s="341">
        <v>1.4167023857142858E-2</v>
      </c>
      <c r="M21" s="341">
        <v>1.4167023857142858E-2</v>
      </c>
      <c r="N21" s="342">
        <v>1.4167023857142858E-2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0.11353940188888889</v>
      </c>
      <c r="G22" s="341">
        <v>0.11353940188888889</v>
      </c>
      <c r="H22" s="392">
        <v>0.11353940188888889</v>
      </c>
      <c r="I22" s="404">
        <v>0.11353940188888889</v>
      </c>
      <c r="J22" s="341">
        <v>0.11353940188888889</v>
      </c>
      <c r="K22" s="341">
        <v>0.11353940188888889</v>
      </c>
      <c r="L22" s="341">
        <v>0.11353940188888889</v>
      </c>
      <c r="M22" s="341">
        <v>0.11353940188888889</v>
      </c>
      <c r="N22" s="342">
        <v>0.11353940188888889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3.3298636249999999E-3</v>
      </c>
      <c r="G23" s="341">
        <v>3.3298636249999999E-3</v>
      </c>
      <c r="H23" s="392">
        <v>3.3298636249999999E-3</v>
      </c>
      <c r="I23" s="404">
        <v>3.3298636249999999E-3</v>
      </c>
      <c r="J23" s="341">
        <v>3.3298636249999999E-3</v>
      </c>
      <c r="K23" s="341">
        <v>3.3298636249999999E-3</v>
      </c>
      <c r="L23" s="341">
        <v>3.3298636249999999E-3</v>
      </c>
      <c r="M23" s="341">
        <v>3.3298636249999999E-3</v>
      </c>
      <c r="N23" s="342">
        <v>3.3298636249999999E-3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0</v>
      </c>
      <c r="I46" s="407">
        <f>IF(I$10="Prior",0,(I11*I29)*(Assumptions!I28-1))</f>
        <v>0</v>
      </c>
      <c r="J46" s="282">
        <f>IF(J$10="Prior",0,(J11*J29)*(Assumptions!J28-1))</f>
        <v>0</v>
      </c>
      <c r="K46" s="282">
        <f>IF(K$10="Prior",0,(K11*K29)*(Assumptions!K28-1))</f>
        <v>1.4707260905725057</v>
      </c>
      <c r="L46" s="282">
        <f>IF(L$10="Prior",0,(L11*L29)*(Assumptions!L28-1))</f>
        <v>23.853956126138918</v>
      </c>
      <c r="M46" s="282">
        <f>IF(M$10="Prior",0,(M11*M29)*(Assumptions!M28-1))</f>
        <v>48.594137129630575</v>
      </c>
      <c r="N46" s="283">
        <f>IF(N$10="Prior",0,(N11*N29)*(Assumptions!N28-1))</f>
        <v>0</v>
      </c>
      <c r="O46" s="362">
        <f t="shared" ref="O46:O47" si="6">SUM(F46:N46)</f>
        <v>73.918819346341991</v>
      </c>
      <c r="P46" s="300">
        <f t="shared" ref="P46:P47" si="7">SUM(I46:M46)</f>
        <v>73.918819346341991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0</v>
      </c>
      <c r="I47" s="407">
        <f>IF(I$10="Prior",0,(I11*I30)*(Assumptions!I30-1))</f>
        <v>0</v>
      </c>
      <c r="J47" s="282">
        <f>IF(J$10="Prior",0,(J11*J30)*(Assumptions!J30-1))</f>
        <v>0</v>
      </c>
      <c r="K47" s="282">
        <f>IF(K$10="Prior",0,(K11*K30)*(Assumptions!K30-1))</f>
        <v>8.3031313658461539</v>
      </c>
      <c r="L47" s="282">
        <f>IF(L$10="Prior",0,(L11*L30)*(Assumptions!L30-1))</f>
        <v>136.90776191667555</v>
      </c>
      <c r="M47" s="282">
        <f>IF(M$10="Prior",0,(M11*M30)*(Assumptions!M30-1))</f>
        <v>282.41856938903817</v>
      </c>
      <c r="N47" s="283">
        <f>IF(N$10="Prior",0,(N11*N30)*(Assumptions!N30-1))</f>
        <v>0</v>
      </c>
      <c r="O47" s="362">
        <f t="shared" si="6"/>
        <v>427.62946267155985</v>
      </c>
      <c r="P47" s="300">
        <f t="shared" si="7"/>
        <v>427.62946267155985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</v>
      </c>
      <c r="H48" s="253">
        <f t="shared" si="8"/>
        <v>0</v>
      </c>
      <c r="I48" s="408">
        <f t="shared" si="8"/>
        <v>0</v>
      </c>
      <c r="J48" s="5">
        <f t="shared" si="8"/>
        <v>0</v>
      </c>
      <c r="K48" s="5">
        <f t="shared" si="8"/>
        <v>9.7738574564186589</v>
      </c>
      <c r="L48" s="5">
        <f t="shared" si="8"/>
        <v>160.76171804281446</v>
      </c>
      <c r="M48" s="5">
        <f t="shared" si="8"/>
        <v>331.01270651866872</v>
      </c>
      <c r="N48" s="286">
        <f t="shared" si="8"/>
        <v>0</v>
      </c>
      <c r="O48" s="433">
        <f>SUM(O46:O47)</f>
        <v>501.54828201790184</v>
      </c>
      <c r="P48" s="434">
        <f>SUM(P46:P47)</f>
        <v>501.54828201790184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</v>
      </c>
      <c r="H49" s="253">
        <f t="shared" si="9"/>
        <v>0</v>
      </c>
      <c r="I49" s="408">
        <f t="shared" si="9"/>
        <v>0</v>
      </c>
      <c r="J49" s="5">
        <f t="shared" si="9"/>
        <v>0</v>
      </c>
      <c r="K49" s="5">
        <f t="shared" si="9"/>
        <v>9.7738574564186589</v>
      </c>
      <c r="L49" s="5">
        <f t="shared" si="9"/>
        <v>160.76171804281446</v>
      </c>
      <c r="M49" s="5">
        <f t="shared" si="9"/>
        <v>331.01270651866872</v>
      </c>
      <c r="N49" s="286">
        <f t="shared" si="9"/>
        <v>0</v>
      </c>
      <c r="O49" s="370">
        <f>O44+O48</f>
        <v>501.54828201790184</v>
      </c>
      <c r="P49" s="371">
        <f>P44+P48</f>
        <v>501.54828201790184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0</v>
      </c>
      <c r="I50" s="442">
        <f t="shared" si="10"/>
        <v>0</v>
      </c>
      <c r="J50" s="443">
        <f t="shared" si="10"/>
        <v>0</v>
      </c>
      <c r="K50" s="443">
        <f t="shared" si="10"/>
        <v>2.4885316726972116E-2</v>
      </c>
      <c r="L50" s="443">
        <f t="shared" si="10"/>
        <v>3.149426464985132E-2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3.539264330373508E-2</v>
      </c>
      <c r="P50" s="444">
        <f t="shared" si="10"/>
        <v>3.5482320823952598E-2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3.6421426612784056</v>
      </c>
      <c r="G51" s="280">
        <f>(G29*G$11+G46)*Assumptions!$G$21</f>
        <v>0</v>
      </c>
      <c r="H51" s="280">
        <f>(H29*H$11+H46)*Assumptions!$G$21</f>
        <v>0</v>
      </c>
      <c r="I51" s="410">
        <f>(I29*I$11+I46)*Assumptions!$G$21</f>
        <v>0</v>
      </c>
      <c r="J51" s="280">
        <f>(J29*J$11+J46)*Assumptions!$G$21</f>
        <v>0</v>
      </c>
      <c r="K51" s="280">
        <f>(K29*K$11+K46)*Assumptions!$G$21</f>
        <v>41.435643637217531</v>
      </c>
      <c r="L51" s="280">
        <f>(L29*L$11+L46)*Assumptions!$G$21</f>
        <v>543.3404922260172</v>
      </c>
      <c r="M51" s="280">
        <f>(M29*M$11+M46)*Assumptions!$G$21</f>
        <v>927.8220544870868</v>
      </c>
      <c r="N51" s="281">
        <f>(N29*N$11+N46)*Assumptions!$G$21</f>
        <v>0</v>
      </c>
      <c r="O51" s="373">
        <f t="shared" ref="O51:O53" si="11">SUM(F51:N51)</f>
        <v>1516.2403330115999</v>
      </c>
      <c r="P51" s="375">
        <f>SUM(I51:M51)</f>
        <v>1512.5981903503216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18.210713306392027</v>
      </c>
      <c r="G52" s="282">
        <f>(G30*G$11+G47)*Assumptions!$G$21</f>
        <v>0</v>
      </c>
      <c r="H52" s="282">
        <f>(H30*H$11+H47)*Assumptions!$G$21</f>
        <v>0</v>
      </c>
      <c r="I52" s="407">
        <f>(I30*I$11+I47)*Assumptions!$G$21</f>
        <v>0</v>
      </c>
      <c r="J52" s="282">
        <f>(J30*J$11+J47)*Assumptions!$G$21</f>
        <v>0</v>
      </c>
      <c r="K52" s="282">
        <f>(K30*K$11+K47)*Assumptions!$G$21</f>
        <v>208.14378208444128</v>
      </c>
      <c r="L52" s="282">
        <f>(L30*L$11+L47)*Assumptions!$G$21</f>
        <v>2734.6388293175214</v>
      </c>
      <c r="M52" s="282">
        <f>(M30*M$11+M47)*Assumptions!$G$21</f>
        <v>4679.2255075929888</v>
      </c>
      <c r="N52" s="283">
        <f>(N30*N$11+N47)*Assumptions!$G$21</f>
        <v>0</v>
      </c>
      <c r="O52" s="374">
        <f t="shared" si="11"/>
        <v>7640.2188323013434</v>
      </c>
      <c r="P52" s="376">
        <f>SUM(I52:M52)</f>
        <v>7622.0081189949515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14.568570645113622</v>
      </c>
      <c r="G53" s="282">
        <f>(G31*G$11+G$44)*Assumptions!$G$21</f>
        <v>0</v>
      </c>
      <c r="H53" s="282">
        <f>(H31*H$11+H$44)*Assumptions!$G$21</f>
        <v>0</v>
      </c>
      <c r="I53" s="407">
        <f>(I31*I$11+I$44)*Assumptions!$G$21</f>
        <v>0</v>
      </c>
      <c r="J53" s="282">
        <f>(J31*J$11+J$44)*Assumptions!$G$21</f>
        <v>0</v>
      </c>
      <c r="K53" s="282">
        <f>(K31*K$11+K$44)*Assumptions!$G$21</f>
        <v>159.76014736842106</v>
      </c>
      <c r="L53" s="282">
        <f>(L31*L$11+L$44)*Assumptions!$G$21</f>
        <v>2076.3319669172934</v>
      </c>
      <c r="M53" s="282">
        <f>(M31*M$11+M$44)*Assumptions!$G$21</f>
        <v>3513.6233443609026</v>
      </c>
      <c r="N53" s="283">
        <f>(N31*N$11+N$44)*Assumptions!$G$21</f>
        <v>0</v>
      </c>
      <c r="O53" s="374">
        <f t="shared" si="11"/>
        <v>5764.2840292917308</v>
      </c>
      <c r="P53" s="376">
        <f>SUM(I53:M53)</f>
        <v>5749.7154586466168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36.421426612784053</v>
      </c>
      <c r="G54" s="5">
        <f t="shared" si="12"/>
        <v>0</v>
      </c>
      <c r="H54" s="5">
        <f t="shared" si="12"/>
        <v>0</v>
      </c>
      <c r="I54" s="411">
        <f t="shared" si="12"/>
        <v>0</v>
      </c>
      <c r="J54" s="382">
        <f t="shared" si="12"/>
        <v>0</v>
      </c>
      <c r="K54" s="382">
        <f t="shared" si="12"/>
        <v>409.33957309007985</v>
      </c>
      <c r="L54" s="382">
        <f t="shared" si="12"/>
        <v>5354.3112884608317</v>
      </c>
      <c r="M54" s="382">
        <f t="shared" si="12"/>
        <v>9120.670906440977</v>
      </c>
      <c r="N54" s="286">
        <f t="shared" si="12"/>
        <v>0</v>
      </c>
      <c r="O54" s="372">
        <f t="shared" si="12"/>
        <v>14920.743194604674</v>
      </c>
      <c r="P54" s="428">
        <f t="shared" si="12"/>
        <v>14884.321767991889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2.9166904463770571</v>
      </c>
      <c r="G57" s="290">
        <f t="shared" ref="G57:N57" si="13">G54*G56</f>
        <v>0</v>
      </c>
      <c r="H57" s="290">
        <f t="shared" si="13"/>
        <v>0</v>
      </c>
      <c r="I57" s="407">
        <f t="shared" si="13"/>
        <v>0</v>
      </c>
      <c r="J57" s="282">
        <f t="shared" si="13"/>
        <v>0</v>
      </c>
      <c r="K57" s="282">
        <f t="shared" si="13"/>
        <v>53.411062356687601</v>
      </c>
      <c r="L57" s="282">
        <f t="shared" si="13"/>
        <v>631.32902108872872</v>
      </c>
      <c r="M57" s="282">
        <f t="shared" si="13"/>
        <v>1012.7393009790183</v>
      </c>
      <c r="N57" s="283">
        <f t="shared" si="13"/>
        <v>0</v>
      </c>
      <c r="O57" s="309">
        <f>SUM(F57:N57)</f>
        <v>1700.3960748708116</v>
      </c>
      <c r="P57" s="300">
        <f>SUM(I57:M57)</f>
        <v>1697.4793844244346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39.338117059161107</v>
      </c>
      <c r="G59" s="5">
        <f t="shared" si="14"/>
        <v>0</v>
      </c>
      <c r="H59" s="5">
        <f t="shared" si="14"/>
        <v>0</v>
      </c>
      <c r="I59" s="411">
        <f t="shared" si="14"/>
        <v>0</v>
      </c>
      <c r="J59" s="382">
        <f t="shared" si="14"/>
        <v>0</v>
      </c>
      <c r="K59" s="382">
        <f t="shared" si="14"/>
        <v>462.75063544676743</v>
      </c>
      <c r="L59" s="382">
        <f t="shared" si="14"/>
        <v>5985.6403095495607</v>
      </c>
      <c r="M59" s="382">
        <f t="shared" si="14"/>
        <v>10133.410207419995</v>
      </c>
      <c r="N59" s="418">
        <f>N54+N57</f>
        <v>0</v>
      </c>
      <c r="O59" s="419">
        <f t="shared" ref="O59:P59" si="15">O54+O57</f>
        <v>16621.139269475487</v>
      </c>
      <c r="P59" s="429">
        <f t="shared" si="15"/>
        <v>16581.801152416323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2.9166904463770571</v>
      </c>
      <c r="G60" s="290">
        <f t="shared" ref="G60:N60" si="16">G57+F60</f>
        <v>2.9166904463770571</v>
      </c>
      <c r="H60" s="290">
        <f t="shared" si="16"/>
        <v>2.9166904463770571</v>
      </c>
      <c r="I60" s="290">
        <f t="shared" si="16"/>
        <v>2.9166904463770571</v>
      </c>
      <c r="J60" s="290">
        <f t="shared" si="16"/>
        <v>2.9166904463770571</v>
      </c>
      <c r="K60" s="290">
        <f t="shared" si="16"/>
        <v>56.327752803064655</v>
      </c>
      <c r="L60" s="290">
        <f t="shared" si="16"/>
        <v>687.65677389179336</v>
      </c>
      <c r="M60" s="290">
        <f t="shared" si="16"/>
        <v>1700.3960748708116</v>
      </c>
      <c r="N60" s="290">
        <f t="shared" si="16"/>
        <v>1700.3960748708116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0</v>
      </c>
      <c r="I61" s="252">
        <f t="shared" si="17"/>
        <v>0</v>
      </c>
      <c r="J61" s="252">
        <f t="shared" si="17"/>
        <v>0</v>
      </c>
      <c r="K61" s="252">
        <f t="shared" si="17"/>
        <v>9.7738574564186589</v>
      </c>
      <c r="L61" s="252">
        <f t="shared" si="17"/>
        <v>170.53557549923312</v>
      </c>
      <c r="M61" s="252">
        <f t="shared" si="17"/>
        <v>501.54828201790184</v>
      </c>
      <c r="N61" s="252">
        <f t="shared" si="17"/>
        <v>501.54828201790184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5.1388633485049731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60.450587312515637</v>
      </c>
      <c r="L64" s="380">
        <f t="shared" si="18"/>
        <v>781.92323129799922</v>
      </c>
      <c r="M64" s="380">
        <f t="shared" si="18"/>
        <v>1323.7596052694059</v>
      </c>
      <c r="N64" s="281">
        <f t="shared" si="18"/>
        <v>0</v>
      </c>
      <c r="O64" s="373">
        <f>SUM(F64:N64)</f>
        <v>2171.2722872284257</v>
      </c>
      <c r="P64" s="430">
        <f>SUM(I64:M64)</f>
        <v>2166.1334238799209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16.109922215457722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189.50771667564999</v>
      </c>
      <c r="L65" s="381">
        <f t="shared" si="19"/>
        <v>2451.2662782392986</v>
      </c>
      <c r="M65" s="381">
        <f t="shared" si="19"/>
        <v>4149.8796186240934</v>
      </c>
      <c r="N65" s="283">
        <f t="shared" si="19"/>
        <v>0</v>
      </c>
      <c r="O65" s="374">
        <f t="shared" ref="O65:O73" si="20">SUM(F65:N65)</f>
        <v>6806.7635357544996</v>
      </c>
      <c r="P65" s="431">
        <f t="shared" ref="P65:P73" si="21">SUM(I65:M65)</f>
        <v>6790.6536135390415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12.934610604922657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152.15520528557039</v>
      </c>
      <c r="L66" s="381">
        <f t="shared" si="22"/>
        <v>1968.114704339215</v>
      </c>
      <c r="M66" s="381">
        <f t="shared" si="22"/>
        <v>3331.926511271643</v>
      </c>
      <c r="N66" s="283">
        <f t="shared" si="22"/>
        <v>0</v>
      </c>
      <c r="O66" s="374">
        <f t="shared" si="20"/>
        <v>5465.1310315013507</v>
      </c>
      <c r="P66" s="431">
        <f t="shared" si="21"/>
        <v>5452.1964208964282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0.5573040428722138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6.5557992922823711</v>
      </c>
      <c r="L68" s="381">
        <f t="shared" si="24"/>
        <v>84.798709065664582</v>
      </c>
      <c r="M68" s="381">
        <f t="shared" si="24"/>
        <v>143.56026416273403</v>
      </c>
      <c r="N68" s="283">
        <f t="shared" si="24"/>
        <v>0</v>
      </c>
      <c r="O68" s="374">
        <f t="shared" si="20"/>
        <v>235.4720765635532</v>
      </c>
      <c r="P68" s="431">
        <f t="shared" si="21"/>
        <v>234.91477252068097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4.4664262823322485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52.54043037232924</v>
      </c>
      <c r="L69" s="381">
        <f t="shared" si="25"/>
        <v>679.60602066828085</v>
      </c>
      <c r="M69" s="381">
        <f t="shared" si="25"/>
        <v>1150.5413340452276</v>
      </c>
      <c r="N69" s="283">
        <f t="shared" si="25"/>
        <v>0</v>
      </c>
      <c r="O69" s="374">
        <f t="shared" si="20"/>
        <v>1887.1542113681699</v>
      </c>
      <c r="P69" s="431">
        <f t="shared" si="21"/>
        <v>1882.6877850858377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0.13099056507129253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1.5408965084198265</v>
      </c>
      <c r="L70" s="381">
        <f t="shared" si="26"/>
        <v>19.931365939102822</v>
      </c>
      <c r="M70" s="381">
        <f t="shared" si="26"/>
        <v>33.742874046891544</v>
      </c>
      <c r="N70" s="283">
        <f t="shared" si="26"/>
        <v>0</v>
      </c>
      <c r="O70" s="374">
        <f t="shared" si="20"/>
        <v>55.346127059485482</v>
      </c>
      <c r="P70" s="431">
        <f t="shared" si="21"/>
        <v>55.215136494414196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39.338117059161107</v>
      </c>
      <c r="G74" s="5">
        <f t="shared" ref="G74:N74" si="30">+SUM(G64:G73)</f>
        <v>0</v>
      </c>
      <c r="H74" s="5">
        <f t="shared" si="30"/>
        <v>0</v>
      </c>
      <c r="I74" s="411">
        <f t="shared" si="30"/>
        <v>0</v>
      </c>
      <c r="J74" s="382">
        <f t="shared" si="30"/>
        <v>0</v>
      </c>
      <c r="K74" s="382">
        <f t="shared" si="30"/>
        <v>462.75063544676743</v>
      </c>
      <c r="L74" s="382">
        <f t="shared" si="30"/>
        <v>5985.6403095495607</v>
      </c>
      <c r="M74" s="382">
        <f t="shared" si="30"/>
        <v>10133.410207419995</v>
      </c>
      <c r="N74" s="286">
        <f t="shared" si="30"/>
        <v>0</v>
      </c>
      <c r="O74" s="372">
        <f>SUM(O64:O73)</f>
        <v>16621.139269475483</v>
      </c>
      <c r="P74" s="428">
        <f>SUM(P64:P73)</f>
        <v>16581.801152416323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0</v>
      </c>
      <c r="I76" s="410">
        <f t="shared" si="32"/>
        <v>0</v>
      </c>
      <c r="J76" s="280">
        <f t="shared" si="32"/>
        <v>0</v>
      </c>
      <c r="K76" s="280">
        <f t="shared" si="32"/>
        <v>0</v>
      </c>
      <c r="L76" s="280">
        <f t="shared" si="32"/>
        <v>5533.0475248761568</v>
      </c>
      <c r="M76" s="280">
        <f t="shared" si="32"/>
        <v>8637.9279999999999</v>
      </c>
      <c r="N76" s="281">
        <f t="shared" si="32"/>
        <v>0</v>
      </c>
      <c r="O76" s="377">
        <f>SUM(F76:N76)</f>
        <v>14170.975524876158</v>
      </c>
      <c r="P76" s="378">
        <f t="shared" ref="P76:P80" si="33">SUM(I76:M76)</f>
        <v>14170.975524876158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0</v>
      </c>
      <c r="J77" s="282">
        <f>IF(J$10="Prior",0,IF(AND(J76&lt;&gt;0,SUM($F76:I76)=0),J76/SUM($F$76:J76)*J61,IF(J76&lt;&gt;0,SUM($F$76:J76)/SUM($F$11:J11)*J61-I83,0)))</f>
        <v>0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170.53557549923312</v>
      </c>
      <c r="M77" s="282">
        <f>IF(M$10="Prior",0,IF(AND(M76&lt;&gt;0,SUM($F76:L76)=0),M76/SUM($F$76:M76)*M61,IF(M76&lt;&gt;0,SUM($F$76:M76)/SUM($F$11:M11)*M61-L83,0)))</f>
        <v>331.01270651866872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501.54828201790184</v>
      </c>
      <c r="P77" s="455">
        <f t="shared" si="33"/>
        <v>501.54828201790184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0</v>
      </c>
      <c r="J78" s="457">
        <f t="shared" si="34"/>
        <v>0</v>
      </c>
      <c r="K78" s="457">
        <f t="shared" si="34"/>
        <v>0</v>
      </c>
      <c r="L78" s="457">
        <f t="shared" si="34"/>
        <v>5703.5831003753901</v>
      </c>
      <c r="M78" s="457">
        <f t="shared" si="34"/>
        <v>8968.9407065186679</v>
      </c>
      <c r="N78" s="459">
        <f t="shared" si="34"/>
        <v>0</v>
      </c>
      <c r="O78" s="460">
        <f>SUM(F78:N78)</f>
        <v>14672.523806894058</v>
      </c>
      <c r="P78" s="461">
        <f t="shared" si="33"/>
        <v>14672.523806894058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0</v>
      </c>
      <c r="I79" s="458">
        <f>I78*Assumptions!$G$21</f>
        <v>0</v>
      </c>
      <c r="J79" s="457">
        <f>J78*Assumptions!$G$21</f>
        <v>0</v>
      </c>
      <c r="K79" s="457">
        <f>K78*Assumptions!$G$21</f>
        <v>0</v>
      </c>
      <c r="L79" s="457">
        <f>L78*Assumptions!$G$21</f>
        <v>5800.0722881636957</v>
      </c>
      <c r="M79" s="457">
        <f>M78*Assumptions!$G$21</f>
        <v>9120.670906440977</v>
      </c>
      <c r="N79" s="459">
        <f>N78*Assumptions!$G$21</f>
        <v>0</v>
      </c>
      <c r="O79" s="460">
        <f>SUM(F79:N79)</f>
        <v>14920.743194604673</v>
      </c>
      <c r="P79" s="461">
        <f t="shared" si="33"/>
        <v>14920.743194604673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0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687.65677389179336</v>
      </c>
      <c r="M80" s="282">
        <f>IF(M$10="Prior",M79*M56,IF(AND(M79&lt;&gt;0,SUM($F79:L79)=0),M79/SUM($F$54:M54)*M60,IF(M79&lt;&gt;0,SUM($F$79:M79)/SUM($F$54:M54)*M60-L82,0)))</f>
        <v>1012.7393009790183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1700.3960748708116</v>
      </c>
      <c r="P80" s="300">
        <f t="shared" si="33"/>
        <v>1700.3960748708116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0</v>
      </c>
      <c r="J81" s="387">
        <f t="shared" si="35"/>
        <v>0</v>
      </c>
      <c r="K81" s="387">
        <f t="shared" si="35"/>
        <v>0</v>
      </c>
      <c r="L81" s="387">
        <f t="shared" si="35"/>
        <v>6487.7290620554886</v>
      </c>
      <c r="M81" s="387">
        <f t="shared" si="35"/>
        <v>10133.410207419995</v>
      </c>
      <c r="N81" s="420">
        <f t="shared" si="35"/>
        <v>0</v>
      </c>
      <c r="O81" s="421">
        <f t="shared" si="35"/>
        <v>16621.139269475483</v>
      </c>
      <c r="P81" s="388">
        <f t="shared" si="35"/>
        <v>16621.139269475483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0</v>
      </c>
      <c r="J82" s="252">
        <f t="shared" si="36"/>
        <v>0</v>
      </c>
      <c r="K82" s="252">
        <f t="shared" si="36"/>
        <v>0</v>
      </c>
      <c r="L82" s="252">
        <f t="shared" si="36"/>
        <v>687.65677389179336</v>
      </c>
      <c r="M82" s="252">
        <f t="shared" si="36"/>
        <v>1700.3960748708116</v>
      </c>
      <c r="N82" s="252">
        <f t="shared" si="36"/>
        <v>1700.3960748708116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0</v>
      </c>
      <c r="J83" s="252">
        <f t="shared" si="37"/>
        <v>0</v>
      </c>
      <c r="K83" s="252">
        <f t="shared" si="37"/>
        <v>0</v>
      </c>
      <c r="L83" s="252">
        <f t="shared" si="37"/>
        <v>170.53557549923312</v>
      </c>
      <c r="M83" s="252">
        <f t="shared" si="37"/>
        <v>501.54828201790184</v>
      </c>
      <c r="N83" s="252">
        <f t="shared" si="37"/>
        <v>501.54828201790184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847.5126819590198</v>
      </c>
      <c r="M85" s="380">
        <f t="shared" si="38"/>
        <v>1323.7596052694059</v>
      </c>
      <c r="N85" s="345">
        <f t="shared" si="38"/>
        <v>0</v>
      </c>
      <c r="O85" s="373">
        <f>SUM(F85:N85)</f>
        <v>2171.2722872284257</v>
      </c>
      <c r="P85" s="430">
        <f t="shared" ref="P85:P94" si="39">SUM(I85:M85)</f>
        <v>2171.2722872284257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2656.8839171304062</v>
      </c>
      <c r="M86" s="381">
        <f t="shared" si="40"/>
        <v>4149.8796186240934</v>
      </c>
      <c r="N86" s="346">
        <f t="shared" si="40"/>
        <v>0</v>
      </c>
      <c r="O86" s="374">
        <f t="shared" ref="O86:O94" si="41">SUM(F86:N86)</f>
        <v>6806.7635357544996</v>
      </c>
      <c r="P86" s="431">
        <f t="shared" si="39"/>
        <v>6806.7635357544996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2133.2045202297077</v>
      </c>
      <c r="M87" s="381">
        <f t="shared" si="42"/>
        <v>3331.926511271643</v>
      </c>
      <c r="N87" s="346">
        <f t="shared" si="42"/>
        <v>0</v>
      </c>
      <c r="O87" s="374">
        <f t="shared" si="41"/>
        <v>5465.1310315013507</v>
      </c>
      <c r="P87" s="431">
        <f t="shared" si="39"/>
        <v>5465.1310315013507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91.911812400819159</v>
      </c>
      <c r="M89" s="381">
        <f t="shared" si="44"/>
        <v>143.56026416273403</v>
      </c>
      <c r="N89" s="346">
        <f t="shared" si="44"/>
        <v>0</v>
      </c>
      <c r="O89" s="374">
        <f t="shared" si="41"/>
        <v>235.47207656355317</v>
      </c>
      <c r="P89" s="431">
        <f t="shared" si="39"/>
        <v>235.47207656355317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736.61287732294227</v>
      </c>
      <c r="M90" s="381">
        <f t="shared" si="45"/>
        <v>1150.5413340452276</v>
      </c>
      <c r="N90" s="346">
        <f t="shared" si="45"/>
        <v>0</v>
      </c>
      <c r="O90" s="374">
        <f t="shared" si="41"/>
        <v>1887.1542113681699</v>
      </c>
      <c r="P90" s="431">
        <f t="shared" si="39"/>
        <v>1887.1542113681699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21.603253012593939</v>
      </c>
      <c r="M91" s="381">
        <f t="shared" si="46"/>
        <v>33.742874046891544</v>
      </c>
      <c r="N91" s="346">
        <f t="shared" si="46"/>
        <v>0</v>
      </c>
      <c r="O91" s="374">
        <f t="shared" si="41"/>
        <v>55.346127059485482</v>
      </c>
      <c r="P91" s="431">
        <f t="shared" si="39"/>
        <v>55.346127059485482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0</v>
      </c>
      <c r="J95" s="382">
        <f t="shared" si="51"/>
        <v>0</v>
      </c>
      <c r="K95" s="382">
        <f t="shared" si="51"/>
        <v>0</v>
      </c>
      <c r="L95" s="382">
        <f t="shared" si="51"/>
        <v>6487.7290620554886</v>
      </c>
      <c r="M95" s="382">
        <f t="shared" si="51"/>
        <v>10133.410207419995</v>
      </c>
      <c r="N95" s="286">
        <f t="shared" si="51"/>
        <v>0</v>
      </c>
      <c r="O95" s="372">
        <f>SUM(O85:O94)</f>
        <v>16621.139269475483</v>
      </c>
      <c r="P95" s="428">
        <f>SUM(P85:P94)</f>
        <v>16621.139269475483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48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48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1.1316629095945399</v>
      </c>
      <c r="L111" s="191">
        <f t="shared" si="59"/>
        <v>14.707722255332826</v>
      </c>
      <c r="M111" s="191">
        <f t="shared" si="59"/>
        <v>24.888792872287489</v>
      </c>
      <c r="N111" s="191">
        <f t="shared" si="59"/>
        <v>0</v>
      </c>
      <c r="O111" s="191">
        <f t="shared" ref="O111:O119" si="60">SUM(F111:N111)</f>
        <v>40.728178037214853</v>
      </c>
      <c r="P111" s="191">
        <f t="shared" ref="P111:P119" si="61">SUM(I111:M111)</f>
        <v>40.728178037214853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1.1316629095945399</v>
      </c>
      <c r="L113" s="191">
        <f t="shared" si="62"/>
        <v>14.707722255332826</v>
      </c>
      <c r="M113" s="191">
        <f t="shared" si="62"/>
        <v>24.888792872287489</v>
      </c>
      <c r="N113" s="191">
        <f t="shared" si="62"/>
        <v>0</v>
      </c>
      <c r="O113" s="191">
        <f t="shared" si="60"/>
        <v>40.728178037214853</v>
      </c>
      <c r="P113" s="191">
        <f t="shared" si="61"/>
        <v>40.728178037214853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65.425692423576592</v>
      </c>
      <c r="L115" s="191">
        <f t="shared" si="62"/>
        <v>850.30878397663844</v>
      </c>
      <c r="M115" s="191">
        <f t="shared" si="62"/>
        <v>1438.9147982589704</v>
      </c>
      <c r="N115" s="191">
        <f t="shared" si="62"/>
        <v>0</v>
      </c>
      <c r="O115" s="191">
        <f t="shared" si="60"/>
        <v>2354.6492746591857</v>
      </c>
      <c r="P115" s="191">
        <f t="shared" si="61"/>
        <v>2354.6492746591857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52.530101867556262</v>
      </c>
      <c r="L116" s="191">
        <f t="shared" si="62"/>
        <v>682.71049776577854</v>
      </c>
      <c r="M116" s="191">
        <f t="shared" si="62"/>
        <v>1155.3005880613321</v>
      </c>
      <c r="N116" s="191">
        <f t="shared" si="62"/>
        <v>0</v>
      </c>
      <c r="O116" s="191">
        <f t="shared" si="60"/>
        <v>1890.5411876946669</v>
      </c>
      <c r="P116" s="191">
        <f t="shared" si="61"/>
        <v>1890.5411876946669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21.401955680207859</v>
      </c>
      <c r="L118" s="191">
        <f t="shared" si="62"/>
        <v>278.15175101764123</v>
      </c>
      <c r="M118" s="191">
        <f t="shared" si="62"/>
        <v>470.69567931445101</v>
      </c>
      <c r="N118" s="191">
        <f t="shared" si="62"/>
        <v>0</v>
      </c>
      <c r="O118" s="191">
        <f t="shared" si="60"/>
        <v>770.24938601230008</v>
      </c>
      <c r="P118" s="191">
        <f t="shared" si="61"/>
        <v>770.24938601230008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18.139071577891272</v>
      </c>
      <c r="L119" s="912">
        <f t="shared" si="62"/>
        <v>235.74548964656972</v>
      </c>
      <c r="M119" s="912">
        <f t="shared" si="62"/>
        <v>398.93469298157436</v>
      </c>
      <c r="N119" s="912">
        <f t="shared" si="62"/>
        <v>0</v>
      </c>
      <c r="O119" s="912">
        <f t="shared" si="60"/>
        <v>652.81925420603534</v>
      </c>
      <c r="P119" s="912">
        <f t="shared" si="61"/>
        <v>652.81925420603534</v>
      </c>
    </row>
    <row r="120" spans="4:16" hidden="1" outlineLevel="1">
      <c r="D120" s="248" t="s">
        <v>440</v>
      </c>
      <c r="G120" s="191">
        <f>SUM(G111:G119)</f>
        <v>0</v>
      </c>
      <c r="H120" s="191">
        <f t="shared" ref="H120:P120" si="63">SUM(H111:H119)</f>
        <v>0</v>
      </c>
      <c r="I120" s="191">
        <f t="shared" si="63"/>
        <v>0</v>
      </c>
      <c r="J120" s="191">
        <f t="shared" si="63"/>
        <v>0</v>
      </c>
      <c r="K120" s="191">
        <f t="shared" si="63"/>
        <v>159.76014736842109</v>
      </c>
      <c r="L120" s="191">
        <f t="shared" si="63"/>
        <v>2076.3319669172938</v>
      </c>
      <c r="M120" s="191">
        <f t="shared" si="63"/>
        <v>3513.6233443609026</v>
      </c>
      <c r="N120" s="191">
        <f t="shared" si="63"/>
        <v>0</v>
      </c>
      <c r="O120" s="191">
        <f t="shared" si="63"/>
        <v>5749.7154586466177</v>
      </c>
      <c r="P120" s="191">
        <f t="shared" si="63"/>
        <v>5749.7154586466177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0.29350987597226519</v>
      </c>
      <c r="L123" s="191">
        <f t="shared" si="64"/>
        <v>3.8487588579588645</v>
      </c>
      <c r="M123" s="191">
        <f t="shared" si="64"/>
        <v>6.5722385905509295</v>
      </c>
      <c r="N123" s="191">
        <f t="shared" si="64"/>
        <v>0</v>
      </c>
      <c r="O123" s="191">
        <f t="shared" ref="O123:O131" si="65">SUM(F123:N123)</f>
        <v>10.71450732448206</v>
      </c>
      <c r="P123" s="191">
        <f t="shared" ref="P123:P131" si="66">SUM(I123:M123)</f>
        <v>10.71450732448206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0.29350987597226519</v>
      </c>
      <c r="L125" s="191">
        <f t="shared" si="67"/>
        <v>3.8487588579588645</v>
      </c>
      <c r="M125" s="191">
        <f t="shared" si="67"/>
        <v>6.5722385905509295</v>
      </c>
      <c r="N125" s="191">
        <f t="shared" si="67"/>
        <v>0</v>
      </c>
      <c r="O125" s="191">
        <f t="shared" si="65"/>
        <v>10.71450732448206</v>
      </c>
      <c r="P125" s="191">
        <f t="shared" si="66"/>
        <v>10.71450732448206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16.968910711692189</v>
      </c>
      <c r="L127" s="191">
        <f t="shared" si="67"/>
        <v>222.51123644544649</v>
      </c>
      <c r="M127" s="191">
        <f t="shared" si="67"/>
        <v>379.96585106231561</v>
      </c>
      <c r="N127" s="191">
        <f t="shared" si="67"/>
        <v>0</v>
      </c>
      <c r="O127" s="191">
        <f t="shared" si="65"/>
        <v>619.44599821945428</v>
      </c>
      <c r="P127" s="191">
        <f t="shared" si="66"/>
        <v>619.44599821945428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13.624290018907663</v>
      </c>
      <c r="L128" s="191">
        <f t="shared" si="67"/>
        <v>178.6536371901378</v>
      </c>
      <c r="M128" s="191">
        <f t="shared" si="67"/>
        <v>305.07349824093808</v>
      </c>
      <c r="N128" s="191">
        <f t="shared" si="67"/>
        <v>0</v>
      </c>
      <c r="O128" s="191">
        <f t="shared" si="65"/>
        <v>497.35142544998354</v>
      </c>
      <c r="P128" s="191">
        <f t="shared" si="66"/>
        <v>497.35142544998354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5.5508449592223288</v>
      </c>
      <c r="L130" s="191">
        <f t="shared" si="67"/>
        <v>72.787546365158761</v>
      </c>
      <c r="M130" s="191">
        <f t="shared" si="67"/>
        <v>124.29386687694745</v>
      </c>
      <c r="N130" s="191">
        <f t="shared" si="67"/>
        <v>0</v>
      </c>
      <c r="O130" s="191">
        <f t="shared" si="65"/>
        <v>202.63225820132854</v>
      </c>
      <c r="P130" s="191">
        <f t="shared" si="66"/>
        <v>202.63225820132854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4.7045781954508232</v>
      </c>
      <c r="L131" s="912">
        <f t="shared" si="67"/>
        <v>61.690554509356481</v>
      </c>
      <c r="M131" s="912">
        <f t="shared" si="67"/>
        <v>105.34436112578392</v>
      </c>
      <c r="N131" s="912">
        <f t="shared" si="67"/>
        <v>0</v>
      </c>
      <c r="O131" s="912">
        <f t="shared" si="65"/>
        <v>171.73949383059124</v>
      </c>
      <c r="P131" s="912">
        <f t="shared" si="66"/>
        <v>171.73949383059124</v>
      </c>
    </row>
    <row r="132" spans="4:16" hidden="1" outlineLevel="1">
      <c r="D132" s="248" t="s">
        <v>441</v>
      </c>
      <c r="G132" s="191">
        <f>SUM(G123:G131)</f>
        <v>0</v>
      </c>
      <c r="H132" s="191">
        <f t="shared" ref="H132:P132" si="68">SUM(H123:H131)</f>
        <v>0</v>
      </c>
      <c r="I132" s="191">
        <f t="shared" si="68"/>
        <v>0</v>
      </c>
      <c r="J132" s="191">
        <f t="shared" si="68"/>
        <v>0</v>
      </c>
      <c r="K132" s="191">
        <f t="shared" si="68"/>
        <v>41.435643637217538</v>
      </c>
      <c r="L132" s="191">
        <f t="shared" si="68"/>
        <v>543.34049222601732</v>
      </c>
      <c r="M132" s="191">
        <f t="shared" si="68"/>
        <v>927.82205448708692</v>
      </c>
      <c r="N132" s="191">
        <f t="shared" si="68"/>
        <v>0</v>
      </c>
      <c r="O132" s="191">
        <f t="shared" si="68"/>
        <v>1512.5981903503218</v>
      </c>
      <c r="P132" s="191">
        <f t="shared" si="68"/>
        <v>1512.5981903503218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1.474388963253112</v>
      </c>
      <c r="L135" s="191">
        <f t="shared" si="69"/>
        <v>19.370846767805272</v>
      </c>
      <c r="M135" s="191">
        <f t="shared" si="69"/>
        <v>33.145349699510632</v>
      </c>
      <c r="N135" s="191">
        <f t="shared" si="69"/>
        <v>0</v>
      </c>
      <c r="O135" s="191">
        <f t="shared" ref="O135:O143" si="70">SUM(F135:N135)</f>
        <v>53.990585430569013</v>
      </c>
      <c r="P135" s="191">
        <f t="shared" ref="P135:P143" si="71">SUM(I135:M135)</f>
        <v>53.990585430569013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1.474388963253112</v>
      </c>
      <c r="L137" s="191">
        <f t="shared" si="72"/>
        <v>19.370846767805272</v>
      </c>
      <c r="M137" s="191">
        <f t="shared" si="72"/>
        <v>33.145349699510632</v>
      </c>
      <c r="N137" s="191">
        <f t="shared" si="72"/>
        <v>0</v>
      </c>
      <c r="O137" s="191">
        <f t="shared" si="70"/>
        <v>53.990585430569013</v>
      </c>
      <c r="P137" s="191">
        <f t="shared" si="71"/>
        <v>53.990585430569013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85.239975618778104</v>
      </c>
      <c r="L139" s="191">
        <f t="shared" si="72"/>
        <v>1119.9015642111447</v>
      </c>
      <c r="M139" s="191">
        <f t="shared" si="72"/>
        <v>1916.2574264177622</v>
      </c>
      <c r="N139" s="191">
        <f t="shared" si="72"/>
        <v>0</v>
      </c>
      <c r="O139" s="191">
        <f t="shared" si="70"/>
        <v>3121.3989662476852</v>
      </c>
      <c r="P139" s="191">
        <f t="shared" si="71"/>
        <v>3121.3989662476852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68.438933339112339</v>
      </c>
      <c r="L140" s="191">
        <f t="shared" si="72"/>
        <v>899.16577219819783</v>
      </c>
      <c r="M140" s="191">
        <f t="shared" si="72"/>
        <v>1538.557622936403</v>
      </c>
      <c r="N140" s="191">
        <f t="shared" si="72"/>
        <v>0</v>
      </c>
      <c r="O140" s="191">
        <f t="shared" si="70"/>
        <v>2506.1623284737134</v>
      </c>
      <c r="P140" s="191">
        <f t="shared" si="71"/>
        <v>2506.1623284737134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27.883574675285939</v>
      </c>
      <c r="L142" s="191">
        <f t="shared" si="72"/>
        <v>366.34054230972589</v>
      </c>
      <c r="M142" s="191">
        <f t="shared" si="72"/>
        <v>626.84329340446209</v>
      </c>
      <c r="N142" s="191">
        <f t="shared" si="72"/>
        <v>0</v>
      </c>
      <c r="O142" s="191">
        <f t="shared" si="70"/>
        <v>1021.0674103894739</v>
      </c>
      <c r="P142" s="191">
        <f t="shared" si="71"/>
        <v>1021.0674103894739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23.632520524758689</v>
      </c>
      <c r="L143" s="912">
        <f t="shared" si="72"/>
        <v>310.48925706284268</v>
      </c>
      <c r="M143" s="912">
        <f t="shared" si="72"/>
        <v>531.27646543534047</v>
      </c>
      <c r="N143" s="912">
        <f t="shared" si="72"/>
        <v>0</v>
      </c>
      <c r="O143" s="912">
        <f t="shared" si="70"/>
        <v>865.39824302294187</v>
      </c>
      <c r="P143" s="912">
        <f t="shared" si="71"/>
        <v>865.39824302294187</v>
      </c>
    </row>
    <row r="144" spans="4:16" hidden="1" outlineLevel="1">
      <c r="D144" s="248" t="s">
        <v>442</v>
      </c>
      <c r="G144" s="191">
        <f>SUM(G135:G143)</f>
        <v>0</v>
      </c>
      <c r="H144" s="191">
        <f t="shared" ref="H144:P144" si="73">SUM(H135:H143)</f>
        <v>0</v>
      </c>
      <c r="I144" s="191">
        <f t="shared" si="73"/>
        <v>0</v>
      </c>
      <c r="J144" s="191">
        <f t="shared" si="73"/>
        <v>0</v>
      </c>
      <c r="K144" s="191">
        <f t="shared" si="73"/>
        <v>208.14378208444128</v>
      </c>
      <c r="L144" s="191">
        <f t="shared" si="73"/>
        <v>2734.6388293175219</v>
      </c>
      <c r="M144" s="191">
        <f t="shared" si="73"/>
        <v>4679.2255075929888</v>
      </c>
      <c r="N144" s="191">
        <f t="shared" si="73"/>
        <v>0</v>
      </c>
      <c r="O144" s="191">
        <f t="shared" si="73"/>
        <v>7622.0081189949515</v>
      </c>
      <c r="P144" s="191">
        <f t="shared" si="73"/>
        <v>7622.0081189949515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2.899561748819917</v>
      </c>
      <c r="L147" s="191">
        <f t="shared" si="74"/>
        <v>37.927327881096957</v>
      </c>
      <c r="M147" s="191">
        <f t="shared" si="74"/>
        <v>64.606381162349052</v>
      </c>
      <c r="N147" s="191">
        <f t="shared" si="74"/>
        <v>0</v>
      </c>
      <c r="O147" s="191">
        <f t="shared" ref="O147:O155" si="75">SUM(F147:N147)</f>
        <v>105.43327079226593</v>
      </c>
      <c r="P147" s="191">
        <f t="shared" ref="P147:P155" si="76">SUM(I147:M147)</f>
        <v>105.43327079226593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2.899561748819917</v>
      </c>
      <c r="L149" s="191">
        <f t="shared" si="74"/>
        <v>37.927327881096957</v>
      </c>
      <c r="M149" s="191">
        <f t="shared" si="74"/>
        <v>64.606381162349052</v>
      </c>
      <c r="N149" s="191">
        <f t="shared" si="74"/>
        <v>0</v>
      </c>
      <c r="O149" s="191">
        <f t="shared" si="75"/>
        <v>105.43327079226593</v>
      </c>
      <c r="P149" s="191">
        <f t="shared" si="76"/>
        <v>105.43327079226593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167.63457875404688</v>
      </c>
      <c r="L151" s="191">
        <f t="shared" si="74"/>
        <v>2192.7215846332297</v>
      </c>
      <c r="M151" s="191">
        <f t="shared" si="74"/>
        <v>3735.138075739048</v>
      </c>
      <c r="N151" s="191">
        <f t="shared" si="74"/>
        <v>0</v>
      </c>
      <c r="O151" s="191">
        <f t="shared" si="75"/>
        <v>6095.4942391263248</v>
      </c>
      <c r="P151" s="191">
        <f t="shared" si="76"/>
        <v>6095.4942391263248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134.59332522557628</v>
      </c>
      <c r="L152" s="191">
        <f t="shared" si="74"/>
        <v>1760.5299071541142</v>
      </c>
      <c r="M152" s="191">
        <f t="shared" si="74"/>
        <v>2998.9317092386732</v>
      </c>
      <c r="N152" s="191">
        <f t="shared" si="74"/>
        <v>0</v>
      </c>
      <c r="O152" s="191">
        <f t="shared" si="75"/>
        <v>4894.054941618364</v>
      </c>
      <c r="P152" s="191">
        <f t="shared" si="76"/>
        <v>4894.054941618364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54.836375314716122</v>
      </c>
      <c r="L154" s="191">
        <f t="shared" si="74"/>
        <v>717.27983969252591</v>
      </c>
      <c r="M154" s="191">
        <f t="shared" si="74"/>
        <v>1221.8328395958606</v>
      </c>
      <c r="N154" s="191">
        <f t="shared" si="74"/>
        <v>0</v>
      </c>
      <c r="O154" s="191">
        <f t="shared" si="75"/>
        <v>1993.9490546031027</v>
      </c>
      <c r="P154" s="191">
        <f t="shared" si="76"/>
        <v>1993.9490546031027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46.476170298100783</v>
      </c>
      <c r="L155" s="912">
        <f t="shared" si="74"/>
        <v>607.92530121876894</v>
      </c>
      <c r="M155" s="912">
        <f t="shared" si="74"/>
        <v>1035.5555195426987</v>
      </c>
      <c r="N155" s="912">
        <f t="shared" si="74"/>
        <v>0</v>
      </c>
      <c r="O155" s="912">
        <f t="shared" si="75"/>
        <v>1689.9569910595683</v>
      </c>
      <c r="P155" s="912">
        <f t="shared" si="76"/>
        <v>1689.9569910595683</v>
      </c>
    </row>
    <row r="156" spans="4:16" hidden="1" outlineLevel="1">
      <c r="D156" s="248" t="s">
        <v>454</v>
      </c>
      <c r="G156" s="191">
        <f>SUM(G147:G155)</f>
        <v>0</v>
      </c>
      <c r="H156" s="191">
        <f t="shared" ref="H156:N156" si="77">SUM(H147:H155)</f>
        <v>0</v>
      </c>
      <c r="I156" s="191">
        <f t="shared" si="77"/>
        <v>0</v>
      </c>
      <c r="J156" s="191">
        <f t="shared" si="77"/>
        <v>0</v>
      </c>
      <c r="K156" s="191">
        <f t="shared" si="77"/>
        <v>409.33957309007991</v>
      </c>
      <c r="L156" s="191">
        <f t="shared" si="77"/>
        <v>5354.3112884608327</v>
      </c>
      <c r="M156" s="191">
        <f t="shared" si="77"/>
        <v>9120.670906440977</v>
      </c>
      <c r="N156" s="191">
        <f t="shared" si="77"/>
        <v>0</v>
      </c>
      <c r="O156" s="191">
        <f t="shared" ref="O156:P156" si="78">SUM(O147:O155)</f>
        <v>14884.321767991893</v>
      </c>
      <c r="P156" s="191">
        <f t="shared" si="78"/>
        <v>14884.321767991893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7" priority="4" operator="equal">
      <formula>"Error"</formula>
    </cfRule>
  </conditionalFormatting>
  <conditionalFormatting sqref="R11">
    <cfRule type="cellIs" dxfId="116" priority="3" operator="equal">
      <formula>"Error"</formula>
    </cfRule>
  </conditionalFormatting>
  <conditionalFormatting sqref="R54">
    <cfRule type="cellIs" dxfId="11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Project_Inputs!B13</f>
        <v>XB61</v>
      </c>
      <c r="F3" s="249" t="s">
        <v>63</v>
      </c>
      <c r="G3" s="249">
        <f>Project_Inputs!F13</f>
        <v>0</v>
      </c>
    </row>
    <row r="4" spans="1:21" ht="18.75">
      <c r="A4" s="6"/>
      <c r="B4" s="6"/>
      <c r="C4" s="13" t="s">
        <v>15</v>
      </c>
      <c r="D4" s="339" t="str">
        <f>Project_Inputs!D13</f>
        <v>SVTS Redevelopment Stage 1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Project_Inputs!H13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Project_Inputs!I13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Project_Inputs!J13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166.15339995853478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369.74005222835075</v>
      </c>
      <c r="I11" s="399">
        <f>IF(I$10="Prior",SUMIFS(Project_Inputs!$W$5:$W$50,Project_Inputs!$D$5:$D$50,$D$4),SUMIFS(Project_Inputs!O$5:O$50,Project_Inputs!$D$5:$D$50,$D$4))</f>
        <v>430.00299999999993</v>
      </c>
      <c r="J11" s="320">
        <f>IF(J$10="Prior",SUMIFS(Project_Inputs!$W$5:$W$50,Project_Inputs!$D$5:$D$50,$D$4),SUMIFS(Project_Inputs!P$5:P$50,Project_Inputs!$D$5:$D$50,$D$4))</f>
        <v>2579.6889999999999</v>
      </c>
      <c r="K11" s="320">
        <f>IF(K$10="Prior",SUMIFS(Project_Inputs!$W$5:$W$50,Project_Inputs!$D$5:$D$50,$D$4),SUMIFS(Project_Inputs!Q$5:Q$50,Project_Inputs!$D$5:$D$50,$D$4))</f>
        <v>5589.0519999999997</v>
      </c>
      <c r="L11" s="320">
        <f>IF(L$10="Prior",SUMIFS(Project_Inputs!$W$5:$W$50,Project_Inputs!$D$5:$D$50,$D$4),SUMIFS(Project_Inputs!R$5:R$50,Project_Inputs!$D$5:$D$50,$D$4))</f>
        <v>6878.7319999999991</v>
      </c>
      <c r="M11" s="320">
        <f>IF(M$10="Prior",SUMIFS(Project_Inputs!$W$5:$W$50,Project_Inputs!$D$5:$D$50,$D$4),SUMIFS(Project_Inputs!S$5:S$50,Project_Inputs!$D$5:$D$50,$D$4))</f>
        <v>5911.4719999999988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21924.841452186884</v>
      </c>
      <c r="P11" s="300">
        <f t="shared" ref="P11" si="0">SUM(I11:M11)</f>
        <v>21388.947999999997</v>
      </c>
      <c r="R11" s="608" t="str">
        <f>IF(O11=Project_Inputs!V13,"ok","error")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/>
      <c r="J13" s="10"/>
      <c r="K13" s="10" t="s">
        <v>132</v>
      </c>
      <c r="L13" s="10" t="s">
        <v>132</v>
      </c>
      <c r="M13" s="10" t="s">
        <v>132</v>
      </c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9134.6374521868856</v>
      </c>
      <c r="L14" s="447">
        <f>IF($G$3="Yes",SUMIFS(Project_Inputs!AP$5:AP$50,Project_Inputs!$D$5:$D$50,$D$4),IF(AND(L$13="X",L$10="Prior"),L11,IF(L$13="X",SUM($F11:L11)-SUM($F14:K14),0)))</f>
        <v>6878.732</v>
      </c>
      <c r="M14" s="447">
        <f>IF($G$3="Yes",SUMIFS(Project_Inputs!AQ$5:AQ$50,Project_Inputs!$D$5:$D$50,$D$4),IF(AND(M$13="X",M$10="Prior"),M11,IF(M$13="X",SUM($F11:M11)-SUM($F14:L14),0)))</f>
        <v>5911.4719999999979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21924.841452186884</v>
      </c>
      <c r="P14" s="451">
        <f>SUM(I14:M14)</f>
        <v>21924.841452186884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0.13063318055555556</v>
      </c>
      <c r="G17" s="341">
        <v>0.13063318055555556</v>
      </c>
      <c r="H17" s="392">
        <v>0.13063318055555556</v>
      </c>
      <c r="I17" s="404">
        <v>0.13063318055555556</v>
      </c>
      <c r="J17" s="341">
        <v>0.13063318055555556</v>
      </c>
      <c r="K17" s="341">
        <v>0.13063318055555556</v>
      </c>
      <c r="L17" s="341">
        <v>0.13063318055555556</v>
      </c>
      <c r="M17" s="341">
        <v>0.13063318055555556</v>
      </c>
      <c r="N17" s="342">
        <v>0.13063318055555556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0.40952448718452389</v>
      </c>
      <c r="G18" s="341">
        <v>0.40952448718452389</v>
      </c>
      <c r="H18" s="392">
        <v>0.40952448718452389</v>
      </c>
      <c r="I18" s="404">
        <v>0.40952448718452389</v>
      </c>
      <c r="J18" s="341">
        <v>0.40952448718452389</v>
      </c>
      <c r="K18" s="341">
        <v>0.40952448718452389</v>
      </c>
      <c r="L18" s="341">
        <v>0.40952448718452389</v>
      </c>
      <c r="M18" s="341">
        <v>0.40952448718452389</v>
      </c>
      <c r="N18" s="342">
        <v>0.40952448718452389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0.32880604288888887</v>
      </c>
      <c r="G19" s="341">
        <v>0.32880604288888887</v>
      </c>
      <c r="H19" s="392">
        <v>0.32880604288888887</v>
      </c>
      <c r="I19" s="404">
        <v>0.32880604288888887</v>
      </c>
      <c r="J19" s="341">
        <v>0.32880604288888887</v>
      </c>
      <c r="K19" s="341">
        <v>0.32880604288888887</v>
      </c>
      <c r="L19" s="341">
        <v>0.32880604288888887</v>
      </c>
      <c r="M19" s="341">
        <v>0.32880604288888887</v>
      </c>
      <c r="N19" s="342">
        <v>0.32880604288888887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1.4167023857142858E-2</v>
      </c>
      <c r="G21" s="341">
        <v>1.4167023857142858E-2</v>
      </c>
      <c r="H21" s="392">
        <v>1.4167023857142858E-2</v>
      </c>
      <c r="I21" s="404">
        <v>1.4167023857142858E-2</v>
      </c>
      <c r="J21" s="341">
        <v>1.4167023857142858E-2</v>
      </c>
      <c r="K21" s="341">
        <v>1.4167023857142858E-2</v>
      </c>
      <c r="L21" s="341">
        <v>1.4167023857142858E-2</v>
      </c>
      <c r="M21" s="341">
        <v>1.4167023857142858E-2</v>
      </c>
      <c r="N21" s="342">
        <v>1.4167023857142858E-2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0.11353940188888889</v>
      </c>
      <c r="G22" s="341">
        <v>0.11353940188888889</v>
      </c>
      <c r="H22" s="392">
        <v>0.11353940188888889</v>
      </c>
      <c r="I22" s="404">
        <v>0.11353940188888889</v>
      </c>
      <c r="J22" s="341">
        <v>0.11353940188888889</v>
      </c>
      <c r="K22" s="341">
        <v>0.11353940188888889</v>
      </c>
      <c r="L22" s="341">
        <v>0.11353940188888889</v>
      </c>
      <c r="M22" s="341">
        <v>0.11353940188888889</v>
      </c>
      <c r="N22" s="342">
        <v>0.11353940188888889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3.3298636249999999E-3</v>
      </c>
      <c r="G23" s="341">
        <v>3.3298636249999999E-3</v>
      </c>
      <c r="H23" s="392">
        <v>3.3298636249999999E-3</v>
      </c>
      <c r="I23" s="404">
        <v>3.3298636249999999E-3</v>
      </c>
      <c r="J23" s="341">
        <v>3.3298636249999999E-3</v>
      </c>
      <c r="K23" s="341">
        <v>3.3298636249999999E-3</v>
      </c>
      <c r="L23" s="341">
        <v>3.3298636249999999E-3</v>
      </c>
      <c r="M23" s="341">
        <v>3.3298636249999999E-3</v>
      </c>
      <c r="N23" s="342">
        <v>3.3298636249999999E-3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0.46268438220738112</v>
      </c>
      <c r="I46" s="407">
        <f>IF(I$10="Prior",0,(I11*I29)*(Assumptions!I28-1))</f>
        <v>0.88858016756950642</v>
      </c>
      <c r="J46" s="282">
        <f>IF(J$10="Prior",0,(J11*J29)*(Assumptions!J28-1))</f>
        <v>7.4635287222671831</v>
      </c>
      <c r="K46" s="282">
        <f>IF(K$10="Prior",0,(K11*K29)*(Assumptions!K28-1))</f>
        <v>20.92893449868734</v>
      </c>
      <c r="L46" s="282">
        <f>IF(L$10="Prior",0,(L11*L29)*(Assumptions!L28-1))</f>
        <v>32.145311552345007</v>
      </c>
      <c r="M46" s="282">
        <f>IF(M$10="Prior",0,(M11*M29)*(Assumptions!M28-1))</f>
        <v>33.255993914972599</v>
      </c>
      <c r="N46" s="283">
        <f>IF(N$10="Prior",0,(N11*N29)*(Assumptions!N28-1))</f>
        <v>0</v>
      </c>
      <c r="O46" s="362">
        <f t="shared" ref="O46:O47" si="6">SUM(F46:N46)</f>
        <v>95.145033238049024</v>
      </c>
      <c r="P46" s="300">
        <f t="shared" ref="P46:P47" si="7">SUM(I46:M46)</f>
        <v>94.682348855841639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1.9877525621588563</v>
      </c>
      <c r="I47" s="407">
        <f>IF(I$10="Prior",0,(I11*I30)*(Assumptions!I30-1))</f>
        <v>4.566355838050848</v>
      </c>
      <c r="J47" s="282">
        <f>IF(J$10="Prior",0,(J11*J30)*(Assumptions!J30-1))</f>
        <v>41.126859307122587</v>
      </c>
      <c r="K47" s="282">
        <f>IF(K$10="Prior",0,(K11*K30)*(Assumptions!K30-1))</f>
        <v>118.15639472482962</v>
      </c>
      <c r="L47" s="282">
        <f>IF(L$10="Prior",0,(L11*L30)*(Assumptions!L30-1))</f>
        <v>184.49529451105604</v>
      </c>
      <c r="M47" s="282">
        <f>IF(M$10="Prior",0,(M11*M30)*(Assumptions!M30-1))</f>
        <v>193.27661277372954</v>
      </c>
      <c r="N47" s="283">
        <f>IF(N$10="Prior",0,(N11*N30)*(Assumptions!N30-1))</f>
        <v>0</v>
      </c>
      <c r="O47" s="362">
        <f t="shared" si="6"/>
        <v>543.60926971694744</v>
      </c>
      <c r="P47" s="300">
        <f t="shared" si="7"/>
        <v>541.62151715478865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</v>
      </c>
      <c r="H48" s="253">
        <f t="shared" si="8"/>
        <v>2.4504369443662375</v>
      </c>
      <c r="I48" s="408">
        <f t="shared" si="8"/>
        <v>5.454936005620354</v>
      </c>
      <c r="J48" s="5">
        <f t="shared" si="8"/>
        <v>48.590388029389771</v>
      </c>
      <c r="K48" s="5">
        <f t="shared" si="8"/>
        <v>139.08532922351696</v>
      </c>
      <c r="L48" s="5">
        <f t="shared" si="8"/>
        <v>216.64060606340104</v>
      </c>
      <c r="M48" s="5">
        <f t="shared" si="8"/>
        <v>226.53260668870215</v>
      </c>
      <c r="N48" s="286">
        <f t="shared" si="8"/>
        <v>0</v>
      </c>
      <c r="O48" s="433">
        <f>SUM(O46:O47)</f>
        <v>638.75430295499643</v>
      </c>
      <c r="P48" s="434">
        <f>SUM(P46:P47)</f>
        <v>636.30386601063026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</v>
      </c>
      <c r="H49" s="253">
        <f t="shared" si="9"/>
        <v>2.4504369443662375</v>
      </c>
      <c r="I49" s="408">
        <f t="shared" si="9"/>
        <v>5.454936005620354</v>
      </c>
      <c r="J49" s="5">
        <f t="shared" si="9"/>
        <v>48.590388029389771</v>
      </c>
      <c r="K49" s="5">
        <f t="shared" si="9"/>
        <v>139.08532922351696</v>
      </c>
      <c r="L49" s="5">
        <f t="shared" si="9"/>
        <v>216.64060606340104</v>
      </c>
      <c r="M49" s="5">
        <f t="shared" si="9"/>
        <v>226.53260668870215</v>
      </c>
      <c r="N49" s="286">
        <f t="shared" si="9"/>
        <v>0</v>
      </c>
      <c r="O49" s="370">
        <f>O44+O48</f>
        <v>638.75430295499643</v>
      </c>
      <c r="P49" s="371">
        <f>P44+P48</f>
        <v>636.30386601063026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6.6274587499999928E-3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2.4885316726972119E-2</v>
      </c>
      <c r="L50" s="443">
        <f t="shared" si="10"/>
        <v>3.149426464985132E-2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2.9133816285421037E-2</v>
      </c>
      <c r="P50" s="444">
        <f t="shared" si="10"/>
        <v>2.9749189441698132E-2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16.8964265747307</v>
      </c>
      <c r="G51" s="280">
        <f>(G29*G$11+G46)*Assumptions!$G$21</f>
        <v>0</v>
      </c>
      <c r="H51" s="280">
        <f>(H29*H$11+H46)*Assumptions!$G$21</f>
        <v>38.070017060766858</v>
      </c>
      <c r="I51" s="410">
        <f>(I29*I$11+I46)*Assumptions!$G$21</f>
        <v>44.63136122303591</v>
      </c>
      <c r="J51" s="280">
        <f>(J29*J$11+J46)*Assumptions!$G$21</f>
        <v>269.92282695253118</v>
      </c>
      <c r="K51" s="280">
        <f>(K29*K$11+K46)*Assumptions!$G$21</f>
        <v>589.64335857855247</v>
      </c>
      <c r="L51" s="280">
        <f>(L29*L$11+L46)*Assumptions!$G$21</f>
        <v>732.19927584552386</v>
      </c>
      <c r="M51" s="280">
        <f>(M29*M$11+M46)*Assumptions!$G$21</f>
        <v>634.96640584210547</v>
      </c>
      <c r="N51" s="281">
        <f>(N29*N$11+N46)*Assumptions!$G$21</f>
        <v>0</v>
      </c>
      <c r="O51" s="373">
        <f t="shared" ref="O51:O53" si="11">SUM(F51:N51)</f>
        <v>2326.3296720772464</v>
      </c>
      <c r="P51" s="375">
        <f>SUM(I51:M51)</f>
        <v>2271.363228441749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84.482132873653498</v>
      </c>
      <c r="G52" s="282">
        <f>(G30*G$11+G47)*Assumptions!$G$21</f>
        <v>0</v>
      </c>
      <c r="H52" s="282">
        <f>(H30*H$11+H47)*Assumptions!$G$21</f>
        <v>190.01890651108425</v>
      </c>
      <c r="I52" s="407">
        <f>(I30*I$11+I47)*Assumptions!$G$21</f>
        <v>223.28234963982234</v>
      </c>
      <c r="J52" s="282">
        <f>(J30*J$11+J47)*Assumptions!$G$21</f>
        <v>1353.4877920773561</v>
      </c>
      <c r="K52" s="282">
        <f>(K30*K$11+K47)*Assumptions!$G$21</f>
        <v>2961.9570968912271</v>
      </c>
      <c r="L52" s="282">
        <f>(L30*L$11+L47)*Assumptions!$G$21</f>
        <v>3685.1672186663177</v>
      </c>
      <c r="M52" s="282">
        <f>(M30*M$11+M47)*Assumptions!$G$21</f>
        <v>3202.2853825386983</v>
      </c>
      <c r="N52" s="283">
        <f>(N30*N$11+N47)*Assumptions!$G$21</f>
        <v>0</v>
      </c>
      <c r="O52" s="374">
        <f t="shared" si="11"/>
        <v>11700.68087919816</v>
      </c>
      <c r="P52" s="376">
        <f>SUM(I52:M52)</f>
        <v>11426.179839813423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67.585706298922801</v>
      </c>
      <c r="G53" s="282">
        <f>(G31*G$11+G$44)*Assumptions!$G$21</f>
        <v>0</v>
      </c>
      <c r="H53" s="282">
        <f>(H31*H$11+H$44)*Assumptions!$G$21</f>
        <v>150.39802124476523</v>
      </c>
      <c r="I53" s="407">
        <f>(I31*I$11+I$44)*Assumptions!$G$21</f>
        <v>174.9109947368421</v>
      </c>
      <c r="J53" s="282">
        <f>(J31*J$11+J$44)*Assumptions!$G$21</f>
        <v>1049.3321421052633</v>
      </c>
      <c r="K53" s="282">
        <f>(K31*K$11+K$44)*Assumptions!$G$21</f>
        <v>2273.4414526315791</v>
      </c>
      <c r="L53" s="282">
        <f>(L31*L$11+L$44)*Assumptions!$G$21</f>
        <v>2798.040610526316</v>
      </c>
      <c r="M53" s="282">
        <f>(M31*M$11+M$44)*Assumptions!$G$21</f>
        <v>2404.5912421052631</v>
      </c>
      <c r="N53" s="283">
        <f>(N31*N$11+N$44)*Assumptions!$G$21</f>
        <v>0</v>
      </c>
      <c r="O53" s="374">
        <f t="shared" si="11"/>
        <v>8918.3001696489519</v>
      </c>
      <c r="P53" s="376">
        <f>SUM(I53:M53)</f>
        <v>8700.3164421052643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168.964265747307</v>
      </c>
      <c r="G54" s="5">
        <f t="shared" si="12"/>
        <v>0</v>
      </c>
      <c r="H54" s="5">
        <f t="shared" si="12"/>
        <v>378.48694481661636</v>
      </c>
      <c r="I54" s="411">
        <f t="shared" si="12"/>
        <v>442.82470559970034</v>
      </c>
      <c r="J54" s="382">
        <f t="shared" si="12"/>
        <v>2672.7427611351504</v>
      </c>
      <c r="K54" s="382">
        <f t="shared" si="12"/>
        <v>5825.0419081013588</v>
      </c>
      <c r="L54" s="382">
        <f t="shared" si="12"/>
        <v>7215.4071050381572</v>
      </c>
      <c r="M54" s="382">
        <f t="shared" si="12"/>
        <v>6241.8430304860667</v>
      </c>
      <c r="N54" s="286">
        <f t="shared" si="12"/>
        <v>0</v>
      </c>
      <c r="O54" s="372">
        <f t="shared" si="12"/>
        <v>22945.310720924361</v>
      </c>
      <c r="P54" s="428">
        <f t="shared" si="12"/>
        <v>22397.859510360438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13.530948826460964</v>
      </c>
      <c r="G57" s="290">
        <f t="shared" ref="G57:N57" si="13">G54*G56</f>
        <v>0</v>
      </c>
      <c r="H57" s="290">
        <f t="shared" si="13"/>
        <v>27.475762717093286</v>
      </c>
      <c r="I57" s="407">
        <f t="shared" si="13"/>
        <v>39.051219528218759</v>
      </c>
      <c r="J57" s="282">
        <f t="shared" si="13"/>
        <v>321.52998557209111</v>
      </c>
      <c r="K57" s="282">
        <f t="shared" si="13"/>
        <v>760.05765637385457</v>
      </c>
      <c r="L57" s="282">
        <f t="shared" si="13"/>
        <v>850.77158554408186</v>
      </c>
      <c r="M57" s="282">
        <f t="shared" si="13"/>
        <v>693.08056527410724</v>
      </c>
      <c r="N57" s="283">
        <f t="shared" si="13"/>
        <v>0</v>
      </c>
      <c r="O57" s="309">
        <f>SUM(F57:N57)</f>
        <v>2705.4977238359079</v>
      </c>
      <c r="P57" s="300">
        <f>SUM(I57:M57)</f>
        <v>2664.4910122923538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182.49521457376795</v>
      </c>
      <c r="G59" s="5">
        <f t="shared" si="14"/>
        <v>0</v>
      </c>
      <c r="H59" s="5">
        <f t="shared" si="14"/>
        <v>405.96270753370965</v>
      </c>
      <c r="I59" s="411">
        <f t="shared" si="14"/>
        <v>481.87592512791912</v>
      </c>
      <c r="J59" s="382">
        <f t="shared" si="14"/>
        <v>2994.2727467072414</v>
      </c>
      <c r="K59" s="382">
        <f t="shared" si="14"/>
        <v>6585.0995644752129</v>
      </c>
      <c r="L59" s="382">
        <f t="shared" si="14"/>
        <v>8066.1786905822391</v>
      </c>
      <c r="M59" s="382">
        <f t="shared" si="14"/>
        <v>6934.9235957601741</v>
      </c>
      <c r="N59" s="418">
        <f>N54+N57</f>
        <v>0</v>
      </c>
      <c r="O59" s="419">
        <f t="shared" ref="O59:P59" si="15">O54+O57</f>
        <v>25650.808444760267</v>
      </c>
      <c r="P59" s="429">
        <f t="shared" si="15"/>
        <v>25062.350522652792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13.530948826460964</v>
      </c>
      <c r="G60" s="290">
        <f t="shared" ref="G60:N60" si="16">G57+F60</f>
        <v>13.530948826460964</v>
      </c>
      <c r="H60" s="290">
        <f t="shared" si="16"/>
        <v>41.006711543554246</v>
      </c>
      <c r="I60" s="290">
        <f t="shared" si="16"/>
        <v>80.057931071772998</v>
      </c>
      <c r="J60" s="290">
        <f t="shared" si="16"/>
        <v>401.58791664386411</v>
      </c>
      <c r="K60" s="290">
        <f t="shared" si="16"/>
        <v>1161.6455730177186</v>
      </c>
      <c r="L60" s="290">
        <f t="shared" si="16"/>
        <v>2012.4171585618005</v>
      </c>
      <c r="M60" s="290">
        <f t="shared" si="16"/>
        <v>2705.4977238359079</v>
      </c>
      <c r="N60" s="290">
        <f t="shared" si="16"/>
        <v>2705.4977238359079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2.4504369443662375</v>
      </c>
      <c r="I61" s="252">
        <f t="shared" si="17"/>
        <v>7.9053729499865915</v>
      </c>
      <c r="J61" s="252">
        <f t="shared" si="17"/>
        <v>56.495760979376364</v>
      </c>
      <c r="K61" s="252">
        <f t="shared" si="17"/>
        <v>195.58109020289334</v>
      </c>
      <c r="L61" s="252">
        <f t="shared" si="17"/>
        <v>412.22169626629437</v>
      </c>
      <c r="M61" s="252">
        <f t="shared" si="17"/>
        <v>638.75430295499655</v>
      </c>
      <c r="N61" s="252">
        <f t="shared" si="17"/>
        <v>638.75430295499655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23.839930315939885</v>
      </c>
      <c r="G64" s="280">
        <f t="shared" si="18"/>
        <v>0</v>
      </c>
      <c r="H64" s="280">
        <f t="shared" si="18"/>
        <v>53.03219967207329</v>
      </c>
      <c r="I64" s="415">
        <f t="shared" si="18"/>
        <v>62.948984732610832</v>
      </c>
      <c r="J64" s="380">
        <f t="shared" si="18"/>
        <v>391.15137235318633</v>
      </c>
      <c r="K64" s="380">
        <f t="shared" si="18"/>
        <v>860.23250038240076</v>
      </c>
      <c r="L64" s="380">
        <f t="shared" si="18"/>
        <v>1053.7105772802045</v>
      </c>
      <c r="M64" s="380">
        <f t="shared" si="18"/>
        <v>905.93112622392141</v>
      </c>
      <c r="N64" s="281">
        <f t="shared" si="18"/>
        <v>0</v>
      </c>
      <c r="O64" s="373">
        <f>SUM(F64:N64)</f>
        <v>3350.8466909603367</v>
      </c>
      <c r="P64" s="430">
        <f>SUM(I64:M64)</f>
        <v>3273.9745609723241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74.736259161951978</v>
      </c>
      <c r="G65" s="282">
        <f t="shared" si="19"/>
        <v>0</v>
      </c>
      <c r="H65" s="282">
        <f t="shared" si="19"/>
        <v>166.2516696187833</v>
      </c>
      <c r="I65" s="416">
        <f t="shared" si="19"/>
        <v>197.33999112457911</v>
      </c>
      <c r="J65" s="381">
        <f t="shared" si="19"/>
        <v>1226.2280110858787</v>
      </c>
      <c r="K65" s="381">
        <f t="shared" si="19"/>
        <v>2696.759522200743</v>
      </c>
      <c r="L65" s="381">
        <f t="shared" si="19"/>
        <v>3303.297691799426</v>
      </c>
      <c r="M65" s="381">
        <f t="shared" si="19"/>
        <v>2840.0210292175398</v>
      </c>
      <c r="N65" s="283">
        <f t="shared" si="19"/>
        <v>0</v>
      </c>
      <c r="O65" s="374">
        <f t="shared" ref="O65:O73" si="20">SUM(F65:N65)</f>
        <v>10504.634174208903</v>
      </c>
      <c r="P65" s="431">
        <f t="shared" ref="P65:P73" si="21">SUM(I65:M65)</f>
        <v>10263.646245428166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60.005529350159321</v>
      </c>
      <c r="G66" s="282">
        <f t="shared" si="22"/>
        <v>0</v>
      </c>
      <c r="H66" s="282">
        <f t="shared" si="22"/>
        <v>133.48299142461838</v>
      </c>
      <c r="I66" s="416">
        <f t="shared" si="22"/>
        <v>158.44371610473357</v>
      </c>
      <c r="J66" s="381">
        <f t="shared" si="22"/>
        <v>984.53497317485233</v>
      </c>
      <c r="K66" s="381">
        <f t="shared" si="22"/>
        <v>2165.2205298244403</v>
      </c>
      <c r="L66" s="381">
        <f t="shared" si="22"/>
        <v>2652.2082964850251</v>
      </c>
      <c r="M66" s="381">
        <f t="shared" si="22"/>
        <v>2280.2447852586874</v>
      </c>
      <c r="N66" s="283">
        <f t="shared" si="22"/>
        <v>0</v>
      </c>
      <c r="O66" s="374">
        <f t="shared" si="20"/>
        <v>8434.1408216225173</v>
      </c>
      <c r="P66" s="431">
        <f t="shared" si="21"/>
        <v>8240.6523008477379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2.5854140586809753</v>
      </c>
      <c r="G68" s="282">
        <f t="shared" si="24"/>
        <v>0</v>
      </c>
      <c r="H68" s="282">
        <f t="shared" si="24"/>
        <v>5.7512833627403728</v>
      </c>
      <c r="I68" s="416">
        <f t="shared" si="24"/>
        <v>6.8267477274700159</v>
      </c>
      <c r="J68" s="381">
        <f t="shared" si="24"/>
        <v>42.419933437394164</v>
      </c>
      <c r="K68" s="381">
        <f t="shared" si="24"/>
        <v>93.291262631581375</v>
      </c>
      <c r="L68" s="381">
        <f t="shared" si="24"/>
        <v>114.27374594545591</v>
      </c>
      <c r="M68" s="381">
        <f t="shared" si="24"/>
        <v>98.24722802859732</v>
      </c>
      <c r="N68" s="283">
        <f t="shared" si="24"/>
        <v>0</v>
      </c>
      <c r="O68" s="374">
        <f t="shared" si="20"/>
        <v>363.39561519192011</v>
      </c>
      <c r="P68" s="431">
        <f t="shared" si="21"/>
        <v>355.05891777049874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20.720397510290052</v>
      </c>
      <c r="G69" s="282">
        <f t="shared" si="25"/>
        <v>0</v>
      </c>
      <c r="H69" s="282">
        <f t="shared" si="25"/>
        <v>46.092763002571324</v>
      </c>
      <c r="I69" s="416">
        <f t="shared" si="25"/>
        <v>54.711904323678944</v>
      </c>
      <c r="J69" s="381">
        <f t="shared" si="25"/>
        <v>339.96793675334067</v>
      </c>
      <c r="K69" s="381">
        <f t="shared" si="25"/>
        <v>747.6682659292984</v>
      </c>
      <c r="L69" s="381">
        <f t="shared" si="25"/>
        <v>915.82910405760845</v>
      </c>
      <c r="M69" s="381">
        <f t="shared" si="25"/>
        <v>787.3870772077529</v>
      </c>
      <c r="N69" s="283">
        <f t="shared" si="25"/>
        <v>0</v>
      </c>
      <c r="O69" s="374">
        <f t="shared" si="20"/>
        <v>2912.3774487845408</v>
      </c>
      <c r="P69" s="431">
        <f t="shared" si="21"/>
        <v>2845.5642882716797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0.60768417674575981</v>
      </c>
      <c r="G70" s="282">
        <f t="shared" si="26"/>
        <v>0</v>
      </c>
      <c r="H70" s="282">
        <f t="shared" si="26"/>
        <v>1.3518004529230132</v>
      </c>
      <c r="I70" s="416">
        <f t="shared" si="26"/>
        <v>1.6045811148466813</v>
      </c>
      <c r="J70" s="381">
        <f t="shared" si="26"/>
        <v>9.970519902589281</v>
      </c>
      <c r="K70" s="381">
        <f t="shared" si="26"/>
        <v>21.927483506749354</v>
      </c>
      <c r="L70" s="381">
        <f t="shared" si="26"/>
        <v>26.859275014519927</v>
      </c>
      <c r="M70" s="381">
        <f t="shared" si="26"/>
        <v>23.092349823676006</v>
      </c>
      <c r="N70" s="283">
        <f t="shared" si="26"/>
        <v>0</v>
      </c>
      <c r="O70" s="374">
        <f t="shared" si="20"/>
        <v>85.413693992050014</v>
      </c>
      <c r="P70" s="431">
        <f t="shared" si="21"/>
        <v>83.454209362381249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182.49521457376795</v>
      </c>
      <c r="G74" s="5">
        <f t="shared" ref="G74:N74" si="30">+SUM(G64:G73)</f>
        <v>0</v>
      </c>
      <c r="H74" s="5">
        <f t="shared" si="30"/>
        <v>405.96270753370965</v>
      </c>
      <c r="I74" s="411">
        <f t="shared" si="30"/>
        <v>481.87592512791912</v>
      </c>
      <c r="J74" s="382">
        <f t="shared" si="30"/>
        <v>2994.2727467072418</v>
      </c>
      <c r="K74" s="382">
        <f t="shared" si="30"/>
        <v>6585.099564475212</v>
      </c>
      <c r="L74" s="382">
        <f t="shared" si="30"/>
        <v>8066.1786905822401</v>
      </c>
      <c r="M74" s="382">
        <f t="shared" si="30"/>
        <v>6934.923595760175</v>
      </c>
      <c r="N74" s="286">
        <f t="shared" si="30"/>
        <v>0</v>
      </c>
      <c r="O74" s="372">
        <f>SUM(O64:O73)</f>
        <v>25650.808444760267</v>
      </c>
      <c r="P74" s="428">
        <f>SUM(P64:P73)</f>
        <v>25062.350522652785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0</v>
      </c>
      <c r="I76" s="410">
        <f t="shared" si="32"/>
        <v>0</v>
      </c>
      <c r="J76" s="280">
        <f t="shared" si="32"/>
        <v>0</v>
      </c>
      <c r="K76" s="280">
        <f t="shared" si="32"/>
        <v>9134.6374521868856</v>
      </c>
      <c r="L76" s="280">
        <f t="shared" si="32"/>
        <v>6878.732</v>
      </c>
      <c r="M76" s="280">
        <f t="shared" si="32"/>
        <v>5911.4719999999979</v>
      </c>
      <c r="N76" s="281">
        <f t="shared" si="32"/>
        <v>0</v>
      </c>
      <c r="O76" s="377">
        <f>SUM(F76:N76)</f>
        <v>21924.841452186884</v>
      </c>
      <c r="P76" s="378">
        <f t="shared" ref="P76:P80" si="33">SUM(I76:M76)</f>
        <v>21924.841452186884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0</v>
      </c>
      <c r="J77" s="282">
        <f>IF(J$10="Prior",0,IF(AND(J76&lt;&gt;0,SUM($F76:I76)=0),J76/SUM($F$76:J76)*J61,IF(J76&lt;&gt;0,SUM($F$76:J76)/SUM($F$11:J11)*J61-I83,0)))</f>
        <v>0</v>
      </c>
      <c r="K77" s="282">
        <f>IF(K$10="Prior",0,IF(AND(K76&lt;&gt;0,SUM($F76:J76)=0),K76/SUM($F$76:K76)*K61,IF(K76&lt;&gt;0,SUM($F$76:K76)/SUM($F$11:K11)*K61-J83,0)))</f>
        <v>195.58109020289334</v>
      </c>
      <c r="L77" s="282">
        <f>IF(L$10="Prior",0,IF(AND(L76&lt;&gt;0,SUM($F76:K76)=0),L76/SUM($F$76:L76)*L61,IF(L76&lt;&gt;0,SUM($F$76:L76)/SUM($F$11:L11)*L61-K83,0)))</f>
        <v>216.64060606340104</v>
      </c>
      <c r="M77" s="282">
        <f>IF(M$10="Prior",0,IF(AND(M76&lt;&gt;0,SUM($F76:L76)=0),M76/SUM($F$76:M76)*M61,IF(M76&lt;&gt;0,SUM($F$76:M76)/SUM($F$11:M11)*M61-L83,0)))</f>
        <v>226.53260668870217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638.75430295499655</v>
      </c>
      <c r="P77" s="455">
        <f t="shared" si="33"/>
        <v>638.75430295499655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0</v>
      </c>
      <c r="J78" s="457">
        <f t="shared" si="34"/>
        <v>0</v>
      </c>
      <c r="K78" s="457">
        <f t="shared" si="34"/>
        <v>9330.218542389779</v>
      </c>
      <c r="L78" s="457">
        <f t="shared" si="34"/>
        <v>7095.3726060634008</v>
      </c>
      <c r="M78" s="457">
        <f t="shared" si="34"/>
        <v>6138.0046066886998</v>
      </c>
      <c r="N78" s="459">
        <f t="shared" si="34"/>
        <v>0</v>
      </c>
      <c r="O78" s="460">
        <f>SUM(F78:N78)</f>
        <v>22563.59575514188</v>
      </c>
      <c r="P78" s="461">
        <f t="shared" si="33"/>
        <v>22563.59575514188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0</v>
      </c>
      <c r="I79" s="458">
        <f>I78*Assumptions!$G$21</f>
        <v>0</v>
      </c>
      <c r="J79" s="457">
        <f>J78*Assumptions!$G$21</f>
        <v>0</v>
      </c>
      <c r="K79" s="457">
        <f>K78*Assumptions!$G$21</f>
        <v>9488.0605854001333</v>
      </c>
      <c r="L79" s="457">
        <f>L78*Assumptions!$G$21</f>
        <v>7215.4071050381581</v>
      </c>
      <c r="M79" s="457">
        <f>M78*Assumptions!$G$21</f>
        <v>6241.8430304860658</v>
      </c>
      <c r="N79" s="459">
        <f>N78*Assumptions!$G$21</f>
        <v>0</v>
      </c>
      <c r="O79" s="460">
        <f>SUM(F79:N79)</f>
        <v>22945.310720924357</v>
      </c>
      <c r="P79" s="461">
        <f t="shared" si="33"/>
        <v>22945.310720924357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0</v>
      </c>
      <c r="K80" s="282">
        <f>IF(K$10="Prior",K79*K56,IF(AND(K79&lt;&gt;0,SUM($F79:J79)=0),K79/SUM($F$54:K54)*K60,IF(K79&lt;&gt;0,SUM($F$79:K79)/SUM($F$54:K54)*K60-J82,0)))</f>
        <v>1161.6455730177186</v>
      </c>
      <c r="L80" s="282">
        <f>IF(L$10="Prior",L79*L56,IF(AND(L79&lt;&gt;0,SUM($F79:K79)=0),L79/SUM($F$54:L54)*L60,IF(L79&lt;&gt;0,SUM($F$79:L79)/SUM($F$54:L54)*L60-K82,0)))</f>
        <v>850.77158554408197</v>
      </c>
      <c r="M80" s="282">
        <f>IF(M$10="Prior",M79*M56,IF(AND(M79&lt;&gt;0,SUM($F79:L79)=0),M79/SUM($F$54:M54)*M60,IF(M79&lt;&gt;0,SUM($F$79:M79)/SUM($F$54:M54)*M60-L82,0)))</f>
        <v>693.08056527410736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2705.4977238359079</v>
      </c>
      <c r="P80" s="300">
        <f t="shared" si="33"/>
        <v>2705.4977238359079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0</v>
      </c>
      <c r="J81" s="387">
        <f t="shared" si="35"/>
        <v>0</v>
      </c>
      <c r="K81" s="387">
        <f t="shared" si="35"/>
        <v>10649.706158417852</v>
      </c>
      <c r="L81" s="387">
        <f t="shared" si="35"/>
        <v>8066.1786905822401</v>
      </c>
      <c r="M81" s="387">
        <f t="shared" si="35"/>
        <v>6934.9235957601732</v>
      </c>
      <c r="N81" s="420">
        <f t="shared" si="35"/>
        <v>0</v>
      </c>
      <c r="O81" s="421">
        <f t="shared" si="35"/>
        <v>25650.808444760267</v>
      </c>
      <c r="P81" s="388">
        <f t="shared" si="35"/>
        <v>25650.808444760267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0</v>
      </c>
      <c r="J82" s="252">
        <f t="shared" si="36"/>
        <v>0</v>
      </c>
      <c r="K82" s="252">
        <f t="shared" si="36"/>
        <v>1161.6455730177186</v>
      </c>
      <c r="L82" s="252">
        <f t="shared" si="36"/>
        <v>2012.4171585618005</v>
      </c>
      <c r="M82" s="252">
        <f t="shared" si="36"/>
        <v>2705.4977238359079</v>
      </c>
      <c r="N82" s="252">
        <f t="shared" si="36"/>
        <v>2705.4977238359079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0</v>
      </c>
      <c r="J83" s="252">
        <f t="shared" si="37"/>
        <v>0</v>
      </c>
      <c r="K83" s="252">
        <f t="shared" si="37"/>
        <v>195.58109020289334</v>
      </c>
      <c r="L83" s="252">
        <f t="shared" si="37"/>
        <v>412.22169626629437</v>
      </c>
      <c r="M83" s="252">
        <f t="shared" si="37"/>
        <v>638.75430295499655</v>
      </c>
      <c r="N83" s="252">
        <f t="shared" si="37"/>
        <v>638.75430295499655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1391.2049874562113</v>
      </c>
      <c r="L85" s="380">
        <f t="shared" si="38"/>
        <v>1053.7105772802047</v>
      </c>
      <c r="M85" s="380">
        <f t="shared" si="38"/>
        <v>905.9311262239213</v>
      </c>
      <c r="N85" s="345">
        <f t="shared" si="38"/>
        <v>0</v>
      </c>
      <c r="O85" s="373">
        <f>SUM(F85:N85)</f>
        <v>3350.8466909603371</v>
      </c>
      <c r="P85" s="430">
        <f t="shared" ref="P85:P94" si="39">SUM(I85:M85)</f>
        <v>3350.8466909603371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4361.3154531919363</v>
      </c>
      <c r="L86" s="381">
        <f t="shared" si="40"/>
        <v>3303.2976917994265</v>
      </c>
      <c r="M86" s="381">
        <f t="shared" si="40"/>
        <v>2840.0210292175393</v>
      </c>
      <c r="N86" s="346">
        <f t="shared" si="40"/>
        <v>0</v>
      </c>
      <c r="O86" s="374">
        <f t="shared" ref="O86:O94" si="41">SUM(F86:N86)</f>
        <v>10504.634174208903</v>
      </c>
      <c r="P86" s="431">
        <f t="shared" si="39"/>
        <v>10504.634174208903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3501.6877398788042</v>
      </c>
      <c r="L87" s="381">
        <f t="shared" si="42"/>
        <v>2652.2082964850256</v>
      </c>
      <c r="M87" s="381">
        <f t="shared" si="42"/>
        <v>2280.244785258687</v>
      </c>
      <c r="N87" s="346">
        <f t="shared" si="42"/>
        <v>0</v>
      </c>
      <c r="O87" s="374">
        <f t="shared" si="41"/>
        <v>8434.1408216225173</v>
      </c>
      <c r="P87" s="431">
        <f t="shared" si="39"/>
        <v>8434.1408216225173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150.87464121786692</v>
      </c>
      <c r="L89" s="381">
        <f t="shared" si="44"/>
        <v>114.27374594545594</v>
      </c>
      <c r="M89" s="381">
        <f t="shared" si="44"/>
        <v>98.247228028597306</v>
      </c>
      <c r="N89" s="346">
        <f t="shared" si="44"/>
        <v>0</v>
      </c>
      <c r="O89" s="374">
        <f t="shared" si="41"/>
        <v>363.39561519192017</v>
      </c>
      <c r="P89" s="431">
        <f t="shared" si="39"/>
        <v>363.39561519192017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1209.1612675191795</v>
      </c>
      <c r="L90" s="381">
        <f t="shared" si="45"/>
        <v>915.82910405760856</v>
      </c>
      <c r="M90" s="381">
        <f t="shared" si="45"/>
        <v>787.38707720775278</v>
      </c>
      <c r="N90" s="346">
        <f t="shared" si="45"/>
        <v>0</v>
      </c>
      <c r="O90" s="374">
        <f t="shared" si="41"/>
        <v>2912.3774487845412</v>
      </c>
      <c r="P90" s="431">
        <f t="shared" si="39"/>
        <v>2912.3774487845412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35.462069153854088</v>
      </c>
      <c r="L91" s="381">
        <f t="shared" si="46"/>
        <v>26.859275014519934</v>
      </c>
      <c r="M91" s="381">
        <f t="shared" si="46"/>
        <v>23.092349823676003</v>
      </c>
      <c r="N91" s="346">
        <f t="shared" si="46"/>
        <v>0</v>
      </c>
      <c r="O91" s="374">
        <f t="shared" si="41"/>
        <v>85.413693992050028</v>
      </c>
      <c r="P91" s="431">
        <f t="shared" si="39"/>
        <v>85.413693992050028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0</v>
      </c>
      <c r="J95" s="382">
        <f t="shared" si="51"/>
        <v>0</v>
      </c>
      <c r="K95" s="382">
        <f t="shared" si="51"/>
        <v>10649.706158417852</v>
      </c>
      <c r="L95" s="382">
        <f t="shared" si="51"/>
        <v>8066.178690582241</v>
      </c>
      <c r="M95" s="382">
        <f t="shared" si="51"/>
        <v>6934.9235957601732</v>
      </c>
      <c r="N95" s="286">
        <f t="shared" si="51"/>
        <v>0</v>
      </c>
      <c r="O95" s="372">
        <f>SUM(O85:O94)</f>
        <v>25650.808444760267</v>
      </c>
      <c r="P95" s="428">
        <f>SUM(P85:P94)</f>
        <v>25650.808444760267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48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48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1.0653461775208337</v>
      </c>
      <c r="I111" s="191">
        <f t="shared" si="59"/>
        <v>1.2389841176567153</v>
      </c>
      <c r="J111" s="191">
        <f t="shared" si="59"/>
        <v>7.4329567456360426</v>
      </c>
      <c r="K111" s="191">
        <f t="shared" si="59"/>
        <v>16.103949648624546</v>
      </c>
      <c r="L111" s="191">
        <f t="shared" si="59"/>
        <v>19.819954041290444</v>
      </c>
      <c r="M111" s="191">
        <f t="shared" si="59"/>
        <v>17.03295074679102</v>
      </c>
      <c r="N111" s="191">
        <f t="shared" si="59"/>
        <v>0</v>
      </c>
      <c r="O111" s="191">
        <f t="shared" ref="O111:O119" si="60">SUM(F111:N111)</f>
        <v>62.694141477519594</v>
      </c>
      <c r="P111" s="191">
        <f t="shared" ref="P111:P119" si="61">SUM(I111:M111)</f>
        <v>61.628795299998771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1.0653461775208337</v>
      </c>
      <c r="I113" s="191">
        <f t="shared" si="62"/>
        <v>1.2389841176567153</v>
      </c>
      <c r="J113" s="191">
        <f t="shared" si="62"/>
        <v>7.4329567456360426</v>
      </c>
      <c r="K113" s="191">
        <f t="shared" si="62"/>
        <v>16.103949648624546</v>
      </c>
      <c r="L113" s="191">
        <f t="shared" si="62"/>
        <v>19.819954041290444</v>
      </c>
      <c r="M113" s="191">
        <f t="shared" si="62"/>
        <v>17.03295074679102</v>
      </c>
      <c r="N113" s="191">
        <f t="shared" si="62"/>
        <v>0</v>
      </c>
      <c r="O113" s="191">
        <f t="shared" si="60"/>
        <v>62.694141477519594</v>
      </c>
      <c r="P113" s="191">
        <f t="shared" si="61"/>
        <v>61.628795299998771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61.591672523829608</v>
      </c>
      <c r="I115" s="191">
        <f t="shared" si="62"/>
        <v>71.630335422540213</v>
      </c>
      <c r="J115" s="191">
        <f t="shared" si="62"/>
        <v>429.72720738189588</v>
      </c>
      <c r="K115" s="191">
        <f t="shared" si="62"/>
        <v>931.02994503298646</v>
      </c>
      <c r="L115" s="191">
        <f t="shared" si="62"/>
        <v>1145.8661461472616</v>
      </c>
      <c r="M115" s="191">
        <f t="shared" si="62"/>
        <v>984.73899531155519</v>
      </c>
      <c r="N115" s="191">
        <f t="shared" si="62"/>
        <v>0</v>
      </c>
      <c r="O115" s="191">
        <f t="shared" si="60"/>
        <v>3624.584301820069</v>
      </c>
      <c r="P115" s="191">
        <f t="shared" si="61"/>
        <v>3562.9926292962396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49.451778223810294</v>
      </c>
      <c r="I116" s="191">
        <f t="shared" si="62"/>
        <v>57.511792037180321</v>
      </c>
      <c r="J116" s="191">
        <f t="shared" si="62"/>
        <v>345.02674932175285</v>
      </c>
      <c r="K116" s="191">
        <f t="shared" si="62"/>
        <v>747.52128777935684</v>
      </c>
      <c r="L116" s="191">
        <f t="shared" si="62"/>
        <v>920.01266098956864</v>
      </c>
      <c r="M116" s="191">
        <f t="shared" si="62"/>
        <v>790.64413108190968</v>
      </c>
      <c r="N116" s="191">
        <f t="shared" si="62"/>
        <v>0</v>
      </c>
      <c r="O116" s="191">
        <f t="shared" si="60"/>
        <v>2910.1683994335785</v>
      </c>
      <c r="P116" s="191">
        <f t="shared" si="61"/>
        <v>2860.7166212097682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20.147776764680621</v>
      </c>
      <c r="I118" s="191">
        <f t="shared" si="62"/>
        <v>23.4316093155965</v>
      </c>
      <c r="J118" s="191">
        <f t="shared" si="62"/>
        <v>140.5717281129244</v>
      </c>
      <c r="K118" s="191">
        <f t="shared" si="62"/>
        <v>304.55713776079068</v>
      </c>
      <c r="L118" s="191">
        <f t="shared" si="62"/>
        <v>374.83403792692553</v>
      </c>
      <c r="M118" s="191">
        <f t="shared" si="62"/>
        <v>322.12636280232437</v>
      </c>
      <c r="N118" s="191">
        <f t="shared" si="62"/>
        <v>0</v>
      </c>
      <c r="O118" s="191">
        <f t="shared" si="60"/>
        <v>1185.668652683242</v>
      </c>
      <c r="P118" s="191">
        <f t="shared" si="61"/>
        <v>1165.5208759185614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17.076101377403049</v>
      </c>
      <c r="I119" s="912">
        <f t="shared" si="62"/>
        <v>19.859289726211646</v>
      </c>
      <c r="J119" s="912">
        <f t="shared" si="62"/>
        <v>119.14054379741816</v>
      </c>
      <c r="K119" s="912">
        <f t="shared" si="62"/>
        <v>258.12518276119619</v>
      </c>
      <c r="L119" s="912">
        <f t="shared" si="62"/>
        <v>317.68785737997945</v>
      </c>
      <c r="M119" s="912">
        <f t="shared" si="62"/>
        <v>273.01585141589197</v>
      </c>
      <c r="N119" s="912">
        <f t="shared" si="62"/>
        <v>0</v>
      </c>
      <c r="O119" s="912">
        <f t="shared" si="60"/>
        <v>1004.9048264581004</v>
      </c>
      <c r="P119" s="912">
        <f t="shared" si="61"/>
        <v>987.8287250806975</v>
      </c>
    </row>
    <row r="120" spans="4:16" hidden="1" outlineLevel="1">
      <c r="D120" s="248" t="s">
        <v>440</v>
      </c>
      <c r="G120" s="191">
        <f>SUM(G111:G119)</f>
        <v>0</v>
      </c>
      <c r="H120" s="191">
        <f t="shared" ref="H120:P120" si="63">SUM(H111:H119)</f>
        <v>150.39802124476523</v>
      </c>
      <c r="I120" s="191">
        <f t="shared" si="63"/>
        <v>174.9109947368421</v>
      </c>
      <c r="J120" s="191">
        <f t="shared" si="63"/>
        <v>1049.3321421052633</v>
      </c>
      <c r="K120" s="191">
        <f t="shared" si="63"/>
        <v>2273.4414526315795</v>
      </c>
      <c r="L120" s="191">
        <f t="shared" si="63"/>
        <v>2798.0406105263164</v>
      </c>
      <c r="M120" s="191">
        <f t="shared" si="63"/>
        <v>2404.5912421052635</v>
      </c>
      <c r="N120" s="191">
        <f t="shared" si="63"/>
        <v>0</v>
      </c>
      <c r="O120" s="191">
        <f t="shared" si="63"/>
        <v>8850.7144633500284</v>
      </c>
      <c r="P120" s="191">
        <f t="shared" si="63"/>
        <v>8700.3164421052643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0.26966941997085986</v>
      </c>
      <c r="I123" s="191">
        <f t="shared" si="64"/>
        <v>0.31614677961175519</v>
      </c>
      <c r="J123" s="191">
        <f t="shared" si="64"/>
        <v>1.9120015645119761</v>
      </c>
      <c r="K123" s="191">
        <f t="shared" si="64"/>
        <v>4.1767457640940968</v>
      </c>
      <c r="L123" s="191">
        <f t="shared" si="64"/>
        <v>5.1865423045431305</v>
      </c>
      <c r="M123" s="191">
        <f t="shared" si="64"/>
        <v>4.4977921100246814</v>
      </c>
      <c r="N123" s="191">
        <f t="shared" si="64"/>
        <v>0</v>
      </c>
      <c r="O123" s="191">
        <f t="shared" ref="O123:O131" si="65">SUM(F123:N123)</f>
        <v>16.358897942756499</v>
      </c>
      <c r="P123" s="191">
        <f t="shared" ref="P123:P131" si="66">SUM(I123:M123)</f>
        <v>16.089228522785639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0.26966941997085986</v>
      </c>
      <c r="I125" s="191">
        <f t="shared" si="67"/>
        <v>0.31614677961175519</v>
      </c>
      <c r="J125" s="191">
        <f t="shared" si="67"/>
        <v>1.9120015645119761</v>
      </c>
      <c r="K125" s="191">
        <f t="shared" si="67"/>
        <v>4.1767457640940968</v>
      </c>
      <c r="L125" s="191">
        <f t="shared" si="67"/>
        <v>5.1865423045431305</v>
      </c>
      <c r="M125" s="191">
        <f t="shared" si="67"/>
        <v>4.4977921100246814</v>
      </c>
      <c r="N125" s="191">
        <f t="shared" si="67"/>
        <v>0</v>
      </c>
      <c r="O125" s="191">
        <f t="shared" si="65"/>
        <v>16.358897942756499</v>
      </c>
      <c r="P125" s="191">
        <f t="shared" si="66"/>
        <v>16.089228522785639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15.590604213916624</v>
      </c>
      <c r="I127" s="191">
        <f t="shared" si="67"/>
        <v>18.277635317211026</v>
      </c>
      <c r="J127" s="191">
        <f t="shared" si="67"/>
        <v>110.54000728713231</v>
      </c>
      <c r="K127" s="191">
        <f t="shared" si="67"/>
        <v>241.47339404364203</v>
      </c>
      <c r="L127" s="191">
        <f t="shared" si="67"/>
        <v>299.85353295751793</v>
      </c>
      <c r="M127" s="191">
        <f t="shared" si="67"/>
        <v>260.03429173188852</v>
      </c>
      <c r="N127" s="191">
        <f t="shared" si="67"/>
        <v>0</v>
      </c>
      <c r="O127" s="191">
        <f t="shared" si="65"/>
        <v>945.76946555130849</v>
      </c>
      <c r="P127" s="191">
        <f t="shared" si="66"/>
        <v>930.17886133739182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12.517651662463239</v>
      </c>
      <c r="I128" s="191">
        <f t="shared" si="67"/>
        <v>14.675061272491037</v>
      </c>
      <c r="J128" s="191">
        <f t="shared" si="67"/>
        <v>88.7522566156441</v>
      </c>
      <c r="K128" s="191">
        <f t="shared" si="67"/>
        <v>193.87829944992799</v>
      </c>
      <c r="L128" s="191">
        <f t="shared" si="67"/>
        <v>240.7515464968767</v>
      </c>
      <c r="M128" s="191">
        <f t="shared" si="67"/>
        <v>208.78079127232294</v>
      </c>
      <c r="N128" s="191">
        <f t="shared" si="67"/>
        <v>0</v>
      </c>
      <c r="O128" s="191">
        <f t="shared" si="65"/>
        <v>759.35560676972602</v>
      </c>
      <c r="P128" s="191">
        <f t="shared" si="66"/>
        <v>746.83795510726281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5.0999753774660155</v>
      </c>
      <c r="I130" s="191">
        <f t="shared" si="67"/>
        <v>5.9789530153598944</v>
      </c>
      <c r="J130" s="191">
        <f t="shared" si="67"/>
        <v>36.159683592382393</v>
      </c>
      <c r="K130" s="191">
        <f t="shared" si="67"/>
        <v>78.990419296029799</v>
      </c>
      <c r="L130" s="191">
        <f t="shared" si="67"/>
        <v>98.087643939064705</v>
      </c>
      <c r="M130" s="191">
        <f t="shared" si="67"/>
        <v>85.062032678994555</v>
      </c>
      <c r="N130" s="191">
        <f t="shared" si="67"/>
        <v>0</v>
      </c>
      <c r="O130" s="191">
        <f t="shared" si="65"/>
        <v>309.37870789929735</v>
      </c>
      <c r="P130" s="191">
        <f t="shared" si="66"/>
        <v>304.27873252183133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4.3224469669792649</v>
      </c>
      <c r="I131" s="912">
        <f t="shared" si="67"/>
        <v>5.0674180587504454</v>
      </c>
      <c r="J131" s="912">
        <f t="shared" si="67"/>
        <v>30.646876328348448</v>
      </c>
      <c r="K131" s="912">
        <f t="shared" si="67"/>
        <v>66.947754260764484</v>
      </c>
      <c r="L131" s="912">
        <f t="shared" si="67"/>
        <v>83.133467842978348</v>
      </c>
      <c r="M131" s="912">
        <f t="shared" si="67"/>
        <v>72.093705938850135</v>
      </c>
      <c r="N131" s="912">
        <f t="shared" si="67"/>
        <v>0</v>
      </c>
      <c r="O131" s="912">
        <f t="shared" si="65"/>
        <v>262.21166939667114</v>
      </c>
      <c r="P131" s="912">
        <f t="shared" si="66"/>
        <v>257.88922242969187</v>
      </c>
    </row>
    <row r="132" spans="4:16" hidden="1" outlineLevel="1">
      <c r="D132" s="248" t="s">
        <v>441</v>
      </c>
      <c r="G132" s="191">
        <f>SUM(G123:G131)</f>
        <v>0</v>
      </c>
      <c r="H132" s="191">
        <f t="shared" ref="H132:P132" si="68">SUM(H123:H131)</f>
        <v>38.070017060766865</v>
      </c>
      <c r="I132" s="191">
        <f t="shared" si="68"/>
        <v>44.63136122303591</v>
      </c>
      <c r="J132" s="191">
        <f t="shared" si="68"/>
        <v>269.92282695253124</v>
      </c>
      <c r="K132" s="191">
        <f t="shared" si="68"/>
        <v>589.64335857855247</v>
      </c>
      <c r="L132" s="191">
        <f t="shared" si="68"/>
        <v>732.19927584552397</v>
      </c>
      <c r="M132" s="191">
        <f t="shared" si="68"/>
        <v>634.96640584210547</v>
      </c>
      <c r="N132" s="191">
        <f t="shared" si="68"/>
        <v>0</v>
      </c>
      <c r="O132" s="191">
        <f t="shared" si="68"/>
        <v>2309.433245502516</v>
      </c>
      <c r="P132" s="191">
        <f t="shared" si="68"/>
        <v>2271.363228441749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1.3460011909253644</v>
      </c>
      <c r="I135" s="191">
        <f t="shared" si="69"/>
        <v>1.5816231871131381</v>
      </c>
      <c r="J135" s="191">
        <f t="shared" si="69"/>
        <v>9.5874469203557577</v>
      </c>
      <c r="K135" s="191">
        <f t="shared" si="69"/>
        <v>20.981058427745808</v>
      </c>
      <c r="L135" s="191">
        <f t="shared" si="69"/>
        <v>26.103925952203255</v>
      </c>
      <c r="M135" s="191">
        <f t="shared" si="69"/>
        <v>22.683426705902789</v>
      </c>
      <c r="N135" s="191">
        <f t="shared" si="69"/>
        <v>0</v>
      </c>
      <c r="O135" s="191">
        <f t="shared" ref="O135:O143" si="70">SUM(F135:N135)</f>
        <v>82.283482384246113</v>
      </c>
      <c r="P135" s="191">
        <f t="shared" ref="P135:P143" si="71">SUM(I135:M135)</f>
        <v>80.93748119332075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1.3460011909253644</v>
      </c>
      <c r="I137" s="191">
        <f t="shared" si="72"/>
        <v>1.5816231871131381</v>
      </c>
      <c r="J137" s="191">
        <f t="shared" si="72"/>
        <v>9.5874469203557577</v>
      </c>
      <c r="K137" s="191">
        <f t="shared" si="72"/>
        <v>20.981058427745808</v>
      </c>
      <c r="L137" s="191">
        <f t="shared" si="72"/>
        <v>26.103925952203255</v>
      </c>
      <c r="M137" s="191">
        <f t="shared" si="72"/>
        <v>22.683426705902789</v>
      </c>
      <c r="N137" s="191">
        <f t="shared" si="72"/>
        <v>0</v>
      </c>
      <c r="O137" s="191">
        <f t="shared" si="70"/>
        <v>82.283482384246113</v>
      </c>
      <c r="P137" s="191">
        <f t="shared" si="71"/>
        <v>80.93748119332075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77.817395244315762</v>
      </c>
      <c r="I139" s="191">
        <f t="shared" si="72"/>
        <v>91.43958973360381</v>
      </c>
      <c r="J139" s="191">
        <f t="shared" si="72"/>
        <v>554.28639396099277</v>
      </c>
      <c r="K139" s="191">
        <f t="shared" si="72"/>
        <v>1212.9939611669408</v>
      </c>
      <c r="L139" s="191">
        <f t="shared" si="72"/>
        <v>1509.166215413542</v>
      </c>
      <c r="M139" s="191">
        <f t="shared" si="72"/>
        <v>1311.4142791026572</v>
      </c>
      <c r="N139" s="191">
        <f t="shared" si="72"/>
        <v>0</v>
      </c>
      <c r="O139" s="191">
        <f t="shared" si="70"/>
        <v>4757.1178346220522</v>
      </c>
      <c r="P139" s="191">
        <f t="shared" si="71"/>
        <v>4679.3004393777364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62.479364723983331</v>
      </c>
      <c r="I140" s="191">
        <f t="shared" si="72"/>
        <v>73.416585832003307</v>
      </c>
      <c r="J140" s="191">
        <f t="shared" si="72"/>
        <v>445.03496501137465</v>
      </c>
      <c r="K140" s="191">
        <f t="shared" si="72"/>
        <v>973.90939223546559</v>
      </c>
      <c r="L140" s="191">
        <f t="shared" si="72"/>
        <v>1211.7052505535246</v>
      </c>
      <c r="M140" s="191">
        <f t="shared" si="72"/>
        <v>1052.9307848334811</v>
      </c>
      <c r="N140" s="191">
        <f t="shared" si="72"/>
        <v>0</v>
      </c>
      <c r="O140" s="191">
        <f t="shared" si="70"/>
        <v>3819.4763431898327</v>
      </c>
      <c r="P140" s="191">
        <f t="shared" si="71"/>
        <v>3756.9969784658492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25.455511168085238</v>
      </c>
      <c r="I142" s="191">
        <f t="shared" si="72"/>
        <v>29.911583269537779</v>
      </c>
      <c r="J142" s="191">
        <f t="shared" si="72"/>
        <v>181.31734488790147</v>
      </c>
      <c r="K142" s="191">
        <f t="shared" si="72"/>
        <v>396.79278943174961</v>
      </c>
      <c r="L142" s="191">
        <f t="shared" si="72"/>
        <v>493.67621892693103</v>
      </c>
      <c r="M142" s="191">
        <f t="shared" si="72"/>
        <v>428.98789817977894</v>
      </c>
      <c r="N142" s="191">
        <f t="shared" si="72"/>
        <v>0</v>
      </c>
      <c r="O142" s="191">
        <f t="shared" si="70"/>
        <v>1556.1413458639843</v>
      </c>
      <c r="P142" s="191">
        <f t="shared" si="71"/>
        <v>1530.6858346958988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21.5746329928492</v>
      </c>
      <c r="I143" s="912">
        <f t="shared" si="72"/>
        <v>25.351344430451196</v>
      </c>
      <c r="J143" s="912">
        <f t="shared" si="72"/>
        <v>153.67419437637582</v>
      </c>
      <c r="K143" s="912">
        <f t="shared" si="72"/>
        <v>336.29883720157966</v>
      </c>
      <c r="L143" s="912">
        <f t="shared" si="72"/>
        <v>418.41168186791396</v>
      </c>
      <c r="M143" s="912">
        <f t="shared" si="72"/>
        <v>363.58556701097558</v>
      </c>
      <c r="N143" s="912">
        <f t="shared" si="72"/>
        <v>0</v>
      </c>
      <c r="O143" s="912">
        <f t="shared" si="70"/>
        <v>1318.8962578801454</v>
      </c>
      <c r="P143" s="912">
        <f t="shared" si="71"/>
        <v>1297.3216248872964</v>
      </c>
    </row>
    <row r="144" spans="4:16" hidden="1" outlineLevel="1">
      <c r="D144" s="248" t="s">
        <v>442</v>
      </c>
      <c r="G144" s="191">
        <f>SUM(G135:G143)</f>
        <v>0</v>
      </c>
      <c r="H144" s="191">
        <f t="shared" ref="H144:P144" si="73">SUM(H135:H143)</f>
        <v>190.01890651108423</v>
      </c>
      <c r="I144" s="191">
        <f t="shared" si="73"/>
        <v>223.28234963982237</v>
      </c>
      <c r="J144" s="191">
        <f t="shared" si="73"/>
        <v>1353.4877920773563</v>
      </c>
      <c r="K144" s="191">
        <f t="shared" si="73"/>
        <v>2961.9570968912271</v>
      </c>
      <c r="L144" s="191">
        <f t="shared" si="73"/>
        <v>3685.1672186663181</v>
      </c>
      <c r="M144" s="191">
        <f t="shared" si="73"/>
        <v>3202.2853825386983</v>
      </c>
      <c r="N144" s="191">
        <f t="shared" si="73"/>
        <v>0</v>
      </c>
      <c r="O144" s="191">
        <f t="shared" si="73"/>
        <v>11616.198746324508</v>
      </c>
      <c r="P144" s="191">
        <f t="shared" si="73"/>
        <v>11426.179839813423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2.6810167884170579</v>
      </c>
      <c r="I147" s="191">
        <f t="shared" si="74"/>
        <v>3.1367540843816086</v>
      </c>
      <c r="J147" s="191">
        <f t="shared" si="74"/>
        <v>18.932405230503775</v>
      </c>
      <c r="K147" s="191">
        <f t="shared" si="74"/>
        <v>41.261753840464451</v>
      </c>
      <c r="L147" s="191">
        <f t="shared" si="74"/>
        <v>51.110422298036831</v>
      </c>
      <c r="M147" s="191">
        <f t="shared" si="74"/>
        <v>44.214169562718489</v>
      </c>
      <c r="N147" s="191">
        <f t="shared" si="74"/>
        <v>0</v>
      </c>
      <c r="O147" s="191">
        <f t="shared" ref="O147:O155" si="75">SUM(F147:N147)</f>
        <v>161.33652180452222</v>
      </c>
      <c r="P147" s="191">
        <f t="shared" ref="P147:P155" si="76">SUM(I147:M147)</f>
        <v>158.65550501610517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2.6810167884170579</v>
      </c>
      <c r="I149" s="191">
        <f t="shared" si="74"/>
        <v>3.1367540843816086</v>
      </c>
      <c r="J149" s="191">
        <f t="shared" si="74"/>
        <v>18.932405230503775</v>
      </c>
      <c r="K149" s="191">
        <f t="shared" si="74"/>
        <v>41.261753840464451</v>
      </c>
      <c r="L149" s="191">
        <f t="shared" si="74"/>
        <v>51.110422298036831</v>
      </c>
      <c r="M149" s="191">
        <f t="shared" si="74"/>
        <v>44.214169562718489</v>
      </c>
      <c r="N149" s="191">
        <f t="shared" si="74"/>
        <v>0</v>
      </c>
      <c r="O149" s="191">
        <f t="shared" si="75"/>
        <v>161.33652180452222</v>
      </c>
      <c r="P149" s="191">
        <f t="shared" si="76"/>
        <v>158.65550501610517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154.99967198206201</v>
      </c>
      <c r="I151" s="191">
        <f t="shared" si="74"/>
        <v>181.34756047335503</v>
      </c>
      <c r="J151" s="191">
        <f t="shared" si="74"/>
        <v>1094.5536086300208</v>
      </c>
      <c r="K151" s="191">
        <f t="shared" si="74"/>
        <v>2385.497300243569</v>
      </c>
      <c r="L151" s="191">
        <f t="shared" si="74"/>
        <v>2954.8858945183215</v>
      </c>
      <c r="M151" s="191">
        <f t="shared" si="74"/>
        <v>2556.1875661461008</v>
      </c>
      <c r="N151" s="191">
        <f t="shared" si="74"/>
        <v>0</v>
      </c>
      <c r="O151" s="191">
        <f t="shared" si="75"/>
        <v>9327.4716019934276</v>
      </c>
      <c r="P151" s="191">
        <f t="shared" si="76"/>
        <v>9172.4719300113684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124.44879461025687</v>
      </c>
      <c r="I152" s="191">
        <f t="shared" si="74"/>
        <v>145.60343914167467</v>
      </c>
      <c r="J152" s="191">
        <f t="shared" si="74"/>
        <v>878.81397094877161</v>
      </c>
      <c r="K152" s="191">
        <f t="shared" si="74"/>
        <v>1915.3089794647503</v>
      </c>
      <c r="L152" s="191">
        <f t="shared" si="74"/>
        <v>2372.46945803997</v>
      </c>
      <c r="M152" s="191">
        <f t="shared" si="74"/>
        <v>2052.355707187714</v>
      </c>
      <c r="N152" s="191">
        <f t="shared" si="74"/>
        <v>0</v>
      </c>
      <c r="O152" s="191">
        <f t="shared" si="75"/>
        <v>7489.0003493931372</v>
      </c>
      <c r="P152" s="191">
        <f t="shared" si="76"/>
        <v>7364.5515547828809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50.703263310231875</v>
      </c>
      <c r="I154" s="191">
        <f t="shared" si="74"/>
        <v>59.322145600494174</v>
      </c>
      <c r="J154" s="191">
        <f t="shared" si="74"/>
        <v>358.04875659320828</v>
      </c>
      <c r="K154" s="191">
        <f t="shared" si="74"/>
        <v>780.34034648857005</v>
      </c>
      <c r="L154" s="191">
        <f t="shared" si="74"/>
        <v>966.59790079292134</v>
      </c>
      <c r="M154" s="191">
        <f t="shared" si="74"/>
        <v>836.17629366109782</v>
      </c>
      <c r="N154" s="191">
        <f t="shared" si="74"/>
        <v>0</v>
      </c>
      <c r="O154" s="191">
        <f t="shared" si="75"/>
        <v>3051.1887064465236</v>
      </c>
      <c r="P154" s="191">
        <f t="shared" si="76"/>
        <v>3000.4854431362919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42.973181337231509</v>
      </c>
      <c r="I155" s="912">
        <f t="shared" si="74"/>
        <v>50.278052215413283</v>
      </c>
      <c r="J155" s="912">
        <f t="shared" si="74"/>
        <v>303.46161450214242</v>
      </c>
      <c r="K155" s="912">
        <f t="shared" si="74"/>
        <v>661.37177422354034</v>
      </c>
      <c r="L155" s="912">
        <f t="shared" si="74"/>
        <v>819.23300709087175</v>
      </c>
      <c r="M155" s="912">
        <f t="shared" si="74"/>
        <v>708.69512436571767</v>
      </c>
      <c r="N155" s="912">
        <f t="shared" si="74"/>
        <v>0</v>
      </c>
      <c r="O155" s="912">
        <f t="shared" si="75"/>
        <v>2586.0127537349172</v>
      </c>
      <c r="P155" s="912">
        <f t="shared" si="76"/>
        <v>2543.0395723976853</v>
      </c>
    </row>
    <row r="156" spans="4:16" hidden="1" outlineLevel="1">
      <c r="D156" s="248" t="s">
        <v>454</v>
      </c>
      <c r="G156" s="191">
        <f>SUM(G147:G155)</f>
        <v>0</v>
      </c>
      <c r="H156" s="191">
        <f t="shared" ref="H156:N156" si="77">SUM(H147:H155)</f>
        <v>378.48694481661636</v>
      </c>
      <c r="I156" s="191">
        <f t="shared" si="77"/>
        <v>442.82470559970034</v>
      </c>
      <c r="J156" s="191">
        <f t="shared" si="77"/>
        <v>2672.7427611351504</v>
      </c>
      <c r="K156" s="191">
        <f t="shared" si="77"/>
        <v>5825.0419081013588</v>
      </c>
      <c r="L156" s="191">
        <f t="shared" si="77"/>
        <v>7215.407105038159</v>
      </c>
      <c r="M156" s="191">
        <f t="shared" si="77"/>
        <v>6241.8430304860676</v>
      </c>
      <c r="N156" s="191">
        <f t="shared" si="77"/>
        <v>0</v>
      </c>
      <c r="O156" s="191">
        <f t="shared" ref="O156:P156" si="78">SUM(O147:O155)</f>
        <v>22776.346455177048</v>
      </c>
      <c r="P156" s="191">
        <f t="shared" si="78"/>
        <v>22397.859510360438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4" priority="4" operator="equal">
      <formula>"Error"</formula>
    </cfRule>
  </conditionalFormatting>
  <conditionalFormatting sqref="R11">
    <cfRule type="cellIs" dxfId="113" priority="3" operator="equal">
      <formula>"Error"</formula>
    </cfRule>
  </conditionalFormatting>
  <conditionalFormatting sqref="R54">
    <cfRule type="cellIs" dxfId="11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topLeftCell="D1" zoomScaleNormal="100" workbookViewId="0">
      <pane ySplit="10" topLeftCell="A11" activePane="bottomLeft" state="frozen"/>
      <selection activeCell="C2" sqref="C2"/>
      <selection pane="bottomLeft" activeCell="I1" sqref="I1:M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  <c r="I1" s="4"/>
      <c r="J1" s="4"/>
      <c r="K1" s="4"/>
      <c r="L1" s="4"/>
      <c r="M1" s="4"/>
      <c r="N1" s="4"/>
    </row>
    <row r="2" spans="1:21">
      <c r="A2" s="6"/>
      <c r="B2" s="6"/>
      <c r="C2" s="572" t="s">
        <v>293</v>
      </c>
      <c r="I2" s="191"/>
      <c r="J2" s="191"/>
      <c r="K2" s="191"/>
      <c r="L2" s="191"/>
      <c r="M2" s="191"/>
      <c r="N2" s="191"/>
    </row>
    <row r="3" spans="1:21" ht="18.75">
      <c r="A3" s="6"/>
      <c r="B3" s="6"/>
      <c r="D3" s="339" t="str">
        <f>Project_Inputs!B14</f>
        <v>XA14</v>
      </c>
      <c r="F3" s="249" t="s">
        <v>63</v>
      </c>
      <c r="G3" s="249" t="str">
        <f>Project_Inputs!F14</f>
        <v>Yes</v>
      </c>
    </row>
    <row r="4" spans="1:21" ht="18.75">
      <c r="A4" s="6"/>
      <c r="B4" s="6"/>
      <c r="C4" s="13" t="s">
        <v>15</v>
      </c>
      <c r="D4" s="339" t="str">
        <f>Project_Inputs!D14</f>
        <v>WMTS Redevelopment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Project_Inputs!H14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Project_Inputs!I14</f>
        <v>Replacement - Major Station CBD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Project_Inputs!J14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9537.7518434763915</v>
      </c>
      <c r="G11" s="319">
        <f>IF(G$10="Prior",SUMIFS(Project_Inputs!$W$5:$W$50,Project_Inputs!$D$5:$D$50,$D$4),SUMIFS(Project_Inputs!M$5:M$50,Project_Inputs!$D$5:$D$50,$D$4))</f>
        <v>1415.3891438633545</v>
      </c>
      <c r="H11" s="389">
        <f>IF(H$10="Prior",SUMIFS(Project_Inputs!$W$5:$W$50,Project_Inputs!$D$5:$D$50,$D$4),SUMIFS(Project_Inputs!N$5:N$50,Project_Inputs!$D$5:$D$50,$D$4))</f>
        <v>7285.5182705093794</v>
      </c>
      <c r="I11" s="399">
        <f>IF(I$10="Prior",SUMIFS(Project_Inputs!$W$5:$W$50,Project_Inputs!$D$5:$D$50,$D$4),SUMIFS(Project_Inputs!O$5:O$50,Project_Inputs!$D$5:$D$50,$D$4))</f>
        <v>11361.44</v>
      </c>
      <c r="J11" s="320">
        <f>IF(J$10="Prior",SUMIFS(Project_Inputs!$W$5:$W$50,Project_Inputs!$D$5:$D$50,$D$4),SUMIFS(Project_Inputs!P$5:P$50,Project_Inputs!$D$5:$D$50,$D$4))</f>
        <v>11911.424000000001</v>
      </c>
      <c r="K11" s="320">
        <f>IF(K$10="Prior",SUMIFS(Project_Inputs!$W$5:$W$50,Project_Inputs!$D$5:$D$50,$D$4),SUMIFS(Project_Inputs!Q$5:Q$50,Project_Inputs!$D$5:$D$50,$D$4))</f>
        <v>14141.28</v>
      </c>
      <c r="L11" s="320">
        <f>IF(L$10="Prior",SUMIFS(Project_Inputs!$W$5:$W$50,Project_Inputs!$D$5:$D$50,$D$4),SUMIFS(Project_Inputs!R$5:R$50,Project_Inputs!$D$5:$D$50,$D$4))</f>
        <v>8704</v>
      </c>
      <c r="M11" s="320">
        <f>IF(M$10="Prior",SUMIFS(Project_Inputs!$W$5:$W$50,Project_Inputs!$D$5:$D$50,$D$4),SUMIFS(Project_Inputs!S$5:S$50,Project_Inputs!$D$5:$D$50,$D$4))</f>
        <v>3888.5120000000002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68245.315257849128</v>
      </c>
      <c r="P11" s="300">
        <f t="shared" ref="P11" si="0">SUM(I11:M11)</f>
        <v>50006.656000000003</v>
      </c>
      <c r="R11" s="608" t="str">
        <f>IF(O11=Project_Inputs!V14,"ok","error")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/>
      <c r="J13" s="10"/>
      <c r="K13" s="10"/>
      <c r="L13" s="10"/>
      <c r="M13" s="10"/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13504.271450132579</v>
      </c>
      <c r="J14" s="447">
        <f>IF($G$3="Yes",SUMIFS(Project_Inputs!AN$5:AN$50,Project_Inputs!$D$5:$D$50,$D$4),IF(AND(J$13="X",J$10="Prior"),J11,IF(J$13="X",SUM($F11:J11)-SUM($F14:I14),0)))</f>
        <v>17825.638314175005</v>
      </c>
      <c r="K14" s="447">
        <f>IF($G$3="Yes",SUMIFS(Project_Inputs!AO$5:AO$50,Project_Inputs!$D$5:$D$50,$D$4),IF(AND(K$13="X",K$10="Prior"),K11,IF(K$13="X",SUM($F11:K11)-SUM($F14:J14),0)))</f>
        <v>22687.176036222725</v>
      </c>
      <c r="L14" s="447">
        <f>IF($G$3="Yes",SUMIFS(Project_Inputs!AP$5:AP$50,Project_Inputs!$D$5:$D$50,$D$4),IF(AND(L$13="X",L$10="Prior"),L11,IF(L$13="X",SUM($F11:L11)-SUM($F14:K14),0)))</f>
        <v>9834.6151424356776</v>
      </c>
      <c r="M14" s="447">
        <f>IF($G$3="Yes",SUMIFS(Project_Inputs!AQ$5:AQ$50,Project_Inputs!$D$5:$D$50,$D$4),IF(AND(M$13="X",M$10="Prior"),M11,IF(M$13="X",SUM($F11:M11)-SUM($F14:L14),0)))</f>
        <v>4393.6143148831388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68245.315257849128</v>
      </c>
      <c r="P14" s="451">
        <f>SUM(I14:M14)</f>
        <v>68245.315257849128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8.5445060000000003E-2</v>
      </c>
      <c r="G17" s="341">
        <v>8.5445060000000003E-2</v>
      </c>
      <c r="H17" s="392">
        <v>8.5445060000000003E-2</v>
      </c>
      <c r="I17" s="404">
        <v>8.5445060000000003E-2</v>
      </c>
      <c r="J17" s="341">
        <v>8.5445060000000003E-2</v>
      </c>
      <c r="K17" s="341">
        <v>8.5445060000000003E-2</v>
      </c>
      <c r="L17" s="341">
        <v>8.5445060000000003E-2</v>
      </c>
      <c r="M17" s="341">
        <v>8.5445060000000003E-2</v>
      </c>
      <c r="N17" s="342">
        <v>8.5445060000000003E-2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0.49850852400000001</v>
      </c>
      <c r="G18" s="341">
        <v>0.49850852400000001</v>
      </c>
      <c r="H18" s="392">
        <v>0.49850852400000001</v>
      </c>
      <c r="I18" s="404">
        <v>0.49850852400000001</v>
      </c>
      <c r="J18" s="341">
        <v>0.49850852400000001</v>
      </c>
      <c r="K18" s="341">
        <v>0.49850852400000001</v>
      </c>
      <c r="L18" s="341">
        <v>0.49850852400000001</v>
      </c>
      <c r="M18" s="341">
        <v>0.49850852400000001</v>
      </c>
      <c r="N18" s="342">
        <v>0.49850852400000001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0.16095583999999999</v>
      </c>
      <c r="G19" s="341">
        <v>0.16095583999999999</v>
      </c>
      <c r="H19" s="392">
        <v>0.16095583999999999</v>
      </c>
      <c r="I19" s="404">
        <v>0.16095583999999999</v>
      </c>
      <c r="J19" s="341">
        <v>0.16095583999999999</v>
      </c>
      <c r="K19" s="341">
        <v>0.16095583999999999</v>
      </c>
      <c r="L19" s="341">
        <v>0.16095583999999999</v>
      </c>
      <c r="M19" s="341">
        <v>0.16095583999999999</v>
      </c>
      <c r="N19" s="342">
        <v>0.16095583999999999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0</v>
      </c>
      <c r="G21" s="341">
        <v>0</v>
      </c>
      <c r="H21" s="392">
        <v>0</v>
      </c>
      <c r="I21" s="404">
        <v>0</v>
      </c>
      <c r="J21" s="341">
        <v>0</v>
      </c>
      <c r="K21" s="341">
        <v>0</v>
      </c>
      <c r="L21" s="341">
        <v>0</v>
      </c>
      <c r="M21" s="341">
        <v>0</v>
      </c>
      <c r="N21" s="342">
        <v>0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0.25509057699999999</v>
      </c>
      <c r="G22" s="341">
        <v>0.25509057699999999</v>
      </c>
      <c r="H22" s="392">
        <v>0.25509057699999999</v>
      </c>
      <c r="I22" s="404">
        <v>0.25509057699999999</v>
      </c>
      <c r="J22" s="341">
        <v>0.25509057699999999</v>
      </c>
      <c r="K22" s="341">
        <v>0.25509057699999999</v>
      </c>
      <c r="L22" s="341">
        <v>0.25509057699999999</v>
      </c>
      <c r="M22" s="341">
        <v>0.25509057699999999</v>
      </c>
      <c r="N22" s="342">
        <v>0.25509057699999999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0</v>
      </c>
      <c r="G23" s="341">
        <v>0</v>
      </c>
      <c r="H23" s="392">
        <v>0</v>
      </c>
      <c r="I23" s="404">
        <v>0</v>
      </c>
      <c r="J23" s="341">
        <v>0</v>
      </c>
      <c r="K23" s="341">
        <v>0</v>
      </c>
      <c r="L23" s="341">
        <v>0</v>
      </c>
      <c r="M23" s="341">
        <v>0</v>
      </c>
      <c r="N23" s="342">
        <v>0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1.0000000009999999</v>
      </c>
      <c r="G27" s="332">
        <f t="shared" ref="G27:N27" si="1">+SUM(G17:G26)</f>
        <v>1.0000000009999999</v>
      </c>
      <c r="H27" s="393">
        <f t="shared" si="1"/>
        <v>1.0000000009999999</v>
      </c>
      <c r="I27" s="405">
        <f t="shared" si="1"/>
        <v>1.0000000009999999</v>
      </c>
      <c r="J27" s="332">
        <f t="shared" si="1"/>
        <v>1.0000000009999999</v>
      </c>
      <c r="K27" s="332">
        <f t="shared" si="1"/>
        <v>1.0000000009999999</v>
      </c>
      <c r="L27" s="332">
        <f t="shared" si="1"/>
        <v>1.0000000009999999</v>
      </c>
      <c r="M27" s="332">
        <f t="shared" si="1"/>
        <v>1.0000000009999999</v>
      </c>
      <c r="N27" s="332">
        <f t="shared" si="1"/>
        <v>1.0000000009999999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0.83154112201973129</v>
      </c>
      <c r="H46" s="290">
        <f>IF(H$10="Prior",0,(H11*H29)*(Assumptions!H28-1))</f>
        <v>9.1169336395543148</v>
      </c>
      <c r="I46" s="407">
        <f>IF(I$10="Prior",0,(I11*I29)*(Assumptions!I28-1))</f>
        <v>23.477860059187712</v>
      </c>
      <c r="J46" s="282">
        <f>IF(J$10="Prior",0,(J11*J29)*(Assumptions!J28-1))</f>
        <v>34.462004973119889</v>
      </c>
      <c r="K46" s="282">
        <f>IF(K$10="Prior",0,(K11*K29)*(Assumptions!K28-1))</f>
        <v>52.953868177930239</v>
      </c>
      <c r="L46" s="282">
        <f>IF(L$10="Prior",0,(L11*L29)*(Assumptions!L28-1))</f>
        <v>40.675053447584666</v>
      </c>
      <c r="M46" s="282">
        <f>IF(M$10="Prior",0,(M11*M29)*(Assumptions!M28-1))</f>
        <v>21.875487426870663</v>
      </c>
      <c r="N46" s="283">
        <f>IF(N$10="Prior",0,(N11*N29)*(Assumptions!N28-1))</f>
        <v>0</v>
      </c>
      <c r="O46" s="362">
        <f t="shared" ref="O46:O47" si="6">SUM(F46:N46)</f>
        <v>183.39274884626724</v>
      </c>
      <c r="P46" s="300">
        <f t="shared" ref="P46:P47" si="7">SUM(I46:M46)</f>
        <v>173.44427408469318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2.9015477449198714</v>
      </c>
      <c r="H47" s="290">
        <f>IF(H$10="Prior",0,(H11*H30)*(Assumptions!H30-1))</f>
        <v>39.167538170617888</v>
      </c>
      <c r="I47" s="407">
        <f>IF(I$10="Prior",0,(I11*I30)*(Assumptions!I30-1))</f>
        <v>120.65119981177908</v>
      </c>
      <c r="J47" s="282">
        <f>IF(J$10="Prior",0,(J11*J30)*(Assumptions!J30-1))</f>
        <v>189.89865018437627</v>
      </c>
      <c r="K47" s="282">
        <f>IF(K$10="Prior",0,(K11*K30)*(Assumptions!K30-1))</f>
        <v>298.95636354686604</v>
      </c>
      <c r="L47" s="282">
        <f>IF(L$10="Prior",0,(L11*L30)*(Assumptions!L30-1))</f>
        <v>233.45102606472125</v>
      </c>
      <c r="M47" s="282">
        <f>IF(M$10="Prior",0,(M11*M30)*(Assumptions!M30-1))</f>
        <v>127.13558113613678</v>
      </c>
      <c r="N47" s="283">
        <f>IF(N$10="Prior",0,(N11*N30)*(Assumptions!N30-1))</f>
        <v>0</v>
      </c>
      <c r="O47" s="362">
        <f t="shared" si="6"/>
        <v>1012.1619066594171</v>
      </c>
      <c r="P47" s="300">
        <f t="shared" si="7"/>
        <v>970.09282074387943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3.7330888669396027</v>
      </c>
      <c r="H48" s="253">
        <f t="shared" si="8"/>
        <v>48.284471810172207</v>
      </c>
      <c r="I48" s="408">
        <f t="shared" si="8"/>
        <v>144.12905987096678</v>
      </c>
      <c r="J48" s="5">
        <f t="shared" si="8"/>
        <v>224.36065515749615</v>
      </c>
      <c r="K48" s="5">
        <f t="shared" si="8"/>
        <v>351.91023172479629</v>
      </c>
      <c r="L48" s="5">
        <f t="shared" si="8"/>
        <v>274.12607951230592</v>
      </c>
      <c r="M48" s="5">
        <f t="shared" si="8"/>
        <v>149.01106856300743</v>
      </c>
      <c r="N48" s="286">
        <f t="shared" si="8"/>
        <v>0</v>
      </c>
      <c r="O48" s="433">
        <f>SUM(O46:O47)</f>
        <v>1195.5546555056844</v>
      </c>
      <c r="P48" s="434">
        <f>SUM(P46:P47)</f>
        <v>1143.5370948285727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3.7330888669396027</v>
      </c>
      <c r="H49" s="253">
        <f t="shared" si="9"/>
        <v>48.284471810172207</v>
      </c>
      <c r="I49" s="408">
        <f t="shared" si="9"/>
        <v>144.12905987096678</v>
      </c>
      <c r="J49" s="5">
        <f t="shared" si="9"/>
        <v>224.36065515749615</v>
      </c>
      <c r="K49" s="5">
        <f t="shared" si="9"/>
        <v>351.91023172479629</v>
      </c>
      <c r="L49" s="5">
        <f t="shared" si="9"/>
        <v>274.12607951230592</v>
      </c>
      <c r="M49" s="5">
        <f t="shared" si="9"/>
        <v>149.01106856300743</v>
      </c>
      <c r="N49" s="286">
        <f t="shared" si="9"/>
        <v>0</v>
      </c>
      <c r="O49" s="370">
        <f>O44+O48</f>
        <v>1195.5546555056844</v>
      </c>
      <c r="P49" s="371">
        <f>P44+P48</f>
        <v>1143.5370948285727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6.6274587499999937E-3</v>
      </c>
      <c r="I50" s="442">
        <f t="shared" si="10"/>
        <v>1.2685809181843742E-2</v>
      </c>
      <c r="J50" s="443">
        <f t="shared" si="10"/>
        <v>1.8835754243782785E-2</v>
      </c>
      <c r="K50" s="443">
        <f t="shared" si="10"/>
        <v>2.4885316726972119E-2</v>
      </c>
      <c r="L50" s="443">
        <f t="shared" si="10"/>
        <v>3.1494264649851327E-2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1.7518486814641531E-2</v>
      </c>
      <c r="P50" s="444">
        <f t="shared" si="10"/>
        <v>2.2867697748647151E-2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969.91047881968575</v>
      </c>
      <c r="G51" s="280">
        <f>(G29*G$11+G46)*Assumptions!$G$21</f>
        <v>144.77897825191758</v>
      </c>
      <c r="H51" s="280">
        <f>(H29*H$11+H46)*Assumptions!$G$21</f>
        <v>750.14811942397807</v>
      </c>
      <c r="I51" s="410">
        <f>(I29*I$11+I46)*Assumptions!$G$21</f>
        <v>1179.2395231053017</v>
      </c>
      <c r="J51" s="280">
        <f>(J29*J$11+J46)*Assumptions!$G$21</f>
        <v>1246.3383140798085</v>
      </c>
      <c r="K51" s="280">
        <f>(K29*K$11+K46)*Assumptions!$G$21</f>
        <v>1491.9009223388352</v>
      </c>
      <c r="L51" s="280">
        <f>(L29*L$11+L46)*Assumptions!$G$21</f>
        <v>926.48797728410409</v>
      </c>
      <c r="M51" s="280">
        <f>(M29*M$11+M46)*Assumptions!$G$21</f>
        <v>417.67507123672385</v>
      </c>
      <c r="N51" s="281">
        <f>(N29*N$11+N46)*Assumptions!$G$21</f>
        <v>0</v>
      </c>
      <c r="O51" s="373">
        <f t="shared" ref="O51:O53" si="11">SUM(F51:N51)</f>
        <v>7126.4793845403547</v>
      </c>
      <c r="P51" s="375">
        <f>SUM(I51:M51)</f>
        <v>5261.6418080447738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4849.5523940984285</v>
      </c>
      <c r="G52" s="282">
        <f>(G30*G$11+G47)*Assumptions!$G$21</f>
        <v>722.61748260345689</v>
      </c>
      <c r="H52" s="282">
        <f>(H30*H$11+H47)*Assumptions!$G$21</f>
        <v>3744.2149066223524</v>
      </c>
      <c r="I52" s="407">
        <f>(I30*I$11+I47)*Assumptions!$G$21</f>
        <v>5899.5146975529569</v>
      </c>
      <c r="J52" s="282">
        <f>(J30*J$11+J47)*Assumptions!$G$21</f>
        <v>6249.5777476499024</v>
      </c>
      <c r="K52" s="282">
        <f>(K30*K$11+K47)*Assumptions!$G$21</f>
        <v>7494.2699862384488</v>
      </c>
      <c r="L52" s="282">
        <f>(L30*L$11+L47)*Assumptions!$G$21</f>
        <v>4663.0244456785986</v>
      </c>
      <c r="M52" s="282">
        <f>(M30*M$11+M47)*Assumptions!$G$21</f>
        <v>2106.4339199147557</v>
      </c>
      <c r="N52" s="283">
        <f>(N30*N$11+N47)*Assumptions!$G$21</f>
        <v>0</v>
      </c>
      <c r="O52" s="374">
        <f t="shared" si="11"/>
        <v>35729.205580358896</v>
      </c>
      <c r="P52" s="376">
        <f>SUM(I52:M52)</f>
        <v>26412.820797034663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3879.641915278743</v>
      </c>
      <c r="G53" s="282">
        <f>(G31*G$11+G$44)*Assumptions!$G$21</f>
        <v>575.73347881960512</v>
      </c>
      <c r="H53" s="282">
        <f>(H31*H$11+H$44)*Assumptions!$G$21</f>
        <v>2963.5078077786275</v>
      </c>
      <c r="I53" s="407">
        <f>(I31*I$11+I$44)*Assumptions!$G$21</f>
        <v>4621.4579248120308</v>
      </c>
      <c r="J53" s="282">
        <f>(J31*J$11+J$44)*Assumptions!$G$21</f>
        <v>4845.1732210526325</v>
      </c>
      <c r="K53" s="282">
        <f>(K31*K$11+K$44)*Assumptions!$G$21</f>
        <v>5752.2048721804522</v>
      </c>
      <c r="L53" s="282">
        <f>(L31*L$11+L$44)*Assumptions!$G$21</f>
        <v>3540.4992481203012</v>
      </c>
      <c r="M53" s="282">
        <f>(M31*M$11+M$44)*Assumptions!$G$21</f>
        <v>1581.7180390977446</v>
      </c>
      <c r="N53" s="283">
        <f>(N31*N$11+N$44)*Assumptions!$G$21</f>
        <v>0</v>
      </c>
      <c r="O53" s="374">
        <f t="shared" si="11"/>
        <v>27759.936507140137</v>
      </c>
      <c r="P53" s="376">
        <f>SUM(I53:M53)</f>
        <v>20341.053305263162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9699.104788196857</v>
      </c>
      <c r="G54" s="5">
        <f t="shared" si="12"/>
        <v>1443.1299396749796</v>
      </c>
      <c r="H54" s="5">
        <f t="shared" si="12"/>
        <v>7457.870833824958</v>
      </c>
      <c r="I54" s="411">
        <f t="shared" si="12"/>
        <v>11700.21214547029</v>
      </c>
      <c r="J54" s="382">
        <f t="shared" si="12"/>
        <v>12341.089282782345</v>
      </c>
      <c r="K54" s="382">
        <f t="shared" si="12"/>
        <v>14738.375780757735</v>
      </c>
      <c r="L54" s="382">
        <f t="shared" si="12"/>
        <v>9130.0116710830043</v>
      </c>
      <c r="M54" s="382">
        <f t="shared" si="12"/>
        <v>4105.8270302492238</v>
      </c>
      <c r="N54" s="286">
        <f t="shared" si="12"/>
        <v>0</v>
      </c>
      <c r="O54" s="372">
        <f t="shared" si="12"/>
        <v>70615.621472039391</v>
      </c>
      <c r="P54" s="428">
        <f t="shared" si="12"/>
        <v>52015.515910342598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776.72098281328988</v>
      </c>
      <c r="G57" s="290">
        <f t="shared" ref="G57:N57" si="13">G54*G56</f>
        <v>85.786549294397787</v>
      </c>
      <c r="H57" s="290">
        <f t="shared" si="13"/>
        <v>541.39433925307003</v>
      </c>
      <c r="I57" s="407">
        <f t="shared" si="13"/>
        <v>1031.8023074180551</v>
      </c>
      <c r="J57" s="282">
        <f t="shared" si="13"/>
        <v>1484.6285683518674</v>
      </c>
      <c r="K57" s="282">
        <f t="shared" si="13"/>
        <v>1923.0789291147159</v>
      </c>
      <c r="L57" s="282">
        <f t="shared" si="13"/>
        <v>1076.5233884058414</v>
      </c>
      <c r="M57" s="282">
        <f t="shared" si="13"/>
        <v>455.90203168265867</v>
      </c>
      <c r="N57" s="283">
        <f t="shared" si="13"/>
        <v>0</v>
      </c>
      <c r="O57" s="309">
        <f>SUM(F57:N57)</f>
        <v>7375.8370963338966</v>
      </c>
      <c r="P57" s="300">
        <f>SUM(I57:M57)</f>
        <v>5971.9352249731392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10475.825771010146</v>
      </c>
      <c r="G59" s="5">
        <f t="shared" si="14"/>
        <v>1528.9164889693775</v>
      </c>
      <c r="H59" s="5">
        <f t="shared" si="14"/>
        <v>7999.2651730780281</v>
      </c>
      <c r="I59" s="411">
        <f t="shared" si="14"/>
        <v>12732.014452888345</v>
      </c>
      <c r="J59" s="382">
        <f t="shared" si="14"/>
        <v>13825.717851134212</v>
      </c>
      <c r="K59" s="382">
        <f t="shared" si="14"/>
        <v>16661.454709872451</v>
      </c>
      <c r="L59" s="382">
        <f t="shared" si="14"/>
        <v>10206.535059488846</v>
      </c>
      <c r="M59" s="382">
        <f t="shared" si="14"/>
        <v>4561.7290619318828</v>
      </c>
      <c r="N59" s="418">
        <f>N54+N57</f>
        <v>0</v>
      </c>
      <c r="O59" s="419">
        <f t="shared" ref="O59:P59" si="15">O54+O57</f>
        <v>77991.458568373288</v>
      </c>
      <c r="P59" s="429">
        <f t="shared" si="15"/>
        <v>57987.451135315736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776.72098281328988</v>
      </c>
      <c r="G60" s="290">
        <f t="shared" ref="G60:N60" si="16">G57+F60</f>
        <v>862.50753210768767</v>
      </c>
      <c r="H60" s="290">
        <f t="shared" si="16"/>
        <v>1403.9018713607577</v>
      </c>
      <c r="I60" s="290">
        <f t="shared" si="16"/>
        <v>2435.704178778813</v>
      </c>
      <c r="J60" s="290">
        <f t="shared" si="16"/>
        <v>3920.3327471306802</v>
      </c>
      <c r="K60" s="290">
        <f t="shared" si="16"/>
        <v>5843.4116762453959</v>
      </c>
      <c r="L60" s="290">
        <f t="shared" si="16"/>
        <v>6919.9350646512376</v>
      </c>
      <c r="M60" s="290">
        <f t="shared" si="16"/>
        <v>7375.8370963338966</v>
      </c>
      <c r="N60" s="290">
        <f t="shared" si="16"/>
        <v>7375.8370963338966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3.7330888669396027</v>
      </c>
      <c r="H61" s="252">
        <f t="shared" ref="H61:N61" si="17">H49+G61</f>
        <v>52.01756067711181</v>
      </c>
      <c r="I61" s="252">
        <f t="shared" si="17"/>
        <v>196.1466205480786</v>
      </c>
      <c r="J61" s="252">
        <f t="shared" si="17"/>
        <v>420.50727570557478</v>
      </c>
      <c r="K61" s="252">
        <f t="shared" si="17"/>
        <v>772.41750743037107</v>
      </c>
      <c r="L61" s="252">
        <f t="shared" si="17"/>
        <v>1046.5435869426769</v>
      </c>
      <c r="M61" s="252">
        <f t="shared" si="17"/>
        <v>1195.5546555056844</v>
      </c>
      <c r="N61" s="252">
        <f t="shared" si="17"/>
        <v>1195.5546555056844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895.10756155350828</v>
      </c>
      <c r="G64" s="280">
        <f t="shared" si="18"/>
        <v>130.6383611349778</v>
      </c>
      <c r="H64" s="280">
        <f t="shared" si="18"/>
        <v>683.49769266956253</v>
      </c>
      <c r="I64" s="415">
        <f t="shared" si="18"/>
        <v>1087.8877388479118</v>
      </c>
      <c r="J64" s="380">
        <f t="shared" si="18"/>
        <v>1181.3392913332339</v>
      </c>
      <c r="K64" s="380">
        <f t="shared" si="18"/>
        <v>1423.6389973723342</v>
      </c>
      <c r="L64" s="380">
        <f t="shared" si="18"/>
        <v>872.09800055012806</v>
      </c>
      <c r="M64" s="380">
        <f t="shared" si="18"/>
        <v>389.77721340051346</v>
      </c>
      <c r="N64" s="281">
        <f t="shared" si="18"/>
        <v>0</v>
      </c>
      <c r="O64" s="373">
        <f>SUM(F64:N64)</f>
        <v>6663.9848568621701</v>
      </c>
      <c r="P64" s="430">
        <f>SUM(I64:M64)</f>
        <v>4954.7412415041217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5222.2884427874296</v>
      </c>
      <c r="G65" s="282">
        <f t="shared" si="19"/>
        <v>762.17790223538668</v>
      </c>
      <c r="H65" s="282">
        <f t="shared" si="19"/>
        <v>3987.7018745157325</v>
      </c>
      <c r="I65" s="416">
        <f t="shared" si="19"/>
        <v>6347.0177324560364</v>
      </c>
      <c r="J65" s="381">
        <f t="shared" si="19"/>
        <v>6892.2381992093678</v>
      </c>
      <c r="K65" s="381">
        <f t="shared" si="19"/>
        <v>8305.8771951113631</v>
      </c>
      <c r="L65" s="381">
        <f t="shared" si="19"/>
        <v>5088.0447276600371</v>
      </c>
      <c r="M65" s="381">
        <f t="shared" si="19"/>
        <v>2274.0608215515676</v>
      </c>
      <c r="N65" s="283">
        <f t="shared" si="19"/>
        <v>0</v>
      </c>
      <c r="O65" s="374">
        <f t="shared" ref="O65:O73" si="20">SUM(F65:N65)</f>
        <v>38879.406895526925</v>
      </c>
      <c r="P65" s="431">
        <f t="shared" ref="P65:P73" si="21">SUM(I65:M65)</f>
        <v>28907.238675988374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1686.1453366665855</v>
      </c>
      <c r="G66" s="282">
        <f t="shared" si="22"/>
        <v>246.08803777191687</v>
      </c>
      <c r="H66" s="282">
        <f t="shared" si="22"/>
        <v>1287.5284453155193</v>
      </c>
      <c r="I66" s="416">
        <f t="shared" si="22"/>
        <v>2049.2920811567838</v>
      </c>
      <c r="J66" s="381">
        <f t="shared" si="22"/>
        <v>2225.3300303323017</v>
      </c>
      <c r="K66" s="381">
        <f t="shared" si="22"/>
        <v>2681.7584384494762</v>
      </c>
      <c r="L66" s="381">
        <f t="shared" si="22"/>
        <v>1642.8014239894771</v>
      </c>
      <c r="M66" s="381">
        <f t="shared" si="22"/>
        <v>734.23693301565822</v>
      </c>
      <c r="N66" s="283">
        <f t="shared" si="22"/>
        <v>0</v>
      </c>
      <c r="O66" s="374">
        <f t="shared" si="20"/>
        <v>12553.180726697718</v>
      </c>
      <c r="P66" s="431">
        <f t="shared" si="21"/>
        <v>9333.4189069436961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2672.2844404784478</v>
      </c>
      <c r="G69" s="282">
        <f t="shared" si="25"/>
        <v>390.01218935601264</v>
      </c>
      <c r="H69" s="282">
        <f t="shared" si="25"/>
        <v>2040.537168576479</v>
      </c>
      <c r="I69" s="416">
        <f t="shared" si="25"/>
        <v>3247.8169131596269</v>
      </c>
      <c r="J69" s="381">
        <f t="shared" si="25"/>
        <v>3526.8103440850259</v>
      </c>
      <c r="K69" s="381">
        <f t="shared" si="25"/>
        <v>4250.180095600731</v>
      </c>
      <c r="L69" s="381">
        <f t="shared" si="25"/>
        <v>2603.5909174957387</v>
      </c>
      <c r="M69" s="381">
        <f t="shared" si="25"/>
        <v>1163.6540985258728</v>
      </c>
      <c r="N69" s="283">
        <f t="shared" si="25"/>
        <v>0</v>
      </c>
      <c r="O69" s="374">
        <f t="shared" si="20"/>
        <v>19894.886167277935</v>
      </c>
      <c r="P69" s="431">
        <f t="shared" si="21"/>
        <v>14792.052368866993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10475.825781485972</v>
      </c>
      <c r="G74" s="5">
        <f t="shared" ref="G74:N74" si="30">+SUM(G64:G73)</f>
        <v>1528.916490498294</v>
      </c>
      <c r="H74" s="5">
        <f t="shared" si="30"/>
        <v>7999.2651810772932</v>
      </c>
      <c r="I74" s="411">
        <f t="shared" si="30"/>
        <v>12732.014465620359</v>
      </c>
      <c r="J74" s="382">
        <f t="shared" si="30"/>
        <v>13825.71786495993</v>
      </c>
      <c r="K74" s="382">
        <f t="shared" si="30"/>
        <v>16661.454726533906</v>
      </c>
      <c r="L74" s="382">
        <f t="shared" si="30"/>
        <v>10206.535069695381</v>
      </c>
      <c r="M74" s="382">
        <f t="shared" si="30"/>
        <v>4561.7290664936118</v>
      </c>
      <c r="N74" s="286">
        <f t="shared" si="30"/>
        <v>0</v>
      </c>
      <c r="O74" s="372">
        <f>SUM(O64:O73)</f>
        <v>77991.458646364743</v>
      </c>
      <c r="P74" s="428">
        <f>SUM(P64:P73)</f>
        <v>57987.45119330319</v>
      </c>
    </row>
    <row r="75" spans="1:16">
      <c r="B75" s="6"/>
      <c r="E75" s="27" t="s">
        <v>50</v>
      </c>
      <c r="F75" s="423">
        <f>F74-F59</f>
        <v>1.0475825547473505E-5</v>
      </c>
      <c r="G75" s="423">
        <f t="shared" ref="G75:P75" si="31">G74-G59</f>
        <v>1.5289165276044514E-6</v>
      </c>
      <c r="H75" s="423">
        <f t="shared" si="31"/>
        <v>7.9992651080829091E-6</v>
      </c>
      <c r="I75" s="423">
        <f t="shared" si="31"/>
        <v>1.2732014511129819E-5</v>
      </c>
      <c r="J75" s="423">
        <f t="shared" si="31"/>
        <v>1.3825718269799836E-5</v>
      </c>
      <c r="K75" s="423">
        <f t="shared" si="31"/>
        <v>1.6661455447319895E-5</v>
      </c>
      <c r="L75" s="423">
        <f t="shared" si="31"/>
        <v>1.0206535080214962E-5</v>
      </c>
      <c r="M75" s="423">
        <f t="shared" si="31"/>
        <v>4.5617289288202301E-6</v>
      </c>
      <c r="N75" s="423">
        <f t="shared" si="31"/>
        <v>0</v>
      </c>
      <c r="O75" s="423">
        <f t="shared" si="31"/>
        <v>7.799145532771945E-5</v>
      </c>
      <c r="P75" s="423">
        <f t="shared" si="31"/>
        <v>5.7987454056274146E-5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0</v>
      </c>
      <c r="I76" s="410">
        <f t="shared" si="32"/>
        <v>13504.271450132579</v>
      </c>
      <c r="J76" s="280">
        <f t="shared" si="32"/>
        <v>17825.638314175005</v>
      </c>
      <c r="K76" s="280">
        <f t="shared" si="32"/>
        <v>22687.176036222725</v>
      </c>
      <c r="L76" s="280">
        <f t="shared" si="32"/>
        <v>9834.6151424356776</v>
      </c>
      <c r="M76" s="280">
        <f t="shared" si="32"/>
        <v>4393.6143148831388</v>
      </c>
      <c r="N76" s="281">
        <f t="shared" si="32"/>
        <v>0</v>
      </c>
      <c r="O76" s="377">
        <f>SUM(F76:N76)</f>
        <v>68245.315257849128</v>
      </c>
      <c r="P76" s="378">
        <f t="shared" ref="P76:P80" si="33">SUM(I76:M76)</f>
        <v>68245.315257849128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196.1466205480786</v>
      </c>
      <c r="J77" s="282">
        <f>IF(J$10="Prior",0,IF(AND(J76&lt;&gt;0,SUM($F76:I76)=0),J76/SUM($F$76:J76)*J61,IF(J76&lt;&gt;0,SUM($F$76:J76)/SUM($F$11:J11)*J61-I83,0)))</f>
        <v>121.22200312918915</v>
      </c>
      <c r="K77" s="282">
        <f>IF(K$10="Prior",0,IF(AND(K76&lt;&gt;0,SUM($F76:J76)=0),K76/SUM($F$76:K76)*K61,IF(K76&lt;&gt;0,SUM($F$76:K76)/SUM($F$11:K11)*K61-J83,0)))</f>
        <v>432.34640108769776</v>
      </c>
      <c r="L77" s="282">
        <f>IF(L$10="Prior",0,IF(AND(L76&lt;&gt;0,SUM($F76:K76)=0),L76/SUM($F$76:L76)*L61,IF(L76&lt;&gt;0,SUM($F$76:L76)/SUM($F$11:L11)*L61-K83,0)))</f>
        <v>288.61479826105244</v>
      </c>
      <c r="M77" s="282">
        <f>IF(M$10="Prior",0,IF(AND(M76&lt;&gt;0,SUM($F76:L76)=0),M76/SUM($F$76:M76)*M61,IF(M76&lt;&gt;0,SUM($F$76:M76)/SUM($F$11:M11)*M61-L83,0)))</f>
        <v>157.22483247966647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1195.5546555056844</v>
      </c>
      <c r="P77" s="455">
        <f t="shared" si="33"/>
        <v>1195.5546555056844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13700.418070680658</v>
      </c>
      <c r="J78" s="457">
        <f t="shared" si="34"/>
        <v>17946.860317304196</v>
      </c>
      <c r="K78" s="457">
        <f t="shared" si="34"/>
        <v>23119.522437310421</v>
      </c>
      <c r="L78" s="457">
        <f t="shared" si="34"/>
        <v>10123.22994069673</v>
      </c>
      <c r="M78" s="457">
        <f t="shared" si="34"/>
        <v>4550.8391473628053</v>
      </c>
      <c r="N78" s="459">
        <f t="shared" si="34"/>
        <v>0</v>
      </c>
      <c r="O78" s="460">
        <f>SUM(F78:N78)</f>
        <v>69440.869913354807</v>
      </c>
      <c r="P78" s="461">
        <f t="shared" si="33"/>
        <v>69440.869913354807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0</v>
      </c>
      <c r="I79" s="458">
        <f>I78*Assumptions!$G$21</f>
        <v>13932.192060598189</v>
      </c>
      <c r="J79" s="457">
        <f>J78*Assumptions!$G$21</f>
        <v>18250.472615905208</v>
      </c>
      <c r="K79" s="457">
        <f>K78*Assumptions!$G$21</f>
        <v>23510.642177791236</v>
      </c>
      <c r="L79" s="457">
        <f>L78*Assumptions!$G$21</f>
        <v>10294.487590069421</v>
      </c>
      <c r="M79" s="457">
        <f>M78*Assumptions!$G$21</f>
        <v>4627.8270276753346</v>
      </c>
      <c r="N79" s="459">
        <f>N78*Assumptions!$G$21</f>
        <v>0</v>
      </c>
      <c r="O79" s="460">
        <f>SUM(F79:N79)</f>
        <v>70615.621472039376</v>
      </c>
      <c r="P79" s="461">
        <f t="shared" si="33"/>
        <v>70615.621472039376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1119.945300557732</v>
      </c>
      <c r="J80" s="282">
        <f>IF(J$10="Prior",J79*J56,IF(AND(J79&lt;&gt;0,SUM($F79:I79)=0),J79/SUM($F$54:J54)*J60,IF(J79&lt;&gt;0,SUM($F$79:J79)/SUM($F$54:J54)*J60-I82,0)))</f>
        <v>1838.8396722495568</v>
      </c>
      <c r="K80" s="282">
        <f>IF(K$10="Prior",K79*K56,IF(AND(K79&lt;&gt;0,SUM($F79:J79)=0),K79/SUM($F$54:K54)*K60,IF(K79&lt;&gt;0,SUM($F$79:K79)/SUM($F$54:K54)*K60-J82,0)))</f>
        <v>2712.8802696627845</v>
      </c>
      <c r="L80" s="282">
        <f>IF(L$10="Prior",L79*L56,IF(AND(L79&lt;&gt;0,SUM($F79:K79)=0),L79/SUM($F$54:L54)*L60,IF(L79&lt;&gt;0,SUM($F$79:L79)/SUM($F$54:L54)*L60-K82,0)))</f>
        <v>1193.958932841424</v>
      </c>
      <c r="M80" s="282">
        <f>IF(M$10="Prior",M79*M56,IF(AND(M79&lt;&gt;0,SUM($F79:L79)=0),M79/SUM($F$54:M54)*M60,IF(M79&lt;&gt;0,SUM($F$79:M79)/SUM($F$54:M54)*M60-L82,0)))</f>
        <v>510.21292102239568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7375.837096333893</v>
      </c>
      <c r="P80" s="300">
        <f t="shared" si="33"/>
        <v>7375.837096333893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15052.137361155921</v>
      </c>
      <c r="J81" s="387">
        <f t="shared" si="35"/>
        <v>20089.312288154764</v>
      </c>
      <c r="K81" s="387">
        <f t="shared" si="35"/>
        <v>26223.522447454023</v>
      </c>
      <c r="L81" s="387">
        <f t="shared" si="35"/>
        <v>11488.446522910845</v>
      </c>
      <c r="M81" s="387">
        <f t="shared" si="35"/>
        <v>5138.0399486977303</v>
      </c>
      <c r="N81" s="420">
        <f t="shared" si="35"/>
        <v>0</v>
      </c>
      <c r="O81" s="421">
        <f t="shared" si="35"/>
        <v>77991.458568373273</v>
      </c>
      <c r="P81" s="388">
        <f t="shared" si="35"/>
        <v>77991.458568373273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1119.945300557732</v>
      </c>
      <c r="J82" s="252">
        <f t="shared" si="36"/>
        <v>2958.7849728072888</v>
      </c>
      <c r="K82" s="252">
        <f t="shared" si="36"/>
        <v>5671.6652424700733</v>
      </c>
      <c r="L82" s="252">
        <f t="shared" si="36"/>
        <v>6865.6241753114973</v>
      </c>
      <c r="M82" s="252">
        <f t="shared" si="36"/>
        <v>7375.837096333893</v>
      </c>
      <c r="N82" s="252">
        <f t="shared" si="36"/>
        <v>7375.837096333893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196.1466205480786</v>
      </c>
      <c r="J83" s="252">
        <f t="shared" si="37"/>
        <v>317.36862367726775</v>
      </c>
      <c r="K83" s="252">
        <f t="shared" si="37"/>
        <v>749.71502476496551</v>
      </c>
      <c r="L83" s="252">
        <f t="shared" si="37"/>
        <v>1038.3298230260179</v>
      </c>
      <c r="M83" s="252">
        <f t="shared" si="37"/>
        <v>1195.5546555056844</v>
      </c>
      <c r="N83" s="252">
        <f t="shared" si="37"/>
        <v>1195.5546555056844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1286.1307812383404</v>
      </c>
      <c r="J85" s="380">
        <f t="shared" si="38"/>
        <v>1716.5324955366539</v>
      </c>
      <c r="K85" s="380">
        <f t="shared" si="38"/>
        <v>2240.6704511747266</v>
      </c>
      <c r="L85" s="380">
        <f t="shared" si="38"/>
        <v>981.63100343853978</v>
      </c>
      <c r="M85" s="380">
        <f t="shared" si="38"/>
        <v>439.02013213789473</v>
      </c>
      <c r="N85" s="345">
        <f t="shared" si="38"/>
        <v>0</v>
      </c>
      <c r="O85" s="373">
        <f>SUM(F85:N85)</f>
        <v>6663.9848635261551</v>
      </c>
      <c r="P85" s="430">
        <f t="shared" ref="P85:P94" si="39">SUM(I85:M85)</f>
        <v>6663.9848635261551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7503.6187864587127</v>
      </c>
      <c r="J86" s="381">
        <f t="shared" si="40"/>
        <v>10014.693426957789</v>
      </c>
      <c r="K86" s="381">
        <f t="shared" si="40"/>
        <v>13072.649482433824</v>
      </c>
      <c r="L86" s="381">
        <f t="shared" si="40"/>
        <v>5727.0885249163075</v>
      </c>
      <c r="M86" s="381">
        <f t="shared" si="40"/>
        <v>2561.3567136396987</v>
      </c>
      <c r="N86" s="346">
        <f t="shared" si="40"/>
        <v>0</v>
      </c>
      <c r="O86" s="374">
        <f t="shared" ref="O86:O94" si="41">SUM(F86:N86)</f>
        <v>38879.406934406325</v>
      </c>
      <c r="P86" s="431">
        <f t="shared" si="39"/>
        <v>38879.406934406325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2422.7294151829642</v>
      </c>
      <c r="J87" s="381">
        <f t="shared" si="42"/>
        <v>3233.4921375957647</v>
      </c>
      <c r="K87" s="381">
        <f t="shared" si="42"/>
        <v>4220.8290875096473</v>
      </c>
      <c r="L87" s="381">
        <f t="shared" si="42"/>
        <v>1849.1325622393272</v>
      </c>
      <c r="M87" s="381">
        <f t="shared" si="42"/>
        <v>826.99753672319775</v>
      </c>
      <c r="N87" s="346">
        <f t="shared" si="42"/>
        <v>0</v>
      </c>
      <c r="O87" s="374">
        <f t="shared" si="41"/>
        <v>12553.180739250902</v>
      </c>
      <c r="P87" s="431">
        <f t="shared" si="39"/>
        <v>12553.180739250902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3839.6584083801799</v>
      </c>
      <c r="J90" s="381">
        <f t="shared" si="45"/>
        <v>5124.5942682431842</v>
      </c>
      <c r="K90" s="381">
        <f t="shared" si="45"/>
        <v>6689.3734787828726</v>
      </c>
      <c r="L90" s="381">
        <f t="shared" si="45"/>
        <v>2930.5944552935662</v>
      </c>
      <c r="M90" s="381">
        <f t="shared" si="45"/>
        <v>1310.6655764730203</v>
      </c>
      <c r="N90" s="346">
        <f t="shared" si="45"/>
        <v>0</v>
      </c>
      <c r="O90" s="374">
        <f t="shared" si="41"/>
        <v>19894.886187172822</v>
      </c>
      <c r="P90" s="431">
        <f t="shared" si="39"/>
        <v>19894.886187172822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15052.137391260199</v>
      </c>
      <c r="J95" s="382">
        <f t="shared" si="51"/>
        <v>20089.312328333392</v>
      </c>
      <c r="K95" s="382">
        <f t="shared" si="51"/>
        <v>26223.522499901072</v>
      </c>
      <c r="L95" s="382">
        <f t="shared" si="51"/>
        <v>11488.446545887742</v>
      </c>
      <c r="M95" s="382">
        <f t="shared" si="51"/>
        <v>5138.0399589738117</v>
      </c>
      <c r="N95" s="286">
        <f t="shared" si="51"/>
        <v>0</v>
      </c>
      <c r="O95" s="372">
        <f>SUM(O85:O94)</f>
        <v>77991.458724356198</v>
      </c>
      <c r="P95" s="428">
        <f>SUM(P85:P94)</f>
        <v>77991.458724356198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3.0104278266662732E-5</v>
      </c>
      <c r="J96" s="452">
        <f t="shared" si="52"/>
        <v>4.0178627386922017E-5</v>
      </c>
      <c r="K96" s="191">
        <f t="shared" si="52"/>
        <v>5.2447048801695928E-5</v>
      </c>
      <c r="L96" s="191">
        <f t="shared" si="52"/>
        <v>2.2976897525950335E-5</v>
      </c>
      <c r="M96" s="191">
        <f t="shared" si="52"/>
        <v>1.0276081411575433E-5</v>
      </c>
      <c r="N96" s="191">
        <f t="shared" si="52"/>
        <v>0</v>
      </c>
      <c r="O96" s="191">
        <f t="shared" si="52"/>
        <v>1.5598292520735413E-4</v>
      </c>
      <c r="P96" s="191">
        <f t="shared" si="52"/>
        <v>1.5598292520735413E-4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7.799145532771945E-5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0.49850852400000001</v>
      </c>
      <c r="H103" s="2">
        <f t="shared" ref="H103:N105" si="55">H18</f>
        <v>0.49850852400000001</v>
      </c>
      <c r="I103" s="2">
        <f t="shared" si="55"/>
        <v>0.49850852400000001</v>
      </c>
      <c r="J103" s="2">
        <f t="shared" si="55"/>
        <v>0.49850852400000001</v>
      </c>
      <c r="K103" s="2">
        <f t="shared" si="55"/>
        <v>0.49850852400000001</v>
      </c>
      <c r="L103" s="2">
        <f t="shared" si="55"/>
        <v>0.49850852400000001</v>
      </c>
      <c r="M103" s="2">
        <f t="shared" si="55"/>
        <v>0.49850852400000001</v>
      </c>
      <c r="N103" s="2">
        <f t="shared" si="55"/>
        <v>0.49850852400000001</v>
      </c>
    </row>
    <row r="104" spans="3:16" hidden="1" outlineLevel="1">
      <c r="D104" s="248" t="s">
        <v>384</v>
      </c>
      <c r="G104" s="2">
        <f>G19</f>
        <v>0.16095583999999999</v>
      </c>
      <c r="H104" s="2">
        <f t="shared" si="55"/>
        <v>0.16095583999999999</v>
      </c>
      <c r="I104" s="2">
        <f t="shared" si="55"/>
        <v>0.16095583999999999</v>
      </c>
      <c r="J104" s="2">
        <f t="shared" si="55"/>
        <v>0.16095583999999999</v>
      </c>
      <c r="K104" s="2">
        <f t="shared" si="55"/>
        <v>0.16095583999999999</v>
      </c>
      <c r="L104" s="2">
        <f t="shared" si="55"/>
        <v>0.16095583999999999</v>
      </c>
      <c r="M104" s="2">
        <f t="shared" si="55"/>
        <v>0.16095583999999999</v>
      </c>
      <c r="N104" s="2">
        <f t="shared" si="55"/>
        <v>0.16095583999999999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8.5445060000000003E-2</v>
      </c>
      <c r="H106" s="2">
        <f t="shared" ref="H106:N106" si="56">H17+H23</f>
        <v>8.5445060000000003E-2</v>
      </c>
      <c r="I106" s="2">
        <f t="shared" si="56"/>
        <v>8.5445060000000003E-2</v>
      </c>
      <c r="J106" s="2">
        <f t="shared" si="56"/>
        <v>8.5445060000000003E-2</v>
      </c>
      <c r="K106" s="2">
        <f t="shared" si="56"/>
        <v>8.5445060000000003E-2</v>
      </c>
      <c r="L106" s="2">
        <f t="shared" si="56"/>
        <v>8.5445060000000003E-2</v>
      </c>
      <c r="M106" s="2">
        <f t="shared" si="56"/>
        <v>8.5445060000000003E-2</v>
      </c>
      <c r="N106" s="2">
        <f t="shared" si="56"/>
        <v>8.5445060000000003E-2</v>
      </c>
    </row>
    <row r="107" spans="3:16" hidden="1" outlineLevel="1">
      <c r="D107" s="248" t="s">
        <v>387</v>
      </c>
      <c r="G107" s="2">
        <f>G22</f>
        <v>0.25509057699999999</v>
      </c>
      <c r="H107" s="2">
        <f t="shared" ref="H107:N107" si="57">H22</f>
        <v>0.25509057699999999</v>
      </c>
      <c r="I107" s="2">
        <f t="shared" si="57"/>
        <v>0.25509057699999999</v>
      </c>
      <c r="J107" s="2">
        <f t="shared" si="57"/>
        <v>0.25509057699999999</v>
      </c>
      <c r="K107" s="2">
        <f t="shared" si="57"/>
        <v>0.25509057699999999</v>
      </c>
      <c r="L107" s="2">
        <f t="shared" si="57"/>
        <v>0.25509057699999999</v>
      </c>
      <c r="M107" s="2">
        <f t="shared" si="57"/>
        <v>0.25509057699999999</v>
      </c>
      <c r="N107" s="2">
        <f t="shared" si="57"/>
        <v>0.25509057699999999</v>
      </c>
    </row>
    <row r="108" spans="3:16" hidden="1" outlineLevel="1">
      <c r="D108" s="248" t="s">
        <v>16</v>
      </c>
      <c r="G108" s="2">
        <f>SUM(G99:G107)</f>
        <v>1.0000000009999999</v>
      </c>
      <c r="H108" s="2">
        <f t="shared" ref="H108:N108" si="58">SUM(H99:H107)</f>
        <v>1.0000000009999999</v>
      </c>
      <c r="I108" s="2">
        <f t="shared" si="58"/>
        <v>1.0000000009999999</v>
      </c>
      <c r="J108" s="2">
        <f t="shared" si="58"/>
        <v>1.0000000009999999</v>
      </c>
      <c r="K108" s="2">
        <f t="shared" si="58"/>
        <v>1.0000000009999999</v>
      </c>
      <c r="L108" s="2">
        <f t="shared" si="58"/>
        <v>1.0000000009999999</v>
      </c>
      <c r="M108" s="2">
        <f t="shared" si="58"/>
        <v>1.0000000009999999</v>
      </c>
      <c r="N108" s="2">
        <f t="shared" si="58"/>
        <v>1.0000000009999999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287.0080467437466</v>
      </c>
      <c r="H115" s="191">
        <f t="shared" si="62"/>
        <v>1477.3339031181993</v>
      </c>
      <c r="I115" s="191">
        <f t="shared" si="62"/>
        <v>2303.8361688261484</v>
      </c>
      <c r="J115" s="191">
        <f t="shared" si="62"/>
        <v>2415.3601509512737</v>
      </c>
      <c r="K115" s="191">
        <f t="shared" si="62"/>
        <v>2867.523160576286</v>
      </c>
      <c r="L115" s="191">
        <f t="shared" si="62"/>
        <v>1764.9690544035611</v>
      </c>
      <c r="M115" s="191">
        <f t="shared" si="62"/>
        <v>788.49992505479099</v>
      </c>
      <c r="N115" s="191">
        <f t="shared" si="62"/>
        <v>0</v>
      </c>
      <c r="O115" s="191">
        <f t="shared" si="60"/>
        <v>11904.530409674007</v>
      </c>
      <c r="P115" s="191">
        <f t="shared" si="61"/>
        <v>10140.18845981206</v>
      </c>
    </row>
    <row r="116" spans="4:16" hidden="1" outlineLevel="1">
      <c r="D116" s="248" t="s">
        <v>384</v>
      </c>
      <c r="G116" s="191">
        <f t="shared" si="62"/>
        <v>92.667665699531739</v>
      </c>
      <c r="H116" s="191">
        <f t="shared" si="62"/>
        <v>476.99388854756751</v>
      </c>
      <c r="I116" s="191">
        <f t="shared" si="62"/>
        <v>743.85064231277715</v>
      </c>
      <c r="J116" s="191">
        <f t="shared" si="62"/>
        <v>779.85892574003208</v>
      </c>
      <c r="K116" s="191">
        <f t="shared" si="62"/>
        <v>925.85096705389719</v>
      </c>
      <c r="L116" s="191">
        <f t="shared" si="62"/>
        <v>569.86403050057152</v>
      </c>
      <c r="M116" s="191">
        <f t="shared" si="62"/>
        <v>254.5867556261303</v>
      </c>
      <c r="N116" s="191">
        <f t="shared" si="62"/>
        <v>0</v>
      </c>
      <c r="O116" s="191">
        <f t="shared" si="60"/>
        <v>3843.6728754805081</v>
      </c>
      <c r="P116" s="191">
        <f t="shared" si="61"/>
        <v>3274.0113212334081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49.193581641749894</v>
      </c>
      <c r="H118" s="191">
        <f t="shared" si="62"/>
        <v>253.2171024461133</v>
      </c>
      <c r="I118" s="191">
        <f t="shared" si="62"/>
        <v>394.88074967303947</v>
      </c>
      <c r="J118" s="191">
        <f t="shared" si="62"/>
        <v>413.99611658323545</v>
      </c>
      <c r="K118" s="191">
        <f t="shared" si="62"/>
        <v>491.4974904357511</v>
      </c>
      <c r="L118" s="191">
        <f t="shared" si="62"/>
        <v>302.51817068559404</v>
      </c>
      <c r="M118" s="191">
        <f t="shared" si="62"/>
        <v>135.14999275378915</v>
      </c>
      <c r="N118" s="191">
        <f t="shared" si="62"/>
        <v>0</v>
      </c>
      <c r="O118" s="191">
        <f t="shared" si="60"/>
        <v>2040.4532042192725</v>
      </c>
      <c r="P118" s="191">
        <f t="shared" si="61"/>
        <v>1738.0425201314092</v>
      </c>
    </row>
    <row r="119" spans="4:16" hidden="1" outlineLevel="1">
      <c r="D119" s="248" t="s">
        <v>387</v>
      </c>
      <c r="G119" s="912">
        <f t="shared" si="62"/>
        <v>146.86418531031035</v>
      </c>
      <c r="H119" s="912">
        <f t="shared" si="62"/>
        <v>755.96291663025511</v>
      </c>
      <c r="I119" s="912">
        <f t="shared" si="62"/>
        <v>1178.8903686215235</v>
      </c>
      <c r="J119" s="912">
        <f t="shared" si="62"/>
        <v>1235.9580326232644</v>
      </c>
      <c r="K119" s="912">
        <f t="shared" si="62"/>
        <v>1467.3332598667228</v>
      </c>
      <c r="L119" s="912">
        <f t="shared" si="62"/>
        <v>903.14799607107375</v>
      </c>
      <c r="M119" s="912">
        <f t="shared" si="62"/>
        <v>403.48136724475222</v>
      </c>
      <c r="N119" s="912">
        <f t="shared" si="62"/>
        <v>0</v>
      </c>
      <c r="O119" s="912">
        <f t="shared" si="60"/>
        <v>6091.6381263679032</v>
      </c>
      <c r="P119" s="912">
        <f t="shared" si="61"/>
        <v>5188.8110244273375</v>
      </c>
    </row>
    <row r="120" spans="4:16" hidden="1" outlineLevel="1">
      <c r="D120" s="248" t="s">
        <v>440</v>
      </c>
      <c r="G120" s="191">
        <f>SUM(G111:G119)</f>
        <v>575.73347939533869</v>
      </c>
      <c r="H120" s="191">
        <f t="shared" ref="H120:P120" si="63">SUM(H111:H119)</f>
        <v>2963.507810742135</v>
      </c>
      <c r="I120" s="191">
        <f t="shared" si="63"/>
        <v>4621.457929433489</v>
      </c>
      <c r="J120" s="191">
        <f t="shared" si="63"/>
        <v>4845.1732258978063</v>
      </c>
      <c r="K120" s="191">
        <f t="shared" si="63"/>
        <v>5752.2048779326578</v>
      </c>
      <c r="L120" s="191">
        <f t="shared" si="63"/>
        <v>3540.4992516608008</v>
      </c>
      <c r="M120" s="191">
        <f t="shared" si="63"/>
        <v>1581.7180406794625</v>
      </c>
      <c r="N120" s="191">
        <f t="shared" si="63"/>
        <v>0</v>
      </c>
      <c r="O120" s="191">
        <f t="shared" si="63"/>
        <v>23880.294615741692</v>
      </c>
      <c r="P120" s="191">
        <f t="shared" si="63"/>
        <v>20341.053325604214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72.173554754591535</v>
      </c>
      <c r="H127" s="191">
        <f t="shared" si="67"/>
        <v>373.95523179542306</v>
      </c>
      <c r="I127" s="191">
        <f t="shared" si="67"/>
        <v>587.86095410568782</v>
      </c>
      <c r="J127" s="191">
        <f t="shared" si="67"/>
        <v>621.3102733565737</v>
      </c>
      <c r="K127" s="191">
        <f t="shared" si="67"/>
        <v>743.72532674937145</v>
      </c>
      <c r="L127" s="191">
        <f t="shared" si="67"/>
        <v>461.86215405964424</v>
      </c>
      <c r="M127" s="191">
        <f t="shared" si="67"/>
        <v>208.21458327381407</v>
      </c>
      <c r="N127" s="191">
        <f t="shared" si="67"/>
        <v>0</v>
      </c>
      <c r="O127" s="191">
        <f t="shared" si="65"/>
        <v>3069.1020780951062</v>
      </c>
      <c r="P127" s="191">
        <f t="shared" si="66"/>
        <v>2622.9732915450913</v>
      </c>
    </row>
    <row r="128" spans="4:16" hidden="1" outlineLevel="1">
      <c r="D128" s="248" t="s">
        <v>384</v>
      </c>
      <c r="G128" s="191">
        <f t="shared" si="67"/>
        <v>23.303022058879122</v>
      </c>
      <c r="H128" s="191">
        <f t="shared" si="67"/>
        <v>120.7407206863067</v>
      </c>
      <c r="I128" s="191">
        <f t="shared" si="67"/>
        <v>189.80548800261323</v>
      </c>
      <c r="J128" s="191">
        <f t="shared" si="67"/>
        <v>200.60543026689939</v>
      </c>
      <c r="K128" s="191">
        <f t="shared" si="67"/>
        <v>240.13016615182198</v>
      </c>
      <c r="L128" s="191">
        <f t="shared" si="67"/>
        <v>149.12365063366389</v>
      </c>
      <c r="M128" s="191">
        <f t="shared" si="67"/>
        <v>67.227241937966724</v>
      </c>
      <c r="N128" s="191">
        <f t="shared" si="67"/>
        <v>0</v>
      </c>
      <c r="O128" s="191">
        <f t="shared" si="65"/>
        <v>990.93571973815096</v>
      </c>
      <c r="P128" s="191">
        <f t="shared" si="66"/>
        <v>846.89197699296528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12.370648483473794</v>
      </c>
      <c r="H130" s="191">
        <f t="shared" si="67"/>
        <v>64.096451073068977</v>
      </c>
      <c r="I130" s="191">
        <f t="shared" si="67"/>
        <v>100.76019180610389</v>
      </c>
      <c r="J130" s="191">
        <f t="shared" si="67"/>
        <v>106.49345202684809</v>
      </c>
      <c r="K130" s="191">
        <f t="shared" si="67"/>
        <v>127.47556382329712</v>
      </c>
      <c r="L130" s="191">
        <f t="shared" si="67"/>
        <v>79.163820808318917</v>
      </c>
      <c r="M130" s="191">
        <f t="shared" si="67"/>
        <v>35.688271522326147</v>
      </c>
      <c r="N130" s="191">
        <f t="shared" si="67"/>
        <v>0</v>
      </c>
      <c r="O130" s="191">
        <f t="shared" si="65"/>
        <v>526.04839954343697</v>
      </c>
      <c r="P130" s="191">
        <f t="shared" si="66"/>
        <v>449.58129998689418</v>
      </c>
    </row>
    <row r="131" spans="4:16" hidden="1" outlineLevel="1">
      <c r="D131" s="248" t="s">
        <v>387</v>
      </c>
      <c r="G131" s="912">
        <f t="shared" si="67"/>
        <v>36.931753099752108</v>
      </c>
      <c r="H131" s="912">
        <f t="shared" si="67"/>
        <v>191.35571661932747</v>
      </c>
      <c r="I131" s="912">
        <f t="shared" si="67"/>
        <v>300.81289037013624</v>
      </c>
      <c r="J131" s="912">
        <f t="shared" si="67"/>
        <v>317.92915967582553</v>
      </c>
      <c r="K131" s="912">
        <f t="shared" si="67"/>
        <v>380.56986710624562</v>
      </c>
      <c r="L131" s="912">
        <f t="shared" si="67"/>
        <v>236.338352708965</v>
      </c>
      <c r="M131" s="912">
        <f t="shared" si="67"/>
        <v>106.54497492029199</v>
      </c>
      <c r="N131" s="912">
        <f t="shared" si="67"/>
        <v>0</v>
      </c>
      <c r="O131" s="912">
        <f t="shared" si="65"/>
        <v>1570.482714500544</v>
      </c>
      <c r="P131" s="912">
        <f t="shared" si="66"/>
        <v>1342.1952447814645</v>
      </c>
    </row>
    <row r="132" spans="4:16" hidden="1" outlineLevel="1">
      <c r="D132" s="248" t="s">
        <v>441</v>
      </c>
      <c r="G132" s="191">
        <f>SUM(G123:G131)</f>
        <v>144.77897839669657</v>
      </c>
      <c r="H132" s="191">
        <f t="shared" ref="H132:P132" si="68">SUM(H123:H131)</f>
        <v>750.14812017412623</v>
      </c>
      <c r="I132" s="191">
        <f t="shared" si="68"/>
        <v>1179.2395242845412</v>
      </c>
      <c r="J132" s="191">
        <f t="shared" si="68"/>
        <v>1246.3383153261466</v>
      </c>
      <c r="K132" s="191">
        <f t="shared" si="68"/>
        <v>1491.9009238307362</v>
      </c>
      <c r="L132" s="191">
        <f t="shared" si="68"/>
        <v>926.48797821059202</v>
      </c>
      <c r="M132" s="191">
        <f t="shared" si="68"/>
        <v>417.67507165439895</v>
      </c>
      <c r="N132" s="191">
        <f t="shared" si="68"/>
        <v>0</v>
      </c>
      <c r="O132" s="191">
        <f t="shared" si="68"/>
        <v>6156.568911877238</v>
      </c>
      <c r="P132" s="191">
        <f t="shared" si="68"/>
        <v>5261.6418133064153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360.23097466924497</v>
      </c>
      <c r="H139" s="191">
        <f t="shared" si="72"/>
        <v>1866.5230466391067</v>
      </c>
      <c r="I139" s="191">
        <f t="shared" si="72"/>
        <v>2940.958364193431</v>
      </c>
      <c r="J139" s="191">
        <f t="shared" si="72"/>
        <v>3115.4677786041975</v>
      </c>
      <c r="K139" s="191">
        <f t="shared" si="72"/>
        <v>3735.9574692972296</v>
      </c>
      <c r="L139" s="191">
        <f t="shared" si="72"/>
        <v>2324.5574337911562</v>
      </c>
      <c r="M139" s="191">
        <f t="shared" si="72"/>
        <v>1050.0752643202391</v>
      </c>
      <c r="N139" s="191">
        <f t="shared" si="72"/>
        <v>0</v>
      </c>
      <c r="O139" s="191">
        <f t="shared" si="70"/>
        <v>15393.770331514605</v>
      </c>
      <c r="P139" s="191">
        <f t="shared" si="71"/>
        <v>13167.016310206254</v>
      </c>
    </row>
    <row r="140" spans="4:16" hidden="1" outlineLevel="1">
      <c r="D140" s="248" t="s">
        <v>384</v>
      </c>
      <c r="G140" s="191">
        <f t="shared" si="72"/>
        <v>116.30950391112478</v>
      </c>
      <c r="H140" s="191">
        <f t="shared" si="72"/>
        <v>602.65325543592223</v>
      </c>
      <c r="I140" s="191">
        <f t="shared" si="72"/>
        <v>949.56134373698205</v>
      </c>
      <c r="J140" s="191">
        <f t="shared" si="72"/>
        <v>1005.906036018298</v>
      </c>
      <c r="K140" s="191">
        <f t="shared" si="72"/>
        <v>1206.246520821798</v>
      </c>
      <c r="L140" s="191">
        <f t="shared" si="72"/>
        <v>750.54101659473315</v>
      </c>
      <c r="M140" s="191">
        <f t="shared" si="72"/>
        <v>339.04284098437222</v>
      </c>
      <c r="N140" s="191">
        <f t="shared" si="72"/>
        <v>0</v>
      </c>
      <c r="O140" s="191">
        <f t="shared" si="70"/>
        <v>4970.2605175032313</v>
      </c>
      <c r="P140" s="191">
        <f t="shared" si="71"/>
        <v>4251.2977581561836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61.744094158101333</v>
      </c>
      <c r="H142" s="191">
        <f t="shared" si="72"/>
        <v>319.9246673492413</v>
      </c>
      <c r="I142" s="191">
        <f t="shared" si="72"/>
        <v>504.08438730329425</v>
      </c>
      <c r="J142" s="191">
        <f t="shared" si="72"/>
        <v>533.99554562261085</v>
      </c>
      <c r="K142" s="191">
        <f t="shared" si="72"/>
        <v>640.34834863034348</v>
      </c>
      <c r="L142" s="191">
        <f t="shared" si="72"/>
        <v>398.43240354247462</v>
      </c>
      <c r="M142" s="191">
        <f t="shared" si="72"/>
        <v>179.98437267315151</v>
      </c>
      <c r="N142" s="191">
        <f t="shared" si="72"/>
        <v>0</v>
      </c>
      <c r="O142" s="191">
        <f t="shared" si="70"/>
        <v>2638.5138192792174</v>
      </c>
      <c r="P142" s="191">
        <f t="shared" si="71"/>
        <v>2256.8450577718745</v>
      </c>
    </row>
    <row r="143" spans="4:16" hidden="1" outlineLevel="1">
      <c r="D143" s="248" t="s">
        <v>387</v>
      </c>
      <c r="G143" s="912">
        <f t="shared" si="72"/>
        <v>184.33291058760327</v>
      </c>
      <c r="H143" s="912">
        <f t="shared" si="72"/>
        <v>955.11394094229695</v>
      </c>
      <c r="I143" s="912">
        <f t="shared" si="72"/>
        <v>1504.9106082187641</v>
      </c>
      <c r="J143" s="912">
        <f t="shared" si="72"/>
        <v>1594.2083936543738</v>
      </c>
      <c r="K143" s="912">
        <f t="shared" si="72"/>
        <v>1911.7176549833478</v>
      </c>
      <c r="L143" s="912">
        <f t="shared" si="72"/>
        <v>1189.4935964132587</v>
      </c>
      <c r="M143" s="912">
        <f t="shared" si="72"/>
        <v>537.33144404342681</v>
      </c>
      <c r="N143" s="912">
        <f t="shared" si="72"/>
        <v>0</v>
      </c>
      <c r="O143" s="912">
        <f t="shared" si="70"/>
        <v>7877.1085488430717</v>
      </c>
      <c r="P143" s="912">
        <f t="shared" si="71"/>
        <v>6737.6616973131704</v>
      </c>
    </row>
    <row r="144" spans="4:16" hidden="1" outlineLevel="1">
      <c r="D144" s="248" t="s">
        <v>442</v>
      </c>
      <c r="G144" s="191">
        <f>SUM(G135:G143)</f>
        <v>722.61748332607431</v>
      </c>
      <c r="H144" s="191">
        <f t="shared" ref="H144:P144" si="73">SUM(H135:H143)</f>
        <v>3744.214910366567</v>
      </c>
      <c r="I144" s="191">
        <f t="shared" si="73"/>
        <v>5899.5147034524707</v>
      </c>
      <c r="J144" s="191">
        <f t="shared" si="73"/>
        <v>6249.5777538994798</v>
      </c>
      <c r="K144" s="191">
        <f t="shared" si="73"/>
        <v>7494.2699937327179</v>
      </c>
      <c r="L144" s="191">
        <f t="shared" si="73"/>
        <v>4663.0244503416234</v>
      </c>
      <c r="M144" s="191">
        <f t="shared" si="73"/>
        <v>2106.4339220211896</v>
      </c>
      <c r="N144" s="191">
        <f t="shared" si="73"/>
        <v>0</v>
      </c>
      <c r="O144" s="191">
        <f t="shared" si="73"/>
        <v>30879.653217140127</v>
      </c>
      <c r="P144" s="191">
        <f t="shared" si="73"/>
        <v>26412.820823447484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719.4125761675831</v>
      </c>
      <c r="H151" s="191">
        <f t="shared" si="74"/>
        <v>3717.8121815527293</v>
      </c>
      <c r="I151" s="191">
        <f t="shared" si="74"/>
        <v>5832.6554871252665</v>
      </c>
      <c r="J151" s="191">
        <f t="shared" si="74"/>
        <v>6152.138202912045</v>
      </c>
      <c r="K151" s="191">
        <f t="shared" si="74"/>
        <v>7347.2059566228872</v>
      </c>
      <c r="L151" s="191">
        <f t="shared" si="74"/>
        <v>4551.3886422543619</v>
      </c>
      <c r="M151" s="191">
        <f t="shared" si="74"/>
        <v>2046.7897726488441</v>
      </c>
      <c r="N151" s="191">
        <f t="shared" si="74"/>
        <v>0</v>
      </c>
      <c r="O151" s="191">
        <f t="shared" si="75"/>
        <v>30367.402819283718</v>
      </c>
      <c r="P151" s="191">
        <f t="shared" si="76"/>
        <v>25930.178061563405</v>
      </c>
    </row>
    <row r="152" spans="4:16" hidden="1" outlineLevel="1">
      <c r="D152" s="248" t="s">
        <v>384</v>
      </c>
      <c r="G152" s="191">
        <f t="shared" si="74"/>
        <v>232.28019166953564</v>
      </c>
      <c r="H152" s="191">
        <f t="shared" si="74"/>
        <v>1200.3878646697963</v>
      </c>
      <c r="I152" s="191">
        <f t="shared" si="74"/>
        <v>1883.2174740523724</v>
      </c>
      <c r="J152" s="191">
        <f t="shared" si="74"/>
        <v>1986.3703920252294</v>
      </c>
      <c r="K152" s="191">
        <f t="shared" si="74"/>
        <v>2372.227654027517</v>
      </c>
      <c r="L152" s="191">
        <f t="shared" si="74"/>
        <v>1469.5286977289684</v>
      </c>
      <c r="M152" s="191">
        <f t="shared" si="74"/>
        <v>660.85683854846923</v>
      </c>
      <c r="N152" s="191">
        <f t="shared" si="74"/>
        <v>0</v>
      </c>
      <c r="O152" s="191">
        <f t="shared" si="75"/>
        <v>9804.8691127218881</v>
      </c>
      <c r="P152" s="191">
        <f t="shared" si="76"/>
        <v>8372.2010563825552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123.30832428332502</v>
      </c>
      <c r="H154" s="191">
        <f t="shared" si="74"/>
        <v>637.23822086842358</v>
      </c>
      <c r="I154" s="191">
        <f t="shared" si="74"/>
        <v>999.7253287824376</v>
      </c>
      <c r="J154" s="191">
        <f t="shared" si="74"/>
        <v>1054.4851142326943</v>
      </c>
      <c r="K154" s="191">
        <f t="shared" si="74"/>
        <v>1259.3214028893917</v>
      </c>
      <c r="L154" s="191">
        <f t="shared" si="74"/>
        <v>780.11439503638758</v>
      </c>
      <c r="M154" s="191">
        <f t="shared" si="74"/>
        <v>350.82263694926678</v>
      </c>
      <c r="N154" s="191">
        <f t="shared" si="74"/>
        <v>0</v>
      </c>
      <c r="O154" s="191">
        <f t="shared" si="75"/>
        <v>5205.0154230419266</v>
      </c>
      <c r="P154" s="191">
        <f t="shared" si="76"/>
        <v>4444.4688778901782</v>
      </c>
    </row>
    <row r="155" spans="4:16" hidden="1" outlineLevel="1">
      <c r="D155" s="248" t="s">
        <v>387</v>
      </c>
      <c r="G155" s="912">
        <f t="shared" si="74"/>
        <v>368.12884899766573</v>
      </c>
      <c r="H155" s="912">
        <f t="shared" si="74"/>
        <v>1902.4325741918797</v>
      </c>
      <c r="I155" s="912">
        <f t="shared" si="74"/>
        <v>2984.6138672104239</v>
      </c>
      <c r="J155" s="912">
        <f t="shared" si="74"/>
        <v>3148.0955859534638</v>
      </c>
      <c r="K155" s="912">
        <f t="shared" si="74"/>
        <v>3759.620781956316</v>
      </c>
      <c r="L155" s="912">
        <f t="shared" si="74"/>
        <v>2328.9799451932977</v>
      </c>
      <c r="M155" s="912">
        <f t="shared" si="74"/>
        <v>1047.357786208471</v>
      </c>
      <c r="N155" s="912">
        <f t="shared" si="74"/>
        <v>0</v>
      </c>
      <c r="O155" s="912">
        <f t="shared" si="75"/>
        <v>15539.229389711518</v>
      </c>
      <c r="P155" s="912">
        <f t="shared" si="76"/>
        <v>13268.667966521973</v>
      </c>
    </row>
    <row r="156" spans="4:16" hidden="1" outlineLevel="1">
      <c r="D156" s="248" t="s">
        <v>454</v>
      </c>
      <c r="G156" s="191">
        <f>SUM(G147:G155)</f>
        <v>1443.1299411181094</v>
      </c>
      <c r="H156" s="191">
        <f t="shared" ref="H156:N156" si="77">SUM(H147:H155)</f>
        <v>7457.8708412828291</v>
      </c>
      <c r="I156" s="191">
        <f t="shared" si="77"/>
        <v>11700.212157170501</v>
      </c>
      <c r="J156" s="191">
        <f t="shared" si="77"/>
        <v>12341.089295123433</v>
      </c>
      <c r="K156" s="191">
        <f t="shared" si="77"/>
        <v>14738.375795496115</v>
      </c>
      <c r="L156" s="191">
        <f t="shared" si="77"/>
        <v>9130.011680213016</v>
      </c>
      <c r="M156" s="191">
        <f t="shared" si="77"/>
        <v>4105.8270343550512</v>
      </c>
      <c r="N156" s="191">
        <f t="shared" si="77"/>
        <v>0</v>
      </c>
      <c r="O156" s="191">
        <f t="shared" ref="O156:P156" si="78">SUM(O147:O155)</f>
        <v>60916.51674475905</v>
      </c>
      <c r="P156" s="191">
        <f t="shared" si="78"/>
        <v>52015.515962358106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1" priority="4" operator="equal">
      <formula>"Error"</formula>
    </cfRule>
  </conditionalFormatting>
  <conditionalFormatting sqref="R11">
    <cfRule type="cellIs" dxfId="110" priority="3" operator="equal">
      <formula>"Error"</formula>
    </cfRule>
  </conditionalFormatting>
  <conditionalFormatting sqref="R54">
    <cfRule type="cellIs" dxfId="10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38" activePane="bottomLeft" state="frozen"/>
      <selection activeCell="C2" sqref="C2"/>
      <selection pane="bottomLeft" activeCell="I51" sqref="I51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Project_Inputs!B15</f>
        <v>284A</v>
      </c>
      <c r="F3" s="249" t="s">
        <v>63</v>
      </c>
      <c r="G3" s="249">
        <f>Project_Inputs!F15</f>
        <v>0</v>
      </c>
    </row>
    <row r="4" spans="1:21" ht="18.75">
      <c r="A4" s="6"/>
      <c r="B4" s="6"/>
      <c r="C4" s="13" t="s">
        <v>15</v>
      </c>
      <c r="D4" s="339" t="str">
        <f>Project_Inputs!D15</f>
        <v>HYTS 500kV and 275kV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Project_Inputs!H15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Project_Inputs!I15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Project_Inputs!J15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0</v>
      </c>
      <c r="G11" s="319">
        <f>IF(G$10="Prior",SUMIFS(Project_Inputs!$W$5:$W$50,Project_Inputs!$D$5:$D$50,$D$4),SUMIFS(Project_Inputs!M$5:M$50,Project_Inputs!$D$5:$D$50,$D$4))</f>
        <v>138</v>
      </c>
      <c r="H11" s="389">
        <f>IF(H$10="Prior",SUMIFS(Project_Inputs!$W$5:$W$50,Project_Inputs!$D$5:$D$50,$D$4),SUMIFS(Project_Inputs!N$5:N$50,Project_Inputs!$D$5:$D$50,$D$4))</f>
        <v>1800</v>
      </c>
      <c r="I11" s="399">
        <f>IF(I$10="Prior",SUMIFS(Project_Inputs!$W$5:$W$50,Project_Inputs!$D$5:$D$50,$D$4),SUMIFS(Project_Inputs!O$5:O$50,Project_Inputs!$D$5:$D$50,$D$4))</f>
        <v>3046</v>
      </c>
      <c r="J11" s="320">
        <f>IF(J$10="Prior",SUMIFS(Project_Inputs!$W$5:$W$50,Project_Inputs!$D$5:$D$50,$D$4),SUMIFS(Project_Inputs!P$5:P$50,Project_Inputs!$D$5:$D$50,$D$4))</f>
        <v>1938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6922</v>
      </c>
      <c r="P11" s="300">
        <f t="shared" ref="P11" si="0">SUM(I11:M11)</f>
        <v>4984</v>
      </c>
      <c r="R11" s="608" t="str">
        <f>IF(O11=Project_Inputs!V15,"ok","error")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 t="s">
        <v>132</v>
      </c>
      <c r="J13" s="10" t="s">
        <v>132</v>
      </c>
      <c r="K13" s="10"/>
      <c r="L13" s="10"/>
      <c r="M13" s="10"/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4984</v>
      </c>
      <c r="J14" s="447">
        <f>IF($G$3="Yes",SUMIFS(Project_Inputs!AN$5:AN$50,Project_Inputs!$D$5:$D$50,$D$4),IF(AND(J$13="X",J$10="Prior"),J11,IF(J$13="X",SUM($F11:J11)-SUM($F14:I14),0)))</f>
        <v>1938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6922</v>
      </c>
      <c r="P14" s="451">
        <f>SUM(I14:M14)</f>
        <v>6922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0.13063318055555556</v>
      </c>
      <c r="G17" s="341">
        <v>0.13063318055555556</v>
      </c>
      <c r="H17" s="392">
        <v>0.13063318055555556</v>
      </c>
      <c r="I17" s="404">
        <v>0.13063318055555556</v>
      </c>
      <c r="J17" s="341">
        <v>0.13063318055555556</v>
      </c>
      <c r="K17" s="341">
        <v>0.13063318055555556</v>
      </c>
      <c r="L17" s="341">
        <v>0.13063318055555556</v>
      </c>
      <c r="M17" s="341">
        <v>0.13063318055555556</v>
      </c>
      <c r="N17" s="342">
        <v>0.13063318055555556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0.40952448718452389</v>
      </c>
      <c r="G18" s="341">
        <v>0.40952448718452389</v>
      </c>
      <c r="H18" s="392">
        <v>0.40952448718452389</v>
      </c>
      <c r="I18" s="404">
        <v>0.40952448718452389</v>
      </c>
      <c r="J18" s="341">
        <v>0.40952448718452389</v>
      </c>
      <c r="K18" s="341">
        <v>0.40952448718452389</v>
      </c>
      <c r="L18" s="341">
        <v>0.40952448718452389</v>
      </c>
      <c r="M18" s="341">
        <v>0.40952448718452389</v>
      </c>
      <c r="N18" s="342">
        <v>0.40952448718452389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0.32880604288888887</v>
      </c>
      <c r="G19" s="341">
        <v>0.32880604288888887</v>
      </c>
      <c r="H19" s="392">
        <v>0.32880604288888887</v>
      </c>
      <c r="I19" s="404">
        <v>0.32880604288888887</v>
      </c>
      <c r="J19" s="341">
        <v>0.32880604288888887</v>
      </c>
      <c r="K19" s="341">
        <v>0.32880604288888887</v>
      </c>
      <c r="L19" s="341">
        <v>0.32880604288888887</v>
      </c>
      <c r="M19" s="341">
        <v>0.32880604288888887</v>
      </c>
      <c r="N19" s="342">
        <v>0.32880604288888887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1.4167023857142858E-2</v>
      </c>
      <c r="G21" s="341">
        <v>1.4167023857142858E-2</v>
      </c>
      <c r="H21" s="392">
        <v>1.4167023857142858E-2</v>
      </c>
      <c r="I21" s="404">
        <v>1.4167023857142858E-2</v>
      </c>
      <c r="J21" s="341">
        <v>1.4167023857142858E-2</v>
      </c>
      <c r="K21" s="341">
        <v>1.4167023857142858E-2</v>
      </c>
      <c r="L21" s="341">
        <v>1.4167023857142858E-2</v>
      </c>
      <c r="M21" s="341">
        <v>1.4167023857142858E-2</v>
      </c>
      <c r="N21" s="342">
        <v>1.4167023857142858E-2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0.11353940188888889</v>
      </c>
      <c r="G22" s="341">
        <v>0.11353940188888889</v>
      </c>
      <c r="H22" s="392">
        <v>0.11353940188888889</v>
      </c>
      <c r="I22" s="404">
        <v>0.11353940188888889</v>
      </c>
      <c r="J22" s="341">
        <v>0.11353940188888889</v>
      </c>
      <c r="K22" s="341">
        <v>0.11353940188888889</v>
      </c>
      <c r="L22" s="341">
        <v>0.11353940188888889</v>
      </c>
      <c r="M22" s="341">
        <v>0.11353940188888889</v>
      </c>
      <c r="N22" s="342">
        <v>0.11353940188888889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3.3298636249999999E-3</v>
      </c>
      <c r="G23" s="341">
        <v>3.3298636249999999E-3</v>
      </c>
      <c r="H23" s="392">
        <v>3.3298636249999999E-3</v>
      </c>
      <c r="I23" s="404">
        <v>3.3298636249999999E-3</v>
      </c>
      <c r="J23" s="341">
        <v>3.3298636249999999E-3</v>
      </c>
      <c r="K23" s="341">
        <v>3.3298636249999999E-3</v>
      </c>
      <c r="L23" s="341">
        <v>3.3298636249999999E-3</v>
      </c>
      <c r="M23" s="341">
        <v>3.3298636249999999E-3</v>
      </c>
      <c r="N23" s="342">
        <v>3.3298636249999999E-3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8.1075000000001035E-2</v>
      </c>
      <c r="H46" s="290">
        <f>IF(H$10="Prior",0,(H11*H29)*(Assumptions!H28-1))</f>
        <v>2.2524794999999909</v>
      </c>
      <c r="I46" s="407">
        <f>IF(I$10="Prior",0,(I11*I29)*(Assumptions!I28-1))</f>
        <v>6.2944100167131793</v>
      </c>
      <c r="J46" s="282">
        <f>IF(J$10="Prior",0,(J11*J29)*(Assumptions!J28-1))</f>
        <v>5.6070009461426551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14.234965462855826</v>
      </c>
      <c r="P46" s="300">
        <f t="shared" ref="P46:P47" si="7">SUM(I46:M46)</f>
        <v>11.901410962855834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0.28289999999999949</v>
      </c>
      <c r="H47" s="290">
        <f>IF(H$10="Prior",0,(H11*H30)*(Assumptions!H30-1))</f>
        <v>9.6769462499999968</v>
      </c>
      <c r="I47" s="407">
        <f>IF(I$10="Prior",0,(I11*I30)*(Assumptions!I30-1))</f>
        <v>32.346564751182868</v>
      </c>
      <c r="J47" s="282">
        <f>IF(J$10="Prior",0,(J11*J30)*(Assumptions!J30-1))</f>
        <v>30.896690778308386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73.203101779491249</v>
      </c>
      <c r="P47" s="300">
        <f t="shared" si="7"/>
        <v>63.24325552949125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0.36397500000000049</v>
      </c>
      <c r="H48" s="253">
        <f t="shared" si="8"/>
        <v>11.929425749999988</v>
      </c>
      <c r="I48" s="408">
        <f t="shared" si="8"/>
        <v>38.640974767896047</v>
      </c>
      <c r="J48" s="5">
        <f t="shared" si="8"/>
        <v>36.503691724451045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87.438067242347074</v>
      </c>
      <c r="P48" s="434">
        <f>SUM(P46:P47)</f>
        <v>75.144666492347085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0.36397500000000049</v>
      </c>
      <c r="H49" s="253">
        <f t="shared" si="9"/>
        <v>11.929425749999988</v>
      </c>
      <c r="I49" s="408">
        <f t="shared" si="9"/>
        <v>38.640974767896047</v>
      </c>
      <c r="J49" s="5">
        <f t="shared" si="9"/>
        <v>36.503691724451045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87.438067242347074</v>
      </c>
      <c r="P49" s="371">
        <f>P44+P48</f>
        <v>75.144666492347085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1.8835754243782789E-2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1.2631908009584957E-2</v>
      </c>
      <c r="P50" s="444">
        <f t="shared" si="10"/>
        <v>1.5077180275350538E-2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0</v>
      </c>
      <c r="G51" s="280">
        <f>(G29*G$11+G46)*Assumptions!$G$21</f>
        <v>14.115905216165416</v>
      </c>
      <c r="H51" s="280">
        <f>(H29*H$11+H46)*Assumptions!$G$21</f>
        <v>185.33569813815791</v>
      </c>
      <c r="I51" s="410">
        <f>(I29*I$11+I46)*Assumptions!$G$21</f>
        <v>316.15390191549221</v>
      </c>
      <c r="J51" s="280">
        <f>(J29*J$11+J46)*Assumptions!$G$21</f>
        <v>202.78042765387818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718.38593292369364</v>
      </c>
      <c r="P51" s="375">
        <f>SUM(I51:M51)</f>
        <v>518.93432956937045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0</v>
      </c>
      <c r="G52" s="282">
        <f>(G30*G$11+G47)*Assumptions!$G$21</f>
        <v>70.454979135338348</v>
      </c>
      <c r="H52" s="282">
        <f>(H30*H$11+H47)*Assumptions!$G$21</f>
        <v>925.06621789708652</v>
      </c>
      <c r="I52" s="407">
        <f>(I30*I$11+I47)*Assumptions!$G$21</f>
        <v>1581.6588186661465</v>
      </c>
      <c r="J52" s="282">
        <f>(J30*J$11+J47)*Assumptions!$G$21</f>
        <v>1016.8122362989942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3593.9922519975657</v>
      </c>
      <c r="P52" s="376">
        <f>SUM(I52:M52)</f>
        <v>2598.4710549651409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0</v>
      </c>
      <c r="G53" s="282">
        <f>(G31*G$11+G$44)*Assumptions!$G$21</f>
        <v>56.133834586466172</v>
      </c>
      <c r="H53" s="282">
        <f>(H31*H$11+H$44)*Assumptions!$G$21</f>
        <v>732.18045112781965</v>
      </c>
      <c r="I53" s="407">
        <f>(I31*I$11+I$44)*Assumptions!$G$21</f>
        <v>1239.0120300751882</v>
      </c>
      <c r="J53" s="282">
        <f>(J31*J$11+J$44)*Assumptions!$G$21</f>
        <v>788.3142857142858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2815.6406015037596</v>
      </c>
      <c r="P53" s="376">
        <f>SUM(I53:M53)</f>
        <v>2027.3263157894739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0</v>
      </c>
      <c r="G54" s="5">
        <f t="shared" si="12"/>
        <v>140.70471893796994</v>
      </c>
      <c r="H54" s="5">
        <f t="shared" si="12"/>
        <v>1842.5823671630642</v>
      </c>
      <c r="I54" s="411">
        <f t="shared" si="12"/>
        <v>3136.8247506568268</v>
      </c>
      <c r="J54" s="382">
        <f t="shared" si="12"/>
        <v>2007.9069496671582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7128.0187864250183</v>
      </c>
      <c r="P54" s="428">
        <f t="shared" si="12"/>
        <v>5144.7317003239859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8.3641617953301335</v>
      </c>
      <c r="H57" s="290">
        <f t="shared" si="13"/>
        <v>133.75984720266052</v>
      </c>
      <c r="I57" s="407">
        <f t="shared" si="13"/>
        <v>276.62601117423452</v>
      </c>
      <c r="J57" s="282">
        <f t="shared" si="13"/>
        <v>241.55047838662435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660.30049855884954</v>
      </c>
      <c r="P57" s="300">
        <f>SUM(I57:M57)</f>
        <v>518.17648956085884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0</v>
      </c>
      <c r="G59" s="5">
        <f t="shared" si="14"/>
        <v>149.06888073330009</v>
      </c>
      <c r="H59" s="5">
        <f t="shared" si="14"/>
        <v>1976.3422143657247</v>
      </c>
      <c r="I59" s="411">
        <f t="shared" si="14"/>
        <v>3413.4507618310613</v>
      </c>
      <c r="J59" s="382">
        <f t="shared" si="14"/>
        <v>2249.4574280537827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7788.3192849838679</v>
      </c>
      <c r="P59" s="429">
        <f t="shared" si="15"/>
        <v>5662.9081898848444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8.3641617953301335</v>
      </c>
      <c r="H60" s="290">
        <f t="shared" si="16"/>
        <v>142.12400899799064</v>
      </c>
      <c r="I60" s="290">
        <f t="shared" si="16"/>
        <v>418.75002017222516</v>
      </c>
      <c r="J60" s="290">
        <f t="shared" si="16"/>
        <v>660.30049855884954</v>
      </c>
      <c r="K60" s="290">
        <f t="shared" si="16"/>
        <v>660.30049855884954</v>
      </c>
      <c r="L60" s="290">
        <f t="shared" si="16"/>
        <v>660.30049855884954</v>
      </c>
      <c r="M60" s="290">
        <f t="shared" si="16"/>
        <v>660.30049855884954</v>
      </c>
      <c r="N60" s="290">
        <f t="shared" si="16"/>
        <v>660.30049855884954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0.36397500000000049</v>
      </c>
      <c r="H61" s="252">
        <f t="shared" ref="H61:N61" si="17">H49+G61</f>
        <v>12.293400749999988</v>
      </c>
      <c r="I61" s="252">
        <f t="shared" si="17"/>
        <v>50.934375517896036</v>
      </c>
      <c r="J61" s="252">
        <f t="shared" si="17"/>
        <v>87.438067242347074</v>
      </c>
      <c r="K61" s="252">
        <f t="shared" si="17"/>
        <v>87.438067242347074</v>
      </c>
      <c r="L61" s="252">
        <f t="shared" si="17"/>
        <v>87.438067242347074</v>
      </c>
      <c r="M61" s="252">
        <f t="shared" si="17"/>
        <v>87.438067242347074</v>
      </c>
      <c r="N61" s="252">
        <f t="shared" si="17"/>
        <v>87.438067242347074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19.47334201204777</v>
      </c>
      <c r="H64" s="280">
        <f t="shared" si="18"/>
        <v>258.1758693288042</v>
      </c>
      <c r="I64" s="415">
        <f t="shared" si="18"/>
        <v>445.90992968777573</v>
      </c>
      <c r="J64" s="380">
        <f t="shared" si="18"/>
        <v>293.85377835098541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1017.4129193796131</v>
      </c>
      <c r="P64" s="430">
        <f>SUM(I64:M64)</f>
        <v>739.76370803876114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61.047356937475676</v>
      </c>
      <c r="H65" s="282">
        <f t="shared" si="19"/>
        <v>809.3605318392498</v>
      </c>
      <c r="I65" s="416">
        <f t="shared" si="19"/>
        <v>1397.8916727684878</v>
      </c>
      <c r="J65" s="381">
        <f t="shared" si="19"/>
        <v>921.20789966714335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3189.5074612123567</v>
      </c>
      <c r="P65" s="431">
        <f t="shared" ref="P65:P73" si="21">SUM(I65:M65)</f>
        <v>2319.0995724356312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49.01474879179213</v>
      </c>
      <c r="H66" s="282">
        <f t="shared" si="22"/>
        <v>649.83326289985803</v>
      </c>
      <c r="I66" s="416">
        <f t="shared" si="22"/>
        <v>1122.3632375937343</v>
      </c>
      <c r="J66" s="381">
        <f t="shared" si="22"/>
        <v>739.63519556538176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2560.8464448507661</v>
      </c>
      <c r="P66" s="431">
        <f t="shared" si="21"/>
        <v>1861.9984331591161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2.1118623897062458</v>
      </c>
      <c r="H68" s="282">
        <f t="shared" si="24"/>
        <v>27.998887300797765</v>
      </c>
      <c r="I68" s="416">
        <f t="shared" si="24"/>
        <v>48.358438378043104</v>
      </c>
      <c r="J68" s="381">
        <f t="shared" si="24"/>
        <v>31.868117048865152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110.33730511741226</v>
      </c>
      <c r="P68" s="431">
        <f t="shared" si="21"/>
        <v>80.226555426908249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16.925191558705006</v>
      </c>
      <c r="H69" s="282">
        <f t="shared" si="25"/>
        <v>224.39271294684661</v>
      </c>
      <c r="I69" s="416">
        <f t="shared" si="25"/>
        <v>387.56115787547083</v>
      </c>
      <c r="J69" s="381">
        <f t="shared" si="25"/>
        <v>255.40205095574481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884.28111333676725</v>
      </c>
      <c r="P69" s="431">
        <f t="shared" si="21"/>
        <v>642.96320883121564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0.49637904357327928</v>
      </c>
      <c r="H70" s="282">
        <f t="shared" si="26"/>
        <v>6.5809500501683784</v>
      </c>
      <c r="I70" s="416">
        <f t="shared" si="26"/>
        <v>11.366325527549789</v>
      </c>
      <c r="J70" s="381">
        <f t="shared" si="26"/>
        <v>7.4903864656623451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25.934041086953791</v>
      </c>
      <c r="P70" s="431">
        <f t="shared" si="21"/>
        <v>18.856711993212134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0</v>
      </c>
      <c r="G74" s="5">
        <f t="shared" ref="G74:N74" si="30">+SUM(G64:G73)</f>
        <v>149.06888073330009</v>
      </c>
      <c r="H74" s="5">
        <f t="shared" si="30"/>
        <v>1976.3422143657249</v>
      </c>
      <c r="I74" s="411">
        <f t="shared" si="30"/>
        <v>3413.4507618310618</v>
      </c>
      <c r="J74" s="382">
        <f t="shared" si="30"/>
        <v>2249.4574280537827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7788.3192849838688</v>
      </c>
      <c r="P74" s="428">
        <f>SUM(P64:P73)</f>
        <v>5662.9081898848444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0</v>
      </c>
      <c r="I76" s="410">
        <f t="shared" si="32"/>
        <v>4984</v>
      </c>
      <c r="J76" s="280">
        <f t="shared" si="32"/>
        <v>1938</v>
      </c>
      <c r="K76" s="280">
        <f t="shared" si="32"/>
        <v>0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6922</v>
      </c>
      <c r="P76" s="378">
        <f t="shared" ref="P76:P80" si="33">SUM(I76:M76)</f>
        <v>6922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50.934375517896036</v>
      </c>
      <c r="J77" s="282">
        <f>IF(J$10="Prior",0,IF(AND(J76&lt;&gt;0,SUM($F76:I76)=0),J76/SUM($F$76:J76)*J61,IF(J76&lt;&gt;0,SUM($F$76:J76)/SUM($F$11:J11)*J61-I83,0)))</f>
        <v>36.503691724451038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87.438067242347074</v>
      </c>
      <c r="P77" s="455">
        <f t="shared" si="33"/>
        <v>87.438067242347074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5034.9343755178961</v>
      </c>
      <c r="J78" s="457">
        <f t="shared" si="34"/>
        <v>1974.5036917244511</v>
      </c>
      <c r="K78" s="457">
        <f t="shared" si="34"/>
        <v>0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7009.4380672423467</v>
      </c>
      <c r="P78" s="461">
        <f t="shared" si="33"/>
        <v>7009.4380672423467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0</v>
      </c>
      <c r="I79" s="458">
        <f>I78*Assumptions!$G$21</f>
        <v>5120.1118367578611</v>
      </c>
      <c r="J79" s="457">
        <f>J78*Assumptions!$G$21</f>
        <v>2007.9069496671582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7128.0187864250192</v>
      </c>
      <c r="P79" s="461">
        <f t="shared" si="33"/>
        <v>7128.0187864250192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418.75002017222516</v>
      </c>
      <c r="J80" s="282">
        <f>IF(J$10="Prior",J79*J56,IF(AND(J79&lt;&gt;0,SUM($F79:I79)=0),J79/SUM($F$54:J54)*J60,IF(J79&lt;&gt;0,SUM($F$79:J79)/SUM($F$54:J54)*J60-I82,0)))</f>
        <v>241.55047838662438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660.30049855884954</v>
      </c>
      <c r="P80" s="300">
        <f t="shared" si="33"/>
        <v>660.30049855884954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5538.8618569300861</v>
      </c>
      <c r="J81" s="387">
        <f t="shared" si="35"/>
        <v>2249.4574280537827</v>
      </c>
      <c r="K81" s="387">
        <f t="shared" si="35"/>
        <v>0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7788.3192849838688</v>
      </c>
      <c r="P81" s="388">
        <f t="shared" si="35"/>
        <v>7788.3192849838688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418.75002017222516</v>
      </c>
      <c r="J82" s="252">
        <f t="shared" si="36"/>
        <v>660.30049855884954</v>
      </c>
      <c r="K82" s="252">
        <f t="shared" si="36"/>
        <v>660.30049855884954</v>
      </c>
      <c r="L82" s="252">
        <f t="shared" si="36"/>
        <v>660.30049855884954</v>
      </c>
      <c r="M82" s="252">
        <f t="shared" si="36"/>
        <v>660.30049855884954</v>
      </c>
      <c r="N82" s="252">
        <f t="shared" si="36"/>
        <v>660.30049855884954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50.934375517896036</v>
      </c>
      <c r="J83" s="252">
        <f t="shared" si="37"/>
        <v>87.438067242347074</v>
      </c>
      <c r="K83" s="252">
        <f t="shared" si="37"/>
        <v>87.438067242347074</v>
      </c>
      <c r="L83" s="252">
        <f t="shared" si="37"/>
        <v>87.438067242347074</v>
      </c>
      <c r="M83" s="252">
        <f t="shared" si="37"/>
        <v>87.438067242347074</v>
      </c>
      <c r="N83" s="252">
        <f t="shared" si="37"/>
        <v>87.438067242347074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723.55914102862766</v>
      </c>
      <c r="J85" s="380">
        <f t="shared" si="38"/>
        <v>293.85377835098541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1017.4129193796131</v>
      </c>
      <c r="P85" s="430">
        <f t="shared" ref="P85:P94" si="39">SUM(I85:M85)</f>
        <v>1017.4129193796131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2268.2995615452132</v>
      </c>
      <c r="J86" s="381">
        <f t="shared" si="40"/>
        <v>921.20789966714335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3189.5074612123567</v>
      </c>
      <c r="P86" s="431">
        <f t="shared" si="39"/>
        <v>3189.5074612123567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1821.2112492853846</v>
      </c>
      <c r="J87" s="381">
        <f t="shared" si="42"/>
        <v>739.63519556538176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2560.8464448507666</v>
      </c>
      <c r="P87" s="431">
        <f t="shared" si="39"/>
        <v>2560.8464448507666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78.469188068547112</v>
      </c>
      <c r="J89" s="381">
        <f t="shared" si="44"/>
        <v>31.868117048865152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110.33730511741226</v>
      </c>
      <c r="P89" s="431">
        <f t="shared" si="39"/>
        <v>110.33730511741226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628.87906238102244</v>
      </c>
      <c r="J90" s="381">
        <f t="shared" si="45"/>
        <v>255.40205095574481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884.28111333676725</v>
      </c>
      <c r="P90" s="431">
        <f t="shared" si="39"/>
        <v>884.28111333676725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18.443654621291447</v>
      </c>
      <c r="J91" s="381">
        <f t="shared" si="46"/>
        <v>7.4903864656623451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25.934041086953791</v>
      </c>
      <c r="P91" s="431">
        <f t="shared" si="39"/>
        <v>25.934041086953791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5538.861856930087</v>
      </c>
      <c r="J95" s="382">
        <f t="shared" si="51"/>
        <v>2249.4574280537827</v>
      </c>
      <c r="K95" s="382">
        <f t="shared" si="51"/>
        <v>0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7788.3192849838688</v>
      </c>
      <c r="P95" s="428">
        <f>SUM(P85:P94)</f>
        <v>7788.3192849838688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48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48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0.39762468688968855</v>
      </c>
      <c r="H111" s="191">
        <f t="shared" ref="H111:N111" si="59">H99*H$53</f>
        <v>5.1864089594307208</v>
      </c>
      <c r="I111" s="191">
        <f t="shared" si="59"/>
        <v>8.7765564946810972</v>
      </c>
      <c r="J111" s="191">
        <f t="shared" si="59"/>
        <v>5.5840336463204086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19.944623787321916</v>
      </c>
      <c r="P111" s="191">
        <f t="shared" ref="P111:P119" si="61">SUM(I111:M111)</f>
        <v>14.360590141001506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0.39762468688968855</v>
      </c>
      <c r="H113" s="191">
        <f t="shared" si="62"/>
        <v>5.1864089594307208</v>
      </c>
      <c r="I113" s="191">
        <f t="shared" si="62"/>
        <v>8.7765564946810972</v>
      </c>
      <c r="J113" s="191">
        <f t="shared" si="62"/>
        <v>5.5840336463204086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19.944623787321916</v>
      </c>
      <c r="P113" s="191">
        <f t="shared" si="61"/>
        <v>14.360590141001506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22.988179822723449</v>
      </c>
      <c r="H115" s="191">
        <f t="shared" si="62"/>
        <v>299.8458237746537</v>
      </c>
      <c r="I115" s="191">
        <f t="shared" si="62"/>
        <v>507.40576623199735</v>
      </c>
      <c r="J115" s="191">
        <f t="shared" si="62"/>
        <v>322.83400359737715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1153.0737734267516</v>
      </c>
      <c r="P115" s="191">
        <f t="shared" si="61"/>
        <v>830.2397698293745</v>
      </c>
    </row>
    <row r="116" spans="4:16" hidden="1" outlineLevel="1">
      <c r="D116" s="248" t="s">
        <v>384</v>
      </c>
      <c r="G116" s="191">
        <f t="shared" si="62"/>
        <v>18.45714402255539</v>
      </c>
      <c r="H116" s="191">
        <f t="shared" si="62"/>
        <v>240.74535681593986</v>
      </c>
      <c r="I116" s="191">
        <f t="shared" si="62"/>
        <v>407.3946427007516</v>
      </c>
      <c r="J116" s="191">
        <f t="shared" si="62"/>
        <v>259.20250083849527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925.7996443777422</v>
      </c>
      <c r="P116" s="191">
        <f t="shared" si="61"/>
        <v>666.59714353924687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7.5198593627307666</v>
      </c>
      <c r="H118" s="191">
        <f t="shared" si="62"/>
        <v>98.085122122575214</v>
      </c>
      <c r="I118" s="191">
        <f t="shared" si="62"/>
        <v>165.9818233252023</v>
      </c>
      <c r="J118" s="191">
        <f t="shared" si="62"/>
        <v>105.60498148530598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377.19178629581427</v>
      </c>
      <c r="P118" s="191">
        <f t="shared" si="61"/>
        <v>271.58680481050828</v>
      </c>
    </row>
    <row r="119" spans="4:16" hidden="1" outlineLevel="1">
      <c r="D119" s="248" t="s">
        <v>387</v>
      </c>
      <c r="G119" s="912">
        <f t="shared" si="62"/>
        <v>6.3734020046771942</v>
      </c>
      <c r="H119" s="912">
        <f t="shared" si="62"/>
        <v>83.131330495789484</v>
      </c>
      <c r="I119" s="912">
        <f t="shared" si="62"/>
        <v>140.67668482787488</v>
      </c>
      <c r="J119" s="912">
        <f t="shared" si="62"/>
        <v>89.504732500466673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319.6861498288082</v>
      </c>
      <c r="P119" s="912">
        <f t="shared" si="61"/>
        <v>230.18141732834155</v>
      </c>
    </row>
    <row r="120" spans="4:16" hidden="1" outlineLevel="1">
      <c r="D120" s="248" t="s">
        <v>440</v>
      </c>
      <c r="G120" s="191">
        <f>SUM(G111:G119)</f>
        <v>56.133834586466186</v>
      </c>
      <c r="H120" s="191">
        <f t="shared" ref="H120:P120" si="63">SUM(H111:H119)</f>
        <v>732.18045112781965</v>
      </c>
      <c r="I120" s="191">
        <f t="shared" si="63"/>
        <v>1239.0120300751882</v>
      </c>
      <c r="J120" s="191">
        <f t="shared" si="63"/>
        <v>788.31428571428592</v>
      </c>
      <c r="K120" s="191">
        <f t="shared" si="63"/>
        <v>0</v>
      </c>
      <c r="L120" s="191">
        <f t="shared" si="63"/>
        <v>0</v>
      </c>
      <c r="M120" s="191">
        <f t="shared" si="63"/>
        <v>0</v>
      </c>
      <c r="N120" s="191">
        <f t="shared" si="63"/>
        <v>0</v>
      </c>
      <c r="O120" s="191">
        <f t="shared" si="63"/>
        <v>2815.6406015037601</v>
      </c>
      <c r="P120" s="191">
        <f t="shared" si="63"/>
        <v>2027.3263157894742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9.9990182981291378E-2</v>
      </c>
      <c r="H123" s="191">
        <f t="shared" ref="H123:N123" si="64">H99*H$51</f>
        <v>1.3128276285517551</v>
      </c>
      <c r="I123" s="191">
        <f t="shared" si="64"/>
        <v>2.2394799354827906</v>
      </c>
      <c r="J123" s="191">
        <f t="shared" si="64"/>
        <v>1.4363975781670617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5.0886953251828988</v>
      </c>
      <c r="P123" s="191">
        <f t="shared" ref="P123:P131" si="66">SUM(I123:M123)</f>
        <v>3.6758775136498523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9.9990182981291378E-2</v>
      </c>
      <c r="H125" s="191">
        <f t="shared" si="67"/>
        <v>1.3128276285517551</v>
      </c>
      <c r="I125" s="191">
        <f t="shared" si="67"/>
        <v>2.2394799354827906</v>
      </c>
      <c r="J125" s="191">
        <f t="shared" si="67"/>
        <v>1.4363975781670617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5.0886953251828988</v>
      </c>
      <c r="P125" s="191">
        <f t="shared" si="66"/>
        <v>3.6758775136498523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5.7808088447954882</v>
      </c>
      <c r="H127" s="191">
        <f t="shared" si="67"/>
        <v>75.899506737014832</v>
      </c>
      <c r="I127" s="191">
        <f t="shared" si="67"/>
        <v>129.4727645533282</v>
      </c>
      <c r="J127" s="191">
        <f t="shared" si="67"/>
        <v>83.043550646012903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294.19663078115138</v>
      </c>
      <c r="P127" s="191">
        <f t="shared" si="66"/>
        <v>212.51631519934111</v>
      </c>
    </row>
    <row r="128" spans="4:16" hidden="1" outlineLevel="1">
      <c r="D128" s="248" t="s">
        <v>384</v>
      </c>
      <c r="G128" s="191">
        <f t="shared" si="67"/>
        <v>4.6413949359219755</v>
      </c>
      <c r="H128" s="191">
        <f t="shared" si="67"/>
        <v>60.939497510857308</v>
      </c>
      <c r="I128" s="191">
        <f t="shared" si="67"/>
        <v>103.95331343271489</v>
      </c>
      <c r="J128" s="191">
        <f t="shared" si="67"/>
        <v>66.675429992188299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236.20963587168248</v>
      </c>
      <c r="P128" s="191">
        <f t="shared" si="66"/>
        <v>170.62874342490318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1.8910096341217024</v>
      </c>
      <c r="H130" s="191">
        <f t="shared" si="67"/>
        <v>24.82813431791616</v>
      </c>
      <c r="I130" s="191">
        <f t="shared" si="67"/>
        <v>42.352939130160117</v>
      </c>
      <c r="J130" s="191">
        <f t="shared" si="67"/>
        <v>27.165083388748435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96.23716647094642</v>
      </c>
      <c r="P130" s="191">
        <f t="shared" si="66"/>
        <v>69.518022518908552</v>
      </c>
    </row>
    <row r="131" spans="4:16" hidden="1" outlineLevel="1">
      <c r="D131" s="248" t="s">
        <v>387</v>
      </c>
      <c r="G131" s="912">
        <f t="shared" si="67"/>
        <v>1.6027114353636682</v>
      </c>
      <c r="H131" s="912">
        <f t="shared" si="67"/>
        <v>21.042904315266107</v>
      </c>
      <c r="I131" s="912">
        <f t="shared" si="67"/>
        <v>35.895924928323431</v>
      </c>
      <c r="J131" s="912">
        <f t="shared" si="67"/>
        <v>23.023568470594434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81.565109149547652</v>
      </c>
      <c r="P131" s="912">
        <f t="shared" si="66"/>
        <v>58.919493398917865</v>
      </c>
    </row>
    <row r="132" spans="4:16" hidden="1" outlineLevel="1">
      <c r="D132" s="248" t="s">
        <v>441</v>
      </c>
      <c r="G132" s="191">
        <f>SUM(G123:G131)</f>
        <v>14.115905216165418</v>
      </c>
      <c r="H132" s="191">
        <f t="shared" ref="H132:P132" si="68">SUM(H123:H131)</f>
        <v>185.33569813815791</v>
      </c>
      <c r="I132" s="191">
        <f t="shared" si="68"/>
        <v>316.15390191549221</v>
      </c>
      <c r="J132" s="191">
        <f t="shared" si="68"/>
        <v>202.78042765387818</v>
      </c>
      <c r="K132" s="191">
        <f t="shared" si="68"/>
        <v>0</v>
      </c>
      <c r="L132" s="191">
        <f t="shared" si="68"/>
        <v>0</v>
      </c>
      <c r="M132" s="191">
        <f t="shared" si="68"/>
        <v>0</v>
      </c>
      <c r="N132" s="191">
        <f t="shared" si="68"/>
        <v>0</v>
      </c>
      <c r="O132" s="191">
        <f t="shared" si="68"/>
        <v>718.38593292369364</v>
      </c>
      <c r="P132" s="191">
        <f t="shared" si="68"/>
        <v>518.93432956937045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0.49906868513242031</v>
      </c>
      <c r="H135" s="191">
        <f t="shared" ref="H135:N135" si="69">H99*H$52</f>
        <v>6.5527175891924685</v>
      </c>
      <c r="I135" s="191">
        <f t="shared" si="69"/>
        <v>11.203699108951843</v>
      </c>
      <c r="J135" s="191">
        <f t="shared" si="69"/>
        <v>7.2026016049413162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25.458086988218049</v>
      </c>
      <c r="P135" s="191">
        <f t="shared" ref="P135:P143" si="71">SUM(I135:M135)</f>
        <v>18.40630071389316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0.49906868513242031</v>
      </c>
      <c r="H137" s="191">
        <f t="shared" si="72"/>
        <v>6.5527175891924685</v>
      </c>
      <c r="I137" s="191">
        <f t="shared" si="72"/>
        <v>11.203699108951843</v>
      </c>
      <c r="J137" s="191">
        <f t="shared" si="72"/>
        <v>7.2026016049413162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25.458086988218049</v>
      </c>
      <c r="P137" s="191">
        <f t="shared" si="71"/>
        <v>18.40630071389316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28.853039199995766</v>
      </c>
      <c r="H139" s="191">
        <f t="shared" si="72"/>
        <v>378.83726849603141</v>
      </c>
      <c r="I139" s="191">
        <f t="shared" si="72"/>
        <v>647.72801661513347</v>
      </c>
      <c r="J139" s="191">
        <f t="shared" si="72"/>
        <v>416.40950963329453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1471.8278339444551</v>
      </c>
      <c r="P139" s="191">
        <f t="shared" si="71"/>
        <v>1064.137526248428</v>
      </c>
    </row>
    <row r="140" spans="4:16" hidden="1" outlineLevel="1">
      <c r="D140" s="248" t="s">
        <v>384</v>
      </c>
      <c r="G140" s="191">
        <f t="shared" si="72"/>
        <v>23.166022891309833</v>
      </c>
      <c r="H140" s="191">
        <f t="shared" si="72"/>
        <v>304.16736251693163</v>
      </c>
      <c r="I140" s="191">
        <f t="shared" si="72"/>
        <v>520.05897736593033</v>
      </c>
      <c r="J140" s="191">
        <f t="shared" si="72"/>
        <v>334.33400777847407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1181.7263705526457</v>
      </c>
      <c r="P140" s="191">
        <f t="shared" si="71"/>
        <v>854.39298514440441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9.4383634826474516</v>
      </c>
      <c r="H142" s="191">
        <f t="shared" si="72"/>
        <v>123.92468661808685</v>
      </c>
      <c r="I142" s="191">
        <f t="shared" si="72"/>
        <v>211.88383020353834</v>
      </c>
      <c r="J142" s="191">
        <f t="shared" si="72"/>
        <v>136.21526253465169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481.46214283892431</v>
      </c>
      <c r="P142" s="191">
        <f t="shared" si="71"/>
        <v>348.09909273819005</v>
      </c>
    </row>
    <row r="143" spans="4:16" hidden="1" outlineLevel="1">
      <c r="D143" s="248" t="s">
        <v>387</v>
      </c>
      <c r="G143" s="912">
        <f t="shared" si="72"/>
        <v>7.9994161911204626</v>
      </c>
      <c r="H143" s="912">
        <f t="shared" si="72"/>
        <v>105.03146508765177</v>
      </c>
      <c r="I143" s="912">
        <f t="shared" si="72"/>
        <v>179.58059626364084</v>
      </c>
      <c r="J143" s="912">
        <f t="shared" si="72"/>
        <v>115.44825314269136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408.05973068510446</v>
      </c>
      <c r="P143" s="912">
        <f t="shared" si="71"/>
        <v>295.0288494063322</v>
      </c>
    </row>
    <row r="144" spans="4:16" hidden="1" outlineLevel="1">
      <c r="D144" s="248" t="s">
        <v>442</v>
      </c>
      <c r="G144" s="191">
        <f>SUM(G135:G143)</f>
        <v>70.454979135338363</v>
      </c>
      <c r="H144" s="191">
        <f t="shared" ref="H144:P144" si="73">SUM(H135:H143)</f>
        <v>925.06621789708663</v>
      </c>
      <c r="I144" s="191">
        <f t="shared" si="73"/>
        <v>1581.6588186661468</v>
      </c>
      <c r="J144" s="191">
        <f t="shared" si="73"/>
        <v>1016.8122362989943</v>
      </c>
      <c r="K144" s="191">
        <f t="shared" si="73"/>
        <v>0</v>
      </c>
      <c r="L144" s="191">
        <f t="shared" si="73"/>
        <v>0</v>
      </c>
      <c r="M144" s="191">
        <f t="shared" si="73"/>
        <v>0</v>
      </c>
      <c r="N144" s="191">
        <f t="shared" si="73"/>
        <v>0</v>
      </c>
      <c r="O144" s="191">
        <f t="shared" si="73"/>
        <v>3593.9922519975653</v>
      </c>
      <c r="P144" s="191">
        <f t="shared" si="73"/>
        <v>2598.4710549651409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0.99668355500340022</v>
      </c>
      <c r="H147" s="191">
        <f t="shared" si="74"/>
        <v>13.051954177174945</v>
      </c>
      <c r="I147" s="191">
        <f t="shared" si="74"/>
        <v>22.219735539115732</v>
      </c>
      <c r="J147" s="191">
        <f t="shared" si="74"/>
        <v>14.223032829428787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50.49140610072287</v>
      </c>
      <c r="P147" s="191">
        <f t="shared" ref="P147:P155" si="76">SUM(I147:M147)</f>
        <v>36.44276836854452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0.99668355500340022</v>
      </c>
      <c r="H149" s="191">
        <f t="shared" si="74"/>
        <v>13.051954177174945</v>
      </c>
      <c r="I149" s="191">
        <f t="shared" si="74"/>
        <v>22.219735539115732</v>
      </c>
      <c r="J149" s="191">
        <f t="shared" si="74"/>
        <v>14.223032829428787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50.49140610072287</v>
      </c>
      <c r="P149" s="191">
        <f t="shared" si="76"/>
        <v>36.44276836854452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57.622027867514703</v>
      </c>
      <c r="H151" s="191">
        <f t="shared" si="74"/>
        <v>754.58259900769986</v>
      </c>
      <c r="I151" s="191">
        <f t="shared" si="74"/>
        <v>1284.606547400459</v>
      </c>
      <c r="J151" s="191">
        <f t="shared" si="74"/>
        <v>822.28706387668456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2919.0982381523581</v>
      </c>
      <c r="P151" s="191">
        <f t="shared" si="76"/>
        <v>2106.8936112771435</v>
      </c>
    </row>
    <row r="152" spans="4:16" hidden="1" outlineLevel="1">
      <c r="D152" s="248" t="s">
        <v>384</v>
      </c>
      <c r="G152" s="191">
        <f t="shared" si="74"/>
        <v>46.264561849787199</v>
      </c>
      <c r="H152" s="191">
        <f t="shared" si="74"/>
        <v>605.8522168437288</v>
      </c>
      <c r="I152" s="191">
        <f t="shared" si="74"/>
        <v>1031.4069334993969</v>
      </c>
      <c r="J152" s="191">
        <f t="shared" si="74"/>
        <v>660.21193860915764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2343.7356508020707</v>
      </c>
      <c r="P152" s="191">
        <f t="shared" si="76"/>
        <v>1691.6188721085546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18.849232479499921</v>
      </c>
      <c r="H154" s="191">
        <f t="shared" si="74"/>
        <v>246.83794305857822</v>
      </c>
      <c r="I154" s="191">
        <f t="shared" si="74"/>
        <v>420.21859265890077</v>
      </c>
      <c r="J154" s="191">
        <f t="shared" si="74"/>
        <v>268.9853274087061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954.891095605685</v>
      </c>
      <c r="P154" s="191">
        <f t="shared" si="76"/>
        <v>689.20392006760687</v>
      </c>
    </row>
    <row r="155" spans="4:16" hidden="1" outlineLevel="1">
      <c r="D155" s="248" t="s">
        <v>387</v>
      </c>
      <c r="G155" s="912">
        <f t="shared" si="74"/>
        <v>15.975529631161326</v>
      </c>
      <c r="H155" s="912">
        <f t="shared" si="74"/>
        <v>209.20569989870734</v>
      </c>
      <c r="I155" s="912">
        <f t="shared" si="74"/>
        <v>356.15320601983916</v>
      </c>
      <c r="J155" s="912">
        <f t="shared" si="74"/>
        <v>227.97655411375246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809.3109896634603</v>
      </c>
      <c r="P155" s="912">
        <f t="shared" si="76"/>
        <v>584.12976013359162</v>
      </c>
    </row>
    <row r="156" spans="4:16" hidden="1" outlineLevel="1">
      <c r="D156" s="248" t="s">
        <v>454</v>
      </c>
      <c r="G156" s="191">
        <f>SUM(G147:G155)</f>
        <v>140.70471893796994</v>
      </c>
      <c r="H156" s="191">
        <f t="shared" ref="H156:N156" si="77">SUM(H147:H155)</f>
        <v>1842.5823671630642</v>
      </c>
      <c r="I156" s="191">
        <f t="shared" si="77"/>
        <v>3136.8247506568273</v>
      </c>
      <c r="J156" s="191">
        <f t="shared" si="77"/>
        <v>2007.9069496671582</v>
      </c>
      <c r="K156" s="191">
        <f t="shared" si="77"/>
        <v>0</v>
      </c>
      <c r="L156" s="191">
        <f t="shared" si="77"/>
        <v>0</v>
      </c>
      <c r="M156" s="191">
        <f t="shared" si="77"/>
        <v>0</v>
      </c>
      <c r="N156" s="191">
        <f t="shared" si="77"/>
        <v>0</v>
      </c>
      <c r="O156" s="191">
        <f t="shared" ref="O156:P156" si="78">SUM(O147:O155)</f>
        <v>7128.0187864250202</v>
      </c>
      <c r="P156" s="191">
        <f t="shared" si="78"/>
        <v>5144.7317003239859</v>
      </c>
    </row>
    <row r="157" spans="4:16" collapsed="1"/>
  </sheetData>
  <mergeCells count="1">
    <mergeCell ref="C13:C14"/>
  </mergeCells>
  <phoneticPr fontId="6" type="noConversion"/>
  <conditionalFormatting sqref="R14">
    <cfRule type="cellIs" dxfId="108" priority="4" operator="equal">
      <formula>"Error"</formula>
    </cfRule>
  </conditionalFormatting>
  <conditionalFormatting sqref="R11">
    <cfRule type="cellIs" dxfId="107" priority="3" operator="equal">
      <formula>"Error"</formula>
    </cfRule>
  </conditionalFormatting>
  <conditionalFormatting sqref="R54">
    <cfRule type="cellIs" dxfId="10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workbookViewId="0">
      <pane ySplit="10" topLeftCell="A11" activePane="bottomLeft" state="frozen"/>
      <selection pane="bottomLeft" activeCell="E4" sqref="E4"/>
    </sheetView>
  </sheetViews>
  <sheetFormatPr defaultRowHeight="15" outlineLevelRow="1"/>
  <cols>
    <col min="1" max="1" width="4" style="236" customWidth="1"/>
    <col min="2" max="2" width="6.5703125" style="236" customWidth="1"/>
    <col min="3" max="3" width="26.42578125" style="236" customWidth="1"/>
    <col min="4" max="4" width="25.5703125" style="236" customWidth="1"/>
    <col min="5" max="5" width="21.42578125" style="236" customWidth="1"/>
    <col min="6" max="6" width="14.7109375" style="236" customWidth="1"/>
    <col min="7" max="9" width="12.140625" style="236" customWidth="1"/>
    <col min="10" max="10" width="11.28515625" style="236" customWidth="1"/>
    <col min="11" max="11" width="12.7109375" style="236" customWidth="1"/>
    <col min="12" max="14" width="11.28515625" style="236" customWidth="1"/>
    <col min="15" max="15" width="12.28515625" style="236" customWidth="1"/>
    <col min="16" max="16" width="12.5703125" style="236" customWidth="1"/>
    <col min="17" max="19" width="9.140625" style="236"/>
    <col min="20" max="20" width="11.85546875" style="236" customWidth="1"/>
    <col min="21" max="16384" width="9.140625" style="236"/>
  </cols>
  <sheetData>
    <row r="1" spans="1:21">
      <c r="B1" s="574" t="s">
        <v>294</v>
      </c>
      <c r="C1" s="484" t="s">
        <v>290</v>
      </c>
    </row>
    <row r="2" spans="1:21">
      <c r="A2" s="250"/>
      <c r="B2" s="250"/>
      <c r="C2" s="572" t="s">
        <v>293</v>
      </c>
    </row>
    <row r="3" spans="1:21" ht="18.75">
      <c r="A3" s="250"/>
      <c r="B3" s="250"/>
      <c r="D3" s="339" t="str">
        <f>Project_Inputs!B16</f>
        <v>285A</v>
      </c>
      <c r="E3" s="248"/>
      <c r="F3" s="249" t="s">
        <v>63</v>
      </c>
      <c r="G3" s="249">
        <f>Project_Inputs!F16</f>
        <v>0</v>
      </c>
      <c r="H3" s="248"/>
    </row>
    <row r="4" spans="1:21" ht="18.75">
      <c r="A4" s="250"/>
      <c r="B4" s="250"/>
      <c r="C4" s="485" t="s">
        <v>15</v>
      </c>
      <c r="D4" s="339" t="str">
        <f>Project_Inputs!D16</f>
        <v>FBTS Transformer and Circuit Breaker Replacement</v>
      </c>
      <c r="E4" s="486"/>
      <c r="F4" s="486"/>
      <c r="G4" s="486"/>
    </row>
    <row r="5" spans="1:21">
      <c r="A5" s="250"/>
      <c r="B5" s="250"/>
      <c r="D5" s="248"/>
    </row>
    <row r="6" spans="1:21">
      <c r="A6" s="250"/>
      <c r="B6" s="250"/>
      <c r="C6" s="236" t="s">
        <v>20</v>
      </c>
      <c r="D6" s="338" t="str">
        <f>Project_Inputs!H16</f>
        <v>Network</v>
      </c>
      <c r="E6" s="486"/>
      <c r="F6" s="10"/>
      <c r="G6" s="9" t="s">
        <v>269</v>
      </c>
      <c r="H6" s="248"/>
      <c r="I6" s="487"/>
      <c r="J6" s="487"/>
      <c r="K6" s="487"/>
      <c r="L6" s="487"/>
      <c r="M6" s="487"/>
      <c r="N6" s="487"/>
    </row>
    <row r="7" spans="1:21">
      <c r="A7" s="250"/>
      <c r="B7" s="250"/>
      <c r="C7" s="236" t="s">
        <v>21</v>
      </c>
      <c r="D7" s="338" t="str">
        <f>Project_Inputs!I16</f>
        <v>Replacement - Major Station</v>
      </c>
      <c r="E7" s="486"/>
      <c r="F7" s="486"/>
      <c r="G7" s="486"/>
      <c r="I7" s="487"/>
      <c r="J7" s="487"/>
      <c r="K7" s="487"/>
      <c r="L7" s="487"/>
      <c r="M7" s="487"/>
      <c r="N7" s="487"/>
    </row>
    <row r="8" spans="1:21">
      <c r="A8" s="250"/>
      <c r="B8" s="250"/>
      <c r="C8" s="236" t="s">
        <v>13</v>
      </c>
      <c r="D8" s="338" t="s">
        <v>14</v>
      </c>
      <c r="E8" s="486"/>
      <c r="F8" s="486"/>
      <c r="G8" s="486"/>
      <c r="I8" s="488"/>
      <c r="J8" s="488"/>
      <c r="K8" s="488"/>
      <c r="L8" s="488"/>
      <c r="M8" s="487"/>
      <c r="N8" s="487"/>
    </row>
    <row r="9" spans="1:21">
      <c r="A9" s="250"/>
      <c r="B9" s="250"/>
      <c r="C9" s="236" t="s">
        <v>278</v>
      </c>
      <c r="D9" s="338" t="str">
        <f>Project_Inputs!J16</f>
        <v>Repex_OHD</v>
      </c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489" t="s">
        <v>265</v>
      </c>
      <c r="P9" s="490" t="s">
        <v>231</v>
      </c>
    </row>
    <row r="10" spans="1:21">
      <c r="A10" s="250"/>
      <c r="B10" s="250"/>
      <c r="E10" s="491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492" t="s">
        <v>16</v>
      </c>
      <c r="P10" s="493" t="s">
        <v>16</v>
      </c>
      <c r="R10" s="495" t="s">
        <v>50</v>
      </c>
      <c r="T10" s="495"/>
      <c r="U10" s="250"/>
    </row>
    <row r="11" spans="1:21">
      <c r="A11" s="250"/>
      <c r="B11" s="250"/>
      <c r="C11" s="257" t="s">
        <v>22</v>
      </c>
      <c r="D11" s="353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0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203.52199999999996</v>
      </c>
      <c r="J11" s="320">
        <f>IF(J$10="Prior",SUMIFS(Project_Inputs!$W$5:$W$50,Project_Inputs!$D$5:$D$50,$D$4),SUMIFS(Project_Inputs!P$5:P$50,Project_Inputs!$D$5:$D$50,$D$4))</f>
        <v>2644.1909999999998</v>
      </c>
      <c r="K11" s="320">
        <f>IF(K$10="Prior",SUMIFS(Project_Inputs!$W$5:$W$50,Project_Inputs!$D$5:$D$50,$D$4),SUMIFS(Project_Inputs!Q$5:Q$50,Project_Inputs!$D$5:$D$50,$D$4))</f>
        <v>4474.6129999999994</v>
      </c>
      <c r="L11" s="320">
        <f>IF(L$10="Prior",SUMIFS(Project_Inputs!$W$5:$W$50,Project_Inputs!$D$5:$D$50,$D$4),SUMIFS(Project_Inputs!R$5:R$50,Project_Inputs!$D$5:$D$50,$D$4))</f>
        <v>2847.3939999999998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496">
        <f>SUM(F11:N11)</f>
        <v>10169.719999999999</v>
      </c>
      <c r="P11" s="497">
        <f t="shared" ref="P11" si="0">SUM(I11:M11)</f>
        <v>10169.719999999999</v>
      </c>
      <c r="R11" s="608" t="str">
        <f>IF(O11=Project_Inputs!V16,"ok","error")</f>
        <v>ok</v>
      </c>
      <c r="T11" s="250"/>
      <c r="U11" s="250"/>
    </row>
    <row r="12" spans="1:21" ht="15" hidden="1" customHeight="1">
      <c r="A12" s="250"/>
      <c r="B12" s="250"/>
      <c r="C12" s="482"/>
      <c r="D12" s="350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496"/>
      <c r="P12" s="497"/>
    </row>
    <row r="13" spans="1:21">
      <c r="A13" s="250"/>
      <c r="B13" s="250"/>
      <c r="C13" s="1006" t="s">
        <v>284</v>
      </c>
      <c r="D13" s="350" t="s">
        <v>65</v>
      </c>
      <c r="E13" s="313"/>
      <c r="F13" s="336"/>
      <c r="G13" s="10"/>
      <c r="H13" s="391"/>
      <c r="I13" s="401"/>
      <c r="J13" s="10"/>
      <c r="K13" s="10"/>
      <c r="L13" s="10" t="s">
        <v>132</v>
      </c>
      <c r="M13" s="10"/>
      <c r="N13" s="337"/>
      <c r="O13" s="498"/>
      <c r="P13" s="258"/>
    </row>
    <row r="14" spans="1:21">
      <c r="A14" s="250"/>
      <c r="B14" s="250"/>
      <c r="C14" s="1006"/>
      <c r="D14" s="350" t="str">
        <f>"Direct Expenditure (As Commissioned) - "&amp;Assumptions!C7</f>
        <v>Direct Expenditure (As Commissioned) - $ 2015/16</v>
      </c>
      <c r="E14" s="313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10169.719999999999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99">
        <f>SUM(F14:N14)</f>
        <v>10169.719999999999</v>
      </c>
      <c r="P14" s="500">
        <f>SUM(I14:M14)</f>
        <v>10169.719999999999</v>
      </c>
      <c r="R14" s="607" t="str">
        <f>IF(AND(O$11&lt;&gt;0,O$14=0),"Error","ok")</f>
        <v>ok</v>
      </c>
    </row>
    <row r="15" spans="1:21">
      <c r="A15" s="250"/>
      <c r="B15" s="250"/>
      <c r="C15" s="259"/>
      <c r="D15" s="354"/>
      <c r="E15" s="501"/>
      <c r="F15" s="327"/>
      <c r="G15" s="328"/>
      <c r="H15" s="328"/>
      <c r="I15" s="402"/>
      <c r="J15" s="328"/>
      <c r="K15" s="328"/>
      <c r="L15" s="328"/>
      <c r="M15" s="328"/>
      <c r="N15" s="329"/>
      <c r="O15" s="502"/>
      <c r="P15" s="503"/>
    </row>
    <row r="16" spans="1:21">
      <c r="A16" s="250"/>
      <c r="B16" s="250"/>
      <c r="C16" s="258"/>
      <c r="D16" s="504"/>
      <c r="E16" s="313"/>
      <c r="F16" s="325"/>
      <c r="G16" s="326"/>
      <c r="H16" s="330"/>
      <c r="I16" s="403"/>
      <c r="J16" s="330"/>
      <c r="K16" s="330"/>
      <c r="L16" s="330"/>
      <c r="M16" s="330"/>
      <c r="N16" s="331"/>
      <c r="O16" s="505"/>
      <c r="P16" s="258"/>
    </row>
    <row r="17" spans="1:27">
      <c r="A17" s="250"/>
      <c r="B17" s="250"/>
      <c r="C17" s="258" t="s">
        <v>2</v>
      </c>
      <c r="D17" s="350" t="s">
        <v>3</v>
      </c>
      <c r="E17" s="506"/>
      <c r="F17" s="577">
        <v>0.13063318055555556</v>
      </c>
      <c r="G17" s="341">
        <v>0.13063318055555556</v>
      </c>
      <c r="H17" s="392">
        <v>0.13063318055555556</v>
      </c>
      <c r="I17" s="404">
        <v>0.13063318055555556</v>
      </c>
      <c r="J17" s="341">
        <v>0.13063318055555556</v>
      </c>
      <c r="K17" s="341">
        <v>0.13063318055555556</v>
      </c>
      <c r="L17" s="341">
        <v>0.13063318055555556</v>
      </c>
      <c r="M17" s="341">
        <v>0.13063318055555556</v>
      </c>
      <c r="N17" s="342">
        <v>0.13063318055555556</v>
      </c>
      <c r="O17" s="505"/>
      <c r="P17" s="258"/>
    </row>
    <row r="18" spans="1:27">
      <c r="A18" s="250"/>
      <c r="B18" s="250"/>
      <c r="C18" s="258"/>
      <c r="D18" s="350" t="s">
        <v>4</v>
      </c>
      <c r="E18" s="506"/>
      <c r="F18" s="577">
        <v>0.40952448718452389</v>
      </c>
      <c r="G18" s="341">
        <v>0.40952448718452389</v>
      </c>
      <c r="H18" s="392">
        <v>0.40952448718452389</v>
      </c>
      <c r="I18" s="404">
        <v>0.40952448718452389</v>
      </c>
      <c r="J18" s="341">
        <v>0.40952448718452389</v>
      </c>
      <c r="K18" s="341">
        <v>0.40952448718452389</v>
      </c>
      <c r="L18" s="341">
        <v>0.40952448718452389</v>
      </c>
      <c r="M18" s="341">
        <v>0.40952448718452389</v>
      </c>
      <c r="N18" s="342">
        <v>0.40952448718452389</v>
      </c>
      <c r="O18" s="505"/>
      <c r="P18" s="258"/>
    </row>
    <row r="19" spans="1:27">
      <c r="A19" s="250"/>
      <c r="B19" s="250"/>
      <c r="C19" s="258"/>
      <c r="D19" s="350" t="s">
        <v>5</v>
      </c>
      <c r="E19" s="506"/>
      <c r="F19" s="577">
        <v>0.32880604288888887</v>
      </c>
      <c r="G19" s="341">
        <v>0.32880604288888887</v>
      </c>
      <c r="H19" s="392">
        <v>0.32880604288888887</v>
      </c>
      <c r="I19" s="404">
        <v>0.32880604288888887</v>
      </c>
      <c r="J19" s="341">
        <v>0.32880604288888887</v>
      </c>
      <c r="K19" s="341">
        <v>0.32880604288888887</v>
      </c>
      <c r="L19" s="341">
        <v>0.32880604288888887</v>
      </c>
      <c r="M19" s="341">
        <v>0.32880604288888887</v>
      </c>
      <c r="N19" s="342">
        <v>0.32880604288888887</v>
      </c>
      <c r="O19" s="505"/>
      <c r="P19" s="258"/>
    </row>
    <row r="20" spans="1:27">
      <c r="A20" s="250"/>
      <c r="B20" s="250"/>
      <c r="C20" s="258"/>
      <c r="D20" s="350" t="s">
        <v>6</v>
      </c>
      <c r="E20" s="506"/>
      <c r="F20" s="577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505"/>
      <c r="P20" s="258"/>
    </row>
    <row r="21" spans="1:27">
      <c r="A21" s="250"/>
      <c r="B21" s="250"/>
      <c r="C21" s="258"/>
      <c r="D21" s="350" t="s">
        <v>7</v>
      </c>
      <c r="E21" s="506"/>
      <c r="F21" s="577">
        <v>1.4167023857142858E-2</v>
      </c>
      <c r="G21" s="341">
        <v>1.4167023857142858E-2</v>
      </c>
      <c r="H21" s="392">
        <v>1.4167023857142858E-2</v>
      </c>
      <c r="I21" s="404">
        <v>1.4167023857142858E-2</v>
      </c>
      <c r="J21" s="341">
        <v>1.4167023857142858E-2</v>
      </c>
      <c r="K21" s="341">
        <v>1.4167023857142858E-2</v>
      </c>
      <c r="L21" s="341">
        <v>1.4167023857142858E-2</v>
      </c>
      <c r="M21" s="341">
        <v>1.4167023857142858E-2</v>
      </c>
      <c r="N21" s="342">
        <v>1.4167023857142858E-2</v>
      </c>
      <c r="O21" s="505"/>
      <c r="P21" s="258"/>
      <c r="U21" s="507"/>
      <c r="V21" s="507"/>
      <c r="W21" s="507"/>
      <c r="X21" s="507"/>
      <c r="Y21" s="507"/>
      <c r="Z21" s="507"/>
      <c r="AA21" s="507"/>
    </row>
    <row r="22" spans="1:27">
      <c r="A22" s="250"/>
      <c r="B22" s="250"/>
      <c r="C22" s="258"/>
      <c r="D22" s="350" t="s">
        <v>8</v>
      </c>
      <c r="E22" s="506"/>
      <c r="F22" s="577">
        <v>0.11353940188888889</v>
      </c>
      <c r="G22" s="341">
        <v>0.11353940188888889</v>
      </c>
      <c r="H22" s="392">
        <v>0.11353940188888889</v>
      </c>
      <c r="I22" s="404">
        <v>0.11353940188888889</v>
      </c>
      <c r="J22" s="341">
        <v>0.11353940188888889</v>
      </c>
      <c r="K22" s="341">
        <v>0.11353940188888889</v>
      </c>
      <c r="L22" s="341">
        <v>0.11353940188888889</v>
      </c>
      <c r="M22" s="341">
        <v>0.11353940188888889</v>
      </c>
      <c r="N22" s="342">
        <v>0.11353940188888889</v>
      </c>
      <c r="O22" s="505"/>
      <c r="P22" s="258"/>
    </row>
    <row r="23" spans="1:27">
      <c r="A23" s="250"/>
      <c r="B23" s="250"/>
      <c r="C23" s="258"/>
      <c r="D23" s="350" t="s">
        <v>9</v>
      </c>
      <c r="E23" s="506"/>
      <c r="F23" s="340">
        <v>3.3298636249999999E-3</v>
      </c>
      <c r="G23" s="341">
        <v>3.3298636249999999E-3</v>
      </c>
      <c r="H23" s="392">
        <v>3.3298636249999999E-3</v>
      </c>
      <c r="I23" s="404">
        <v>3.3298636249999999E-3</v>
      </c>
      <c r="J23" s="341">
        <v>3.3298636249999999E-3</v>
      </c>
      <c r="K23" s="341">
        <v>3.3298636249999999E-3</v>
      </c>
      <c r="L23" s="341">
        <v>3.3298636249999999E-3</v>
      </c>
      <c r="M23" s="341">
        <v>3.3298636249999999E-3</v>
      </c>
      <c r="N23" s="342">
        <v>3.3298636249999999E-3</v>
      </c>
      <c r="O23" s="505"/>
      <c r="P23" s="258"/>
    </row>
    <row r="24" spans="1:27">
      <c r="A24" s="250"/>
      <c r="B24" s="250"/>
      <c r="C24" s="258"/>
      <c r="D24" s="350" t="s">
        <v>10</v>
      </c>
      <c r="E24" s="506"/>
      <c r="F24" s="340"/>
      <c r="G24" s="341"/>
      <c r="H24" s="392"/>
      <c r="I24" s="404"/>
      <c r="J24" s="341"/>
      <c r="K24" s="341"/>
      <c r="L24" s="341"/>
      <c r="M24" s="341"/>
      <c r="N24" s="342"/>
      <c r="O24" s="505"/>
      <c r="P24" s="258"/>
    </row>
    <row r="25" spans="1:27">
      <c r="A25" s="250"/>
      <c r="B25" s="250"/>
      <c r="C25" s="258"/>
      <c r="D25" s="350" t="s">
        <v>11</v>
      </c>
      <c r="E25" s="506"/>
      <c r="F25" s="340"/>
      <c r="G25" s="341"/>
      <c r="H25" s="392"/>
      <c r="I25" s="404"/>
      <c r="J25" s="341"/>
      <c r="K25" s="341"/>
      <c r="L25" s="341"/>
      <c r="M25" s="341"/>
      <c r="N25" s="342"/>
      <c r="O25" s="505"/>
      <c r="P25" s="258"/>
      <c r="T25" s="507"/>
    </row>
    <row r="26" spans="1:27">
      <c r="A26" s="250"/>
      <c r="B26" s="250"/>
      <c r="C26" s="258"/>
      <c r="D26" s="350" t="s">
        <v>12</v>
      </c>
      <c r="E26" s="506"/>
      <c r="F26" s="340"/>
      <c r="G26" s="341"/>
      <c r="H26" s="392"/>
      <c r="I26" s="404"/>
      <c r="J26" s="341"/>
      <c r="K26" s="341"/>
      <c r="L26" s="341"/>
      <c r="M26" s="341"/>
      <c r="N26" s="342"/>
      <c r="O26" s="505"/>
      <c r="P26" s="258"/>
      <c r="T26" s="507"/>
    </row>
    <row r="27" spans="1:27">
      <c r="A27" s="250"/>
      <c r="B27" s="250"/>
      <c r="C27" s="259"/>
      <c r="D27" s="464"/>
      <c r="E27" s="508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509"/>
      <c r="P27" s="259"/>
      <c r="Q27" s="487"/>
      <c r="T27" s="507"/>
    </row>
    <row r="28" spans="1:27">
      <c r="A28" s="250"/>
      <c r="B28" s="250"/>
      <c r="C28" s="257"/>
      <c r="D28" s="302"/>
      <c r="E28" s="510"/>
      <c r="F28" s="578"/>
      <c r="G28" s="579"/>
      <c r="H28" s="580"/>
      <c r="I28" s="581"/>
      <c r="J28" s="579"/>
      <c r="K28" s="579"/>
      <c r="L28" s="579"/>
      <c r="M28" s="579"/>
      <c r="N28" s="582"/>
      <c r="O28" s="505"/>
      <c r="P28" s="258"/>
      <c r="T28" s="507"/>
    </row>
    <row r="29" spans="1:27">
      <c r="A29" s="250"/>
      <c r="B29" s="250"/>
      <c r="C29" s="258" t="s">
        <v>58</v>
      </c>
      <c r="D29" s="350" t="s">
        <v>0</v>
      </c>
      <c r="E29" s="506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505"/>
      <c r="P29" s="258"/>
      <c r="T29" s="507"/>
    </row>
    <row r="30" spans="1:27">
      <c r="A30" s="250"/>
      <c r="B30" s="250"/>
      <c r="C30" s="258"/>
      <c r="D30" s="350" t="s">
        <v>1</v>
      </c>
      <c r="E30" s="506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505"/>
      <c r="P30" s="258"/>
      <c r="T30" s="507"/>
    </row>
    <row r="31" spans="1:27">
      <c r="A31" s="250"/>
      <c r="B31" s="250"/>
      <c r="C31" s="258"/>
      <c r="D31" s="350" t="s">
        <v>57</v>
      </c>
      <c r="E31" s="506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1"/>
      <c r="P31" s="258"/>
      <c r="T31" s="507"/>
    </row>
    <row r="32" spans="1:27">
      <c r="A32" s="250"/>
      <c r="B32" s="250"/>
      <c r="C32" s="259"/>
      <c r="D32" s="464"/>
      <c r="E32" s="508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5"/>
      <c r="P32" s="259"/>
    </row>
    <row r="33" spans="1:21">
      <c r="A33" s="250"/>
      <c r="B33" s="250"/>
      <c r="C33" s="258" t="s">
        <v>59</v>
      </c>
      <c r="D33" s="271"/>
      <c r="E33" s="313"/>
      <c r="F33" s="583"/>
      <c r="G33" s="584"/>
      <c r="H33" s="584"/>
      <c r="I33" s="585"/>
      <c r="J33" s="586"/>
      <c r="K33" s="586"/>
      <c r="L33" s="586"/>
      <c r="M33" s="586"/>
      <c r="N33" s="587"/>
      <c r="O33" s="511"/>
      <c r="P33" s="258"/>
      <c r="Q33" s="250"/>
      <c r="R33" s="250"/>
      <c r="S33" s="250"/>
      <c r="T33" s="250"/>
      <c r="U33" s="250"/>
    </row>
    <row r="34" spans="1:21">
      <c r="A34" s="250"/>
      <c r="B34" s="250"/>
      <c r="C34" s="258" t="s">
        <v>266</v>
      </c>
      <c r="D34" s="350" t="s">
        <v>3</v>
      </c>
      <c r="E34" s="313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512">
        <f>IF(I$10="Prior",0,(I$11*I$31*I17)*(Assumptions!I54-1))</f>
        <v>0</v>
      </c>
      <c r="J34" s="290">
        <f>IF(J$10="Prior",0,(J$11*J$31*J17)*(Assumptions!J54-1))</f>
        <v>0</v>
      </c>
      <c r="K34" s="290">
        <f>IF(K$10="Prior",0,(K$11*K$31*K17)*(Assumptions!K54-1))</f>
        <v>0</v>
      </c>
      <c r="L34" s="290">
        <f>IF(L$10="Prior",0,(L$11*L$31*L17)*(Assumptions!L54-1))</f>
        <v>0</v>
      </c>
      <c r="M34" s="290">
        <f>IF(M$10="Prior",0,(M$11*M$31*M17)*(Assumptions!M54-1))</f>
        <v>0</v>
      </c>
      <c r="N34" s="346">
        <f>IF(N$10="Prior",0,(N$11*N$31*N17)*(Assumptions!N54-1))</f>
        <v>0</v>
      </c>
      <c r="O34" s="513">
        <f t="shared" ref="O34:O43" si="3">SUM(F34:N34)</f>
        <v>0</v>
      </c>
      <c r="P34" s="514">
        <f t="shared" ref="P34:P43" si="4">SUM(I34:M34)</f>
        <v>0</v>
      </c>
      <c r="Q34" s="250"/>
      <c r="R34" s="250"/>
      <c r="S34" s="250"/>
      <c r="T34" s="250"/>
      <c r="U34" s="250"/>
    </row>
    <row r="35" spans="1:21">
      <c r="A35" s="250"/>
      <c r="B35" s="250"/>
      <c r="C35" s="258"/>
      <c r="D35" s="350" t="s">
        <v>4</v>
      </c>
      <c r="E35" s="313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512">
        <f>IF(I$10="Prior",0,(I$11*I$31*I18)*(Assumptions!I55-1))</f>
        <v>0</v>
      </c>
      <c r="J35" s="290">
        <f>IF(J$10="Prior",0,(J$11*J$31*J18)*(Assumptions!J55-1))</f>
        <v>0</v>
      </c>
      <c r="K35" s="290">
        <f>IF(K$10="Prior",0,(K$11*K$31*K18)*(Assumptions!K55-1))</f>
        <v>0</v>
      </c>
      <c r="L35" s="290">
        <f>IF(L$10="Prior",0,(L$11*L$31*L18)*(Assumptions!L55-1))</f>
        <v>0</v>
      </c>
      <c r="M35" s="290">
        <f>IF(M$10="Prior",0,(M$11*M$31*M18)*(Assumptions!M55-1))</f>
        <v>0</v>
      </c>
      <c r="N35" s="346">
        <f>IF(N$10="Prior",0,(N$11*N$31*N18)*(Assumptions!N55-1))</f>
        <v>0</v>
      </c>
      <c r="O35" s="513">
        <f t="shared" si="3"/>
        <v>0</v>
      </c>
      <c r="P35" s="514">
        <f t="shared" si="4"/>
        <v>0</v>
      </c>
      <c r="Q35" s="515"/>
      <c r="R35" s="515"/>
      <c r="S35" s="515"/>
      <c r="T35" s="515"/>
    </row>
    <row r="36" spans="1:21">
      <c r="A36" s="250"/>
      <c r="B36" s="250"/>
      <c r="C36" s="258"/>
      <c r="D36" s="350" t="s">
        <v>5</v>
      </c>
      <c r="E36" s="313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512">
        <f>IF(I$10="Prior",0,(I$11*I$31*I19)*(Assumptions!I56-1))</f>
        <v>0</v>
      </c>
      <c r="J36" s="290">
        <f>IF(J$10="Prior",0,(J$11*J$31*J19)*(Assumptions!J56-1))</f>
        <v>0</v>
      </c>
      <c r="K36" s="290">
        <f>IF(K$10="Prior",0,(K$11*K$31*K19)*(Assumptions!K56-1))</f>
        <v>0</v>
      </c>
      <c r="L36" s="290">
        <f>IF(L$10="Prior",0,(L$11*L$31*L19)*(Assumptions!L56-1))</f>
        <v>0</v>
      </c>
      <c r="M36" s="290">
        <f>IF(M$10="Prior",0,(M$11*M$31*M19)*(Assumptions!M56-1))</f>
        <v>0</v>
      </c>
      <c r="N36" s="346">
        <f>IF(N$10="Prior",0,(N$11*N$31*N19)*(Assumptions!N56-1))</f>
        <v>0</v>
      </c>
      <c r="O36" s="513">
        <f t="shared" si="3"/>
        <v>0</v>
      </c>
      <c r="P36" s="514">
        <f t="shared" si="4"/>
        <v>0</v>
      </c>
    </row>
    <row r="37" spans="1:21">
      <c r="A37" s="250"/>
      <c r="B37" s="250"/>
      <c r="C37" s="258"/>
      <c r="D37" s="350" t="s">
        <v>6</v>
      </c>
      <c r="E37" s="313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512">
        <f>IF(I$10="Prior",0,(I$11*I$31*I20)*(Assumptions!I57-1))</f>
        <v>0</v>
      </c>
      <c r="J37" s="290">
        <f>IF(J$10="Prior",0,(J$11*J$31*J20)*(Assumptions!J57-1))</f>
        <v>0</v>
      </c>
      <c r="K37" s="290">
        <f>IF(K$10="Prior",0,(K$11*K$31*K20)*(Assumptions!K57-1))</f>
        <v>0</v>
      </c>
      <c r="L37" s="290">
        <f>IF(L$10="Prior",0,(L$11*L$31*L20)*(Assumptions!L57-1))</f>
        <v>0</v>
      </c>
      <c r="M37" s="290">
        <f>IF(M$10="Prior",0,(M$11*M$31*M20)*(Assumptions!M57-1))</f>
        <v>0</v>
      </c>
      <c r="N37" s="346">
        <f>IF(N$10="Prior",0,(N$11*N$31*N20)*(Assumptions!N57-1))</f>
        <v>0</v>
      </c>
      <c r="O37" s="513">
        <f t="shared" si="3"/>
        <v>0</v>
      </c>
      <c r="P37" s="514">
        <f t="shared" si="4"/>
        <v>0</v>
      </c>
    </row>
    <row r="38" spans="1:21">
      <c r="A38" s="250"/>
      <c r="B38" s="250"/>
      <c r="C38" s="258"/>
      <c r="D38" s="350" t="s">
        <v>7</v>
      </c>
      <c r="E38" s="313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512">
        <f>IF(I$10="Prior",0,(I$11*I$31*I21)*(Assumptions!I58-1))</f>
        <v>0</v>
      </c>
      <c r="J38" s="290">
        <f>IF(J$10="Prior",0,(J$11*J$31*J21)*(Assumptions!J58-1))</f>
        <v>0</v>
      </c>
      <c r="K38" s="290">
        <f>IF(K$10="Prior",0,(K$11*K$31*K21)*(Assumptions!K58-1))</f>
        <v>0</v>
      </c>
      <c r="L38" s="290">
        <f>IF(L$10="Prior",0,(L$11*L$31*L21)*(Assumptions!L58-1))</f>
        <v>0</v>
      </c>
      <c r="M38" s="290">
        <f>IF(M$10="Prior",0,(M$11*M$31*M21)*(Assumptions!M58-1))</f>
        <v>0</v>
      </c>
      <c r="N38" s="346">
        <f>IF(N$10="Prior",0,(N$11*N$31*N21)*(Assumptions!N58-1))</f>
        <v>0</v>
      </c>
      <c r="O38" s="513">
        <f t="shared" si="3"/>
        <v>0</v>
      </c>
      <c r="P38" s="514">
        <f t="shared" si="4"/>
        <v>0</v>
      </c>
      <c r="Q38" s="516"/>
      <c r="R38" s="516"/>
      <c r="S38" s="516"/>
      <c r="T38" s="516"/>
    </row>
    <row r="39" spans="1:21">
      <c r="A39" s="250"/>
      <c r="B39" s="250"/>
      <c r="C39" s="258"/>
      <c r="D39" s="350" t="s">
        <v>8</v>
      </c>
      <c r="E39" s="313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512">
        <f>IF(I$10="Prior",0,(I$11*I$31*I22)*(Assumptions!I59-1))</f>
        <v>0</v>
      </c>
      <c r="J39" s="290">
        <f>IF(J$10="Prior",0,(J$11*J$31*J22)*(Assumptions!J59-1))</f>
        <v>0</v>
      </c>
      <c r="K39" s="290">
        <f>IF(K$10="Prior",0,(K$11*K$31*K22)*(Assumptions!K59-1))</f>
        <v>0</v>
      </c>
      <c r="L39" s="290">
        <f>IF(L$10="Prior",0,(L$11*L$31*L22)*(Assumptions!L59-1))</f>
        <v>0</v>
      </c>
      <c r="M39" s="290">
        <f>IF(M$10="Prior",0,(M$11*M$31*M22)*(Assumptions!M59-1))</f>
        <v>0</v>
      </c>
      <c r="N39" s="346">
        <f>IF(N$10="Prior",0,(N$11*N$31*N22)*(Assumptions!N59-1))</f>
        <v>0</v>
      </c>
      <c r="O39" s="513">
        <f t="shared" si="3"/>
        <v>0</v>
      </c>
      <c r="P39" s="514">
        <f t="shared" si="4"/>
        <v>0</v>
      </c>
    </row>
    <row r="40" spans="1:21">
      <c r="A40" s="250"/>
      <c r="B40" s="250"/>
      <c r="C40" s="258"/>
      <c r="D40" s="350" t="s">
        <v>9</v>
      </c>
      <c r="E40" s="313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512">
        <f>IF(I$10="Prior",0,(I$11*I$31*I23)*(Assumptions!I60-1))</f>
        <v>0</v>
      </c>
      <c r="J40" s="290">
        <f>IF(J$10="Prior",0,(J$11*J$31*J23)*(Assumptions!J60-1))</f>
        <v>0</v>
      </c>
      <c r="K40" s="290">
        <f>IF(K$10="Prior",0,(K$11*K$31*K23)*(Assumptions!K60-1))</f>
        <v>0</v>
      </c>
      <c r="L40" s="290">
        <f>IF(L$10="Prior",0,(L$11*L$31*L23)*(Assumptions!L60-1))</f>
        <v>0</v>
      </c>
      <c r="M40" s="290">
        <f>IF(M$10="Prior",0,(M$11*M$31*M23)*(Assumptions!M60-1))</f>
        <v>0</v>
      </c>
      <c r="N40" s="346">
        <f>IF(N$10="Prior",0,(N$11*N$31*N23)*(Assumptions!N60-1))</f>
        <v>0</v>
      </c>
      <c r="O40" s="513">
        <f t="shared" si="3"/>
        <v>0</v>
      </c>
      <c r="P40" s="514">
        <f t="shared" si="4"/>
        <v>0</v>
      </c>
    </row>
    <row r="41" spans="1:21">
      <c r="A41" s="250"/>
      <c r="B41" s="250"/>
      <c r="C41" s="258"/>
      <c r="D41" s="350" t="s">
        <v>10</v>
      </c>
      <c r="E41" s="313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512">
        <f>IF(I$10="Prior",0,(I$11*I$31*I24)*(Assumptions!I61-1))</f>
        <v>0</v>
      </c>
      <c r="J41" s="290">
        <f>IF(J$10="Prior",0,(J$11*J$31*J24)*(Assumptions!J61-1))</f>
        <v>0</v>
      </c>
      <c r="K41" s="290">
        <f>IF(K$10="Prior",0,(K$11*K$31*K24)*(Assumptions!K61-1))</f>
        <v>0</v>
      </c>
      <c r="L41" s="290">
        <f>IF(L$10="Prior",0,(L$11*L$31*L24)*(Assumptions!L61-1))</f>
        <v>0</v>
      </c>
      <c r="M41" s="290">
        <f>IF(M$10="Prior",0,(M$11*M$31*M24)*(Assumptions!M61-1))</f>
        <v>0</v>
      </c>
      <c r="N41" s="346">
        <f>IF(N$10="Prior",0,(N$11*N$31*N24)*(Assumptions!N61-1))</f>
        <v>0</v>
      </c>
      <c r="O41" s="513">
        <f t="shared" si="3"/>
        <v>0</v>
      </c>
      <c r="P41" s="514">
        <f t="shared" si="4"/>
        <v>0</v>
      </c>
      <c r="Q41" s="516"/>
      <c r="R41" s="516"/>
      <c r="S41" s="516"/>
      <c r="T41" s="516"/>
    </row>
    <row r="42" spans="1:21">
      <c r="A42" s="250"/>
      <c r="B42" s="250"/>
      <c r="C42" s="258"/>
      <c r="D42" s="350" t="s">
        <v>11</v>
      </c>
      <c r="E42" s="313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512">
        <f>IF(I$10="Prior",0,(I$11*I$31*I25)*(Assumptions!I62-1))</f>
        <v>0</v>
      </c>
      <c r="J42" s="290">
        <f>IF(J$10="Prior",0,(J$11*J$31*J25)*(Assumptions!J62-1))</f>
        <v>0</v>
      </c>
      <c r="K42" s="290">
        <f>IF(K$10="Prior",0,(K$11*K$31*K25)*(Assumptions!K62-1))</f>
        <v>0</v>
      </c>
      <c r="L42" s="290">
        <f>IF(L$10="Prior",0,(L$11*L$31*L25)*(Assumptions!L62-1))</f>
        <v>0</v>
      </c>
      <c r="M42" s="290">
        <f>IF(M$10="Prior",0,(M$11*M$31*M25)*(Assumptions!M62-1))</f>
        <v>0</v>
      </c>
      <c r="N42" s="346">
        <f>IF(N$10="Prior",0,(N$11*N$31*N25)*(Assumptions!N62-1))</f>
        <v>0</v>
      </c>
      <c r="O42" s="513">
        <f t="shared" si="3"/>
        <v>0</v>
      </c>
      <c r="P42" s="514">
        <f t="shared" si="4"/>
        <v>0</v>
      </c>
    </row>
    <row r="43" spans="1:21">
      <c r="A43" s="250"/>
      <c r="B43" s="250"/>
      <c r="C43" s="258"/>
      <c r="D43" s="350" t="s">
        <v>12</v>
      </c>
      <c r="E43" s="313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512">
        <f>IF(I$10="Prior",0,(I$11*I$31*I26)*(Assumptions!I63-1))</f>
        <v>0</v>
      </c>
      <c r="J43" s="290">
        <f>IF(J$10="Prior",0,(J$11*J$31*J26)*(Assumptions!J63-1))</f>
        <v>0</v>
      </c>
      <c r="K43" s="290">
        <f>IF(K$10="Prior",0,(K$11*K$31*K26)*(Assumptions!K63-1))</f>
        <v>0</v>
      </c>
      <c r="L43" s="290">
        <f>IF(L$10="Prior",0,(L$11*L$31*L26)*(Assumptions!L63-1))</f>
        <v>0</v>
      </c>
      <c r="M43" s="290">
        <f>IF(M$10="Prior",0,(M$11*M$31*M26)*(Assumptions!M63-1))</f>
        <v>0</v>
      </c>
      <c r="N43" s="346">
        <f>IF(N$10="Prior",0,(N$11*N$31*N26)*(Assumptions!N63-1))</f>
        <v>0</v>
      </c>
      <c r="O43" s="513">
        <f t="shared" si="3"/>
        <v>0</v>
      </c>
      <c r="P43" s="514">
        <f t="shared" si="4"/>
        <v>0</v>
      </c>
    </row>
    <row r="44" spans="1:21">
      <c r="A44" s="250"/>
      <c r="B44" s="250"/>
      <c r="C44" s="258"/>
      <c r="D44" s="465" t="s">
        <v>61</v>
      </c>
      <c r="E44" s="517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518">
        <f t="shared" si="5"/>
        <v>0</v>
      </c>
      <c r="J44" s="253">
        <f t="shared" si="5"/>
        <v>0</v>
      </c>
      <c r="K44" s="253">
        <f t="shared" si="5"/>
        <v>0</v>
      </c>
      <c r="L44" s="253">
        <f t="shared" si="5"/>
        <v>0</v>
      </c>
      <c r="M44" s="253">
        <f t="shared" si="5"/>
        <v>0</v>
      </c>
      <c r="N44" s="519">
        <f t="shared" si="5"/>
        <v>0</v>
      </c>
      <c r="O44" s="520">
        <f>SUM(O34:O43)</f>
        <v>0</v>
      </c>
      <c r="P44" s="521">
        <f>SUM(P34:P43)</f>
        <v>0</v>
      </c>
      <c r="Q44" s="516"/>
      <c r="R44" s="516"/>
      <c r="S44" s="516"/>
      <c r="T44" s="516"/>
    </row>
    <row r="45" spans="1:21">
      <c r="A45" s="250"/>
      <c r="B45" s="250"/>
      <c r="C45" s="258"/>
      <c r="D45" s="284"/>
      <c r="E45" s="250"/>
      <c r="F45" s="293"/>
      <c r="G45" s="287"/>
      <c r="H45" s="287"/>
      <c r="I45" s="522"/>
      <c r="J45" s="523"/>
      <c r="K45" s="523"/>
      <c r="L45" s="523"/>
      <c r="M45" s="523"/>
      <c r="N45" s="524"/>
      <c r="O45" s="511"/>
      <c r="P45" s="258"/>
    </row>
    <row r="46" spans="1:21">
      <c r="A46" s="250"/>
      <c r="B46" s="250"/>
      <c r="C46" s="258" t="s">
        <v>165</v>
      </c>
      <c r="D46" s="352" t="s">
        <v>270</v>
      </c>
      <c r="E46" s="250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0</v>
      </c>
      <c r="I46" s="512">
        <f>IF(I$10="Prior",0,(I11*I29)*(Assumptions!I28-1))</f>
        <v>0.42056825851001289</v>
      </c>
      <c r="J46" s="290">
        <f>IF(J$10="Prior",0,(J11*J29)*(Assumptions!J28-1))</f>
        <v>7.6501452212496872</v>
      </c>
      <c r="K46" s="290">
        <f>IF(K$10="Prior",0,(K11*K29)*(Assumptions!K28-1))</f>
        <v>16.755772246165332</v>
      </c>
      <c r="L46" s="290">
        <f>IF(L$10="Prior",0,(L11*L29)*(Assumptions!L28-1))</f>
        <v>13.306284827244012</v>
      </c>
      <c r="M46" s="290">
        <f>IF(M$10="Prior",0,(M11*M29)*(Assumptions!M28-1))</f>
        <v>0</v>
      </c>
      <c r="N46" s="346">
        <f>IF(N$10="Prior",0,(N11*N29)*(Assumptions!N28-1))</f>
        <v>0</v>
      </c>
      <c r="O46" s="294">
        <f t="shared" ref="O46:O47" si="6">SUM(F46:N46)</f>
        <v>38.132770553169046</v>
      </c>
      <c r="P46" s="497">
        <f t="shared" ref="P46:P47" si="7">SUM(I46:M46)</f>
        <v>38.132770553169046</v>
      </c>
    </row>
    <row r="47" spans="1:21">
      <c r="A47" s="250"/>
      <c r="B47" s="250"/>
      <c r="C47" s="258"/>
      <c r="D47" s="352" t="s">
        <v>271</v>
      </c>
      <c r="E47" s="250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0</v>
      </c>
      <c r="I47" s="512">
        <f>IF(I$10="Prior",0,(I11*I30)*(Assumptions!I30-1))</f>
        <v>2.1612729977971892</v>
      </c>
      <c r="J47" s="290">
        <f>IF(J$10="Prior",0,(J11*J30)*(Assumptions!J30-1))</f>
        <v>42.155186628372562</v>
      </c>
      <c r="K47" s="290">
        <f>IF(K$10="Prior",0,(K11*K30)*(Assumptions!K30-1))</f>
        <v>94.596389489461544</v>
      </c>
      <c r="L47" s="290">
        <f>IF(L$10="Prior",0,(L11*L30)*(Assumptions!L30-1))</f>
        <v>76.370295371154739</v>
      </c>
      <c r="M47" s="290">
        <f>IF(M$10="Prior",0,(M11*M30)*(Assumptions!M30-1))</f>
        <v>0</v>
      </c>
      <c r="N47" s="346">
        <f>IF(N$10="Prior",0,(N11*N30)*(Assumptions!N30-1))</f>
        <v>0</v>
      </c>
      <c r="O47" s="294">
        <f t="shared" si="6"/>
        <v>215.28314448678606</v>
      </c>
      <c r="P47" s="497">
        <f t="shared" si="7"/>
        <v>215.28314448678606</v>
      </c>
    </row>
    <row r="48" spans="1:21">
      <c r="A48" s="250"/>
      <c r="B48" s="250"/>
      <c r="C48" s="258"/>
      <c r="D48" s="465" t="s">
        <v>273</v>
      </c>
      <c r="E48" s="525"/>
      <c r="F48" s="292">
        <f>SUM(F46:F47)</f>
        <v>0</v>
      </c>
      <c r="G48" s="253">
        <f t="shared" ref="G48:N48" si="8">SUM(G46:G47)</f>
        <v>0</v>
      </c>
      <c r="H48" s="253">
        <f t="shared" si="8"/>
        <v>0</v>
      </c>
      <c r="I48" s="518">
        <f t="shared" si="8"/>
        <v>2.581841256307202</v>
      </c>
      <c r="J48" s="253">
        <f t="shared" si="8"/>
        <v>49.805331849622249</v>
      </c>
      <c r="K48" s="253">
        <f t="shared" si="8"/>
        <v>111.35216173562688</v>
      </c>
      <c r="L48" s="253">
        <f t="shared" si="8"/>
        <v>89.676580198398753</v>
      </c>
      <c r="M48" s="253">
        <f t="shared" si="8"/>
        <v>0</v>
      </c>
      <c r="N48" s="519">
        <f t="shared" si="8"/>
        <v>0</v>
      </c>
      <c r="O48" s="520">
        <f>SUM(O46:O47)</f>
        <v>253.41591503995511</v>
      </c>
      <c r="P48" s="526">
        <f>SUM(P46:P47)</f>
        <v>253.41591503995511</v>
      </c>
    </row>
    <row r="49" spans="1:18">
      <c r="A49" s="250"/>
      <c r="B49" s="250"/>
      <c r="C49" s="439"/>
      <c r="D49" s="465" t="s">
        <v>60</v>
      </c>
      <c r="E49" s="525"/>
      <c r="F49" s="292">
        <f t="shared" ref="F49:N49" si="9">F44+F48</f>
        <v>0</v>
      </c>
      <c r="G49" s="253">
        <f t="shared" si="9"/>
        <v>0</v>
      </c>
      <c r="H49" s="253">
        <f t="shared" si="9"/>
        <v>0</v>
      </c>
      <c r="I49" s="518">
        <f t="shared" si="9"/>
        <v>2.581841256307202</v>
      </c>
      <c r="J49" s="253">
        <f t="shared" si="9"/>
        <v>49.805331849622249</v>
      </c>
      <c r="K49" s="253">
        <f t="shared" si="9"/>
        <v>111.35216173562688</v>
      </c>
      <c r="L49" s="253">
        <f t="shared" si="9"/>
        <v>89.676580198398753</v>
      </c>
      <c r="M49" s="253">
        <f t="shared" si="9"/>
        <v>0</v>
      </c>
      <c r="N49" s="519">
        <f t="shared" si="9"/>
        <v>0</v>
      </c>
      <c r="O49" s="520">
        <f>O44+O48</f>
        <v>253.41591503995511</v>
      </c>
      <c r="P49" s="521">
        <f>P44+P48</f>
        <v>253.41591503995511</v>
      </c>
    </row>
    <row r="50" spans="1:18">
      <c r="A50" s="250"/>
      <c r="B50" s="250"/>
      <c r="C50" s="260"/>
      <c r="D50" s="386" t="s">
        <v>283</v>
      </c>
      <c r="E50" s="527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0</v>
      </c>
      <c r="I50" s="528">
        <f t="shared" si="10"/>
        <v>1.2685809181843744E-2</v>
      </c>
      <c r="J50" s="441">
        <f t="shared" si="10"/>
        <v>1.8835754243782789E-2</v>
      </c>
      <c r="K50" s="441">
        <f t="shared" si="10"/>
        <v>2.4885316726972119E-2</v>
      </c>
      <c r="L50" s="441">
        <f t="shared" si="10"/>
        <v>3.1494264649851327E-2</v>
      </c>
      <c r="M50" s="441">
        <f t="shared" si="10"/>
        <v>0</v>
      </c>
      <c r="N50" s="529">
        <f t="shared" si="10"/>
        <v>0</v>
      </c>
      <c r="O50" s="529">
        <f t="shared" si="10"/>
        <v>2.4918671806102344E-2</v>
      </c>
      <c r="P50" s="529">
        <f t="shared" si="10"/>
        <v>2.4918671806102344E-2</v>
      </c>
    </row>
    <row r="51" spans="1:18">
      <c r="A51" s="250"/>
      <c r="B51" s="250"/>
      <c r="C51" s="310" t="s">
        <v>277</v>
      </c>
      <c r="D51" s="353" t="s">
        <v>17</v>
      </c>
      <c r="E51" s="530"/>
      <c r="F51" s="343">
        <f>(F29*F$11+F46)*Assumptions!$G$21</f>
        <v>0</v>
      </c>
      <c r="G51" s="344">
        <f>(G29*G$11+G46)*Assumptions!$G$21</f>
        <v>0</v>
      </c>
      <c r="H51" s="344">
        <f>(H29*H$11+H46)*Assumptions!$G$21</f>
        <v>0</v>
      </c>
      <c r="I51" s="531">
        <f>(I29*I$11+I46)*Assumptions!$G$21</f>
        <v>21.124187270402096</v>
      </c>
      <c r="J51" s="344">
        <f>(J29*J$11+J46)*Assumptions!$G$21</f>
        <v>276.6719204223611</v>
      </c>
      <c r="K51" s="344">
        <f>(K29*K$11+K46)*Assumptions!$G$21</f>
        <v>472.07036858115686</v>
      </c>
      <c r="L51" s="344">
        <f>(L29*L$11+L46)*Assumptions!$G$21</f>
        <v>303.08781107432145</v>
      </c>
      <c r="M51" s="344">
        <f>(M29*M$11+M46)*Assumptions!$G$21</f>
        <v>0</v>
      </c>
      <c r="N51" s="345">
        <f>(N29*N$11+N46)*Assumptions!$G$21</f>
        <v>0</v>
      </c>
      <c r="O51" s="532">
        <f t="shared" ref="O51:O53" si="11">SUM(F51:N51)</f>
        <v>1072.9542873482415</v>
      </c>
      <c r="P51" s="533">
        <f>SUM(I51:M51)</f>
        <v>1072.9542873482415</v>
      </c>
    </row>
    <row r="52" spans="1:18">
      <c r="A52" s="250"/>
      <c r="B52" s="250"/>
      <c r="C52" s="258" t="s">
        <v>25</v>
      </c>
      <c r="D52" s="350" t="s">
        <v>19</v>
      </c>
      <c r="E52" s="313"/>
      <c r="F52" s="294">
        <f>(F30*F$11+F47)*Assumptions!$G$21</f>
        <v>0</v>
      </c>
      <c r="G52" s="290">
        <f>(G30*G$11+G47)*Assumptions!$G$21</f>
        <v>0</v>
      </c>
      <c r="H52" s="290">
        <f>(H30*H$11+H47)*Assumptions!$G$21</f>
        <v>0</v>
      </c>
      <c r="I52" s="512">
        <f>(I30*I$11+I47)*Assumptions!$G$21</f>
        <v>105.68035656354938</v>
      </c>
      <c r="J52" s="290">
        <f>(J30*J$11+J47)*Assumptions!$G$21</f>
        <v>1387.3301155374991</v>
      </c>
      <c r="K52" s="290">
        <f>(K30*K$11+K47)*Assumptions!$G$21</f>
        <v>2371.3523744620275</v>
      </c>
      <c r="L52" s="290">
        <f>(L30*L$11+L47)*Assumptions!$G$21</f>
        <v>1525.4443736763058</v>
      </c>
      <c r="M52" s="290">
        <f>(M30*M$11+M47)*Assumptions!$G$21</f>
        <v>0</v>
      </c>
      <c r="N52" s="346">
        <f>(N30*N$11+N47)*Assumptions!$G$21</f>
        <v>0</v>
      </c>
      <c r="O52" s="534">
        <f t="shared" si="11"/>
        <v>5389.8072202393814</v>
      </c>
      <c r="P52" s="535">
        <f>SUM(I52:M52)</f>
        <v>5389.8072202393814</v>
      </c>
    </row>
    <row r="53" spans="1:18">
      <c r="A53" s="250"/>
      <c r="B53" s="250"/>
      <c r="C53" s="258"/>
      <c r="D53" s="350" t="s">
        <v>18</v>
      </c>
      <c r="E53" s="313"/>
      <c r="F53" s="294">
        <f>(F31*F$11+F$44)*Assumptions!$G$21</f>
        <v>0</v>
      </c>
      <c r="G53" s="290">
        <f>(G31*G$11+G$44)*Assumptions!$G$21</f>
        <v>0</v>
      </c>
      <c r="H53" s="290">
        <f>(H31*H$11+H$44)*Assumptions!$G$21</f>
        <v>0</v>
      </c>
      <c r="I53" s="512">
        <f>(I31*I$11+I$44)*Assumptions!$G$21</f>
        <v>82.786016541353376</v>
      </c>
      <c r="J53" s="290">
        <f>(J31*J$11+J$44)*Assumptions!$G$21</f>
        <v>1075.5694218045114</v>
      </c>
      <c r="K53" s="290">
        <f>(K31*K$11+K$44)*Assumptions!$G$21</f>
        <v>1820.1245360902253</v>
      </c>
      <c r="L53" s="290">
        <f>(L31*L$11+L$44)*Assumptions!$G$21</f>
        <v>1158.2256796992481</v>
      </c>
      <c r="M53" s="290">
        <f>(M31*M$11+M$44)*Assumptions!$G$21</f>
        <v>0</v>
      </c>
      <c r="N53" s="346">
        <f>(N31*N$11+N$44)*Assumptions!$G$21</f>
        <v>0</v>
      </c>
      <c r="O53" s="534">
        <f t="shared" si="11"/>
        <v>4136.7056541353377</v>
      </c>
      <c r="P53" s="535">
        <f>SUM(I53:M53)</f>
        <v>4136.7056541353377</v>
      </c>
    </row>
    <row r="54" spans="1:18">
      <c r="A54" s="250"/>
      <c r="B54" s="250"/>
      <c r="C54" s="536"/>
      <c r="D54" s="537" t="str">
        <f>"Total Direct - As Incurred "&amp;Assumptions!$C$8</f>
        <v>Total Direct - As Incurred $ Mar 2017</v>
      </c>
      <c r="E54" s="517"/>
      <c r="F54" s="292">
        <f t="shared" ref="F54:P54" si="12">+SUM(F51:F53)</f>
        <v>0</v>
      </c>
      <c r="G54" s="253">
        <f t="shared" si="12"/>
        <v>0</v>
      </c>
      <c r="H54" s="253">
        <f t="shared" si="12"/>
        <v>0</v>
      </c>
      <c r="I54" s="411">
        <f t="shared" si="12"/>
        <v>209.59056037530485</v>
      </c>
      <c r="J54" s="382">
        <f t="shared" si="12"/>
        <v>2739.5714577643716</v>
      </c>
      <c r="K54" s="382">
        <f t="shared" si="12"/>
        <v>4663.5472791334096</v>
      </c>
      <c r="L54" s="382">
        <f t="shared" si="12"/>
        <v>2986.7578644498753</v>
      </c>
      <c r="M54" s="382">
        <f t="shared" si="12"/>
        <v>0</v>
      </c>
      <c r="N54" s="286">
        <f t="shared" si="12"/>
        <v>0</v>
      </c>
      <c r="O54" s="372">
        <f t="shared" si="12"/>
        <v>10599.467161722961</v>
      </c>
      <c r="P54" s="428">
        <f t="shared" si="12"/>
        <v>10599.467161722961</v>
      </c>
      <c r="R54" s="616" t="str">
        <f>IF(ROUND(O11*(1+O50)*Assumptions!$G$21,0)-ROUND(O54,0)&lt;&gt;0,"Error","ok")</f>
        <v>ok</v>
      </c>
    </row>
    <row r="55" spans="1:18">
      <c r="A55" s="250"/>
      <c r="B55" s="250"/>
      <c r="C55" s="257"/>
      <c r="D55" s="302"/>
      <c r="E55" s="510"/>
      <c r="F55" s="296"/>
      <c r="G55" s="297"/>
      <c r="H55" s="395"/>
      <c r="I55" s="412"/>
      <c r="J55" s="303"/>
      <c r="K55" s="303"/>
      <c r="L55" s="303"/>
      <c r="M55" s="303"/>
      <c r="N55" s="304"/>
      <c r="O55" s="511"/>
      <c r="P55" s="258"/>
    </row>
    <row r="56" spans="1:18">
      <c r="A56" s="250"/>
      <c r="B56" s="250"/>
      <c r="C56" s="258" t="s">
        <v>274</v>
      </c>
      <c r="D56" s="350" t="s">
        <v>272</v>
      </c>
      <c r="E56" s="506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511"/>
      <c r="P56" s="538"/>
    </row>
    <row r="57" spans="1:18">
      <c r="A57" s="250"/>
      <c r="B57" s="250"/>
      <c r="C57" s="258"/>
      <c r="D57" s="350" t="s">
        <v>267</v>
      </c>
      <c r="E57" s="506"/>
      <c r="F57" s="294">
        <f>F54*F56</f>
        <v>0</v>
      </c>
      <c r="G57" s="290">
        <f t="shared" ref="G57:N57" si="13">G54*G56</f>
        <v>0</v>
      </c>
      <c r="H57" s="290">
        <f t="shared" si="13"/>
        <v>0</v>
      </c>
      <c r="I57" s="512">
        <f t="shared" si="13"/>
        <v>18.483085701314035</v>
      </c>
      <c r="J57" s="290">
        <f t="shared" si="13"/>
        <v>329.56945355810456</v>
      </c>
      <c r="K57" s="290">
        <f t="shared" si="13"/>
        <v>608.50460327797657</v>
      </c>
      <c r="L57" s="290">
        <f t="shared" si="13"/>
        <v>352.16983421489681</v>
      </c>
      <c r="M57" s="290">
        <f t="shared" si="13"/>
        <v>0</v>
      </c>
      <c r="N57" s="346">
        <f t="shared" si="13"/>
        <v>0</v>
      </c>
      <c r="O57" s="294">
        <f>SUM(F57:N57)</f>
        <v>1308.7269767522921</v>
      </c>
      <c r="P57" s="497">
        <f>SUM(I57:M57)</f>
        <v>1308.7269767522921</v>
      </c>
    </row>
    <row r="58" spans="1:18">
      <c r="A58" s="250"/>
      <c r="B58" s="250"/>
      <c r="C58" s="259"/>
      <c r="D58" s="305"/>
      <c r="E58" s="312"/>
      <c r="F58" s="511"/>
      <c r="G58" s="250"/>
      <c r="H58" s="250"/>
      <c r="I58" s="539"/>
      <c r="J58" s="250"/>
      <c r="K58" s="250"/>
      <c r="L58" s="250"/>
      <c r="M58" s="250"/>
      <c r="N58" s="454"/>
      <c r="O58" s="511"/>
      <c r="P58" s="258"/>
    </row>
    <row r="59" spans="1:18">
      <c r="A59" s="250"/>
      <c r="B59" s="250"/>
      <c r="C59" s="536"/>
      <c r="D59" s="537" t="str">
        <f>"Total incl Overhead - As Incurred "&amp;Assumptions!$C$8</f>
        <v>Total incl Overhead - As Incurred $ Mar 2017</v>
      </c>
      <c r="E59" s="517"/>
      <c r="F59" s="292">
        <f t="shared" ref="F59:M59" si="14">F54+F57</f>
        <v>0</v>
      </c>
      <c r="G59" s="253">
        <f t="shared" si="14"/>
        <v>0</v>
      </c>
      <c r="H59" s="253">
        <f t="shared" si="14"/>
        <v>0</v>
      </c>
      <c r="I59" s="411">
        <f t="shared" si="14"/>
        <v>228.07364607661887</v>
      </c>
      <c r="J59" s="382">
        <f t="shared" si="14"/>
        <v>3069.1409113224763</v>
      </c>
      <c r="K59" s="382">
        <f t="shared" si="14"/>
        <v>5272.051882411386</v>
      </c>
      <c r="L59" s="382">
        <f t="shared" si="14"/>
        <v>3338.9276986647719</v>
      </c>
      <c r="M59" s="382">
        <f t="shared" si="14"/>
        <v>0</v>
      </c>
      <c r="N59" s="418">
        <f>N54+N57</f>
        <v>0</v>
      </c>
      <c r="O59" s="419">
        <f t="shared" ref="O59:P59" si="15">O54+O57</f>
        <v>11908.194138475254</v>
      </c>
      <c r="P59" s="429">
        <f t="shared" si="15"/>
        <v>11908.194138475254</v>
      </c>
    </row>
    <row r="60" spans="1:18" hidden="1" outlineLevel="1">
      <c r="A60" s="250"/>
      <c r="B60" s="250"/>
      <c r="C60" s="250"/>
      <c r="D60" s="313" t="s">
        <v>263</v>
      </c>
      <c r="E60" s="313"/>
      <c r="F60" s="290">
        <f>F57</f>
        <v>0</v>
      </c>
      <c r="G60" s="290">
        <f t="shared" ref="G60:N60" si="16">G57+F60</f>
        <v>0</v>
      </c>
      <c r="H60" s="290">
        <f t="shared" si="16"/>
        <v>0</v>
      </c>
      <c r="I60" s="290">
        <f t="shared" si="16"/>
        <v>18.483085701314035</v>
      </c>
      <c r="J60" s="290">
        <f t="shared" si="16"/>
        <v>348.05253925941861</v>
      </c>
      <c r="K60" s="290">
        <f t="shared" si="16"/>
        <v>956.55714253739518</v>
      </c>
      <c r="L60" s="290">
        <f t="shared" si="16"/>
        <v>1308.7269767522921</v>
      </c>
      <c r="M60" s="290">
        <f t="shared" si="16"/>
        <v>1308.7269767522921</v>
      </c>
      <c r="N60" s="290">
        <f t="shared" si="16"/>
        <v>1308.7269767522921</v>
      </c>
    </row>
    <row r="61" spans="1:18" hidden="1" outlineLevel="1" collapsed="1">
      <c r="A61" s="250"/>
      <c r="B61" s="250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0</v>
      </c>
      <c r="I61" s="252">
        <f t="shared" si="17"/>
        <v>2.581841256307202</v>
      </c>
      <c r="J61" s="252">
        <f t="shared" si="17"/>
        <v>52.387173105929449</v>
      </c>
      <c r="K61" s="252">
        <f t="shared" si="17"/>
        <v>163.73933484155634</v>
      </c>
      <c r="L61" s="252">
        <f t="shared" si="17"/>
        <v>253.41591503995511</v>
      </c>
      <c r="M61" s="252">
        <f t="shared" si="17"/>
        <v>253.41591503995511</v>
      </c>
      <c r="N61" s="252">
        <f t="shared" si="17"/>
        <v>253.41591503995511</v>
      </c>
    </row>
    <row r="62" spans="1:18" collapsed="1">
      <c r="A62" s="250"/>
      <c r="B62" s="250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  <c r="P62" s="248"/>
    </row>
    <row r="63" spans="1:18">
      <c r="A63" s="250"/>
      <c r="B63" s="250"/>
      <c r="C63" s="540" t="s">
        <v>275</v>
      </c>
      <c r="D63" s="541"/>
      <c r="E63" s="541"/>
      <c r="F63" s="542"/>
      <c r="G63" s="542"/>
      <c r="H63" s="542"/>
      <c r="I63" s="542"/>
      <c r="J63" s="542"/>
      <c r="K63" s="542"/>
      <c r="L63" s="542"/>
      <c r="M63" s="542"/>
      <c r="N63" s="542"/>
      <c r="O63" s="543"/>
      <c r="P63" s="544"/>
    </row>
    <row r="64" spans="1:18">
      <c r="A64" s="250"/>
      <c r="B64" s="250"/>
      <c r="C64" s="257" t="s">
        <v>23</v>
      </c>
      <c r="D64" s="353" t="s">
        <v>3</v>
      </c>
      <c r="E64" s="530"/>
      <c r="F64" s="343">
        <f t="shared" ref="F64:N64" si="18">F$59*F17</f>
        <v>0</v>
      </c>
      <c r="G64" s="344">
        <f t="shared" si="18"/>
        <v>0</v>
      </c>
      <c r="H64" s="344">
        <f t="shared" si="18"/>
        <v>0</v>
      </c>
      <c r="I64" s="415">
        <f t="shared" si="18"/>
        <v>29.793985787890829</v>
      </c>
      <c r="J64" s="380">
        <f t="shared" si="18"/>
        <v>400.93163881923141</v>
      </c>
      <c r="K64" s="380">
        <f t="shared" si="18"/>
        <v>688.70490545330313</v>
      </c>
      <c r="L64" s="380">
        <f t="shared" si="18"/>
        <v>436.17474492162074</v>
      </c>
      <c r="M64" s="380">
        <f t="shared" si="18"/>
        <v>0</v>
      </c>
      <c r="N64" s="345">
        <f t="shared" si="18"/>
        <v>0</v>
      </c>
      <c r="O64" s="532">
        <f>SUM(F64:N64)</f>
        <v>1555.605274982046</v>
      </c>
      <c r="P64" s="430">
        <f>SUM(I64:M64)</f>
        <v>1555.605274982046</v>
      </c>
    </row>
    <row r="65" spans="1:16">
      <c r="A65" s="250"/>
      <c r="B65" s="250"/>
      <c r="C65" s="258" t="s">
        <v>24</v>
      </c>
      <c r="D65" s="350" t="s">
        <v>4</v>
      </c>
      <c r="E65" s="313"/>
      <c r="F65" s="294">
        <f t="shared" ref="F65:N65" si="19">F$59*F18</f>
        <v>0</v>
      </c>
      <c r="G65" s="290">
        <f t="shared" si="19"/>
        <v>0</v>
      </c>
      <c r="H65" s="290">
        <f t="shared" si="19"/>
        <v>0</v>
      </c>
      <c r="I65" s="416">
        <f t="shared" si="19"/>
        <v>93.401742949831942</v>
      </c>
      <c r="J65" s="381">
        <f t="shared" si="19"/>
        <v>1256.8883578063794</v>
      </c>
      <c r="K65" s="381">
        <f t="shared" si="19"/>
        <v>2159.0343435547265</v>
      </c>
      <c r="L65" s="381">
        <f t="shared" si="19"/>
        <v>1367.3726535418932</v>
      </c>
      <c r="M65" s="381">
        <f t="shared" si="19"/>
        <v>0</v>
      </c>
      <c r="N65" s="346">
        <f t="shared" si="19"/>
        <v>0</v>
      </c>
      <c r="O65" s="534">
        <f t="shared" ref="O65:O73" si="20">SUM(F65:N65)</f>
        <v>4876.6970978528316</v>
      </c>
      <c r="P65" s="431">
        <f t="shared" ref="P65:P73" si="21">SUM(I65:M65)</f>
        <v>4876.6970978528316</v>
      </c>
    </row>
    <row r="66" spans="1:16">
      <c r="A66" s="250"/>
      <c r="B66" s="250"/>
      <c r="C66" s="258" t="s">
        <v>25</v>
      </c>
      <c r="D66" s="350" t="s">
        <v>5</v>
      </c>
      <c r="E66" s="313"/>
      <c r="F66" s="294">
        <f t="shared" ref="F66:N66" si="22">F$59*F19</f>
        <v>0</v>
      </c>
      <c r="G66" s="290">
        <f t="shared" si="22"/>
        <v>0</v>
      </c>
      <c r="H66" s="290">
        <f t="shared" si="22"/>
        <v>0</v>
      </c>
      <c r="I66" s="416">
        <f t="shared" si="22"/>
        <v>74.991993053694003</v>
      </c>
      <c r="J66" s="381">
        <f t="shared" si="22"/>
        <v>1009.1520781203416</v>
      </c>
      <c r="K66" s="381">
        <f t="shared" si="22"/>
        <v>1733.4825173606055</v>
      </c>
      <c r="L66" s="381">
        <f t="shared" si="22"/>
        <v>1097.8596040900679</v>
      </c>
      <c r="M66" s="381">
        <f t="shared" si="22"/>
        <v>0</v>
      </c>
      <c r="N66" s="346">
        <f t="shared" si="22"/>
        <v>0</v>
      </c>
      <c r="O66" s="534">
        <f t="shared" si="20"/>
        <v>3915.486192624709</v>
      </c>
      <c r="P66" s="431">
        <f t="shared" si="21"/>
        <v>3915.486192624709</v>
      </c>
    </row>
    <row r="67" spans="1:16">
      <c r="A67" s="250"/>
      <c r="B67" s="250"/>
      <c r="C67" s="258"/>
      <c r="D67" s="350" t="s">
        <v>6</v>
      </c>
      <c r="E67" s="313"/>
      <c r="F67" s="294">
        <f t="shared" ref="F67:N67" si="23">F$59*F20</f>
        <v>0</v>
      </c>
      <c r="G67" s="290">
        <f t="shared" si="23"/>
        <v>0</v>
      </c>
      <c r="H67" s="290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346">
        <f t="shared" si="23"/>
        <v>0</v>
      </c>
      <c r="O67" s="534">
        <f t="shared" si="20"/>
        <v>0</v>
      </c>
      <c r="P67" s="431">
        <f t="shared" si="21"/>
        <v>0</v>
      </c>
    </row>
    <row r="68" spans="1:16">
      <c r="A68" s="250"/>
      <c r="B68" s="250"/>
      <c r="C68" s="258"/>
      <c r="D68" s="350" t="s">
        <v>7</v>
      </c>
      <c r="E68" s="313"/>
      <c r="F68" s="294">
        <f t="shared" ref="F68:N68" si="24">F$59*F21</f>
        <v>0</v>
      </c>
      <c r="G68" s="290">
        <f t="shared" si="24"/>
        <v>0</v>
      </c>
      <c r="H68" s="290">
        <f t="shared" si="24"/>
        <v>0</v>
      </c>
      <c r="I68" s="416">
        <f t="shared" si="24"/>
        <v>3.2311247851530158</v>
      </c>
      <c r="J68" s="381">
        <f t="shared" si="24"/>
        <v>43.48059251163869</v>
      </c>
      <c r="K68" s="381">
        <f t="shared" si="24"/>
        <v>74.689284794217016</v>
      </c>
      <c r="L68" s="381">
        <f t="shared" si="24"/>
        <v>47.302668364258921</v>
      </c>
      <c r="M68" s="381">
        <f t="shared" si="24"/>
        <v>0</v>
      </c>
      <c r="N68" s="346">
        <f t="shared" si="24"/>
        <v>0</v>
      </c>
      <c r="O68" s="534">
        <f t="shared" si="20"/>
        <v>168.70367045526763</v>
      </c>
      <c r="P68" s="431">
        <f t="shared" si="21"/>
        <v>168.70367045526763</v>
      </c>
    </row>
    <row r="69" spans="1:16">
      <c r="A69" s="250"/>
      <c r="B69" s="250"/>
      <c r="C69" s="258"/>
      <c r="D69" s="350" t="s">
        <v>8</v>
      </c>
      <c r="E69" s="313"/>
      <c r="F69" s="294">
        <f t="shared" ref="F69:N69" si="25">F$59*F22</f>
        <v>0</v>
      </c>
      <c r="G69" s="290">
        <f t="shared" si="25"/>
        <v>0</v>
      </c>
      <c r="H69" s="290">
        <f t="shared" si="25"/>
        <v>0</v>
      </c>
      <c r="I69" s="416">
        <f t="shared" si="25"/>
        <v>25.895345362157435</v>
      </c>
      <c r="J69" s="381">
        <f t="shared" si="25"/>
        <v>348.46842338427336</v>
      </c>
      <c r="K69" s="381">
        <f t="shared" si="25"/>
        <v>598.58561745617953</v>
      </c>
      <c r="L69" s="381">
        <f t="shared" si="25"/>
        <v>379.09985385664243</v>
      </c>
      <c r="M69" s="381">
        <f t="shared" si="25"/>
        <v>0</v>
      </c>
      <c r="N69" s="346">
        <f t="shared" si="25"/>
        <v>0</v>
      </c>
      <c r="O69" s="534">
        <f t="shared" si="20"/>
        <v>1352.049240059253</v>
      </c>
      <c r="P69" s="431">
        <f t="shared" si="21"/>
        <v>1352.049240059253</v>
      </c>
    </row>
    <row r="70" spans="1:16">
      <c r="A70" s="250"/>
      <c r="B70" s="250"/>
      <c r="C70" s="258"/>
      <c r="D70" s="350" t="s">
        <v>9</v>
      </c>
      <c r="E70" s="313"/>
      <c r="F70" s="294">
        <f t="shared" ref="F70:N70" si="26">F$59*F23</f>
        <v>0</v>
      </c>
      <c r="G70" s="290">
        <f t="shared" si="26"/>
        <v>0</v>
      </c>
      <c r="H70" s="290">
        <f t="shared" si="26"/>
        <v>0</v>
      </c>
      <c r="I70" s="416">
        <f t="shared" si="26"/>
        <v>0.75945413789165706</v>
      </c>
      <c r="J70" s="381">
        <f t="shared" si="26"/>
        <v>10.219820680612065</v>
      </c>
      <c r="K70" s="381">
        <f t="shared" si="26"/>
        <v>17.555213792354451</v>
      </c>
      <c r="L70" s="381">
        <f t="shared" si="26"/>
        <v>11.118173890288785</v>
      </c>
      <c r="M70" s="381">
        <f t="shared" si="26"/>
        <v>0</v>
      </c>
      <c r="N70" s="346">
        <f t="shared" si="26"/>
        <v>0</v>
      </c>
      <c r="O70" s="534">
        <f t="shared" si="20"/>
        <v>39.652662501146956</v>
      </c>
      <c r="P70" s="431">
        <f t="shared" si="21"/>
        <v>39.652662501146956</v>
      </c>
    </row>
    <row r="71" spans="1:16">
      <c r="A71" s="250"/>
      <c r="B71" s="250"/>
      <c r="C71" s="258"/>
      <c r="D71" s="350" t="s">
        <v>10</v>
      </c>
      <c r="E71" s="313"/>
      <c r="F71" s="294">
        <f t="shared" ref="F71:N71" si="27">F$59*F24</f>
        <v>0</v>
      </c>
      <c r="G71" s="290">
        <f t="shared" si="27"/>
        <v>0</v>
      </c>
      <c r="H71" s="290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346">
        <f t="shared" si="27"/>
        <v>0</v>
      </c>
      <c r="O71" s="534">
        <f t="shared" si="20"/>
        <v>0</v>
      </c>
      <c r="P71" s="431">
        <f t="shared" si="21"/>
        <v>0</v>
      </c>
    </row>
    <row r="72" spans="1:16">
      <c r="A72" s="250"/>
      <c r="B72" s="250"/>
      <c r="C72" s="258"/>
      <c r="D72" s="350" t="s">
        <v>11</v>
      </c>
      <c r="E72" s="313"/>
      <c r="F72" s="294">
        <f t="shared" ref="F72:N72" si="28">F$59*F25</f>
        <v>0</v>
      </c>
      <c r="G72" s="290">
        <f t="shared" si="28"/>
        <v>0</v>
      </c>
      <c r="H72" s="290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346">
        <f t="shared" si="28"/>
        <v>0</v>
      </c>
      <c r="O72" s="534">
        <f t="shared" si="20"/>
        <v>0</v>
      </c>
      <c r="P72" s="431">
        <f t="shared" si="21"/>
        <v>0</v>
      </c>
    </row>
    <row r="73" spans="1:16">
      <c r="A73" s="250"/>
      <c r="B73" s="250"/>
      <c r="C73" s="259"/>
      <c r="D73" s="354" t="s">
        <v>12</v>
      </c>
      <c r="E73" s="546"/>
      <c r="F73" s="294">
        <f t="shared" ref="F73:N73" si="29">F$59*F26</f>
        <v>0</v>
      </c>
      <c r="G73" s="290">
        <f t="shared" si="29"/>
        <v>0</v>
      </c>
      <c r="H73" s="290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346">
        <f t="shared" si="29"/>
        <v>0</v>
      </c>
      <c r="O73" s="534">
        <f t="shared" si="20"/>
        <v>0</v>
      </c>
      <c r="P73" s="431">
        <f t="shared" si="21"/>
        <v>0</v>
      </c>
    </row>
    <row r="74" spans="1:16">
      <c r="A74" s="250"/>
      <c r="B74" s="250"/>
      <c r="C74" s="536"/>
      <c r="D74" s="537" t="str">
        <f>"Total incl Overhead - As Incurred "&amp;Assumptions!$C$8</f>
        <v>Total incl Overhead - As Incurred $ Mar 2017</v>
      </c>
      <c r="E74" s="517"/>
      <c r="F74" s="292">
        <f>+SUM(F64:F73)</f>
        <v>0</v>
      </c>
      <c r="G74" s="253">
        <f t="shared" ref="G74:N74" si="30">+SUM(G64:G73)</f>
        <v>0</v>
      </c>
      <c r="H74" s="253">
        <f t="shared" si="30"/>
        <v>0</v>
      </c>
      <c r="I74" s="411">
        <f t="shared" si="30"/>
        <v>228.07364607661887</v>
      </c>
      <c r="J74" s="382">
        <f t="shared" si="30"/>
        <v>3069.1409113224768</v>
      </c>
      <c r="K74" s="382">
        <f t="shared" si="30"/>
        <v>5272.051882411386</v>
      </c>
      <c r="L74" s="382">
        <f t="shared" si="30"/>
        <v>3338.9276986647719</v>
      </c>
      <c r="M74" s="382">
        <f t="shared" si="30"/>
        <v>0</v>
      </c>
      <c r="N74" s="519">
        <f t="shared" si="30"/>
        <v>0</v>
      </c>
      <c r="O74" s="292">
        <f>SUM(O64:O73)</f>
        <v>11908.194138475254</v>
      </c>
      <c r="P74" s="428">
        <f>SUM(P64:P73)</f>
        <v>11908.194138475254</v>
      </c>
    </row>
    <row r="75" spans="1:16">
      <c r="B75" s="250"/>
      <c r="E75" s="547" t="s">
        <v>50</v>
      </c>
      <c r="F75" s="548">
        <f>F74-F59</f>
        <v>0</v>
      </c>
      <c r="G75" s="548">
        <f t="shared" ref="G75:P75" si="31">G74-G59</f>
        <v>0</v>
      </c>
      <c r="H75" s="548">
        <f t="shared" si="31"/>
        <v>0</v>
      </c>
      <c r="I75" s="548">
        <f t="shared" si="31"/>
        <v>0</v>
      </c>
      <c r="J75" s="548">
        <f t="shared" si="31"/>
        <v>0</v>
      </c>
      <c r="K75" s="548">
        <f t="shared" si="31"/>
        <v>0</v>
      </c>
      <c r="L75" s="548">
        <f t="shared" si="31"/>
        <v>0</v>
      </c>
      <c r="M75" s="548">
        <f t="shared" si="31"/>
        <v>0</v>
      </c>
      <c r="N75" s="548">
        <f t="shared" si="31"/>
        <v>0</v>
      </c>
      <c r="O75" s="548">
        <f t="shared" si="31"/>
        <v>0</v>
      </c>
      <c r="P75" s="548">
        <f t="shared" si="31"/>
        <v>0</v>
      </c>
    </row>
    <row r="76" spans="1:16" hidden="1" outlineLevel="1">
      <c r="A76" s="250"/>
      <c r="B76" s="250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344">
        <f t="shared" ref="F76:N76" si="32">F14</f>
        <v>0</v>
      </c>
      <c r="G76" s="344">
        <f t="shared" si="32"/>
        <v>0</v>
      </c>
      <c r="H76" s="344">
        <f t="shared" si="32"/>
        <v>0</v>
      </c>
      <c r="I76" s="531">
        <f t="shared" si="32"/>
        <v>0</v>
      </c>
      <c r="J76" s="344">
        <f t="shared" si="32"/>
        <v>0</v>
      </c>
      <c r="K76" s="344">
        <f t="shared" si="32"/>
        <v>0</v>
      </c>
      <c r="L76" s="344">
        <f t="shared" si="32"/>
        <v>10169.719999999999</v>
      </c>
      <c r="M76" s="344">
        <f t="shared" si="32"/>
        <v>0</v>
      </c>
      <c r="N76" s="345">
        <f t="shared" si="32"/>
        <v>0</v>
      </c>
      <c r="O76" s="549">
        <f>SUM(F76:N76)</f>
        <v>10169.719999999999</v>
      </c>
      <c r="P76" s="545">
        <f t="shared" ref="P76:P80" si="33">SUM(I76:M76)</f>
        <v>10169.719999999999</v>
      </c>
    </row>
    <row r="77" spans="1:16" hidden="1" outlineLevel="1">
      <c r="A77" s="250"/>
      <c r="B77" s="250"/>
      <c r="C77" s="453"/>
      <c r="D77" s="350" t="str">
        <f>"Labour &amp; Material Escalation - "&amp;Assumptions!C7</f>
        <v>Labour &amp; Material Escalation - $ 2015/16</v>
      </c>
      <c r="E77" s="454"/>
      <c r="F77" s="290">
        <f>IF(F$10="Prior",0,IF(AND(F76&lt;&gt;0,SUM(E76:$F76)=0),F76/SUM($F$76:F76)*F61,IF(F76&lt;&gt;0,SUM($F$76:F76)/SUM($F$11:F11)*F61-E83,0)))</f>
        <v>0</v>
      </c>
      <c r="G77" s="290">
        <f>IF(G$10="Prior",0,IF(AND(G76&lt;&gt;0,SUM($F76:F76)=0),G76/SUM($F$76:G76)*G61,IF(G76&lt;&gt;0,SUM($F$76:G76)/SUM($F$11:G11)*G61-F83,0)))</f>
        <v>0</v>
      </c>
      <c r="H77" s="290">
        <f>IF(H$10="Prior",0,IF(AND(H76&lt;&gt;0,SUM($F76:G76)=0),H76/SUM($F$76:H76)*H61,IF(H76&lt;&gt;0,SUM($F$76:H76)/SUM($F$11:H11)*H61-G83,0)))</f>
        <v>0</v>
      </c>
      <c r="I77" s="512">
        <f>IF(I$10="Prior",0,IF(AND(I76&lt;&gt;0,SUM($F76:H76)=0),I76/SUM($F$76:I76)*I61,IF(I76&lt;&gt;0,SUM($F$76:I76)/SUM($F$11:I11)*I61-H83,0)))</f>
        <v>0</v>
      </c>
      <c r="J77" s="290">
        <f>IF(J$10="Prior",0,IF(AND(J76&lt;&gt;0,SUM($F76:I76)=0),J76/SUM($F$76:J76)*J61,IF(J76&lt;&gt;0,SUM($F$76:J76)/SUM($F$11:J11)*J61-I83,0)))</f>
        <v>0</v>
      </c>
      <c r="K77" s="290">
        <f>IF(K$10="Prior",0,IF(AND(K76&lt;&gt;0,SUM($F76:J76)=0),K76/SUM($F$76:K76)*K61,IF(K76&lt;&gt;0,SUM($F$76:K76)/SUM($F$11:K11)*K61-J83,0)))</f>
        <v>0</v>
      </c>
      <c r="L77" s="290">
        <f>IF(L$10="Prior",0,IF(AND(L76&lt;&gt;0,SUM($F76:K76)=0),L76/SUM($F$76:L76)*L61,IF(L76&lt;&gt;0,SUM($F$76:L76)/SUM($F$11:L11)*L61-K83,0)))</f>
        <v>253.41591503995511</v>
      </c>
      <c r="M77" s="290">
        <f>IF(M$10="Prior",0,IF(AND(M76&lt;&gt;0,SUM($F76:L76)=0),M76/SUM($F$76:M76)*M61,IF(M76&lt;&gt;0,SUM($F$76:M76)/SUM($F$11:M11)*M61-L83,0)))</f>
        <v>0</v>
      </c>
      <c r="N77" s="346">
        <f>IF(N$10="Prior",0,IF(AND(N76&lt;&gt;0,SUM($F76:M76)=0),N76/SUM($F$76:N76)*N61,IF(N76&lt;&gt;0,SUM($F$76:N76)/SUM($F$11:N11)*N61-M83,0)))</f>
        <v>0</v>
      </c>
      <c r="O77" s="550">
        <f>SUM(F77:N77)</f>
        <v>253.41591503995511</v>
      </c>
      <c r="P77" s="551">
        <f t="shared" si="33"/>
        <v>253.41591503995511</v>
      </c>
    </row>
    <row r="78" spans="1:16" hidden="1" outlineLevel="1">
      <c r="A78" s="250"/>
      <c r="B78" s="250"/>
      <c r="C78" s="453"/>
      <c r="D78" s="470" t="str">
        <f>"Total Direct Expenditure - "&amp;Assumptions!C7</f>
        <v>Total Direct Expenditure - $ 2015/16</v>
      </c>
      <c r="E78" s="471"/>
      <c r="F78" s="552">
        <f>SUM(F76:F77)</f>
        <v>0</v>
      </c>
      <c r="G78" s="553">
        <f t="shared" ref="G78:N78" si="34">SUM(G76:G77)</f>
        <v>0</v>
      </c>
      <c r="H78" s="553">
        <f t="shared" si="34"/>
        <v>0</v>
      </c>
      <c r="I78" s="554">
        <f t="shared" si="34"/>
        <v>0</v>
      </c>
      <c r="J78" s="553">
        <f t="shared" si="34"/>
        <v>0</v>
      </c>
      <c r="K78" s="553">
        <f t="shared" si="34"/>
        <v>0</v>
      </c>
      <c r="L78" s="553">
        <f t="shared" si="34"/>
        <v>10423.135915039955</v>
      </c>
      <c r="M78" s="553">
        <f t="shared" si="34"/>
        <v>0</v>
      </c>
      <c r="N78" s="555">
        <f t="shared" si="34"/>
        <v>0</v>
      </c>
      <c r="O78" s="556">
        <f>SUM(F78:N78)</f>
        <v>10423.135915039955</v>
      </c>
      <c r="P78" s="557">
        <f t="shared" si="33"/>
        <v>10423.135915039955</v>
      </c>
    </row>
    <row r="79" spans="1:16" hidden="1" outlineLevel="1">
      <c r="A79" s="250"/>
      <c r="B79" s="250"/>
      <c r="C79" s="453"/>
      <c r="D79" s="470" t="str">
        <f>"Total Direct Expenditure - "&amp;Assumptions!C8</f>
        <v>Total Direct Expenditure - $ Mar 2017</v>
      </c>
      <c r="E79" s="471"/>
      <c r="F79" s="552">
        <f>F78*Assumptions!$G$21</f>
        <v>0</v>
      </c>
      <c r="G79" s="553">
        <f>G78*Assumptions!$G$21</f>
        <v>0</v>
      </c>
      <c r="H79" s="553">
        <f>H78*Assumptions!$G$21</f>
        <v>0</v>
      </c>
      <c r="I79" s="554">
        <f>I78*Assumptions!$G$21</f>
        <v>0</v>
      </c>
      <c r="J79" s="553">
        <f>J78*Assumptions!$G$21</f>
        <v>0</v>
      </c>
      <c r="K79" s="553">
        <f>K78*Assumptions!$G$21</f>
        <v>0</v>
      </c>
      <c r="L79" s="553">
        <f>L78*Assumptions!$G$21</f>
        <v>10599.467161722961</v>
      </c>
      <c r="M79" s="553">
        <f>M78*Assumptions!$G$21</f>
        <v>0</v>
      </c>
      <c r="N79" s="555">
        <f>N78*Assumptions!$G$21</f>
        <v>0</v>
      </c>
      <c r="O79" s="556">
        <f>SUM(F79:N79)</f>
        <v>10599.467161722961</v>
      </c>
      <c r="P79" s="557">
        <f t="shared" si="33"/>
        <v>10599.467161722961</v>
      </c>
    </row>
    <row r="80" spans="1:16" hidden="1" outlineLevel="1">
      <c r="A80" s="250"/>
      <c r="B80" s="250"/>
      <c r="C80" s="258"/>
      <c r="D80" s="354" t="s">
        <v>264</v>
      </c>
      <c r="E80" s="312"/>
      <c r="F80" s="290">
        <f>IF(F$10="Prior",F79*F56,IF(AND(F79&lt;&gt;0,SUM(E79:$F79)=0),F79/SUM($F$54:F54)*F60,IF(F79&lt;&gt;0,SUM($F$79:F79)/SUM($F$54:F54)*F60-E82,0)))</f>
        <v>0</v>
      </c>
      <c r="G80" s="290">
        <f>IF(G$10="Prior",G79*G56,IF(AND(G79&lt;&gt;0,SUM($F79:F79)=0),G79/SUM($F$54:G54)*G60,IF(G79&lt;&gt;0,SUM($F$79:G79)/SUM($F$54:G54)*G60-F82,0)))</f>
        <v>0</v>
      </c>
      <c r="H80" s="290">
        <f>IF(H$10="Prior",H79*H56,IF(AND(H79&lt;&gt;0,SUM($F79:G79)=0),H79/SUM($F$54:H54)*H60,IF(H79&lt;&gt;0,SUM($F$79:H79)/SUM($F$54:H54)*H60-G82,0)))</f>
        <v>0</v>
      </c>
      <c r="I80" s="512">
        <f>IF(I$10="Prior",I79*I56,IF(AND(I79&lt;&gt;0,SUM($F79:H79)=0),I79/SUM($F$54:I54)*I60,IF(I79&lt;&gt;0,SUM($F$79:I79)/SUM($F$54:I54)*I60-H82,0)))</f>
        <v>0</v>
      </c>
      <c r="J80" s="290">
        <f>IF(J$10="Prior",J79*J56,IF(AND(J79&lt;&gt;0,SUM($F79:I79)=0),J79/SUM($F$54:J54)*J60,IF(J79&lt;&gt;0,SUM($F$79:J79)/SUM($F$54:J54)*J60-I82,0)))</f>
        <v>0</v>
      </c>
      <c r="K80" s="290">
        <f>IF(K$10="Prior",K79*K56,IF(AND(K79&lt;&gt;0,SUM($F79:J79)=0),K79/SUM($F$54:K54)*K60,IF(K79&lt;&gt;0,SUM($F$79:K79)/SUM($F$54:K54)*K60-J82,0)))</f>
        <v>0</v>
      </c>
      <c r="L80" s="290">
        <f>IF(L$10="Prior",L79*L56,IF(AND(L79&lt;&gt;0,SUM($F79:K79)=0),L79/SUM($F$54:L54)*L60,IF(L79&lt;&gt;0,SUM($F$79:L79)/SUM($F$54:L54)*L60-K82,0)))</f>
        <v>1308.7269767522921</v>
      </c>
      <c r="M80" s="290">
        <f>IF(M$10="Prior",M79*M56,IF(AND(M79&lt;&gt;0,SUM($F79:L79)=0),M79/SUM($F$54:M54)*M60,IF(M79&lt;&gt;0,SUM($F$79:M79)/SUM($F$54:M54)*M60-L82,0)))</f>
        <v>0</v>
      </c>
      <c r="N80" s="346">
        <f>IF(N$10="Prior",N79*N56,IF(AND(N79&lt;&gt;0,SUM($F79:M79)=0),N79/SUM($F$54:N54)*N60,IF(N79&lt;&gt;0,SUM($F$79:N79)/SUM($F$54:N54)*N60-M82,0)))</f>
        <v>0</v>
      </c>
      <c r="O80" s="550">
        <f>SUM(F80:N80)</f>
        <v>1308.7269767522921</v>
      </c>
      <c r="P80" s="497">
        <f t="shared" si="33"/>
        <v>1308.7269767522921</v>
      </c>
    </row>
    <row r="81" spans="1:17" hidden="1" outlineLevel="1">
      <c r="A81" s="250"/>
      <c r="B81" s="250"/>
      <c r="C81" s="536"/>
      <c r="D81" s="537" t="str">
        <f>"Total incl Overhead - As commissioned "&amp;Assumptions!$C$8</f>
        <v>Total incl Overhead - As commissioned $ Mar 2017</v>
      </c>
      <c r="E81" s="517"/>
      <c r="F81" s="558">
        <f>SUM(F79:F80)</f>
        <v>0</v>
      </c>
      <c r="G81" s="559">
        <f t="shared" ref="G81:P81" si="35">SUM(G79:G80)</f>
        <v>0</v>
      </c>
      <c r="H81" s="559">
        <f t="shared" si="35"/>
        <v>0</v>
      </c>
      <c r="I81" s="560">
        <f t="shared" si="35"/>
        <v>0</v>
      </c>
      <c r="J81" s="559">
        <f t="shared" si="35"/>
        <v>0</v>
      </c>
      <c r="K81" s="559">
        <f t="shared" si="35"/>
        <v>0</v>
      </c>
      <c r="L81" s="559">
        <f t="shared" si="35"/>
        <v>11908.194138475254</v>
      </c>
      <c r="M81" s="559">
        <f t="shared" si="35"/>
        <v>0</v>
      </c>
      <c r="N81" s="561">
        <f t="shared" si="35"/>
        <v>0</v>
      </c>
      <c r="O81" s="562">
        <f t="shared" si="35"/>
        <v>11908.194138475254</v>
      </c>
      <c r="P81" s="563">
        <f t="shared" si="35"/>
        <v>11908.194138475254</v>
      </c>
    </row>
    <row r="82" spans="1:17" hidden="1" outlineLevel="1">
      <c r="A82" s="250"/>
      <c r="B82" s="250"/>
      <c r="C82" s="250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0</v>
      </c>
      <c r="J82" s="252">
        <f t="shared" si="36"/>
        <v>0</v>
      </c>
      <c r="K82" s="252">
        <f t="shared" si="36"/>
        <v>0</v>
      </c>
      <c r="L82" s="252">
        <f t="shared" si="36"/>
        <v>1308.7269767522921</v>
      </c>
      <c r="M82" s="252">
        <f t="shared" si="36"/>
        <v>1308.7269767522921</v>
      </c>
      <c r="N82" s="252">
        <f t="shared" si="36"/>
        <v>1308.7269767522921</v>
      </c>
      <c r="O82" s="543"/>
    </row>
    <row r="83" spans="1:17" hidden="1" outlineLevel="1">
      <c r="A83" s="250"/>
      <c r="B83" s="250"/>
      <c r="C83" s="250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0</v>
      </c>
      <c r="J83" s="252">
        <f t="shared" si="37"/>
        <v>0</v>
      </c>
      <c r="K83" s="252">
        <f t="shared" si="37"/>
        <v>0</v>
      </c>
      <c r="L83" s="252">
        <f t="shared" si="37"/>
        <v>253.41591503995511</v>
      </c>
      <c r="M83" s="252">
        <f t="shared" si="37"/>
        <v>253.41591503995511</v>
      </c>
      <c r="N83" s="252">
        <f t="shared" si="37"/>
        <v>253.41591503995511</v>
      </c>
      <c r="O83" s="543"/>
    </row>
    <row r="84" spans="1:17" collapsed="1">
      <c r="A84" s="250"/>
      <c r="B84" s="250"/>
      <c r="C84" s="540" t="s">
        <v>276</v>
      </c>
    </row>
    <row r="85" spans="1:17">
      <c r="B85" s="250"/>
      <c r="C85" s="257" t="s">
        <v>23</v>
      </c>
      <c r="D85" s="353" t="s">
        <v>3</v>
      </c>
      <c r="E85" s="530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1555.6052749820462</v>
      </c>
      <c r="M85" s="380">
        <f t="shared" si="38"/>
        <v>0</v>
      </c>
      <c r="N85" s="345">
        <f t="shared" si="38"/>
        <v>0</v>
      </c>
      <c r="O85" s="532">
        <f>SUM(F85:N85)</f>
        <v>1555.6052749820462</v>
      </c>
      <c r="P85" s="430">
        <f t="shared" ref="P85:P94" si="39">SUM(I85:M85)</f>
        <v>1555.6052749820462</v>
      </c>
    </row>
    <row r="86" spans="1:17">
      <c r="C86" s="258" t="s">
        <v>24</v>
      </c>
      <c r="D86" s="350" t="s">
        <v>4</v>
      </c>
      <c r="E86" s="313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4876.6970978528316</v>
      </c>
      <c r="M86" s="381">
        <f t="shared" si="40"/>
        <v>0</v>
      </c>
      <c r="N86" s="346">
        <f t="shared" si="40"/>
        <v>0</v>
      </c>
      <c r="O86" s="534">
        <f t="shared" ref="O86:O94" si="41">SUM(F86:N86)</f>
        <v>4876.6970978528316</v>
      </c>
      <c r="P86" s="431">
        <f t="shared" si="39"/>
        <v>4876.6970978528316</v>
      </c>
    </row>
    <row r="87" spans="1:17">
      <c r="C87" s="258" t="s">
        <v>26</v>
      </c>
      <c r="D87" s="350" t="s">
        <v>5</v>
      </c>
      <c r="E87" s="313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3915.4861926247095</v>
      </c>
      <c r="M87" s="381">
        <f t="shared" si="42"/>
        <v>0</v>
      </c>
      <c r="N87" s="346">
        <f t="shared" si="42"/>
        <v>0</v>
      </c>
      <c r="O87" s="534">
        <f t="shared" si="41"/>
        <v>3915.4861926247095</v>
      </c>
      <c r="P87" s="431">
        <f t="shared" si="39"/>
        <v>3915.4861926247095</v>
      </c>
    </row>
    <row r="88" spans="1:17">
      <c r="C88" s="258"/>
      <c r="D88" s="350" t="s">
        <v>6</v>
      </c>
      <c r="E88" s="313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534">
        <f t="shared" si="41"/>
        <v>0</v>
      </c>
      <c r="P88" s="431">
        <f t="shared" si="39"/>
        <v>0</v>
      </c>
    </row>
    <row r="89" spans="1:17">
      <c r="C89" s="258"/>
      <c r="D89" s="350" t="s">
        <v>7</v>
      </c>
      <c r="E89" s="313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168.70367045526766</v>
      </c>
      <c r="M89" s="381">
        <f t="shared" si="44"/>
        <v>0</v>
      </c>
      <c r="N89" s="346">
        <f t="shared" si="44"/>
        <v>0</v>
      </c>
      <c r="O89" s="534">
        <f t="shared" si="41"/>
        <v>168.70367045526766</v>
      </c>
      <c r="P89" s="431">
        <f t="shared" si="39"/>
        <v>168.70367045526766</v>
      </c>
    </row>
    <row r="90" spans="1:17">
      <c r="C90" s="258"/>
      <c r="D90" s="350" t="s">
        <v>8</v>
      </c>
      <c r="E90" s="313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1352.0492400592527</v>
      </c>
      <c r="M90" s="381">
        <f t="shared" si="45"/>
        <v>0</v>
      </c>
      <c r="N90" s="346">
        <f t="shared" si="45"/>
        <v>0</v>
      </c>
      <c r="O90" s="534">
        <f t="shared" si="41"/>
        <v>1352.0492400592527</v>
      </c>
      <c r="P90" s="431">
        <f t="shared" si="39"/>
        <v>1352.0492400592527</v>
      </c>
    </row>
    <row r="91" spans="1:17">
      <c r="C91" s="258"/>
      <c r="D91" s="350" t="s">
        <v>9</v>
      </c>
      <c r="E91" s="313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39.652662501146956</v>
      </c>
      <c r="M91" s="381">
        <f t="shared" si="46"/>
        <v>0</v>
      </c>
      <c r="N91" s="346">
        <f t="shared" si="46"/>
        <v>0</v>
      </c>
      <c r="O91" s="534">
        <f t="shared" si="41"/>
        <v>39.652662501146956</v>
      </c>
      <c r="P91" s="431">
        <f t="shared" si="39"/>
        <v>39.652662501146956</v>
      </c>
    </row>
    <row r="92" spans="1:17">
      <c r="C92" s="258"/>
      <c r="D92" s="350" t="s">
        <v>10</v>
      </c>
      <c r="E92" s="313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534">
        <f t="shared" si="41"/>
        <v>0</v>
      </c>
      <c r="P92" s="431">
        <f t="shared" si="39"/>
        <v>0</v>
      </c>
    </row>
    <row r="93" spans="1:17">
      <c r="C93" s="258"/>
      <c r="D93" s="350" t="s">
        <v>11</v>
      </c>
      <c r="E93" s="313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534">
        <f t="shared" si="41"/>
        <v>0</v>
      </c>
      <c r="P93" s="431">
        <f t="shared" si="39"/>
        <v>0</v>
      </c>
    </row>
    <row r="94" spans="1:17">
      <c r="C94" s="258"/>
      <c r="D94" s="350" t="s">
        <v>12</v>
      </c>
      <c r="E94" s="313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534">
        <f t="shared" si="41"/>
        <v>0</v>
      </c>
      <c r="P94" s="431">
        <f t="shared" si="39"/>
        <v>0</v>
      </c>
    </row>
    <row r="95" spans="1:17">
      <c r="C95" s="536"/>
      <c r="D95" s="537" t="str">
        <f>"Total incl Overhead - As commissioned "&amp;Assumptions!$C$8</f>
        <v>Total incl Overhead - As commissioned $ Mar 2017</v>
      </c>
      <c r="E95" s="517"/>
      <c r="F95" s="292">
        <f>+SUM(F85:F94)</f>
        <v>0</v>
      </c>
      <c r="G95" s="253">
        <f t="shared" ref="G95" si="50">+SUM(G85:G94)</f>
        <v>0</v>
      </c>
      <c r="H95" s="253">
        <f t="shared" ref="H95:N95" si="51">+SUM(H85:H94)</f>
        <v>0</v>
      </c>
      <c r="I95" s="411">
        <f t="shared" si="51"/>
        <v>0</v>
      </c>
      <c r="J95" s="382">
        <f t="shared" si="51"/>
        <v>0</v>
      </c>
      <c r="K95" s="382">
        <f t="shared" si="51"/>
        <v>0</v>
      </c>
      <c r="L95" s="382">
        <f t="shared" si="51"/>
        <v>11908.194138475255</v>
      </c>
      <c r="M95" s="382">
        <f t="shared" si="51"/>
        <v>0</v>
      </c>
      <c r="N95" s="286">
        <f t="shared" si="51"/>
        <v>0</v>
      </c>
      <c r="O95" s="292">
        <f>SUM(O85:O94)</f>
        <v>11908.194138475255</v>
      </c>
      <c r="P95" s="428">
        <f>SUM(P85:P94)</f>
        <v>11908.194138475255</v>
      </c>
      <c r="Q95" s="564"/>
    </row>
    <row r="96" spans="1:17">
      <c r="E96" s="54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452">
        <f t="shared" si="52"/>
        <v>0</v>
      </c>
      <c r="L96" s="452">
        <f t="shared" si="52"/>
        <v>0</v>
      </c>
      <c r="M96" s="452">
        <f t="shared" si="52"/>
        <v>0</v>
      </c>
      <c r="N96" s="452">
        <f t="shared" si="52"/>
        <v>0</v>
      </c>
      <c r="O96" s="452">
        <f t="shared" si="52"/>
        <v>0</v>
      </c>
      <c r="P96" s="452">
        <f t="shared" si="52"/>
        <v>0</v>
      </c>
    </row>
    <row r="97" spans="3:16">
      <c r="C97" s="565"/>
      <c r="D97" s="251"/>
      <c r="F97" s="252"/>
      <c r="G97" s="252"/>
      <c r="H97" s="252"/>
      <c r="I97" s="252"/>
      <c r="J97" s="252"/>
      <c r="K97" s="252"/>
      <c r="L97" s="252"/>
      <c r="M97" s="252"/>
      <c r="N97" s="252"/>
      <c r="O97" s="566">
        <f>O95-O74</f>
        <v>0</v>
      </c>
      <c r="P97" s="565"/>
    </row>
    <row r="98" spans="3:16" hidden="1" outlineLevel="1">
      <c r="C98" s="236" t="s">
        <v>452</v>
      </c>
      <c r="F98" s="452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6" t="s">
        <v>451</v>
      </c>
      <c r="D99" s="236" t="s">
        <v>379</v>
      </c>
      <c r="F99" s="252"/>
      <c r="G99" s="487">
        <f>0.5*G21</f>
        <v>7.0835119285714288E-3</v>
      </c>
      <c r="H99" s="487">
        <f t="shared" ref="H99:N99" si="53">0.5*H21</f>
        <v>7.0835119285714288E-3</v>
      </c>
      <c r="I99" s="487">
        <f t="shared" si="53"/>
        <v>7.0835119285714288E-3</v>
      </c>
      <c r="J99" s="487">
        <f t="shared" si="53"/>
        <v>7.0835119285714288E-3</v>
      </c>
      <c r="K99" s="487">
        <f t="shared" si="53"/>
        <v>7.0835119285714288E-3</v>
      </c>
      <c r="L99" s="487">
        <f t="shared" si="53"/>
        <v>7.0835119285714288E-3</v>
      </c>
      <c r="M99" s="487">
        <f t="shared" si="53"/>
        <v>7.0835119285714288E-3</v>
      </c>
      <c r="N99" s="487">
        <f t="shared" si="53"/>
        <v>7.0835119285714288E-3</v>
      </c>
    </row>
    <row r="100" spans="3:16" hidden="1" outlineLevel="1">
      <c r="D100" s="236" t="s">
        <v>380</v>
      </c>
      <c r="F100" s="452"/>
      <c r="G100" s="487">
        <v>0</v>
      </c>
      <c r="H100" s="487">
        <v>0</v>
      </c>
      <c r="I100" s="487">
        <v>0</v>
      </c>
      <c r="J100" s="487">
        <v>0</v>
      </c>
      <c r="K100" s="487">
        <v>0</v>
      </c>
      <c r="L100" s="487">
        <v>0</v>
      </c>
      <c r="M100" s="487">
        <v>0</v>
      </c>
      <c r="N100" s="487">
        <v>0</v>
      </c>
    </row>
    <row r="101" spans="3:16" hidden="1" outlineLevel="1">
      <c r="D101" s="236" t="s">
        <v>381</v>
      </c>
      <c r="G101" s="487">
        <f>0.5*G21</f>
        <v>7.0835119285714288E-3</v>
      </c>
      <c r="H101" s="487">
        <f t="shared" ref="H101:N101" si="54">0.5*H21</f>
        <v>7.0835119285714288E-3</v>
      </c>
      <c r="I101" s="487">
        <f t="shared" si="54"/>
        <v>7.0835119285714288E-3</v>
      </c>
      <c r="J101" s="487">
        <f t="shared" si="54"/>
        <v>7.0835119285714288E-3</v>
      </c>
      <c r="K101" s="487">
        <f t="shared" si="54"/>
        <v>7.0835119285714288E-3</v>
      </c>
      <c r="L101" s="487">
        <f t="shared" si="54"/>
        <v>7.0835119285714288E-3</v>
      </c>
      <c r="M101" s="487">
        <f t="shared" si="54"/>
        <v>7.0835119285714288E-3</v>
      </c>
      <c r="N101" s="487">
        <f t="shared" si="54"/>
        <v>7.0835119285714288E-3</v>
      </c>
    </row>
    <row r="102" spans="3:16" hidden="1" outlineLevel="1">
      <c r="D102" s="236" t="s">
        <v>382</v>
      </c>
      <c r="F102" s="452"/>
      <c r="G102" s="487">
        <v>0</v>
      </c>
      <c r="H102" s="487">
        <v>0</v>
      </c>
      <c r="I102" s="487">
        <v>0</v>
      </c>
      <c r="J102" s="487">
        <v>0</v>
      </c>
      <c r="K102" s="487">
        <v>0</v>
      </c>
      <c r="L102" s="487">
        <v>0</v>
      </c>
      <c r="M102" s="487">
        <v>0</v>
      </c>
      <c r="N102" s="487">
        <v>0</v>
      </c>
    </row>
    <row r="103" spans="3:16" hidden="1" outlineLevel="1">
      <c r="D103" s="236" t="s">
        <v>383</v>
      </c>
      <c r="F103" s="452"/>
      <c r="G103" s="487">
        <f>G18</f>
        <v>0.40952448718452389</v>
      </c>
      <c r="H103" s="487">
        <f t="shared" ref="H103:N105" si="55">H18</f>
        <v>0.40952448718452389</v>
      </c>
      <c r="I103" s="487">
        <f t="shared" si="55"/>
        <v>0.40952448718452389</v>
      </c>
      <c r="J103" s="487">
        <f t="shared" si="55"/>
        <v>0.40952448718452389</v>
      </c>
      <c r="K103" s="487">
        <f t="shared" si="55"/>
        <v>0.40952448718452389</v>
      </c>
      <c r="L103" s="487">
        <f t="shared" si="55"/>
        <v>0.40952448718452389</v>
      </c>
      <c r="M103" s="487">
        <f t="shared" si="55"/>
        <v>0.40952448718452389</v>
      </c>
      <c r="N103" s="487">
        <f t="shared" si="55"/>
        <v>0.40952448718452389</v>
      </c>
    </row>
    <row r="104" spans="3:16" hidden="1" outlineLevel="1">
      <c r="D104" s="236" t="s">
        <v>384</v>
      </c>
      <c r="G104" s="487">
        <f>G19</f>
        <v>0.32880604288888887</v>
      </c>
      <c r="H104" s="487">
        <f t="shared" si="55"/>
        <v>0.32880604288888887</v>
      </c>
      <c r="I104" s="487">
        <f t="shared" si="55"/>
        <v>0.32880604288888887</v>
      </c>
      <c r="J104" s="487">
        <f t="shared" si="55"/>
        <v>0.32880604288888887</v>
      </c>
      <c r="K104" s="487">
        <f t="shared" si="55"/>
        <v>0.32880604288888887</v>
      </c>
      <c r="L104" s="487">
        <f t="shared" si="55"/>
        <v>0.32880604288888887</v>
      </c>
      <c r="M104" s="487">
        <f t="shared" si="55"/>
        <v>0.32880604288888887</v>
      </c>
      <c r="N104" s="487">
        <f t="shared" si="55"/>
        <v>0.32880604288888887</v>
      </c>
    </row>
    <row r="105" spans="3:16" hidden="1" outlineLevel="1">
      <c r="D105" s="236" t="s">
        <v>385</v>
      </c>
      <c r="G105" s="487">
        <f>G20</f>
        <v>0</v>
      </c>
      <c r="H105" s="487">
        <f t="shared" si="55"/>
        <v>0</v>
      </c>
      <c r="I105" s="487">
        <f t="shared" si="55"/>
        <v>0</v>
      </c>
      <c r="J105" s="487">
        <f t="shared" si="55"/>
        <v>0</v>
      </c>
      <c r="K105" s="487">
        <f t="shared" si="55"/>
        <v>0</v>
      </c>
      <c r="L105" s="487">
        <f t="shared" si="55"/>
        <v>0</v>
      </c>
      <c r="M105" s="487">
        <f t="shared" si="55"/>
        <v>0</v>
      </c>
      <c r="N105" s="487">
        <f t="shared" si="55"/>
        <v>0</v>
      </c>
    </row>
    <row r="106" spans="3:16" hidden="1" outlineLevel="1">
      <c r="D106" s="236" t="s">
        <v>386</v>
      </c>
      <c r="G106" s="487">
        <f>G17+G23</f>
        <v>0.13396304418055557</v>
      </c>
      <c r="H106" s="487">
        <f t="shared" ref="H106:N106" si="56">H17+H23</f>
        <v>0.13396304418055557</v>
      </c>
      <c r="I106" s="487">
        <f t="shared" si="56"/>
        <v>0.13396304418055557</v>
      </c>
      <c r="J106" s="487">
        <f t="shared" si="56"/>
        <v>0.13396304418055557</v>
      </c>
      <c r="K106" s="487">
        <f t="shared" si="56"/>
        <v>0.13396304418055557</v>
      </c>
      <c r="L106" s="487">
        <f t="shared" si="56"/>
        <v>0.13396304418055557</v>
      </c>
      <c r="M106" s="487">
        <f t="shared" si="56"/>
        <v>0.13396304418055557</v>
      </c>
      <c r="N106" s="487">
        <f t="shared" si="56"/>
        <v>0.13396304418055557</v>
      </c>
    </row>
    <row r="107" spans="3:16" hidden="1" outlineLevel="1">
      <c r="D107" s="236" t="s">
        <v>387</v>
      </c>
      <c r="G107" s="487">
        <f>G22</f>
        <v>0.11353940188888889</v>
      </c>
      <c r="H107" s="487">
        <f t="shared" ref="H107:N107" si="57">H22</f>
        <v>0.11353940188888889</v>
      </c>
      <c r="I107" s="487">
        <f t="shared" si="57"/>
        <v>0.11353940188888889</v>
      </c>
      <c r="J107" s="487">
        <f t="shared" si="57"/>
        <v>0.11353940188888889</v>
      </c>
      <c r="K107" s="487">
        <f t="shared" si="57"/>
        <v>0.11353940188888889</v>
      </c>
      <c r="L107" s="487">
        <f t="shared" si="57"/>
        <v>0.11353940188888889</v>
      </c>
      <c r="M107" s="487">
        <f t="shared" si="57"/>
        <v>0.11353940188888889</v>
      </c>
      <c r="N107" s="487">
        <f t="shared" si="57"/>
        <v>0.11353940188888889</v>
      </c>
    </row>
    <row r="108" spans="3:16" hidden="1" outlineLevel="1">
      <c r="D108" s="236" t="s">
        <v>16</v>
      </c>
      <c r="G108" s="487">
        <f>SUM(G99:G107)</f>
        <v>1</v>
      </c>
      <c r="H108" s="487">
        <f t="shared" ref="H108:N108" si="58">SUM(H99:H107)</f>
        <v>1</v>
      </c>
      <c r="I108" s="487">
        <f t="shared" si="58"/>
        <v>1</v>
      </c>
      <c r="J108" s="487">
        <f t="shared" si="58"/>
        <v>1</v>
      </c>
      <c r="K108" s="487">
        <f t="shared" si="58"/>
        <v>1</v>
      </c>
      <c r="L108" s="487">
        <f t="shared" si="58"/>
        <v>1</v>
      </c>
      <c r="M108" s="487">
        <f t="shared" si="58"/>
        <v>1</v>
      </c>
      <c r="N108" s="487">
        <f t="shared" si="58"/>
        <v>1</v>
      </c>
    </row>
    <row r="109" spans="3:16" hidden="1" outlineLevel="1"/>
    <row r="110" spans="3:16" hidden="1" outlineLevel="1">
      <c r="C110" s="236" t="s">
        <v>443</v>
      </c>
      <c r="D110" s="236" t="s">
        <v>445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7" t="s">
        <v>16</v>
      </c>
      <c r="P110" s="807" t="s">
        <v>453</v>
      </c>
    </row>
    <row r="111" spans="3:16" hidden="1" outlineLevel="1">
      <c r="C111" s="236" t="s">
        <v>444</v>
      </c>
      <c r="D111" s="236" t="s">
        <v>379</v>
      </c>
      <c r="G111" s="452">
        <f>G99*G$53</f>
        <v>0</v>
      </c>
      <c r="H111" s="452">
        <f t="shared" ref="H111:N111" si="59">H99*H$53</f>
        <v>0</v>
      </c>
      <c r="I111" s="452">
        <f t="shared" si="59"/>
        <v>0.58641573568958827</v>
      </c>
      <c r="J111" s="452">
        <f t="shared" si="59"/>
        <v>7.6188088293589313</v>
      </c>
      <c r="K111" s="452">
        <f t="shared" si="59"/>
        <v>12.892873862880649</v>
      </c>
      <c r="L111" s="452">
        <f t="shared" si="59"/>
        <v>8.2043054181273742</v>
      </c>
      <c r="M111" s="452">
        <f t="shared" si="59"/>
        <v>0</v>
      </c>
      <c r="N111" s="452">
        <f t="shared" si="59"/>
        <v>0</v>
      </c>
      <c r="O111" s="452">
        <f t="shared" ref="O111:O119" si="60">SUM(F111:N111)</f>
        <v>29.302403846056542</v>
      </c>
      <c r="P111" s="452">
        <f t="shared" ref="P111:P119" si="61">SUM(I111:M111)</f>
        <v>29.302403846056542</v>
      </c>
    </row>
    <row r="112" spans="3:16" hidden="1" outlineLevel="1">
      <c r="D112" s="236" t="s">
        <v>380</v>
      </c>
      <c r="G112" s="452">
        <f t="shared" ref="G112:N119" si="62">G100*G$53</f>
        <v>0</v>
      </c>
      <c r="H112" s="452">
        <f t="shared" si="62"/>
        <v>0</v>
      </c>
      <c r="I112" s="452">
        <f t="shared" si="62"/>
        <v>0</v>
      </c>
      <c r="J112" s="452">
        <f t="shared" si="62"/>
        <v>0</v>
      </c>
      <c r="K112" s="452">
        <f t="shared" si="62"/>
        <v>0</v>
      </c>
      <c r="L112" s="452">
        <f t="shared" si="62"/>
        <v>0</v>
      </c>
      <c r="M112" s="452">
        <f t="shared" si="62"/>
        <v>0</v>
      </c>
      <c r="N112" s="452">
        <f t="shared" si="62"/>
        <v>0</v>
      </c>
      <c r="O112" s="452">
        <f t="shared" si="60"/>
        <v>0</v>
      </c>
      <c r="P112" s="452">
        <f t="shared" si="61"/>
        <v>0</v>
      </c>
    </row>
    <row r="113" spans="4:16" hidden="1" outlineLevel="1">
      <c r="D113" s="236" t="s">
        <v>381</v>
      </c>
      <c r="G113" s="452">
        <f t="shared" si="62"/>
        <v>0</v>
      </c>
      <c r="H113" s="452">
        <f t="shared" si="62"/>
        <v>0</v>
      </c>
      <c r="I113" s="452">
        <f t="shared" si="62"/>
        <v>0.58641573568958827</v>
      </c>
      <c r="J113" s="452">
        <f t="shared" si="62"/>
        <v>7.6188088293589313</v>
      </c>
      <c r="K113" s="452">
        <f t="shared" si="62"/>
        <v>12.892873862880649</v>
      </c>
      <c r="L113" s="452">
        <f t="shared" si="62"/>
        <v>8.2043054181273742</v>
      </c>
      <c r="M113" s="452">
        <f t="shared" si="62"/>
        <v>0</v>
      </c>
      <c r="N113" s="452">
        <f t="shared" si="62"/>
        <v>0</v>
      </c>
      <c r="O113" s="452">
        <f t="shared" si="60"/>
        <v>29.302403846056542</v>
      </c>
      <c r="P113" s="452">
        <f t="shared" si="61"/>
        <v>29.302403846056542</v>
      </c>
    </row>
    <row r="114" spans="4:16" hidden="1" outlineLevel="1">
      <c r="D114" s="236" t="s">
        <v>382</v>
      </c>
      <c r="G114" s="452">
        <f t="shared" si="62"/>
        <v>0</v>
      </c>
      <c r="H114" s="452">
        <f t="shared" si="62"/>
        <v>0</v>
      </c>
      <c r="I114" s="452">
        <f t="shared" si="62"/>
        <v>0</v>
      </c>
      <c r="J114" s="452">
        <f t="shared" si="62"/>
        <v>0</v>
      </c>
      <c r="K114" s="452">
        <f t="shared" si="62"/>
        <v>0</v>
      </c>
      <c r="L114" s="452">
        <f t="shared" si="62"/>
        <v>0</v>
      </c>
      <c r="M114" s="452">
        <f t="shared" si="62"/>
        <v>0</v>
      </c>
      <c r="N114" s="452">
        <f t="shared" si="62"/>
        <v>0</v>
      </c>
      <c r="O114" s="452">
        <f t="shared" si="60"/>
        <v>0</v>
      </c>
      <c r="P114" s="452">
        <f t="shared" si="61"/>
        <v>0</v>
      </c>
    </row>
    <row r="115" spans="4:16" hidden="1" outlineLevel="1">
      <c r="D115" s="236" t="s">
        <v>383</v>
      </c>
      <c r="G115" s="452">
        <f t="shared" si="62"/>
        <v>0</v>
      </c>
      <c r="H115" s="452">
        <f t="shared" si="62"/>
        <v>0</v>
      </c>
      <c r="I115" s="452">
        <f t="shared" si="62"/>
        <v>33.90290097014725</v>
      </c>
      <c r="J115" s="452">
        <f t="shared" si="62"/>
        <v>440.47201589584739</v>
      </c>
      <c r="K115" s="452">
        <f t="shared" si="62"/>
        <v>745.38556725431897</v>
      </c>
      <c r="L115" s="452">
        <f t="shared" si="62"/>
        <v>474.32177752278119</v>
      </c>
      <c r="M115" s="452">
        <f t="shared" si="62"/>
        <v>0</v>
      </c>
      <c r="N115" s="452">
        <f t="shared" si="62"/>
        <v>0</v>
      </c>
      <c r="O115" s="452">
        <f t="shared" si="60"/>
        <v>1694.0822616430946</v>
      </c>
      <c r="P115" s="452">
        <f t="shared" si="61"/>
        <v>1694.0822616430946</v>
      </c>
    </row>
    <row r="116" spans="4:16" hidden="1" outlineLevel="1">
      <c r="D116" s="236" t="s">
        <v>384</v>
      </c>
      <c r="G116" s="452">
        <f t="shared" si="62"/>
        <v>0</v>
      </c>
      <c r="H116" s="452">
        <f t="shared" si="62"/>
        <v>0</v>
      </c>
      <c r="I116" s="452">
        <f t="shared" si="62"/>
        <v>27.220542505496503</v>
      </c>
      <c r="J116" s="452">
        <f t="shared" si="62"/>
        <v>353.65372543583157</v>
      </c>
      <c r="K116" s="452">
        <f t="shared" si="62"/>
        <v>598.46794627680163</v>
      </c>
      <c r="L116" s="452">
        <f t="shared" si="62"/>
        <v>380.83160251420344</v>
      </c>
      <c r="M116" s="452">
        <f t="shared" si="62"/>
        <v>0</v>
      </c>
      <c r="N116" s="452">
        <f t="shared" si="62"/>
        <v>0</v>
      </c>
      <c r="O116" s="452">
        <f t="shared" si="60"/>
        <v>1360.1738167323331</v>
      </c>
      <c r="P116" s="452">
        <f t="shared" si="61"/>
        <v>1360.1738167323331</v>
      </c>
    </row>
    <row r="117" spans="4:16" hidden="1" outlineLevel="1">
      <c r="D117" s="236" t="s">
        <v>385</v>
      </c>
      <c r="G117" s="452">
        <f t="shared" si="62"/>
        <v>0</v>
      </c>
      <c r="H117" s="452">
        <f t="shared" si="62"/>
        <v>0</v>
      </c>
      <c r="I117" s="452">
        <f t="shared" si="62"/>
        <v>0</v>
      </c>
      <c r="J117" s="452">
        <f t="shared" si="62"/>
        <v>0</v>
      </c>
      <c r="K117" s="452">
        <f t="shared" si="62"/>
        <v>0</v>
      </c>
      <c r="L117" s="452">
        <f t="shared" si="62"/>
        <v>0</v>
      </c>
      <c r="M117" s="452">
        <f t="shared" si="62"/>
        <v>0</v>
      </c>
      <c r="N117" s="452">
        <f t="shared" si="62"/>
        <v>0</v>
      </c>
      <c r="O117" s="452">
        <f t="shared" si="60"/>
        <v>0</v>
      </c>
      <c r="P117" s="452">
        <f t="shared" si="61"/>
        <v>0</v>
      </c>
    </row>
    <row r="118" spans="4:16" hidden="1" outlineLevel="1">
      <c r="D118" s="236" t="s">
        <v>386</v>
      </c>
      <c r="G118" s="452">
        <f t="shared" si="62"/>
        <v>0</v>
      </c>
      <c r="H118" s="452">
        <f t="shared" si="62"/>
        <v>0</v>
      </c>
      <c r="I118" s="452">
        <f t="shared" si="62"/>
        <v>11.090266791461527</v>
      </c>
      <c r="J118" s="452">
        <f t="shared" si="62"/>
        <v>144.08655397245238</v>
      </c>
      <c r="K118" s="452">
        <f t="shared" si="62"/>
        <v>243.82942364236808</v>
      </c>
      <c r="L118" s="452">
        <f t="shared" si="62"/>
        <v>155.15943790060439</v>
      </c>
      <c r="M118" s="452">
        <f t="shared" si="62"/>
        <v>0</v>
      </c>
      <c r="N118" s="452">
        <f t="shared" si="62"/>
        <v>0</v>
      </c>
      <c r="O118" s="452">
        <f t="shared" si="60"/>
        <v>554.16568230688642</v>
      </c>
      <c r="P118" s="452">
        <f t="shared" si="61"/>
        <v>554.16568230688642</v>
      </c>
    </row>
    <row r="119" spans="4:16" hidden="1" outlineLevel="1">
      <c r="D119" s="236" t="s">
        <v>387</v>
      </c>
      <c r="G119" s="913">
        <f t="shared" si="62"/>
        <v>0</v>
      </c>
      <c r="H119" s="913">
        <f t="shared" si="62"/>
        <v>0</v>
      </c>
      <c r="I119" s="913">
        <f t="shared" si="62"/>
        <v>9.3994748028689248</v>
      </c>
      <c r="J119" s="913">
        <f t="shared" si="62"/>
        <v>122.11950884166228</v>
      </c>
      <c r="K119" s="913">
        <f t="shared" si="62"/>
        <v>206.65585119097554</v>
      </c>
      <c r="L119" s="913">
        <f t="shared" si="62"/>
        <v>131.50425092540442</v>
      </c>
      <c r="M119" s="913">
        <f t="shared" si="62"/>
        <v>0</v>
      </c>
      <c r="N119" s="913">
        <f t="shared" si="62"/>
        <v>0</v>
      </c>
      <c r="O119" s="913">
        <f t="shared" si="60"/>
        <v>469.67908576091122</v>
      </c>
      <c r="P119" s="913">
        <f t="shared" si="61"/>
        <v>469.67908576091122</v>
      </c>
    </row>
    <row r="120" spans="4:16" hidden="1" outlineLevel="1">
      <c r="D120" s="236" t="s">
        <v>440</v>
      </c>
      <c r="G120" s="452">
        <f>SUM(G111:G119)</f>
        <v>0</v>
      </c>
      <c r="H120" s="452">
        <f t="shared" ref="H120:P120" si="63">SUM(H111:H119)</f>
        <v>0</v>
      </c>
      <c r="I120" s="452">
        <f t="shared" si="63"/>
        <v>82.786016541353376</v>
      </c>
      <c r="J120" s="452">
        <f t="shared" si="63"/>
        <v>1075.5694218045114</v>
      </c>
      <c r="K120" s="452">
        <f t="shared" si="63"/>
        <v>1820.1245360902255</v>
      </c>
      <c r="L120" s="452">
        <f t="shared" si="63"/>
        <v>1158.2256796992483</v>
      </c>
      <c r="M120" s="452">
        <f t="shared" si="63"/>
        <v>0</v>
      </c>
      <c r="N120" s="452">
        <f t="shared" si="63"/>
        <v>0</v>
      </c>
      <c r="O120" s="452">
        <f t="shared" si="63"/>
        <v>4136.7056541353386</v>
      </c>
      <c r="P120" s="452">
        <f t="shared" si="63"/>
        <v>4136.7056541353386</v>
      </c>
    </row>
    <row r="121" spans="4:16" hidden="1" outlineLevel="1"/>
    <row r="122" spans="4:16" hidden="1" outlineLevel="1">
      <c r="D122" s="236" t="s">
        <v>446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453</v>
      </c>
    </row>
    <row r="123" spans="4:16" hidden="1" outlineLevel="1">
      <c r="D123" s="236" t="s">
        <v>379</v>
      </c>
      <c r="G123" s="452">
        <f>G99*G$51</f>
        <v>0</v>
      </c>
      <c r="H123" s="452">
        <f t="shared" ref="H123:N123" si="64">H99*H$51</f>
        <v>0</v>
      </c>
      <c r="I123" s="452">
        <f t="shared" si="64"/>
        <v>0.14963343251126998</v>
      </c>
      <c r="J123" s="452">
        <f t="shared" si="64"/>
        <v>1.95980884861256</v>
      </c>
      <c r="K123" s="452">
        <f t="shared" si="64"/>
        <v>3.3439160869697355</v>
      </c>
      <c r="L123" s="452">
        <f t="shared" si="64"/>
        <v>2.1469261251495597</v>
      </c>
      <c r="M123" s="452">
        <f t="shared" si="64"/>
        <v>0</v>
      </c>
      <c r="N123" s="452">
        <f t="shared" si="64"/>
        <v>0</v>
      </c>
      <c r="O123" s="452">
        <f t="shared" ref="O123:O131" si="65">SUM(F123:N123)</f>
        <v>7.6002844932431257</v>
      </c>
      <c r="P123" s="452">
        <f t="shared" ref="P123:P131" si="66">SUM(I123:M123)</f>
        <v>7.6002844932431257</v>
      </c>
    </row>
    <row r="124" spans="4:16" hidden="1" outlineLevel="1">
      <c r="D124" s="236" t="s">
        <v>380</v>
      </c>
      <c r="G124" s="452">
        <f t="shared" ref="G124:N131" si="67">G100*G$51</f>
        <v>0</v>
      </c>
      <c r="H124" s="452">
        <f t="shared" si="67"/>
        <v>0</v>
      </c>
      <c r="I124" s="452">
        <f t="shared" si="67"/>
        <v>0</v>
      </c>
      <c r="J124" s="452">
        <f t="shared" si="67"/>
        <v>0</v>
      </c>
      <c r="K124" s="452">
        <f t="shared" si="67"/>
        <v>0</v>
      </c>
      <c r="L124" s="452">
        <f t="shared" si="67"/>
        <v>0</v>
      </c>
      <c r="M124" s="452">
        <f t="shared" si="67"/>
        <v>0</v>
      </c>
      <c r="N124" s="452">
        <f t="shared" si="67"/>
        <v>0</v>
      </c>
      <c r="O124" s="452">
        <f t="shared" si="65"/>
        <v>0</v>
      </c>
      <c r="P124" s="452">
        <f t="shared" si="66"/>
        <v>0</v>
      </c>
    </row>
    <row r="125" spans="4:16" hidden="1" outlineLevel="1">
      <c r="D125" s="236" t="s">
        <v>381</v>
      </c>
      <c r="G125" s="452">
        <f t="shared" si="67"/>
        <v>0</v>
      </c>
      <c r="H125" s="452">
        <f t="shared" si="67"/>
        <v>0</v>
      </c>
      <c r="I125" s="452">
        <f t="shared" si="67"/>
        <v>0.14963343251126998</v>
      </c>
      <c r="J125" s="452">
        <f t="shared" si="67"/>
        <v>1.95980884861256</v>
      </c>
      <c r="K125" s="452">
        <f t="shared" si="67"/>
        <v>3.3439160869697355</v>
      </c>
      <c r="L125" s="452">
        <f t="shared" si="67"/>
        <v>2.1469261251495597</v>
      </c>
      <c r="M125" s="452">
        <f t="shared" si="67"/>
        <v>0</v>
      </c>
      <c r="N125" s="452">
        <f t="shared" si="67"/>
        <v>0</v>
      </c>
      <c r="O125" s="452">
        <f t="shared" si="65"/>
        <v>7.6002844932431257</v>
      </c>
      <c r="P125" s="452">
        <f t="shared" si="66"/>
        <v>7.6002844932431257</v>
      </c>
    </row>
    <row r="126" spans="4:16" hidden="1" outlineLevel="1">
      <c r="D126" s="236" t="s">
        <v>382</v>
      </c>
      <c r="G126" s="452">
        <f t="shared" si="67"/>
        <v>0</v>
      </c>
      <c r="H126" s="452">
        <f t="shared" si="67"/>
        <v>0</v>
      </c>
      <c r="I126" s="452">
        <f t="shared" si="67"/>
        <v>0</v>
      </c>
      <c r="J126" s="452">
        <f t="shared" si="67"/>
        <v>0</v>
      </c>
      <c r="K126" s="452">
        <f t="shared" si="67"/>
        <v>0</v>
      </c>
      <c r="L126" s="452">
        <f t="shared" si="67"/>
        <v>0</v>
      </c>
      <c r="M126" s="452">
        <f t="shared" si="67"/>
        <v>0</v>
      </c>
      <c r="N126" s="452">
        <f t="shared" si="67"/>
        <v>0</v>
      </c>
      <c r="O126" s="452">
        <f t="shared" si="65"/>
        <v>0</v>
      </c>
      <c r="P126" s="452">
        <f t="shared" si="66"/>
        <v>0</v>
      </c>
    </row>
    <row r="127" spans="4:16" hidden="1" outlineLevel="1">
      <c r="D127" s="236" t="s">
        <v>383</v>
      </c>
      <c r="G127" s="452">
        <f t="shared" si="67"/>
        <v>0</v>
      </c>
      <c r="H127" s="452">
        <f t="shared" si="67"/>
        <v>0</v>
      </c>
      <c r="I127" s="452">
        <f t="shared" si="67"/>
        <v>8.6508719591012664</v>
      </c>
      <c r="J127" s="452">
        <f t="shared" si="67"/>
        <v>113.30392632932482</v>
      </c>
      <c r="K127" s="452">
        <f t="shared" si="67"/>
        <v>193.32437560820745</v>
      </c>
      <c r="L127" s="452">
        <f t="shared" si="67"/>
        <v>124.12188040209135</v>
      </c>
      <c r="M127" s="452">
        <f t="shared" si="67"/>
        <v>0</v>
      </c>
      <c r="N127" s="452">
        <f t="shared" si="67"/>
        <v>0</v>
      </c>
      <c r="O127" s="452">
        <f t="shared" si="65"/>
        <v>439.40105429872489</v>
      </c>
      <c r="P127" s="452">
        <f t="shared" si="66"/>
        <v>439.40105429872489</v>
      </c>
    </row>
    <row r="128" spans="4:16" hidden="1" outlineLevel="1">
      <c r="D128" s="236" t="s">
        <v>384</v>
      </c>
      <c r="G128" s="452">
        <f t="shared" si="67"/>
        <v>0</v>
      </c>
      <c r="H128" s="452">
        <f t="shared" si="67"/>
        <v>0</v>
      </c>
      <c r="I128" s="452">
        <f t="shared" si="67"/>
        <v>6.9457604256247523</v>
      </c>
      <c r="J128" s="452">
        <f t="shared" si="67"/>
        <v>90.971399332546113</v>
      </c>
      <c r="K128" s="452">
        <f t="shared" si="67"/>
        <v>155.21958985826944</v>
      </c>
      <c r="L128" s="452">
        <f t="shared" si="67"/>
        <v>99.657103807202787</v>
      </c>
      <c r="M128" s="452">
        <f t="shared" si="67"/>
        <v>0</v>
      </c>
      <c r="N128" s="452">
        <f t="shared" si="67"/>
        <v>0</v>
      </c>
      <c r="O128" s="452">
        <f t="shared" si="65"/>
        <v>352.7938534236431</v>
      </c>
      <c r="P128" s="452">
        <f t="shared" si="66"/>
        <v>352.7938534236431</v>
      </c>
    </row>
    <row r="129" spans="4:16" hidden="1" outlineLevel="1">
      <c r="D129" s="236" t="s">
        <v>385</v>
      </c>
      <c r="G129" s="452">
        <f t="shared" si="67"/>
        <v>0</v>
      </c>
      <c r="H129" s="452">
        <f t="shared" si="67"/>
        <v>0</v>
      </c>
      <c r="I129" s="452">
        <f t="shared" si="67"/>
        <v>0</v>
      </c>
      <c r="J129" s="452">
        <f t="shared" si="67"/>
        <v>0</v>
      </c>
      <c r="K129" s="452">
        <f t="shared" si="67"/>
        <v>0</v>
      </c>
      <c r="L129" s="452">
        <f t="shared" si="67"/>
        <v>0</v>
      </c>
      <c r="M129" s="452">
        <f t="shared" si="67"/>
        <v>0</v>
      </c>
      <c r="N129" s="452">
        <f t="shared" si="67"/>
        <v>0</v>
      </c>
      <c r="O129" s="452">
        <f t="shared" si="65"/>
        <v>0</v>
      </c>
      <c r="P129" s="452">
        <f t="shared" si="66"/>
        <v>0</v>
      </c>
    </row>
    <row r="130" spans="4:16" hidden="1" outlineLevel="1">
      <c r="D130" s="236" t="s">
        <v>386</v>
      </c>
      <c r="G130" s="452">
        <f t="shared" si="67"/>
        <v>0</v>
      </c>
      <c r="H130" s="452">
        <f t="shared" si="67"/>
        <v>0</v>
      </c>
      <c r="I130" s="452">
        <f t="shared" si="67"/>
        <v>2.8298604325832057</v>
      </c>
      <c r="J130" s="452">
        <f t="shared" si="67"/>
        <v>37.063812699059916</v>
      </c>
      <c r="K130" s="452">
        <f t="shared" si="67"/>
        <v>63.239983642568667</v>
      </c>
      <c r="L130" s="452">
        <f t="shared" si="67"/>
        <v>40.602565825537205</v>
      </c>
      <c r="M130" s="452">
        <f t="shared" si="67"/>
        <v>0</v>
      </c>
      <c r="N130" s="452">
        <f t="shared" si="67"/>
        <v>0</v>
      </c>
      <c r="O130" s="452">
        <f t="shared" si="65"/>
        <v>143.736222599749</v>
      </c>
      <c r="P130" s="452">
        <f t="shared" si="66"/>
        <v>143.736222599749</v>
      </c>
    </row>
    <row r="131" spans="4:16" hidden="1" outlineLevel="1">
      <c r="D131" s="236" t="s">
        <v>387</v>
      </c>
      <c r="G131" s="913">
        <f t="shared" si="67"/>
        <v>0</v>
      </c>
      <c r="H131" s="913">
        <f t="shared" si="67"/>
        <v>0</v>
      </c>
      <c r="I131" s="913">
        <f t="shared" si="67"/>
        <v>2.3984275880703345</v>
      </c>
      <c r="J131" s="913">
        <f t="shared" si="67"/>
        <v>31.413164364205141</v>
      </c>
      <c r="K131" s="913">
        <f t="shared" si="67"/>
        <v>53.598587298171879</v>
      </c>
      <c r="L131" s="913">
        <f t="shared" si="67"/>
        <v>34.412408789191012</v>
      </c>
      <c r="M131" s="913">
        <f t="shared" si="67"/>
        <v>0</v>
      </c>
      <c r="N131" s="913">
        <f t="shared" si="67"/>
        <v>0</v>
      </c>
      <c r="O131" s="913">
        <f t="shared" si="65"/>
        <v>121.82258803963836</v>
      </c>
      <c r="P131" s="913">
        <f t="shared" si="66"/>
        <v>121.82258803963836</v>
      </c>
    </row>
    <row r="132" spans="4:16" hidden="1" outlineLevel="1">
      <c r="D132" s="236" t="s">
        <v>441</v>
      </c>
      <c r="G132" s="452">
        <f>SUM(G123:G131)</f>
        <v>0</v>
      </c>
      <c r="H132" s="452">
        <f t="shared" ref="H132:P132" si="68">SUM(H123:H131)</f>
        <v>0</v>
      </c>
      <c r="I132" s="452">
        <f t="shared" si="68"/>
        <v>21.1241872704021</v>
      </c>
      <c r="J132" s="452">
        <f t="shared" si="68"/>
        <v>276.6719204223611</v>
      </c>
      <c r="K132" s="452">
        <f t="shared" si="68"/>
        <v>472.07036858115697</v>
      </c>
      <c r="L132" s="452">
        <f t="shared" si="68"/>
        <v>303.08781107432151</v>
      </c>
      <c r="M132" s="452">
        <f t="shared" si="68"/>
        <v>0</v>
      </c>
      <c r="N132" s="452">
        <f t="shared" si="68"/>
        <v>0</v>
      </c>
      <c r="O132" s="452">
        <f t="shared" si="68"/>
        <v>1072.9542873482415</v>
      </c>
      <c r="P132" s="452">
        <f t="shared" si="68"/>
        <v>1072.9542873482415</v>
      </c>
    </row>
    <row r="133" spans="4:16" hidden="1" outlineLevel="1"/>
    <row r="134" spans="4:16" hidden="1" outlineLevel="1">
      <c r="D134" s="236" t="s">
        <v>447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453</v>
      </c>
    </row>
    <row r="135" spans="4:16" hidden="1" outlineLevel="1">
      <c r="D135" s="236" t="s">
        <v>379</v>
      </c>
      <c r="G135" s="452">
        <f>G99*G$52</f>
        <v>0</v>
      </c>
      <c r="H135" s="452">
        <f t="shared" ref="H135:N135" si="69">H99*H$52</f>
        <v>0</v>
      </c>
      <c r="I135" s="452">
        <f t="shared" si="69"/>
        <v>0.74858806633358388</v>
      </c>
      <c r="J135" s="452">
        <f t="shared" si="69"/>
        <v>9.8271694222762527</v>
      </c>
      <c r="K135" s="452">
        <f t="shared" si="69"/>
        <v>16.797502831347952</v>
      </c>
      <c r="L135" s="452">
        <f t="shared" si="69"/>
        <v>10.805503417308284</v>
      </c>
      <c r="M135" s="452">
        <f t="shared" si="69"/>
        <v>0</v>
      </c>
      <c r="N135" s="452">
        <f t="shared" si="69"/>
        <v>0</v>
      </c>
      <c r="O135" s="452">
        <f t="shared" ref="O135:O143" si="70">SUM(F135:N135)</f>
        <v>38.178763737266067</v>
      </c>
      <c r="P135" s="452">
        <f t="shared" ref="P135:P143" si="71">SUM(I135:M135)</f>
        <v>38.178763737266067</v>
      </c>
    </row>
    <row r="136" spans="4:16" hidden="1" outlineLevel="1">
      <c r="D136" s="236" t="s">
        <v>380</v>
      </c>
      <c r="G136" s="452">
        <f t="shared" ref="G136:N143" si="72">G100*G$52</f>
        <v>0</v>
      </c>
      <c r="H136" s="452">
        <f t="shared" si="72"/>
        <v>0</v>
      </c>
      <c r="I136" s="452">
        <f t="shared" si="72"/>
        <v>0</v>
      </c>
      <c r="J136" s="452">
        <f t="shared" si="72"/>
        <v>0</v>
      </c>
      <c r="K136" s="452">
        <f t="shared" si="72"/>
        <v>0</v>
      </c>
      <c r="L136" s="452">
        <f t="shared" si="72"/>
        <v>0</v>
      </c>
      <c r="M136" s="452">
        <f t="shared" si="72"/>
        <v>0</v>
      </c>
      <c r="N136" s="452">
        <f t="shared" si="72"/>
        <v>0</v>
      </c>
      <c r="O136" s="452">
        <f t="shared" si="70"/>
        <v>0</v>
      </c>
      <c r="P136" s="452">
        <f t="shared" si="71"/>
        <v>0</v>
      </c>
    </row>
    <row r="137" spans="4:16" hidden="1" outlineLevel="1">
      <c r="D137" s="236" t="s">
        <v>381</v>
      </c>
      <c r="G137" s="452">
        <f t="shared" si="72"/>
        <v>0</v>
      </c>
      <c r="H137" s="452">
        <f t="shared" si="72"/>
        <v>0</v>
      </c>
      <c r="I137" s="452">
        <f t="shared" si="72"/>
        <v>0.74858806633358388</v>
      </c>
      <c r="J137" s="452">
        <f t="shared" si="72"/>
        <v>9.8271694222762527</v>
      </c>
      <c r="K137" s="452">
        <f t="shared" si="72"/>
        <v>16.797502831347952</v>
      </c>
      <c r="L137" s="452">
        <f t="shared" si="72"/>
        <v>10.805503417308284</v>
      </c>
      <c r="M137" s="452">
        <f t="shared" si="72"/>
        <v>0</v>
      </c>
      <c r="N137" s="452">
        <f t="shared" si="72"/>
        <v>0</v>
      </c>
      <c r="O137" s="452">
        <f t="shared" si="70"/>
        <v>38.178763737266067</v>
      </c>
      <c r="P137" s="452">
        <f t="shared" si="71"/>
        <v>38.178763737266067</v>
      </c>
    </row>
    <row r="138" spans="4:16" hidden="1" outlineLevel="1">
      <c r="D138" s="236" t="s">
        <v>382</v>
      </c>
      <c r="G138" s="452">
        <f t="shared" si="72"/>
        <v>0</v>
      </c>
      <c r="H138" s="452">
        <f t="shared" si="72"/>
        <v>0</v>
      </c>
      <c r="I138" s="452">
        <f t="shared" si="72"/>
        <v>0</v>
      </c>
      <c r="J138" s="452">
        <f t="shared" si="72"/>
        <v>0</v>
      </c>
      <c r="K138" s="452">
        <f t="shared" si="72"/>
        <v>0</v>
      </c>
      <c r="L138" s="452">
        <f t="shared" si="72"/>
        <v>0</v>
      </c>
      <c r="M138" s="452">
        <f t="shared" si="72"/>
        <v>0</v>
      </c>
      <c r="N138" s="452">
        <f t="shared" si="72"/>
        <v>0</v>
      </c>
      <c r="O138" s="452">
        <f t="shared" si="70"/>
        <v>0</v>
      </c>
      <c r="P138" s="452">
        <f t="shared" si="71"/>
        <v>0</v>
      </c>
    </row>
    <row r="139" spans="4:16" hidden="1" outlineLevel="1">
      <c r="D139" s="236" t="s">
        <v>383</v>
      </c>
      <c r="G139" s="452">
        <f t="shared" si="72"/>
        <v>0</v>
      </c>
      <c r="H139" s="452">
        <f t="shared" si="72"/>
        <v>0</v>
      </c>
      <c r="I139" s="452">
        <f t="shared" si="72"/>
        <v>43.278693827165192</v>
      </c>
      <c r="J139" s="452">
        <f t="shared" si="72"/>
        <v>568.14565412114064</v>
      </c>
      <c r="K139" s="452">
        <f t="shared" si="72"/>
        <v>971.1268650853649</v>
      </c>
      <c r="L139" s="452">
        <f t="shared" si="72"/>
        <v>624.70682485830639</v>
      </c>
      <c r="M139" s="452">
        <f t="shared" si="72"/>
        <v>0</v>
      </c>
      <c r="N139" s="452">
        <f t="shared" si="72"/>
        <v>0</v>
      </c>
      <c r="O139" s="452">
        <f t="shared" si="70"/>
        <v>2207.258037891977</v>
      </c>
      <c r="P139" s="452">
        <f t="shared" si="71"/>
        <v>2207.258037891977</v>
      </c>
    </row>
    <row r="140" spans="4:16" hidden="1" outlineLevel="1">
      <c r="D140" s="236" t="s">
        <v>384</v>
      </c>
      <c r="G140" s="452">
        <f t="shared" si="72"/>
        <v>0</v>
      </c>
      <c r="H140" s="452">
        <f t="shared" si="72"/>
        <v>0</v>
      </c>
      <c r="I140" s="452">
        <f t="shared" si="72"/>
        <v>34.748339852747485</v>
      </c>
      <c r="J140" s="452">
        <f t="shared" si="72"/>
        <v>456.16252547047009</v>
      </c>
      <c r="K140" s="452">
        <f t="shared" si="72"/>
        <v>779.71499054202991</v>
      </c>
      <c r="L140" s="452">
        <f t="shared" si="72"/>
        <v>501.57532815562564</v>
      </c>
      <c r="M140" s="452">
        <f t="shared" si="72"/>
        <v>0</v>
      </c>
      <c r="N140" s="452">
        <f t="shared" si="72"/>
        <v>0</v>
      </c>
      <c r="O140" s="452">
        <f t="shared" si="70"/>
        <v>1772.2011840208731</v>
      </c>
      <c r="P140" s="452">
        <f t="shared" si="71"/>
        <v>1772.2011840208731</v>
      </c>
    </row>
    <row r="141" spans="4:16" hidden="1" outlineLevel="1">
      <c r="D141" s="236" t="s">
        <v>385</v>
      </c>
      <c r="G141" s="452">
        <f t="shared" si="72"/>
        <v>0</v>
      </c>
      <c r="H141" s="452">
        <f t="shared" si="72"/>
        <v>0</v>
      </c>
      <c r="I141" s="452">
        <f t="shared" si="72"/>
        <v>0</v>
      </c>
      <c r="J141" s="452">
        <f t="shared" si="72"/>
        <v>0</v>
      </c>
      <c r="K141" s="452">
        <f t="shared" si="72"/>
        <v>0</v>
      </c>
      <c r="L141" s="452">
        <f t="shared" si="72"/>
        <v>0</v>
      </c>
      <c r="M141" s="452">
        <f t="shared" si="72"/>
        <v>0</v>
      </c>
      <c r="N141" s="452">
        <f t="shared" si="72"/>
        <v>0</v>
      </c>
      <c r="O141" s="452">
        <f t="shared" si="70"/>
        <v>0</v>
      </c>
      <c r="P141" s="452">
        <f t="shared" si="71"/>
        <v>0</v>
      </c>
    </row>
    <row r="142" spans="4:16" hidden="1" outlineLevel="1">
      <c r="D142" s="236" t="s">
        <v>386</v>
      </c>
      <c r="G142" s="452">
        <f t="shared" si="72"/>
        <v>0</v>
      </c>
      <c r="H142" s="452">
        <f t="shared" si="72"/>
        <v>0</v>
      </c>
      <c r="I142" s="452">
        <f t="shared" si="72"/>
        <v>14.157262275339631</v>
      </c>
      <c r="J142" s="452">
        <f t="shared" si="72"/>
        <v>185.85096556076525</v>
      </c>
      <c r="K142" s="452">
        <f t="shared" si="72"/>
        <v>317.67358290772194</v>
      </c>
      <c r="L142" s="452">
        <f t="shared" si="72"/>
        <v>204.35317202577886</v>
      </c>
      <c r="M142" s="452">
        <f t="shared" si="72"/>
        <v>0</v>
      </c>
      <c r="N142" s="452">
        <f t="shared" si="72"/>
        <v>0</v>
      </c>
      <c r="O142" s="452">
        <f t="shared" si="70"/>
        <v>722.03498276960568</v>
      </c>
      <c r="P142" s="452">
        <f t="shared" si="71"/>
        <v>722.03498276960568</v>
      </c>
    </row>
    <row r="143" spans="4:16" hidden="1" outlineLevel="1">
      <c r="D143" s="236" t="s">
        <v>387</v>
      </c>
      <c r="G143" s="913">
        <f t="shared" si="72"/>
        <v>0</v>
      </c>
      <c r="H143" s="913">
        <f t="shared" si="72"/>
        <v>0</v>
      </c>
      <c r="I143" s="913">
        <f t="shared" si="72"/>
        <v>11.998884475629911</v>
      </c>
      <c r="J143" s="913">
        <f t="shared" si="72"/>
        <v>157.51663154057076</v>
      </c>
      <c r="K143" s="913">
        <f t="shared" si="72"/>
        <v>269.24193026421506</v>
      </c>
      <c r="L143" s="913">
        <f t="shared" si="72"/>
        <v>173.19804180197849</v>
      </c>
      <c r="M143" s="913">
        <f t="shared" si="72"/>
        <v>0</v>
      </c>
      <c r="N143" s="913">
        <f t="shared" si="72"/>
        <v>0</v>
      </c>
      <c r="O143" s="913">
        <f t="shared" si="70"/>
        <v>611.95548808239414</v>
      </c>
      <c r="P143" s="913">
        <f t="shared" si="71"/>
        <v>611.95548808239414</v>
      </c>
    </row>
    <row r="144" spans="4:16" hidden="1" outlineLevel="1">
      <c r="D144" s="236" t="s">
        <v>442</v>
      </c>
      <c r="G144" s="452">
        <f>SUM(G135:G143)</f>
        <v>0</v>
      </c>
      <c r="H144" s="452">
        <f t="shared" ref="H144:P144" si="73">SUM(H135:H143)</f>
        <v>0</v>
      </c>
      <c r="I144" s="452">
        <f t="shared" si="73"/>
        <v>105.68035656354938</v>
      </c>
      <c r="J144" s="452">
        <f t="shared" si="73"/>
        <v>1387.3301155374993</v>
      </c>
      <c r="K144" s="452">
        <f t="shared" si="73"/>
        <v>2371.3523744620279</v>
      </c>
      <c r="L144" s="452">
        <f t="shared" si="73"/>
        <v>1525.4443736763058</v>
      </c>
      <c r="M144" s="452">
        <f t="shared" si="73"/>
        <v>0</v>
      </c>
      <c r="N144" s="452">
        <f t="shared" si="73"/>
        <v>0</v>
      </c>
      <c r="O144" s="452">
        <f t="shared" si="73"/>
        <v>5389.8072202393823</v>
      </c>
      <c r="P144" s="452">
        <f t="shared" si="73"/>
        <v>5389.8072202393823</v>
      </c>
    </row>
    <row r="145" spans="4:16" hidden="1" outlineLevel="1" collapsed="1"/>
    <row r="146" spans="4:16" hidden="1" outlineLevel="1">
      <c r="D146" s="236" t="s">
        <v>454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453</v>
      </c>
    </row>
    <row r="147" spans="4:16" hidden="1" outlineLevel="1">
      <c r="D147" s="236" t="s">
        <v>379</v>
      </c>
      <c r="G147" s="452">
        <f t="shared" ref="G147:N155" si="74">G111+G123+G135</f>
        <v>0</v>
      </c>
      <c r="H147" s="452">
        <f t="shared" si="74"/>
        <v>0</v>
      </c>
      <c r="I147" s="452">
        <f t="shared" si="74"/>
        <v>1.4846372345344423</v>
      </c>
      <c r="J147" s="452">
        <f t="shared" si="74"/>
        <v>19.405787100247743</v>
      </c>
      <c r="K147" s="452">
        <f t="shared" si="74"/>
        <v>33.034292781198332</v>
      </c>
      <c r="L147" s="452">
        <f t="shared" si="74"/>
        <v>21.156734960585219</v>
      </c>
      <c r="M147" s="452">
        <f t="shared" si="74"/>
        <v>0</v>
      </c>
      <c r="N147" s="452">
        <f t="shared" si="74"/>
        <v>0</v>
      </c>
      <c r="O147" s="452">
        <f t="shared" ref="O147:O155" si="75">SUM(F147:N147)</f>
        <v>75.081452076565739</v>
      </c>
      <c r="P147" s="452">
        <f t="shared" ref="P147:P155" si="76">SUM(I147:M147)</f>
        <v>75.081452076565739</v>
      </c>
    </row>
    <row r="148" spans="4:16" hidden="1" outlineLevel="1">
      <c r="D148" s="236" t="s">
        <v>380</v>
      </c>
      <c r="G148" s="452">
        <f t="shared" si="74"/>
        <v>0</v>
      </c>
      <c r="H148" s="452">
        <f t="shared" si="74"/>
        <v>0</v>
      </c>
      <c r="I148" s="452">
        <f t="shared" si="74"/>
        <v>0</v>
      </c>
      <c r="J148" s="452">
        <f t="shared" si="74"/>
        <v>0</v>
      </c>
      <c r="K148" s="452">
        <f t="shared" si="74"/>
        <v>0</v>
      </c>
      <c r="L148" s="452">
        <f t="shared" si="74"/>
        <v>0</v>
      </c>
      <c r="M148" s="452">
        <f t="shared" si="74"/>
        <v>0</v>
      </c>
      <c r="N148" s="452">
        <f t="shared" si="74"/>
        <v>0</v>
      </c>
      <c r="O148" s="452">
        <f t="shared" si="75"/>
        <v>0</v>
      </c>
      <c r="P148" s="452">
        <f t="shared" si="76"/>
        <v>0</v>
      </c>
    </row>
    <row r="149" spans="4:16" hidden="1" outlineLevel="1">
      <c r="D149" s="236" t="s">
        <v>381</v>
      </c>
      <c r="G149" s="452">
        <f t="shared" si="74"/>
        <v>0</v>
      </c>
      <c r="H149" s="452">
        <f t="shared" si="74"/>
        <v>0</v>
      </c>
      <c r="I149" s="452">
        <f t="shared" si="74"/>
        <v>1.4846372345344423</v>
      </c>
      <c r="J149" s="452">
        <f t="shared" si="74"/>
        <v>19.405787100247743</v>
      </c>
      <c r="K149" s="452">
        <f t="shared" si="74"/>
        <v>33.034292781198332</v>
      </c>
      <c r="L149" s="452">
        <f t="shared" si="74"/>
        <v>21.156734960585219</v>
      </c>
      <c r="M149" s="452">
        <f t="shared" si="74"/>
        <v>0</v>
      </c>
      <c r="N149" s="452">
        <f t="shared" si="74"/>
        <v>0</v>
      </c>
      <c r="O149" s="452">
        <f t="shared" si="75"/>
        <v>75.081452076565739</v>
      </c>
      <c r="P149" s="452">
        <f t="shared" si="76"/>
        <v>75.081452076565739</v>
      </c>
    </row>
    <row r="150" spans="4:16" hidden="1" outlineLevel="1">
      <c r="D150" s="236" t="s">
        <v>382</v>
      </c>
      <c r="G150" s="452">
        <f t="shared" si="74"/>
        <v>0</v>
      </c>
      <c r="H150" s="452">
        <f t="shared" si="74"/>
        <v>0</v>
      </c>
      <c r="I150" s="452">
        <f t="shared" si="74"/>
        <v>0</v>
      </c>
      <c r="J150" s="452">
        <f t="shared" si="74"/>
        <v>0</v>
      </c>
      <c r="K150" s="452">
        <f t="shared" si="74"/>
        <v>0</v>
      </c>
      <c r="L150" s="452">
        <f t="shared" si="74"/>
        <v>0</v>
      </c>
      <c r="M150" s="452">
        <f t="shared" si="74"/>
        <v>0</v>
      </c>
      <c r="N150" s="452">
        <f t="shared" si="74"/>
        <v>0</v>
      </c>
      <c r="O150" s="452">
        <f t="shared" si="75"/>
        <v>0</v>
      </c>
      <c r="P150" s="452">
        <f t="shared" si="76"/>
        <v>0</v>
      </c>
    </row>
    <row r="151" spans="4:16" hidden="1" outlineLevel="1">
      <c r="D151" s="236" t="s">
        <v>383</v>
      </c>
      <c r="G151" s="452">
        <f t="shared" si="74"/>
        <v>0</v>
      </c>
      <c r="H151" s="452">
        <f t="shared" si="74"/>
        <v>0</v>
      </c>
      <c r="I151" s="452">
        <f t="shared" si="74"/>
        <v>85.832466756413709</v>
      </c>
      <c r="J151" s="452">
        <f t="shared" si="74"/>
        <v>1121.921596346313</v>
      </c>
      <c r="K151" s="452">
        <f t="shared" si="74"/>
        <v>1909.8368079478914</v>
      </c>
      <c r="L151" s="452">
        <f t="shared" si="74"/>
        <v>1223.1504827831791</v>
      </c>
      <c r="M151" s="452">
        <f t="shared" si="74"/>
        <v>0</v>
      </c>
      <c r="N151" s="452">
        <f t="shared" si="74"/>
        <v>0</v>
      </c>
      <c r="O151" s="452">
        <f t="shared" si="75"/>
        <v>4340.7413538337969</v>
      </c>
      <c r="P151" s="452">
        <f t="shared" si="76"/>
        <v>4340.7413538337969</v>
      </c>
    </row>
    <row r="152" spans="4:16" hidden="1" outlineLevel="1">
      <c r="D152" s="236" t="s">
        <v>384</v>
      </c>
      <c r="G152" s="452">
        <f t="shared" si="74"/>
        <v>0</v>
      </c>
      <c r="H152" s="452">
        <f t="shared" si="74"/>
        <v>0</v>
      </c>
      <c r="I152" s="452">
        <f t="shared" si="74"/>
        <v>68.914642783868743</v>
      </c>
      <c r="J152" s="452">
        <f t="shared" si="74"/>
        <v>900.78765023884785</v>
      </c>
      <c r="K152" s="452">
        <f t="shared" si="74"/>
        <v>1533.4025266771009</v>
      </c>
      <c r="L152" s="452">
        <f t="shared" si="74"/>
        <v>982.06403447703178</v>
      </c>
      <c r="M152" s="452">
        <f t="shared" si="74"/>
        <v>0</v>
      </c>
      <c r="N152" s="452">
        <f t="shared" si="74"/>
        <v>0</v>
      </c>
      <c r="O152" s="452">
        <f t="shared" si="75"/>
        <v>3485.1688541768494</v>
      </c>
      <c r="P152" s="452">
        <f t="shared" si="76"/>
        <v>3485.1688541768494</v>
      </c>
    </row>
    <row r="153" spans="4:16" hidden="1" outlineLevel="1">
      <c r="D153" s="236" t="s">
        <v>385</v>
      </c>
      <c r="G153" s="452">
        <f t="shared" si="74"/>
        <v>0</v>
      </c>
      <c r="H153" s="452">
        <f t="shared" si="74"/>
        <v>0</v>
      </c>
      <c r="I153" s="452">
        <f t="shared" si="74"/>
        <v>0</v>
      </c>
      <c r="J153" s="452">
        <f t="shared" si="74"/>
        <v>0</v>
      </c>
      <c r="K153" s="452">
        <f t="shared" si="74"/>
        <v>0</v>
      </c>
      <c r="L153" s="452">
        <f t="shared" si="74"/>
        <v>0</v>
      </c>
      <c r="M153" s="452">
        <f t="shared" si="74"/>
        <v>0</v>
      </c>
      <c r="N153" s="452">
        <f t="shared" si="74"/>
        <v>0</v>
      </c>
      <c r="O153" s="452">
        <f t="shared" si="75"/>
        <v>0</v>
      </c>
      <c r="P153" s="452">
        <f t="shared" si="76"/>
        <v>0</v>
      </c>
    </row>
    <row r="154" spans="4:16" hidden="1" outlineLevel="1">
      <c r="D154" s="236" t="s">
        <v>386</v>
      </c>
      <c r="G154" s="452">
        <f t="shared" si="74"/>
        <v>0</v>
      </c>
      <c r="H154" s="452">
        <f t="shared" si="74"/>
        <v>0</v>
      </c>
      <c r="I154" s="452">
        <f t="shared" si="74"/>
        <v>28.077389499384367</v>
      </c>
      <c r="J154" s="452">
        <f t="shared" si="74"/>
        <v>367.00133223227755</v>
      </c>
      <c r="K154" s="452">
        <f t="shared" si="74"/>
        <v>624.74299019265868</v>
      </c>
      <c r="L154" s="452">
        <f t="shared" si="74"/>
        <v>400.11517575192045</v>
      </c>
      <c r="M154" s="452">
        <f t="shared" si="74"/>
        <v>0</v>
      </c>
      <c r="N154" s="452">
        <f t="shared" si="74"/>
        <v>0</v>
      </c>
      <c r="O154" s="452">
        <f t="shared" si="75"/>
        <v>1419.936887676241</v>
      </c>
      <c r="P154" s="452">
        <f t="shared" si="76"/>
        <v>1419.936887676241</v>
      </c>
    </row>
    <row r="155" spans="4:16" hidden="1" outlineLevel="1">
      <c r="D155" s="236" t="s">
        <v>387</v>
      </c>
      <c r="G155" s="913">
        <f t="shared" si="74"/>
        <v>0</v>
      </c>
      <c r="H155" s="913">
        <f t="shared" si="74"/>
        <v>0</v>
      </c>
      <c r="I155" s="913">
        <f t="shared" si="74"/>
        <v>23.796786866569171</v>
      </c>
      <c r="J155" s="913">
        <f t="shared" si="74"/>
        <v>311.04930474643817</v>
      </c>
      <c r="K155" s="913">
        <f t="shared" si="74"/>
        <v>529.4963687533625</v>
      </c>
      <c r="L155" s="913">
        <f t="shared" si="74"/>
        <v>339.11470151657392</v>
      </c>
      <c r="M155" s="913">
        <f t="shared" si="74"/>
        <v>0</v>
      </c>
      <c r="N155" s="913">
        <f t="shared" si="74"/>
        <v>0</v>
      </c>
      <c r="O155" s="913">
        <f t="shared" si="75"/>
        <v>1203.4571618829436</v>
      </c>
      <c r="P155" s="913">
        <f t="shared" si="76"/>
        <v>1203.4571618829436</v>
      </c>
    </row>
    <row r="156" spans="4:16" hidden="1" outlineLevel="1">
      <c r="D156" s="236" t="s">
        <v>454</v>
      </c>
      <c r="G156" s="452">
        <f>SUM(G147:G155)</f>
        <v>0</v>
      </c>
      <c r="H156" s="452">
        <f t="shared" ref="H156:N156" si="77">SUM(H147:H155)</f>
        <v>0</v>
      </c>
      <c r="I156" s="452">
        <f t="shared" si="77"/>
        <v>209.59056037530485</v>
      </c>
      <c r="J156" s="452">
        <f t="shared" si="77"/>
        <v>2739.5714577643721</v>
      </c>
      <c r="K156" s="452">
        <f t="shared" si="77"/>
        <v>4663.5472791334105</v>
      </c>
      <c r="L156" s="452">
        <f t="shared" si="77"/>
        <v>2986.7578644498758</v>
      </c>
      <c r="M156" s="452">
        <f t="shared" si="77"/>
        <v>0</v>
      </c>
      <c r="N156" s="452">
        <f t="shared" si="77"/>
        <v>0</v>
      </c>
      <c r="O156" s="452">
        <f t="shared" ref="O156:P156" si="78">SUM(O147:O155)</f>
        <v>10599.467161722961</v>
      </c>
      <c r="P156" s="452">
        <f t="shared" si="78"/>
        <v>10599.467161722961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05" priority="4" operator="equal">
      <formula>"Error"</formula>
    </cfRule>
  </conditionalFormatting>
  <conditionalFormatting sqref="R11">
    <cfRule type="cellIs" dxfId="104" priority="3" operator="equal">
      <formula>"Error"</formula>
    </cfRule>
  </conditionalFormatting>
  <conditionalFormatting sqref="R54">
    <cfRule type="cellIs" dxfId="10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F14" sqref="F14"/>
    </sheetView>
  </sheetViews>
  <sheetFormatPr defaultRowHeight="15" outlineLevelRow="1"/>
  <cols>
    <col min="1" max="1" width="4" style="236" customWidth="1"/>
    <col min="2" max="2" width="6.5703125" style="236" customWidth="1"/>
    <col min="3" max="3" width="26.42578125" style="236" customWidth="1"/>
    <col min="4" max="4" width="25.5703125" style="236" customWidth="1"/>
    <col min="5" max="5" width="21.42578125" style="236" customWidth="1"/>
    <col min="6" max="6" width="14.7109375" style="236" customWidth="1"/>
    <col min="7" max="9" width="12.140625" style="236" customWidth="1"/>
    <col min="10" max="10" width="11.28515625" style="236" customWidth="1"/>
    <col min="11" max="11" width="12.7109375" style="236" customWidth="1"/>
    <col min="12" max="14" width="11.28515625" style="236" customWidth="1"/>
    <col min="15" max="15" width="12.28515625" style="236" customWidth="1"/>
    <col min="16" max="16" width="12.5703125" style="236" customWidth="1"/>
    <col min="17" max="19" width="9.140625" style="236"/>
    <col min="20" max="20" width="11.85546875" style="236" customWidth="1"/>
    <col min="21" max="16384" width="9.140625" style="236"/>
  </cols>
  <sheetData>
    <row r="1" spans="1:21">
      <c r="B1" s="574" t="s">
        <v>294</v>
      </c>
      <c r="C1" s="484" t="s">
        <v>290</v>
      </c>
    </row>
    <row r="2" spans="1:21">
      <c r="A2" s="250"/>
      <c r="B2" s="250"/>
      <c r="C2" s="572" t="s">
        <v>293</v>
      </c>
    </row>
    <row r="3" spans="1:21" ht="18.75">
      <c r="A3" s="250"/>
      <c r="B3" s="250"/>
      <c r="D3" s="339" t="str">
        <f>Project_Inputs!B17</f>
        <v>XB12</v>
      </c>
      <c r="E3" s="248"/>
      <c r="F3" s="249" t="s">
        <v>63</v>
      </c>
      <c r="G3" s="249" t="str">
        <f>Project_Inputs!F17</f>
        <v>Yes</v>
      </c>
      <c r="H3" s="248"/>
    </row>
    <row r="4" spans="1:21" ht="18.75">
      <c r="A4" s="250"/>
      <c r="B4" s="250"/>
      <c r="C4" s="485" t="s">
        <v>15</v>
      </c>
      <c r="D4" s="339" t="str">
        <f>Project_Inputs!D17</f>
        <v>Glenrowan Terminal Station Redevelopment Project</v>
      </c>
      <c r="E4" s="486"/>
      <c r="F4" s="486"/>
      <c r="G4" s="486"/>
    </row>
    <row r="5" spans="1:21">
      <c r="A5" s="250"/>
      <c r="B5" s="250"/>
      <c r="D5" s="248"/>
    </row>
    <row r="6" spans="1:21">
      <c r="A6" s="250"/>
      <c r="B6" s="250"/>
      <c r="C6" s="236" t="s">
        <v>20</v>
      </c>
      <c r="D6" s="338" t="str">
        <f>Project_Inputs!H17</f>
        <v>Network</v>
      </c>
      <c r="E6" s="486"/>
      <c r="F6" s="10"/>
      <c r="G6" s="9" t="s">
        <v>269</v>
      </c>
      <c r="H6" s="248"/>
      <c r="I6" s="487"/>
      <c r="J6" s="487"/>
      <c r="K6" s="487"/>
      <c r="L6" s="487"/>
      <c r="M6" s="487"/>
      <c r="N6" s="487"/>
    </row>
    <row r="7" spans="1:21">
      <c r="A7" s="250"/>
      <c r="B7" s="250"/>
      <c r="C7" s="236" t="s">
        <v>21</v>
      </c>
      <c r="D7" s="338" t="str">
        <f>Project_Inputs!I17</f>
        <v>Replacement - Major Station</v>
      </c>
      <c r="E7" s="486"/>
      <c r="F7" s="486"/>
      <c r="G7" s="486"/>
      <c r="I7" s="487"/>
      <c r="J7" s="487"/>
      <c r="K7" s="487"/>
      <c r="L7" s="487"/>
      <c r="M7" s="487"/>
      <c r="N7" s="487"/>
    </row>
    <row r="8" spans="1:21">
      <c r="A8" s="250"/>
      <c r="B8" s="250"/>
      <c r="C8" s="236" t="s">
        <v>13</v>
      </c>
      <c r="D8" s="338" t="s">
        <v>14</v>
      </c>
      <c r="E8" s="486"/>
      <c r="F8" s="486"/>
      <c r="G8" s="486"/>
      <c r="I8" s="488"/>
      <c r="J8" s="488"/>
      <c r="K8" s="488"/>
      <c r="L8" s="488"/>
      <c r="M8" s="487"/>
      <c r="N8" s="487"/>
    </row>
    <row r="9" spans="1:21">
      <c r="A9" s="250"/>
      <c r="B9" s="250"/>
      <c r="C9" s="236" t="s">
        <v>278</v>
      </c>
      <c r="D9" s="338" t="str">
        <f>Project_Inputs!J17</f>
        <v>Repex_OHD</v>
      </c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489" t="s">
        <v>265</v>
      </c>
      <c r="P9" s="490" t="s">
        <v>231</v>
      </c>
    </row>
    <row r="10" spans="1:21">
      <c r="A10" s="250"/>
      <c r="B10" s="250"/>
      <c r="E10" s="491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492" t="s">
        <v>16</v>
      </c>
      <c r="P10" s="493" t="s">
        <v>16</v>
      </c>
      <c r="R10" s="495" t="s">
        <v>50</v>
      </c>
      <c r="T10" s="495"/>
      <c r="U10" s="250"/>
    </row>
    <row r="11" spans="1:21">
      <c r="A11" s="250"/>
      <c r="B11" s="250"/>
      <c r="C11" s="257" t="s">
        <v>22</v>
      </c>
      <c r="D11" s="353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20257.039257594846</v>
      </c>
      <c r="G11" s="319">
        <f>IF(G$10="Prior",SUMIFS(Project_Inputs!$W$5:$W$50,Project_Inputs!$D$5:$D$50,$D$4),SUMIFS(Project_Inputs!M$5:M$50,Project_Inputs!$D$5:$D$50,$D$4))</f>
        <v>1555.5003050000005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496">
        <f>SUM(F11:N11)</f>
        <v>21812.539562594848</v>
      </c>
      <c r="P11" s="497">
        <f t="shared" ref="P11" si="0">SUM(I11:M11)</f>
        <v>0</v>
      </c>
      <c r="R11" s="608" t="str">
        <f>IF(O11=Project_Inputs!V17,"ok","error")</f>
        <v>ok</v>
      </c>
      <c r="T11" s="250"/>
      <c r="U11" s="250"/>
    </row>
    <row r="12" spans="1:21" ht="15" hidden="1" customHeight="1">
      <c r="A12" s="250"/>
      <c r="B12" s="250"/>
      <c r="C12" s="482"/>
      <c r="D12" s="350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496"/>
      <c r="P12" s="497"/>
    </row>
    <row r="13" spans="1:21">
      <c r="A13" s="250"/>
      <c r="B13" s="250"/>
      <c r="C13" s="1006" t="s">
        <v>284</v>
      </c>
      <c r="D13" s="350" t="s">
        <v>65</v>
      </c>
      <c r="E13" s="313"/>
      <c r="F13" s="336"/>
      <c r="G13" s="10"/>
      <c r="H13" s="391"/>
      <c r="I13" s="401"/>
      <c r="J13" s="10"/>
      <c r="K13" s="10"/>
      <c r="L13" s="10"/>
      <c r="M13" s="10"/>
      <c r="N13" s="337"/>
      <c r="O13" s="498"/>
      <c r="P13" s="258"/>
    </row>
    <row r="14" spans="1:21">
      <c r="A14" s="250"/>
      <c r="B14" s="250"/>
      <c r="C14" s="1006"/>
      <c r="D14" s="350" t="str">
        <f>"Direct Expenditure (As Commissioned) - "&amp;Assumptions!C7</f>
        <v>Direct Expenditure (As Commissioned) - $ 2015/16</v>
      </c>
      <c r="E14" s="313"/>
      <c r="F14" s="446">
        <f>IF($G$3="Yes",SUMIFS(Project_Inputs!AJ$5:AJ$50,Project_Inputs!$D$5:$D$50,$D$4),IF(AND(F$13="X",F$10="Prior"),F11,IF(F$13="X",SUM($F11:F11)-SUM(E14:$F14),0)))</f>
        <v>20285.66179321321</v>
      </c>
      <c r="G14" s="447">
        <f>IF($G$3="Yes",SUMIFS(Project_Inputs!AK$5:AK$50,Project_Inputs!$D$5:$D$50,$D$4),IF(AND(G$13="X",G$10="Prior"),G11,IF(G$13="X",SUM($F11:G11)-SUM(F14:$F14),0)))</f>
        <v>1526.8777693816394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99">
        <f>SUM(F14:N14)</f>
        <v>21812.539562594851</v>
      </c>
      <c r="P14" s="500">
        <f>SUM(I14:M14)</f>
        <v>0</v>
      </c>
      <c r="R14" s="607" t="str">
        <f>IF(AND(O$11&lt;&gt;0,O$14=0),"Error","ok")</f>
        <v>ok</v>
      </c>
    </row>
    <row r="15" spans="1:21">
      <c r="A15" s="250"/>
      <c r="B15" s="250"/>
      <c r="C15" s="259"/>
      <c r="D15" s="354"/>
      <c r="E15" s="501"/>
      <c r="F15" s="327"/>
      <c r="G15" s="328"/>
      <c r="H15" s="328"/>
      <c r="I15" s="402"/>
      <c r="J15" s="328"/>
      <c r="K15" s="328"/>
      <c r="L15" s="328"/>
      <c r="M15" s="328"/>
      <c r="N15" s="329"/>
      <c r="O15" s="502"/>
      <c r="P15" s="503"/>
    </row>
    <row r="16" spans="1:21">
      <c r="A16" s="250"/>
      <c r="B16" s="250"/>
      <c r="C16" s="258"/>
      <c r="D16" s="504"/>
      <c r="E16" s="313"/>
      <c r="F16" s="325"/>
      <c r="G16" s="326"/>
      <c r="H16" s="330"/>
      <c r="I16" s="403"/>
      <c r="J16" s="330"/>
      <c r="K16" s="330"/>
      <c r="L16" s="330"/>
      <c r="M16" s="330"/>
      <c r="N16" s="331"/>
      <c r="O16" s="505"/>
      <c r="P16" s="258"/>
    </row>
    <row r="17" spans="1:27">
      <c r="A17" s="250"/>
      <c r="B17" s="250"/>
      <c r="C17" s="258" t="s">
        <v>2</v>
      </c>
      <c r="D17" s="350" t="s">
        <v>3</v>
      </c>
      <c r="E17" s="506"/>
      <c r="F17" s="577">
        <v>7.3426340000000007E-2</v>
      </c>
      <c r="G17" s="341">
        <v>7.3426340000000007E-2</v>
      </c>
      <c r="H17" s="392">
        <v>7.3426340000000007E-2</v>
      </c>
      <c r="I17" s="404">
        <v>7.3426340000000007E-2</v>
      </c>
      <c r="J17" s="341">
        <v>7.3426340000000007E-2</v>
      </c>
      <c r="K17" s="341">
        <v>7.3426340000000007E-2</v>
      </c>
      <c r="L17" s="341">
        <v>7.3426340000000007E-2</v>
      </c>
      <c r="M17" s="341">
        <v>7.3426340000000007E-2</v>
      </c>
      <c r="N17" s="342">
        <v>7.3426340000000007E-2</v>
      </c>
      <c r="O17" s="505"/>
      <c r="P17" s="258"/>
    </row>
    <row r="18" spans="1:27">
      <c r="A18" s="250"/>
      <c r="B18" s="250"/>
      <c r="C18" s="258"/>
      <c r="D18" s="350" t="s">
        <v>4</v>
      </c>
      <c r="E18" s="506"/>
      <c r="F18" s="577">
        <v>0.3913113963749999</v>
      </c>
      <c r="G18" s="341">
        <v>0.3913113963749999</v>
      </c>
      <c r="H18" s="392">
        <v>0.3913113963749999</v>
      </c>
      <c r="I18" s="404">
        <v>0.3913113963749999</v>
      </c>
      <c r="J18" s="341">
        <v>0.3913113963749999</v>
      </c>
      <c r="K18" s="341">
        <v>0.3913113963749999</v>
      </c>
      <c r="L18" s="341">
        <v>0.3913113963749999</v>
      </c>
      <c r="M18" s="341">
        <v>0.3913113963749999</v>
      </c>
      <c r="N18" s="342">
        <v>0.3913113963749999</v>
      </c>
      <c r="O18" s="505"/>
      <c r="P18" s="258"/>
    </row>
    <row r="19" spans="1:27">
      <c r="A19" s="250"/>
      <c r="B19" s="250"/>
      <c r="C19" s="258"/>
      <c r="D19" s="350" t="s">
        <v>5</v>
      </c>
      <c r="E19" s="506"/>
      <c r="F19" s="577">
        <v>0.29044539999999996</v>
      </c>
      <c r="G19" s="341">
        <v>0.29044539999999996</v>
      </c>
      <c r="H19" s="392">
        <v>0.29044539999999996</v>
      </c>
      <c r="I19" s="404">
        <v>0.29044539999999996</v>
      </c>
      <c r="J19" s="341">
        <v>0.29044539999999996</v>
      </c>
      <c r="K19" s="341">
        <v>0.29044539999999996</v>
      </c>
      <c r="L19" s="341">
        <v>0.29044539999999996</v>
      </c>
      <c r="M19" s="341">
        <v>0.29044539999999996</v>
      </c>
      <c r="N19" s="342">
        <v>0.29044539999999996</v>
      </c>
      <c r="O19" s="505"/>
      <c r="P19" s="258"/>
    </row>
    <row r="20" spans="1:27">
      <c r="A20" s="250"/>
      <c r="B20" s="250"/>
      <c r="C20" s="258"/>
      <c r="D20" s="350" t="s">
        <v>6</v>
      </c>
      <c r="E20" s="506"/>
      <c r="F20" s="577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505"/>
      <c r="P20" s="258"/>
    </row>
    <row r="21" spans="1:27">
      <c r="A21" s="250"/>
      <c r="B21" s="250"/>
      <c r="C21" s="258"/>
      <c r="D21" s="350" t="s">
        <v>7</v>
      </c>
      <c r="E21" s="506"/>
      <c r="F21" s="577">
        <v>0</v>
      </c>
      <c r="G21" s="341">
        <v>0</v>
      </c>
      <c r="H21" s="392">
        <v>0</v>
      </c>
      <c r="I21" s="404">
        <v>0</v>
      </c>
      <c r="J21" s="341">
        <v>0</v>
      </c>
      <c r="K21" s="341">
        <v>0</v>
      </c>
      <c r="L21" s="341">
        <v>0</v>
      </c>
      <c r="M21" s="341">
        <v>0</v>
      </c>
      <c r="N21" s="342">
        <v>0</v>
      </c>
      <c r="O21" s="505"/>
      <c r="P21" s="258"/>
      <c r="U21" s="507"/>
      <c r="V21" s="507"/>
      <c r="W21" s="507"/>
      <c r="X21" s="507"/>
      <c r="Y21" s="507"/>
      <c r="Z21" s="507"/>
      <c r="AA21" s="507"/>
    </row>
    <row r="22" spans="1:27">
      <c r="A22" s="250"/>
      <c r="B22" s="250"/>
      <c r="C22" s="258"/>
      <c r="D22" s="350" t="s">
        <v>8</v>
      </c>
      <c r="E22" s="506"/>
      <c r="F22" s="577">
        <v>0.24148699999999998</v>
      </c>
      <c r="G22" s="341">
        <v>0.24148699999999998</v>
      </c>
      <c r="H22" s="392">
        <v>0.24148699999999998</v>
      </c>
      <c r="I22" s="404">
        <v>0.24148699999999998</v>
      </c>
      <c r="J22" s="341">
        <v>0.24148699999999998</v>
      </c>
      <c r="K22" s="341">
        <v>0.24148699999999998</v>
      </c>
      <c r="L22" s="341">
        <v>0.24148699999999998</v>
      </c>
      <c r="M22" s="341">
        <v>0.24148699999999998</v>
      </c>
      <c r="N22" s="342">
        <v>0.24148699999999998</v>
      </c>
      <c r="O22" s="505"/>
      <c r="P22" s="258"/>
    </row>
    <row r="23" spans="1:27">
      <c r="A23" s="250"/>
      <c r="B23" s="250"/>
      <c r="C23" s="258"/>
      <c r="D23" s="350" t="s">
        <v>9</v>
      </c>
      <c r="E23" s="506"/>
      <c r="F23" s="340">
        <v>3.3298636249999999E-3</v>
      </c>
      <c r="G23" s="341">
        <v>3.3298636249999999E-3</v>
      </c>
      <c r="H23" s="392">
        <v>3.3298636249999999E-3</v>
      </c>
      <c r="I23" s="404">
        <v>3.3298636249999999E-3</v>
      </c>
      <c r="J23" s="341">
        <v>3.3298636249999999E-3</v>
      </c>
      <c r="K23" s="341">
        <v>3.3298636249999999E-3</v>
      </c>
      <c r="L23" s="341">
        <v>3.3298636249999999E-3</v>
      </c>
      <c r="M23" s="341">
        <v>3.3298636249999999E-3</v>
      </c>
      <c r="N23" s="342">
        <v>3.3298636249999999E-3</v>
      </c>
      <c r="O23" s="505"/>
      <c r="P23" s="258"/>
    </row>
    <row r="24" spans="1:27">
      <c r="A24" s="250"/>
      <c r="B24" s="250"/>
      <c r="C24" s="258"/>
      <c r="D24" s="350" t="s">
        <v>10</v>
      </c>
      <c r="E24" s="506"/>
      <c r="F24" s="340"/>
      <c r="G24" s="341"/>
      <c r="H24" s="392"/>
      <c r="I24" s="404"/>
      <c r="J24" s="341"/>
      <c r="K24" s="341"/>
      <c r="L24" s="341"/>
      <c r="M24" s="341"/>
      <c r="N24" s="342"/>
      <c r="O24" s="505"/>
      <c r="P24" s="258"/>
    </row>
    <row r="25" spans="1:27">
      <c r="A25" s="250"/>
      <c r="B25" s="250"/>
      <c r="C25" s="258"/>
      <c r="D25" s="350" t="s">
        <v>11</v>
      </c>
      <c r="E25" s="506"/>
      <c r="F25" s="340"/>
      <c r="G25" s="341"/>
      <c r="H25" s="392"/>
      <c r="I25" s="404"/>
      <c r="J25" s="341"/>
      <c r="K25" s="341"/>
      <c r="L25" s="341"/>
      <c r="M25" s="341"/>
      <c r="N25" s="342"/>
      <c r="O25" s="505"/>
      <c r="P25" s="258"/>
      <c r="T25" s="507"/>
    </row>
    <row r="26" spans="1:27">
      <c r="A26" s="250"/>
      <c r="B26" s="250"/>
      <c r="C26" s="258"/>
      <c r="D26" s="350" t="s">
        <v>12</v>
      </c>
      <c r="E26" s="506"/>
      <c r="F26" s="340"/>
      <c r="G26" s="341"/>
      <c r="H26" s="392"/>
      <c r="I26" s="404"/>
      <c r="J26" s="341"/>
      <c r="K26" s="341"/>
      <c r="L26" s="341"/>
      <c r="M26" s="341"/>
      <c r="N26" s="342"/>
      <c r="O26" s="505"/>
      <c r="P26" s="258"/>
      <c r="T26" s="507"/>
    </row>
    <row r="27" spans="1:27">
      <c r="A27" s="250"/>
      <c r="B27" s="250"/>
      <c r="C27" s="259"/>
      <c r="D27" s="464"/>
      <c r="E27" s="508" t="s">
        <v>16</v>
      </c>
      <c r="F27" s="332">
        <f>+SUM(F17:F26)</f>
        <v>0.99999999999999989</v>
      </c>
      <c r="G27" s="332">
        <f t="shared" ref="G27:N27" si="1">+SUM(G17:G26)</f>
        <v>0.99999999999999989</v>
      </c>
      <c r="H27" s="393">
        <f t="shared" si="1"/>
        <v>0.99999999999999989</v>
      </c>
      <c r="I27" s="405">
        <f t="shared" si="1"/>
        <v>0.99999999999999989</v>
      </c>
      <c r="J27" s="332">
        <f t="shared" si="1"/>
        <v>0.99999999999999989</v>
      </c>
      <c r="K27" s="332">
        <f t="shared" si="1"/>
        <v>0.99999999999999989</v>
      </c>
      <c r="L27" s="332">
        <f t="shared" si="1"/>
        <v>0.99999999999999989</v>
      </c>
      <c r="M27" s="332">
        <f t="shared" si="1"/>
        <v>0.99999999999999989</v>
      </c>
      <c r="N27" s="332">
        <f t="shared" si="1"/>
        <v>0.99999999999999989</v>
      </c>
      <c r="O27" s="509"/>
      <c r="P27" s="259"/>
      <c r="Q27" s="487"/>
      <c r="T27" s="507"/>
    </row>
    <row r="28" spans="1:27">
      <c r="A28" s="250"/>
      <c r="B28" s="250"/>
      <c r="C28" s="257"/>
      <c r="D28" s="302"/>
      <c r="E28" s="510"/>
      <c r="F28" s="578" t="str">
        <f>IF(F27&lt;&gt;1,"check","")</f>
        <v/>
      </c>
      <c r="G28" s="579" t="str">
        <f t="shared" ref="G28:N28" si="2">IF(G27&lt;&gt;1,"check","")</f>
        <v/>
      </c>
      <c r="H28" s="580" t="str">
        <f t="shared" si="2"/>
        <v/>
      </c>
      <c r="I28" s="581" t="str">
        <f t="shared" si="2"/>
        <v/>
      </c>
      <c r="J28" s="579" t="str">
        <f t="shared" si="2"/>
        <v/>
      </c>
      <c r="K28" s="579" t="str">
        <f t="shared" si="2"/>
        <v/>
      </c>
      <c r="L28" s="579" t="str">
        <f t="shared" si="2"/>
        <v/>
      </c>
      <c r="M28" s="579" t="str">
        <f t="shared" si="2"/>
        <v/>
      </c>
      <c r="N28" s="582" t="str">
        <f t="shared" si="2"/>
        <v/>
      </c>
      <c r="O28" s="505"/>
      <c r="P28" s="258"/>
      <c r="T28" s="507"/>
    </row>
    <row r="29" spans="1:27">
      <c r="A29" s="250"/>
      <c r="B29" s="250"/>
      <c r="C29" s="258" t="s">
        <v>58</v>
      </c>
      <c r="D29" s="350" t="s">
        <v>0</v>
      </c>
      <c r="E29" s="506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505"/>
      <c r="P29" s="258"/>
      <c r="T29" s="507"/>
    </row>
    <row r="30" spans="1:27">
      <c r="A30" s="250"/>
      <c r="B30" s="250"/>
      <c r="C30" s="258"/>
      <c r="D30" s="350" t="s">
        <v>1</v>
      </c>
      <c r="E30" s="506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505"/>
      <c r="P30" s="258"/>
      <c r="T30" s="507"/>
    </row>
    <row r="31" spans="1:27">
      <c r="A31" s="250"/>
      <c r="B31" s="250"/>
      <c r="C31" s="258"/>
      <c r="D31" s="350" t="s">
        <v>57</v>
      </c>
      <c r="E31" s="506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1"/>
      <c r="P31" s="258"/>
      <c r="T31" s="507"/>
    </row>
    <row r="32" spans="1:27">
      <c r="A32" s="250"/>
      <c r="B32" s="250"/>
      <c r="C32" s="259"/>
      <c r="D32" s="464"/>
      <c r="E32" s="508" t="s">
        <v>16</v>
      </c>
      <c r="F32" s="595">
        <f t="shared" ref="F32:N32" si="3">+SUM(F29:F31)</f>
        <v>1</v>
      </c>
      <c r="G32" s="595">
        <f t="shared" si="3"/>
        <v>1</v>
      </c>
      <c r="H32" s="595">
        <f t="shared" si="3"/>
        <v>1</v>
      </c>
      <c r="I32" s="595">
        <f t="shared" si="3"/>
        <v>1</v>
      </c>
      <c r="J32" s="595">
        <f t="shared" si="3"/>
        <v>1</v>
      </c>
      <c r="K32" s="595">
        <f t="shared" si="3"/>
        <v>1</v>
      </c>
      <c r="L32" s="595">
        <f t="shared" si="3"/>
        <v>1</v>
      </c>
      <c r="M32" s="595">
        <f t="shared" si="3"/>
        <v>1</v>
      </c>
      <c r="N32" s="595">
        <f t="shared" si="3"/>
        <v>1</v>
      </c>
      <c r="O32" s="305"/>
      <c r="P32" s="259"/>
    </row>
    <row r="33" spans="1:21">
      <c r="A33" s="250"/>
      <c r="B33" s="250"/>
      <c r="C33" s="258" t="s">
        <v>59</v>
      </c>
      <c r="D33" s="271"/>
      <c r="E33" s="313"/>
      <c r="F33" s="583" t="str">
        <f>IF(F32&lt;&gt;1,"check","")</f>
        <v/>
      </c>
      <c r="G33" s="584" t="str">
        <f t="shared" ref="G33" si="4">IF(G32&lt;&gt;1,"check","")</f>
        <v/>
      </c>
      <c r="H33" s="584" t="str">
        <f t="shared" ref="H33" si="5">IF(H32&lt;&gt;1,"check","")</f>
        <v/>
      </c>
      <c r="I33" s="585" t="str">
        <f t="shared" ref="I33" si="6">IF(I32&lt;&gt;1,"check","")</f>
        <v/>
      </c>
      <c r="J33" s="586" t="str">
        <f t="shared" ref="J33" si="7">IF(J32&lt;&gt;1,"check","")</f>
        <v/>
      </c>
      <c r="K33" s="586" t="str">
        <f t="shared" ref="K33" si="8">IF(K32&lt;&gt;1,"check","")</f>
        <v/>
      </c>
      <c r="L33" s="586" t="str">
        <f t="shared" ref="L33" si="9">IF(L32&lt;&gt;1,"check","")</f>
        <v/>
      </c>
      <c r="M33" s="586" t="str">
        <f t="shared" ref="M33" si="10">IF(M32&lt;&gt;1,"check","")</f>
        <v/>
      </c>
      <c r="N33" s="587" t="str">
        <f t="shared" ref="N33" si="11">IF(N32&lt;&gt;1,"check","")</f>
        <v/>
      </c>
      <c r="O33" s="511"/>
      <c r="P33" s="258"/>
      <c r="Q33" s="250"/>
      <c r="R33" s="250"/>
      <c r="S33" s="250"/>
      <c r="T33" s="250"/>
      <c r="U33" s="250"/>
    </row>
    <row r="34" spans="1:21">
      <c r="A34" s="250"/>
      <c r="B34" s="250"/>
      <c r="C34" s="258" t="s">
        <v>266</v>
      </c>
      <c r="D34" s="350" t="s">
        <v>3</v>
      </c>
      <c r="E34" s="313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512">
        <f>IF(I$10="Prior",0,(I$11*I$31*I17)*(Assumptions!I54-1))</f>
        <v>0</v>
      </c>
      <c r="J34" s="290">
        <f>IF(J$10="Prior",0,(J$11*J$31*J17)*(Assumptions!J54-1))</f>
        <v>0</v>
      </c>
      <c r="K34" s="290">
        <f>IF(K$10="Prior",0,(K$11*K$31*K17)*(Assumptions!K54-1))</f>
        <v>0</v>
      </c>
      <c r="L34" s="290">
        <f>IF(L$10="Prior",0,(L$11*L$31*L17)*(Assumptions!L54-1))</f>
        <v>0</v>
      </c>
      <c r="M34" s="290">
        <f>IF(M$10="Prior",0,(M$11*M$31*M17)*(Assumptions!M54-1))</f>
        <v>0</v>
      </c>
      <c r="N34" s="346">
        <f>IF(N$10="Prior",0,(N$11*N$31*N17)*(Assumptions!N54-1))</f>
        <v>0</v>
      </c>
      <c r="O34" s="513">
        <f t="shared" ref="O34:O43" si="12">SUM(F34:N34)</f>
        <v>0</v>
      </c>
      <c r="P34" s="514">
        <f t="shared" ref="P34:P43" si="13">SUM(I34:M34)</f>
        <v>0</v>
      </c>
      <c r="Q34" s="250"/>
      <c r="R34" s="250"/>
      <c r="S34" s="250"/>
      <c r="T34" s="250"/>
      <c r="U34" s="250"/>
    </row>
    <row r="35" spans="1:21">
      <c r="A35" s="250"/>
      <c r="B35" s="250"/>
      <c r="C35" s="258"/>
      <c r="D35" s="350" t="s">
        <v>4</v>
      </c>
      <c r="E35" s="313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512">
        <f>IF(I$10="Prior",0,(I$11*I$31*I18)*(Assumptions!I55-1))</f>
        <v>0</v>
      </c>
      <c r="J35" s="290">
        <f>IF(J$10="Prior",0,(J$11*J$31*J18)*(Assumptions!J55-1))</f>
        <v>0</v>
      </c>
      <c r="K35" s="290">
        <f>IF(K$10="Prior",0,(K$11*K$31*K18)*(Assumptions!K55-1))</f>
        <v>0</v>
      </c>
      <c r="L35" s="290">
        <f>IF(L$10="Prior",0,(L$11*L$31*L18)*(Assumptions!L55-1))</f>
        <v>0</v>
      </c>
      <c r="M35" s="290">
        <f>IF(M$10="Prior",0,(M$11*M$31*M18)*(Assumptions!M55-1))</f>
        <v>0</v>
      </c>
      <c r="N35" s="346">
        <f>IF(N$10="Prior",0,(N$11*N$31*N18)*(Assumptions!N55-1))</f>
        <v>0</v>
      </c>
      <c r="O35" s="513">
        <f t="shared" si="12"/>
        <v>0</v>
      </c>
      <c r="P35" s="514">
        <f t="shared" si="13"/>
        <v>0</v>
      </c>
      <c r="Q35" s="515"/>
      <c r="R35" s="515"/>
      <c r="S35" s="515"/>
      <c r="T35" s="515"/>
    </row>
    <row r="36" spans="1:21">
      <c r="A36" s="250"/>
      <c r="B36" s="250"/>
      <c r="C36" s="258"/>
      <c r="D36" s="350" t="s">
        <v>5</v>
      </c>
      <c r="E36" s="313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512">
        <f>IF(I$10="Prior",0,(I$11*I$31*I19)*(Assumptions!I56-1))</f>
        <v>0</v>
      </c>
      <c r="J36" s="290">
        <f>IF(J$10="Prior",0,(J$11*J$31*J19)*(Assumptions!J56-1))</f>
        <v>0</v>
      </c>
      <c r="K36" s="290">
        <f>IF(K$10="Prior",0,(K$11*K$31*K19)*(Assumptions!K56-1))</f>
        <v>0</v>
      </c>
      <c r="L36" s="290">
        <f>IF(L$10="Prior",0,(L$11*L$31*L19)*(Assumptions!L56-1))</f>
        <v>0</v>
      </c>
      <c r="M36" s="290">
        <f>IF(M$10="Prior",0,(M$11*M$31*M19)*(Assumptions!M56-1))</f>
        <v>0</v>
      </c>
      <c r="N36" s="346">
        <f>IF(N$10="Prior",0,(N$11*N$31*N19)*(Assumptions!N56-1))</f>
        <v>0</v>
      </c>
      <c r="O36" s="513">
        <f t="shared" si="12"/>
        <v>0</v>
      </c>
      <c r="P36" s="514">
        <f t="shared" si="13"/>
        <v>0</v>
      </c>
    </row>
    <row r="37" spans="1:21">
      <c r="A37" s="250"/>
      <c r="B37" s="250"/>
      <c r="C37" s="258"/>
      <c r="D37" s="350" t="s">
        <v>6</v>
      </c>
      <c r="E37" s="313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512">
        <f>IF(I$10="Prior",0,(I$11*I$31*I20)*(Assumptions!I57-1))</f>
        <v>0</v>
      </c>
      <c r="J37" s="290">
        <f>IF(J$10="Prior",0,(J$11*J$31*J20)*(Assumptions!J57-1))</f>
        <v>0</v>
      </c>
      <c r="K37" s="290">
        <f>IF(K$10="Prior",0,(K$11*K$31*K20)*(Assumptions!K57-1))</f>
        <v>0</v>
      </c>
      <c r="L37" s="290">
        <f>IF(L$10="Prior",0,(L$11*L$31*L20)*(Assumptions!L57-1))</f>
        <v>0</v>
      </c>
      <c r="M37" s="290">
        <f>IF(M$10="Prior",0,(M$11*M$31*M20)*(Assumptions!M57-1))</f>
        <v>0</v>
      </c>
      <c r="N37" s="346">
        <f>IF(N$10="Prior",0,(N$11*N$31*N20)*(Assumptions!N57-1))</f>
        <v>0</v>
      </c>
      <c r="O37" s="513">
        <f t="shared" si="12"/>
        <v>0</v>
      </c>
      <c r="P37" s="514">
        <f t="shared" si="13"/>
        <v>0</v>
      </c>
    </row>
    <row r="38" spans="1:21">
      <c r="A38" s="250"/>
      <c r="B38" s="250"/>
      <c r="C38" s="258"/>
      <c r="D38" s="350" t="s">
        <v>7</v>
      </c>
      <c r="E38" s="313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512">
        <f>IF(I$10="Prior",0,(I$11*I$31*I21)*(Assumptions!I58-1))</f>
        <v>0</v>
      </c>
      <c r="J38" s="290">
        <f>IF(J$10="Prior",0,(J$11*J$31*J21)*(Assumptions!J58-1))</f>
        <v>0</v>
      </c>
      <c r="K38" s="290">
        <f>IF(K$10="Prior",0,(K$11*K$31*K21)*(Assumptions!K58-1))</f>
        <v>0</v>
      </c>
      <c r="L38" s="290">
        <f>IF(L$10="Prior",0,(L$11*L$31*L21)*(Assumptions!L58-1))</f>
        <v>0</v>
      </c>
      <c r="M38" s="290">
        <f>IF(M$10="Prior",0,(M$11*M$31*M21)*(Assumptions!M58-1))</f>
        <v>0</v>
      </c>
      <c r="N38" s="346">
        <f>IF(N$10="Prior",0,(N$11*N$31*N21)*(Assumptions!N58-1))</f>
        <v>0</v>
      </c>
      <c r="O38" s="513">
        <f t="shared" si="12"/>
        <v>0</v>
      </c>
      <c r="P38" s="514">
        <f t="shared" si="13"/>
        <v>0</v>
      </c>
      <c r="Q38" s="516"/>
      <c r="R38" s="516"/>
      <c r="S38" s="516"/>
      <c r="T38" s="516"/>
    </row>
    <row r="39" spans="1:21">
      <c r="A39" s="250"/>
      <c r="B39" s="250"/>
      <c r="C39" s="258"/>
      <c r="D39" s="350" t="s">
        <v>8</v>
      </c>
      <c r="E39" s="313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512">
        <f>IF(I$10="Prior",0,(I$11*I$31*I22)*(Assumptions!I59-1))</f>
        <v>0</v>
      </c>
      <c r="J39" s="290">
        <f>IF(J$10="Prior",0,(J$11*J$31*J22)*(Assumptions!J59-1))</f>
        <v>0</v>
      </c>
      <c r="K39" s="290">
        <f>IF(K$10="Prior",0,(K$11*K$31*K22)*(Assumptions!K59-1))</f>
        <v>0</v>
      </c>
      <c r="L39" s="290">
        <f>IF(L$10="Prior",0,(L$11*L$31*L22)*(Assumptions!L59-1))</f>
        <v>0</v>
      </c>
      <c r="M39" s="290">
        <f>IF(M$10="Prior",0,(M$11*M$31*M22)*(Assumptions!M59-1))</f>
        <v>0</v>
      </c>
      <c r="N39" s="346">
        <f>IF(N$10="Prior",0,(N$11*N$31*N22)*(Assumptions!N59-1))</f>
        <v>0</v>
      </c>
      <c r="O39" s="513">
        <f t="shared" si="12"/>
        <v>0</v>
      </c>
      <c r="P39" s="514">
        <f t="shared" si="13"/>
        <v>0</v>
      </c>
    </row>
    <row r="40" spans="1:21">
      <c r="A40" s="250"/>
      <c r="B40" s="250"/>
      <c r="C40" s="258"/>
      <c r="D40" s="350" t="s">
        <v>9</v>
      </c>
      <c r="E40" s="313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512">
        <f>IF(I$10="Prior",0,(I$11*I$31*I23)*(Assumptions!I60-1))</f>
        <v>0</v>
      </c>
      <c r="J40" s="290">
        <f>IF(J$10="Prior",0,(J$11*J$31*J23)*(Assumptions!J60-1))</f>
        <v>0</v>
      </c>
      <c r="K40" s="290">
        <f>IF(K$10="Prior",0,(K$11*K$31*K23)*(Assumptions!K60-1))</f>
        <v>0</v>
      </c>
      <c r="L40" s="290">
        <f>IF(L$10="Prior",0,(L$11*L$31*L23)*(Assumptions!L60-1))</f>
        <v>0</v>
      </c>
      <c r="M40" s="290">
        <f>IF(M$10="Prior",0,(M$11*M$31*M23)*(Assumptions!M60-1))</f>
        <v>0</v>
      </c>
      <c r="N40" s="346">
        <f>IF(N$10="Prior",0,(N$11*N$31*N23)*(Assumptions!N60-1))</f>
        <v>0</v>
      </c>
      <c r="O40" s="513">
        <f t="shared" si="12"/>
        <v>0</v>
      </c>
      <c r="P40" s="514">
        <f t="shared" si="13"/>
        <v>0</v>
      </c>
    </row>
    <row r="41" spans="1:21">
      <c r="A41" s="250"/>
      <c r="B41" s="250"/>
      <c r="C41" s="258"/>
      <c r="D41" s="350" t="s">
        <v>10</v>
      </c>
      <c r="E41" s="313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512">
        <f>IF(I$10="Prior",0,(I$11*I$31*I24)*(Assumptions!I61-1))</f>
        <v>0</v>
      </c>
      <c r="J41" s="290">
        <f>IF(J$10="Prior",0,(J$11*J$31*J24)*(Assumptions!J61-1))</f>
        <v>0</v>
      </c>
      <c r="K41" s="290">
        <f>IF(K$10="Prior",0,(K$11*K$31*K24)*(Assumptions!K61-1))</f>
        <v>0</v>
      </c>
      <c r="L41" s="290">
        <f>IF(L$10="Prior",0,(L$11*L$31*L24)*(Assumptions!L61-1))</f>
        <v>0</v>
      </c>
      <c r="M41" s="290">
        <f>IF(M$10="Prior",0,(M$11*M$31*M24)*(Assumptions!M61-1))</f>
        <v>0</v>
      </c>
      <c r="N41" s="346">
        <f>IF(N$10="Prior",0,(N$11*N$31*N24)*(Assumptions!N61-1))</f>
        <v>0</v>
      </c>
      <c r="O41" s="513">
        <f t="shared" si="12"/>
        <v>0</v>
      </c>
      <c r="P41" s="514">
        <f t="shared" si="13"/>
        <v>0</v>
      </c>
      <c r="Q41" s="516"/>
      <c r="R41" s="516"/>
      <c r="S41" s="516"/>
      <c r="T41" s="516"/>
    </row>
    <row r="42" spans="1:21">
      <c r="A42" s="250"/>
      <c r="B42" s="250"/>
      <c r="C42" s="258"/>
      <c r="D42" s="350" t="s">
        <v>11</v>
      </c>
      <c r="E42" s="313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512">
        <f>IF(I$10="Prior",0,(I$11*I$31*I25)*(Assumptions!I62-1))</f>
        <v>0</v>
      </c>
      <c r="J42" s="290">
        <f>IF(J$10="Prior",0,(J$11*J$31*J25)*(Assumptions!J62-1))</f>
        <v>0</v>
      </c>
      <c r="K42" s="290">
        <f>IF(K$10="Prior",0,(K$11*K$31*K25)*(Assumptions!K62-1))</f>
        <v>0</v>
      </c>
      <c r="L42" s="290">
        <f>IF(L$10="Prior",0,(L$11*L$31*L25)*(Assumptions!L62-1))</f>
        <v>0</v>
      </c>
      <c r="M42" s="290">
        <f>IF(M$10="Prior",0,(M$11*M$31*M25)*(Assumptions!M62-1))</f>
        <v>0</v>
      </c>
      <c r="N42" s="346">
        <f>IF(N$10="Prior",0,(N$11*N$31*N25)*(Assumptions!N62-1))</f>
        <v>0</v>
      </c>
      <c r="O42" s="513">
        <f t="shared" si="12"/>
        <v>0</v>
      </c>
      <c r="P42" s="514">
        <f t="shared" si="13"/>
        <v>0</v>
      </c>
    </row>
    <row r="43" spans="1:21">
      <c r="A43" s="250"/>
      <c r="B43" s="250"/>
      <c r="C43" s="258"/>
      <c r="D43" s="350" t="s">
        <v>12</v>
      </c>
      <c r="E43" s="313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512">
        <f>IF(I$10="Prior",0,(I$11*I$31*I26)*(Assumptions!I63-1))</f>
        <v>0</v>
      </c>
      <c r="J43" s="290">
        <f>IF(J$10="Prior",0,(J$11*J$31*J26)*(Assumptions!J63-1))</f>
        <v>0</v>
      </c>
      <c r="K43" s="290">
        <f>IF(K$10="Prior",0,(K$11*K$31*K26)*(Assumptions!K63-1))</f>
        <v>0</v>
      </c>
      <c r="L43" s="290">
        <f>IF(L$10="Prior",0,(L$11*L$31*L26)*(Assumptions!L63-1))</f>
        <v>0</v>
      </c>
      <c r="M43" s="290">
        <f>IF(M$10="Prior",0,(M$11*M$31*M26)*(Assumptions!M63-1))</f>
        <v>0</v>
      </c>
      <c r="N43" s="346">
        <f>IF(N$10="Prior",0,(N$11*N$31*N26)*(Assumptions!N63-1))</f>
        <v>0</v>
      </c>
      <c r="O43" s="513">
        <f t="shared" si="12"/>
        <v>0</v>
      </c>
      <c r="P43" s="514">
        <f t="shared" si="13"/>
        <v>0</v>
      </c>
    </row>
    <row r="44" spans="1:21">
      <c r="A44" s="250"/>
      <c r="B44" s="250"/>
      <c r="C44" s="258"/>
      <c r="D44" s="465" t="s">
        <v>61</v>
      </c>
      <c r="E44" s="517"/>
      <c r="F44" s="292">
        <f t="shared" ref="F44:N44" si="14">+SUM(F33:F43)</f>
        <v>0</v>
      </c>
      <c r="G44" s="253">
        <f t="shared" si="14"/>
        <v>0</v>
      </c>
      <c r="H44" s="253">
        <f t="shared" si="14"/>
        <v>0</v>
      </c>
      <c r="I44" s="518">
        <f t="shared" si="14"/>
        <v>0</v>
      </c>
      <c r="J44" s="253">
        <f t="shared" si="14"/>
        <v>0</v>
      </c>
      <c r="K44" s="253">
        <f t="shared" si="14"/>
        <v>0</v>
      </c>
      <c r="L44" s="253">
        <f t="shared" si="14"/>
        <v>0</v>
      </c>
      <c r="M44" s="253">
        <f t="shared" si="14"/>
        <v>0</v>
      </c>
      <c r="N44" s="519">
        <f t="shared" si="14"/>
        <v>0</v>
      </c>
      <c r="O44" s="520">
        <f>SUM(O34:O43)</f>
        <v>0</v>
      </c>
      <c r="P44" s="521">
        <f>SUM(P34:P43)</f>
        <v>0</v>
      </c>
      <c r="Q44" s="516"/>
      <c r="R44" s="516"/>
      <c r="S44" s="516"/>
      <c r="T44" s="516"/>
    </row>
    <row r="45" spans="1:21">
      <c r="A45" s="250"/>
      <c r="B45" s="250"/>
      <c r="C45" s="258"/>
      <c r="D45" s="284"/>
      <c r="E45" s="250"/>
      <c r="F45" s="293"/>
      <c r="G45" s="287"/>
      <c r="H45" s="287"/>
      <c r="I45" s="522"/>
      <c r="J45" s="523"/>
      <c r="K45" s="523"/>
      <c r="L45" s="523"/>
      <c r="M45" s="523"/>
      <c r="N45" s="524"/>
      <c r="O45" s="511"/>
      <c r="P45" s="258"/>
    </row>
    <row r="46" spans="1:21">
      <c r="A46" s="250"/>
      <c r="B46" s="250"/>
      <c r="C46" s="258" t="s">
        <v>165</v>
      </c>
      <c r="D46" s="352" t="s">
        <v>270</v>
      </c>
      <c r="E46" s="250"/>
      <c r="F46" s="291">
        <f>IF(F$10="Prior",0,(F11*F29)*(Assumptions!F28-1))</f>
        <v>0</v>
      </c>
      <c r="G46" s="290">
        <f>IF(G$10="Prior",0,(G11*G29)*(Assumptions!G28-1))</f>
        <v>0.91385642918751187</v>
      </c>
      <c r="H46" s="290">
        <f>IF(H$10="Prior",0,(H11*H29)*(Assumptions!H28-1))</f>
        <v>0</v>
      </c>
      <c r="I46" s="512">
        <f>IF(I$10="Prior",0,(I11*I29)*(Assumptions!I28-1))</f>
        <v>0</v>
      </c>
      <c r="J46" s="290">
        <f>IF(J$10="Prior",0,(J11*J29)*(Assumptions!J28-1))</f>
        <v>0</v>
      </c>
      <c r="K46" s="290">
        <f>IF(K$10="Prior",0,(K11*K29)*(Assumptions!K28-1))</f>
        <v>0</v>
      </c>
      <c r="L46" s="290">
        <f>IF(L$10="Prior",0,(L11*L29)*(Assumptions!L28-1))</f>
        <v>0</v>
      </c>
      <c r="M46" s="290">
        <f>IF(M$10="Prior",0,(M11*M29)*(Assumptions!M28-1))</f>
        <v>0</v>
      </c>
      <c r="N46" s="346">
        <f>IF(N$10="Prior",0,(N11*N29)*(Assumptions!N28-1))</f>
        <v>0</v>
      </c>
      <c r="O46" s="294">
        <f t="shared" ref="O46:O47" si="15">SUM(F46:N46)</f>
        <v>0.91385642918751187</v>
      </c>
      <c r="P46" s="497">
        <f t="shared" ref="P46:P47" si="16">SUM(I46:M46)</f>
        <v>0</v>
      </c>
    </row>
    <row r="47" spans="1:21">
      <c r="A47" s="250"/>
      <c r="B47" s="250"/>
      <c r="C47" s="258"/>
      <c r="D47" s="352" t="s">
        <v>271</v>
      </c>
      <c r="E47" s="250"/>
      <c r="F47" s="294">
        <f>IF(F$10="Prior",0,(F11*F30)*(Assumptions!F30-1))</f>
        <v>0</v>
      </c>
      <c r="G47" s="290">
        <f>IF(G$10="Prior",0,(G11*G30)*(Assumptions!G30-1))</f>
        <v>3.188775625249995</v>
      </c>
      <c r="H47" s="290">
        <f>IF(H$10="Prior",0,(H11*H30)*(Assumptions!H30-1))</f>
        <v>0</v>
      </c>
      <c r="I47" s="512">
        <f>IF(I$10="Prior",0,(I11*I30)*(Assumptions!I30-1))</f>
        <v>0</v>
      </c>
      <c r="J47" s="290">
        <f>IF(J$10="Prior",0,(J11*J30)*(Assumptions!J30-1))</f>
        <v>0</v>
      </c>
      <c r="K47" s="290">
        <f>IF(K$10="Prior",0,(K11*K30)*(Assumptions!K30-1))</f>
        <v>0</v>
      </c>
      <c r="L47" s="290">
        <f>IF(L$10="Prior",0,(L11*L30)*(Assumptions!L30-1))</f>
        <v>0</v>
      </c>
      <c r="M47" s="290">
        <f>IF(M$10="Prior",0,(M11*M30)*(Assumptions!M30-1))</f>
        <v>0</v>
      </c>
      <c r="N47" s="346">
        <f>IF(N$10="Prior",0,(N11*N30)*(Assumptions!N30-1))</f>
        <v>0</v>
      </c>
      <c r="O47" s="294">
        <f t="shared" si="15"/>
        <v>3.188775625249995</v>
      </c>
      <c r="P47" s="497">
        <f t="shared" si="16"/>
        <v>0</v>
      </c>
    </row>
    <row r="48" spans="1:21">
      <c r="A48" s="250"/>
      <c r="B48" s="250"/>
      <c r="C48" s="258"/>
      <c r="D48" s="465" t="s">
        <v>273</v>
      </c>
      <c r="E48" s="525"/>
      <c r="F48" s="292">
        <f>SUM(F46:F47)</f>
        <v>0</v>
      </c>
      <c r="G48" s="253">
        <f t="shared" ref="G48:N48" si="17">SUM(G46:G47)</f>
        <v>4.1026320544375068</v>
      </c>
      <c r="H48" s="253">
        <f t="shared" si="17"/>
        <v>0</v>
      </c>
      <c r="I48" s="518">
        <f t="shared" si="17"/>
        <v>0</v>
      </c>
      <c r="J48" s="253">
        <f t="shared" si="17"/>
        <v>0</v>
      </c>
      <c r="K48" s="253">
        <f t="shared" si="17"/>
        <v>0</v>
      </c>
      <c r="L48" s="253">
        <f t="shared" si="17"/>
        <v>0</v>
      </c>
      <c r="M48" s="253">
        <f t="shared" si="17"/>
        <v>0</v>
      </c>
      <c r="N48" s="519">
        <f t="shared" si="17"/>
        <v>0</v>
      </c>
      <c r="O48" s="520">
        <f>SUM(O46:O47)</f>
        <v>4.1026320544375068</v>
      </c>
      <c r="P48" s="526">
        <f>SUM(P46:P47)</f>
        <v>0</v>
      </c>
    </row>
    <row r="49" spans="1:18">
      <c r="A49" s="250"/>
      <c r="B49" s="250"/>
      <c r="C49" s="439"/>
      <c r="D49" s="465" t="s">
        <v>60</v>
      </c>
      <c r="E49" s="525"/>
      <c r="F49" s="292">
        <f t="shared" ref="F49:N49" si="18">F44+F48</f>
        <v>0</v>
      </c>
      <c r="G49" s="253">
        <f t="shared" si="18"/>
        <v>4.1026320544375068</v>
      </c>
      <c r="H49" s="253">
        <f t="shared" si="18"/>
        <v>0</v>
      </c>
      <c r="I49" s="518">
        <f t="shared" si="18"/>
        <v>0</v>
      </c>
      <c r="J49" s="253">
        <f t="shared" si="18"/>
        <v>0</v>
      </c>
      <c r="K49" s="253">
        <f t="shared" si="18"/>
        <v>0</v>
      </c>
      <c r="L49" s="253">
        <f t="shared" si="18"/>
        <v>0</v>
      </c>
      <c r="M49" s="253">
        <f t="shared" si="18"/>
        <v>0</v>
      </c>
      <c r="N49" s="519">
        <f t="shared" si="18"/>
        <v>0</v>
      </c>
      <c r="O49" s="520">
        <f>O44+O48</f>
        <v>4.1026320544375068</v>
      </c>
      <c r="P49" s="521">
        <f>P44+P48</f>
        <v>0</v>
      </c>
    </row>
    <row r="50" spans="1:18">
      <c r="A50" s="250"/>
      <c r="B50" s="250"/>
      <c r="C50" s="260"/>
      <c r="D50" s="386" t="s">
        <v>283</v>
      </c>
      <c r="E50" s="527"/>
      <c r="F50" s="440">
        <f t="shared" ref="F50:P50" si="19">IF(ISERROR(F49/F11),0,F49/F11)</f>
        <v>0</v>
      </c>
      <c r="G50" s="441">
        <f t="shared" si="19"/>
        <v>2.6375000000000036E-3</v>
      </c>
      <c r="H50" s="441">
        <f t="shared" si="19"/>
        <v>0</v>
      </c>
      <c r="I50" s="528">
        <f t="shared" si="19"/>
        <v>0</v>
      </c>
      <c r="J50" s="441">
        <f t="shared" si="19"/>
        <v>0</v>
      </c>
      <c r="K50" s="441">
        <f t="shared" si="19"/>
        <v>0</v>
      </c>
      <c r="L50" s="441">
        <f t="shared" si="19"/>
        <v>0</v>
      </c>
      <c r="M50" s="441">
        <f t="shared" si="19"/>
        <v>0</v>
      </c>
      <c r="N50" s="529">
        <f t="shared" si="19"/>
        <v>0</v>
      </c>
      <c r="O50" s="529">
        <f t="shared" si="19"/>
        <v>1.8808594215562549E-4</v>
      </c>
      <c r="P50" s="529">
        <f t="shared" si="19"/>
        <v>0</v>
      </c>
    </row>
    <row r="51" spans="1:18">
      <c r="A51" s="250"/>
      <c r="B51" s="250"/>
      <c r="C51" s="310" t="s">
        <v>277</v>
      </c>
      <c r="D51" s="353" t="s">
        <v>17</v>
      </c>
      <c r="E51" s="530"/>
      <c r="F51" s="343">
        <f>(F29*F$11+F46)*Assumptions!$G$21</f>
        <v>2059.973353074965</v>
      </c>
      <c r="G51" s="344">
        <f>(G29*G$11+G46)*Assumptions!$G$21</f>
        <v>159.11083238475655</v>
      </c>
      <c r="H51" s="344">
        <f>(H29*H$11+H46)*Assumptions!$G$21</f>
        <v>0</v>
      </c>
      <c r="I51" s="531">
        <f>(I29*I$11+I46)*Assumptions!$G$21</f>
        <v>0</v>
      </c>
      <c r="J51" s="344">
        <f>(J29*J$11+J46)*Assumptions!$G$21</f>
        <v>0</v>
      </c>
      <c r="K51" s="344">
        <f>(K29*K$11+K46)*Assumptions!$G$21</f>
        <v>0</v>
      </c>
      <c r="L51" s="344">
        <f>(L29*L$11+L46)*Assumptions!$G$21</f>
        <v>0</v>
      </c>
      <c r="M51" s="344">
        <f>(M29*M$11+M46)*Assumptions!$G$21</f>
        <v>0</v>
      </c>
      <c r="N51" s="345">
        <f>(N29*N$11+N46)*Assumptions!$G$21</f>
        <v>0</v>
      </c>
      <c r="O51" s="532">
        <f t="shared" ref="O51:O53" si="20">SUM(F51:N51)</f>
        <v>2219.0841854597215</v>
      </c>
      <c r="P51" s="533">
        <f>SUM(I51:M51)</f>
        <v>0</v>
      </c>
    </row>
    <row r="52" spans="1:18">
      <c r="A52" s="250"/>
      <c r="B52" s="250"/>
      <c r="C52" s="258" t="s">
        <v>25</v>
      </c>
      <c r="D52" s="350" t="s">
        <v>19</v>
      </c>
      <c r="E52" s="313"/>
      <c r="F52" s="294">
        <f>(F30*F$11+F47)*Assumptions!$G$21</f>
        <v>10299.866765374823</v>
      </c>
      <c r="G52" s="290">
        <f>(G30*G$11+G47)*Assumptions!$G$21</f>
        <v>794.15030096947442</v>
      </c>
      <c r="H52" s="290">
        <f>(H30*H$11+H47)*Assumptions!$G$21</f>
        <v>0</v>
      </c>
      <c r="I52" s="512">
        <f>(I30*I$11+I47)*Assumptions!$G$21</f>
        <v>0</v>
      </c>
      <c r="J52" s="290">
        <f>(J30*J$11+J47)*Assumptions!$G$21</f>
        <v>0</v>
      </c>
      <c r="K52" s="290">
        <f>(K30*K$11+K47)*Assumptions!$G$21</f>
        <v>0</v>
      </c>
      <c r="L52" s="290">
        <f>(L30*L$11+L47)*Assumptions!$G$21</f>
        <v>0</v>
      </c>
      <c r="M52" s="290">
        <f>(M30*M$11+M47)*Assumptions!$G$21</f>
        <v>0</v>
      </c>
      <c r="N52" s="346">
        <f>(N30*N$11+N47)*Assumptions!$G$21</f>
        <v>0</v>
      </c>
      <c r="O52" s="534">
        <f t="shared" si="20"/>
        <v>11094.017066344299</v>
      </c>
      <c r="P52" s="535">
        <f>SUM(I52:M52)</f>
        <v>0</v>
      </c>
    </row>
    <row r="53" spans="1:18">
      <c r="A53" s="250"/>
      <c r="B53" s="250"/>
      <c r="C53" s="258"/>
      <c r="D53" s="350" t="s">
        <v>18</v>
      </c>
      <c r="E53" s="313"/>
      <c r="F53" s="294">
        <f>(F31*F$11+F$44)*Assumptions!$G$21</f>
        <v>8239.8934122998598</v>
      </c>
      <c r="G53" s="290">
        <f>(G31*G$11+G$44)*Assumptions!$G$21</f>
        <v>632.72606391353406</v>
      </c>
      <c r="H53" s="290">
        <f>(H31*H$11+H$44)*Assumptions!$G$21</f>
        <v>0</v>
      </c>
      <c r="I53" s="512">
        <f>(I31*I$11+I$44)*Assumptions!$G$21</f>
        <v>0</v>
      </c>
      <c r="J53" s="290">
        <f>(J31*J$11+J$44)*Assumptions!$G$21</f>
        <v>0</v>
      </c>
      <c r="K53" s="290">
        <f>(K31*K$11+K$44)*Assumptions!$G$21</f>
        <v>0</v>
      </c>
      <c r="L53" s="290">
        <f>(L31*L$11+L$44)*Assumptions!$G$21</f>
        <v>0</v>
      </c>
      <c r="M53" s="290">
        <f>(M31*M$11+M$44)*Assumptions!$G$21</f>
        <v>0</v>
      </c>
      <c r="N53" s="346">
        <f>(N31*N$11+N$44)*Assumptions!$G$21</f>
        <v>0</v>
      </c>
      <c r="O53" s="534">
        <f t="shared" si="20"/>
        <v>8872.6194762133946</v>
      </c>
      <c r="P53" s="535">
        <f>SUM(I53:M53)</f>
        <v>0</v>
      </c>
    </row>
    <row r="54" spans="1:18">
      <c r="A54" s="250"/>
      <c r="B54" s="250"/>
      <c r="C54" s="536"/>
      <c r="D54" s="537" t="str">
        <f>"Total Direct - As Incurred "&amp;Assumptions!$C$8</f>
        <v>Total Direct - As Incurred $ Mar 2017</v>
      </c>
      <c r="E54" s="517"/>
      <c r="F54" s="292">
        <f t="shared" ref="F54:P54" si="21">+SUM(F51:F53)</f>
        <v>20599.733530749647</v>
      </c>
      <c r="G54" s="253">
        <f t="shared" si="21"/>
        <v>1585.9871972677652</v>
      </c>
      <c r="H54" s="253">
        <f t="shared" si="21"/>
        <v>0</v>
      </c>
      <c r="I54" s="411">
        <f t="shared" si="21"/>
        <v>0</v>
      </c>
      <c r="J54" s="382">
        <f t="shared" si="21"/>
        <v>0</v>
      </c>
      <c r="K54" s="382">
        <f t="shared" si="21"/>
        <v>0</v>
      </c>
      <c r="L54" s="382">
        <f t="shared" si="21"/>
        <v>0</v>
      </c>
      <c r="M54" s="382">
        <f t="shared" si="21"/>
        <v>0</v>
      </c>
      <c r="N54" s="286">
        <f t="shared" si="21"/>
        <v>0</v>
      </c>
      <c r="O54" s="372">
        <f t="shared" si="21"/>
        <v>22185.720728017415</v>
      </c>
      <c r="P54" s="428">
        <f t="shared" si="21"/>
        <v>0</v>
      </c>
      <c r="R54" s="616" t="str">
        <f>IF(ROUND(O11*(1+O50)*Assumptions!$G$21,0)-ROUND(O54,0)&lt;&gt;0,"Error","ok")</f>
        <v>ok</v>
      </c>
    </row>
    <row r="55" spans="1:18">
      <c r="A55" s="250"/>
      <c r="B55" s="250"/>
      <c r="C55" s="257"/>
      <c r="D55" s="302"/>
      <c r="E55" s="510"/>
      <c r="F55" s="296"/>
      <c r="G55" s="297"/>
      <c r="H55" s="395"/>
      <c r="I55" s="412"/>
      <c r="J55" s="303"/>
      <c r="K55" s="303"/>
      <c r="L55" s="303"/>
      <c r="M55" s="303"/>
      <c r="N55" s="304"/>
      <c r="O55" s="511"/>
      <c r="P55" s="258"/>
    </row>
    <row r="56" spans="1:18">
      <c r="A56" s="250"/>
      <c r="B56" s="250"/>
      <c r="C56" s="258" t="s">
        <v>274</v>
      </c>
      <c r="D56" s="350" t="s">
        <v>272</v>
      </c>
      <c r="E56" s="506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511"/>
      <c r="P56" s="538"/>
    </row>
    <row r="57" spans="1:18">
      <c r="A57" s="250"/>
      <c r="B57" s="250"/>
      <c r="C57" s="258"/>
      <c r="D57" s="350" t="s">
        <v>267</v>
      </c>
      <c r="E57" s="506"/>
      <c r="F57" s="294">
        <f>F54*F56</f>
        <v>1649.662069139303</v>
      </c>
      <c r="G57" s="290">
        <f t="shared" ref="G57:N57" si="22">G54*G56</f>
        <v>94.278668287720109</v>
      </c>
      <c r="H57" s="290">
        <f t="shared" si="22"/>
        <v>0</v>
      </c>
      <c r="I57" s="512">
        <f t="shared" si="22"/>
        <v>0</v>
      </c>
      <c r="J57" s="290">
        <f t="shared" si="22"/>
        <v>0</v>
      </c>
      <c r="K57" s="290">
        <f t="shared" si="22"/>
        <v>0</v>
      </c>
      <c r="L57" s="290">
        <f t="shared" si="22"/>
        <v>0</v>
      </c>
      <c r="M57" s="290">
        <f t="shared" si="22"/>
        <v>0</v>
      </c>
      <c r="N57" s="346">
        <f t="shared" si="22"/>
        <v>0</v>
      </c>
      <c r="O57" s="294">
        <f>SUM(F57:N57)</f>
        <v>1743.9407374270231</v>
      </c>
      <c r="P57" s="497">
        <f>SUM(I57:M57)</f>
        <v>0</v>
      </c>
    </row>
    <row r="58" spans="1:18">
      <c r="A58" s="250"/>
      <c r="B58" s="250"/>
      <c r="C58" s="259"/>
      <c r="D58" s="305"/>
      <c r="E58" s="312"/>
      <c r="F58" s="511"/>
      <c r="G58" s="250"/>
      <c r="H58" s="250"/>
      <c r="I58" s="539"/>
      <c r="J58" s="250"/>
      <c r="K58" s="250"/>
      <c r="L58" s="250"/>
      <c r="M58" s="250"/>
      <c r="N58" s="454"/>
      <c r="O58" s="511"/>
      <c r="P58" s="258"/>
    </row>
    <row r="59" spans="1:18">
      <c r="A59" s="250"/>
      <c r="B59" s="250"/>
      <c r="C59" s="536"/>
      <c r="D59" s="537" t="str">
        <f>"Total incl Overhead - As Incurred "&amp;Assumptions!$C$8</f>
        <v>Total incl Overhead - As Incurred $ Mar 2017</v>
      </c>
      <c r="E59" s="517"/>
      <c r="F59" s="292">
        <f t="shared" ref="F59:M59" si="23">F54+F57</f>
        <v>22249.395599888951</v>
      </c>
      <c r="G59" s="253">
        <f t="shared" si="23"/>
        <v>1680.2658655554853</v>
      </c>
      <c r="H59" s="253">
        <f t="shared" si="23"/>
        <v>0</v>
      </c>
      <c r="I59" s="411">
        <f t="shared" si="23"/>
        <v>0</v>
      </c>
      <c r="J59" s="382">
        <f t="shared" si="23"/>
        <v>0</v>
      </c>
      <c r="K59" s="382">
        <f t="shared" si="23"/>
        <v>0</v>
      </c>
      <c r="L59" s="382">
        <f t="shared" si="23"/>
        <v>0</v>
      </c>
      <c r="M59" s="382">
        <f t="shared" si="23"/>
        <v>0</v>
      </c>
      <c r="N59" s="418">
        <f>N54+N57</f>
        <v>0</v>
      </c>
      <c r="O59" s="419">
        <f t="shared" ref="O59:P59" si="24">O54+O57</f>
        <v>23929.661465444438</v>
      </c>
      <c r="P59" s="429">
        <f t="shared" si="24"/>
        <v>0</v>
      </c>
    </row>
    <row r="60" spans="1:18" hidden="1" outlineLevel="1">
      <c r="A60" s="250"/>
      <c r="B60" s="250"/>
      <c r="C60" s="250"/>
      <c r="D60" s="313" t="s">
        <v>263</v>
      </c>
      <c r="E60" s="313"/>
      <c r="F60" s="290">
        <f>F57</f>
        <v>1649.662069139303</v>
      </c>
      <c r="G60" s="290">
        <f t="shared" ref="G60:N60" si="25">G57+F60</f>
        <v>1743.9407374270231</v>
      </c>
      <c r="H60" s="290">
        <f t="shared" si="25"/>
        <v>1743.9407374270231</v>
      </c>
      <c r="I60" s="290">
        <f t="shared" si="25"/>
        <v>1743.9407374270231</v>
      </c>
      <c r="J60" s="290">
        <f t="shared" si="25"/>
        <v>1743.9407374270231</v>
      </c>
      <c r="K60" s="290">
        <f t="shared" si="25"/>
        <v>1743.9407374270231</v>
      </c>
      <c r="L60" s="290">
        <f t="shared" si="25"/>
        <v>1743.9407374270231</v>
      </c>
      <c r="M60" s="290">
        <f t="shared" si="25"/>
        <v>1743.9407374270231</v>
      </c>
      <c r="N60" s="290">
        <f t="shared" si="25"/>
        <v>1743.9407374270231</v>
      </c>
    </row>
    <row r="61" spans="1:18" hidden="1" outlineLevel="1" collapsed="1">
      <c r="A61" s="250"/>
      <c r="B61" s="250"/>
      <c r="D61" s="251" t="s">
        <v>288</v>
      </c>
      <c r="E61" s="251"/>
      <c r="F61" s="252">
        <f>F49</f>
        <v>0</v>
      </c>
      <c r="G61" s="252">
        <f>G49+F61</f>
        <v>4.1026320544375068</v>
      </c>
      <c r="H61" s="252">
        <f t="shared" ref="H61:N61" si="26">H49+G61</f>
        <v>4.1026320544375068</v>
      </c>
      <c r="I61" s="252">
        <f t="shared" si="26"/>
        <v>4.1026320544375068</v>
      </c>
      <c r="J61" s="252">
        <f t="shared" si="26"/>
        <v>4.1026320544375068</v>
      </c>
      <c r="K61" s="252">
        <f t="shared" si="26"/>
        <v>4.1026320544375068</v>
      </c>
      <c r="L61" s="252">
        <f t="shared" si="26"/>
        <v>4.1026320544375068</v>
      </c>
      <c r="M61" s="252">
        <f t="shared" si="26"/>
        <v>4.1026320544375068</v>
      </c>
      <c r="N61" s="252">
        <f t="shared" si="26"/>
        <v>4.1026320544375068</v>
      </c>
    </row>
    <row r="62" spans="1:18" collapsed="1">
      <c r="A62" s="250"/>
      <c r="B62" s="250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  <c r="P62" s="248"/>
    </row>
    <row r="63" spans="1:18">
      <c r="A63" s="250"/>
      <c r="B63" s="250"/>
      <c r="C63" s="540" t="s">
        <v>275</v>
      </c>
      <c r="D63" s="541"/>
      <c r="E63" s="541"/>
      <c r="F63" s="542"/>
      <c r="G63" s="542"/>
      <c r="H63" s="542"/>
      <c r="I63" s="542"/>
      <c r="J63" s="542"/>
      <c r="K63" s="542"/>
      <c r="L63" s="542"/>
      <c r="M63" s="542"/>
      <c r="N63" s="542"/>
      <c r="O63" s="543"/>
      <c r="P63" s="544"/>
    </row>
    <row r="64" spans="1:18">
      <c r="A64" s="250"/>
      <c r="B64" s="250"/>
      <c r="C64" s="257" t="s">
        <v>23</v>
      </c>
      <c r="D64" s="353" t="s">
        <v>3</v>
      </c>
      <c r="E64" s="530"/>
      <c r="F64" s="343">
        <f t="shared" ref="F64:N73" si="27">F$59*F17</f>
        <v>1633.6916861119503</v>
      </c>
      <c r="G64" s="344">
        <f t="shared" si="27"/>
        <v>123.37577273467137</v>
      </c>
      <c r="H64" s="344">
        <f t="shared" si="27"/>
        <v>0</v>
      </c>
      <c r="I64" s="415">
        <f t="shared" si="27"/>
        <v>0</v>
      </c>
      <c r="J64" s="380">
        <f t="shared" si="27"/>
        <v>0</v>
      </c>
      <c r="K64" s="380">
        <f t="shared" si="27"/>
        <v>0</v>
      </c>
      <c r="L64" s="380">
        <f t="shared" si="27"/>
        <v>0</v>
      </c>
      <c r="M64" s="380">
        <f t="shared" si="27"/>
        <v>0</v>
      </c>
      <c r="N64" s="345">
        <f t="shared" si="27"/>
        <v>0</v>
      </c>
      <c r="O64" s="532">
        <f>SUM(F64:N64)</f>
        <v>1757.0674588466215</v>
      </c>
      <c r="P64" s="430">
        <f>SUM(I64:M64)</f>
        <v>0</v>
      </c>
    </row>
    <row r="65" spans="1:16">
      <c r="A65" s="250"/>
      <c r="B65" s="250"/>
      <c r="C65" s="258" t="s">
        <v>24</v>
      </c>
      <c r="D65" s="350" t="s">
        <v>4</v>
      </c>
      <c r="E65" s="313"/>
      <c r="F65" s="294">
        <f t="shared" si="27"/>
        <v>8706.4420606923231</v>
      </c>
      <c r="G65" s="290">
        <f t="shared" si="27"/>
        <v>657.50718213176481</v>
      </c>
      <c r="H65" s="290">
        <f t="shared" si="27"/>
        <v>0</v>
      </c>
      <c r="I65" s="416">
        <f t="shared" si="27"/>
        <v>0</v>
      </c>
      <c r="J65" s="381">
        <f t="shared" si="27"/>
        <v>0</v>
      </c>
      <c r="K65" s="381">
        <f t="shared" si="27"/>
        <v>0</v>
      </c>
      <c r="L65" s="381">
        <f t="shared" si="27"/>
        <v>0</v>
      </c>
      <c r="M65" s="381">
        <f t="shared" si="27"/>
        <v>0</v>
      </c>
      <c r="N65" s="346">
        <f t="shared" si="27"/>
        <v>0</v>
      </c>
      <c r="O65" s="534">
        <f t="shared" ref="O65:O73" si="28">SUM(F65:N65)</f>
        <v>9363.9492428240883</v>
      </c>
      <c r="P65" s="431">
        <f t="shared" ref="P65:P73" si="29">SUM(I65:M65)</f>
        <v>0</v>
      </c>
    </row>
    <row r="66" spans="1:16">
      <c r="A66" s="250"/>
      <c r="B66" s="250"/>
      <c r="C66" s="258" t="s">
        <v>25</v>
      </c>
      <c r="D66" s="350" t="s">
        <v>5</v>
      </c>
      <c r="E66" s="313"/>
      <c r="F66" s="294">
        <f t="shared" si="27"/>
        <v>6462.2346047679857</v>
      </c>
      <c r="G66" s="290">
        <f t="shared" si="27"/>
        <v>488.0254914276091</v>
      </c>
      <c r="H66" s="290">
        <f t="shared" si="27"/>
        <v>0</v>
      </c>
      <c r="I66" s="416">
        <f t="shared" si="27"/>
        <v>0</v>
      </c>
      <c r="J66" s="381">
        <f t="shared" si="27"/>
        <v>0</v>
      </c>
      <c r="K66" s="381">
        <f t="shared" si="27"/>
        <v>0</v>
      </c>
      <c r="L66" s="381">
        <f t="shared" si="27"/>
        <v>0</v>
      </c>
      <c r="M66" s="381">
        <f t="shared" si="27"/>
        <v>0</v>
      </c>
      <c r="N66" s="346">
        <f t="shared" si="27"/>
        <v>0</v>
      </c>
      <c r="O66" s="534">
        <f t="shared" si="28"/>
        <v>6950.260096195595</v>
      </c>
      <c r="P66" s="431">
        <f t="shared" si="29"/>
        <v>0</v>
      </c>
    </row>
    <row r="67" spans="1:16">
      <c r="A67" s="250"/>
      <c r="B67" s="250"/>
      <c r="C67" s="258"/>
      <c r="D67" s="350" t="s">
        <v>6</v>
      </c>
      <c r="E67" s="313"/>
      <c r="F67" s="294">
        <f t="shared" si="27"/>
        <v>0</v>
      </c>
      <c r="G67" s="290">
        <f t="shared" si="27"/>
        <v>0</v>
      </c>
      <c r="H67" s="290">
        <f t="shared" si="27"/>
        <v>0</v>
      </c>
      <c r="I67" s="416">
        <f t="shared" si="27"/>
        <v>0</v>
      </c>
      <c r="J67" s="381">
        <f t="shared" si="27"/>
        <v>0</v>
      </c>
      <c r="K67" s="381">
        <f t="shared" si="27"/>
        <v>0</v>
      </c>
      <c r="L67" s="381">
        <f t="shared" si="27"/>
        <v>0</v>
      </c>
      <c r="M67" s="381">
        <f t="shared" si="27"/>
        <v>0</v>
      </c>
      <c r="N67" s="346">
        <f t="shared" si="27"/>
        <v>0</v>
      </c>
      <c r="O67" s="534">
        <f t="shared" si="28"/>
        <v>0</v>
      </c>
      <c r="P67" s="431">
        <f t="shared" si="29"/>
        <v>0</v>
      </c>
    </row>
    <row r="68" spans="1:16">
      <c r="A68" s="250"/>
      <c r="B68" s="250"/>
      <c r="C68" s="258"/>
      <c r="D68" s="350" t="s">
        <v>7</v>
      </c>
      <c r="E68" s="313"/>
      <c r="F68" s="294">
        <f t="shared" si="27"/>
        <v>0</v>
      </c>
      <c r="G68" s="290">
        <f t="shared" si="27"/>
        <v>0</v>
      </c>
      <c r="H68" s="290">
        <f t="shared" si="27"/>
        <v>0</v>
      </c>
      <c r="I68" s="416">
        <f t="shared" si="27"/>
        <v>0</v>
      </c>
      <c r="J68" s="381">
        <f t="shared" si="27"/>
        <v>0</v>
      </c>
      <c r="K68" s="381">
        <f t="shared" si="27"/>
        <v>0</v>
      </c>
      <c r="L68" s="381">
        <f t="shared" si="27"/>
        <v>0</v>
      </c>
      <c r="M68" s="381">
        <f t="shared" si="27"/>
        <v>0</v>
      </c>
      <c r="N68" s="346">
        <f t="shared" si="27"/>
        <v>0</v>
      </c>
      <c r="O68" s="534">
        <f t="shared" si="28"/>
        <v>0</v>
      </c>
      <c r="P68" s="431">
        <f t="shared" si="29"/>
        <v>0</v>
      </c>
    </row>
    <row r="69" spans="1:16">
      <c r="A69" s="250"/>
      <c r="B69" s="250"/>
      <c r="C69" s="258"/>
      <c r="D69" s="350" t="s">
        <v>8</v>
      </c>
      <c r="E69" s="313"/>
      <c r="F69" s="294">
        <f t="shared" si="27"/>
        <v>5372.9397952303825</v>
      </c>
      <c r="G69" s="290">
        <f t="shared" si="27"/>
        <v>405.76236307539745</v>
      </c>
      <c r="H69" s="290">
        <f t="shared" si="27"/>
        <v>0</v>
      </c>
      <c r="I69" s="416">
        <f t="shared" si="27"/>
        <v>0</v>
      </c>
      <c r="J69" s="381">
        <f t="shared" si="27"/>
        <v>0</v>
      </c>
      <c r="K69" s="381">
        <f t="shared" si="27"/>
        <v>0</v>
      </c>
      <c r="L69" s="381">
        <f t="shared" si="27"/>
        <v>0</v>
      </c>
      <c r="M69" s="381">
        <f t="shared" si="27"/>
        <v>0</v>
      </c>
      <c r="N69" s="346">
        <f t="shared" si="27"/>
        <v>0</v>
      </c>
      <c r="O69" s="534">
        <f t="shared" si="28"/>
        <v>5778.7021583057804</v>
      </c>
      <c r="P69" s="431">
        <f t="shared" si="29"/>
        <v>0</v>
      </c>
    </row>
    <row r="70" spans="1:16">
      <c r="A70" s="250"/>
      <c r="B70" s="250"/>
      <c r="C70" s="258"/>
      <c r="D70" s="350" t="s">
        <v>9</v>
      </c>
      <c r="E70" s="313"/>
      <c r="F70" s="294">
        <f t="shared" si="27"/>
        <v>74.087453086305274</v>
      </c>
      <c r="G70" s="290">
        <f t="shared" si="27"/>
        <v>5.5950561860423509</v>
      </c>
      <c r="H70" s="290">
        <f t="shared" si="27"/>
        <v>0</v>
      </c>
      <c r="I70" s="416">
        <f t="shared" si="27"/>
        <v>0</v>
      </c>
      <c r="J70" s="381">
        <f t="shared" si="27"/>
        <v>0</v>
      </c>
      <c r="K70" s="381">
        <f t="shared" si="27"/>
        <v>0</v>
      </c>
      <c r="L70" s="381">
        <f t="shared" si="27"/>
        <v>0</v>
      </c>
      <c r="M70" s="381">
        <f t="shared" si="27"/>
        <v>0</v>
      </c>
      <c r="N70" s="346">
        <f t="shared" si="27"/>
        <v>0</v>
      </c>
      <c r="O70" s="534">
        <f t="shared" si="28"/>
        <v>79.68250927234763</v>
      </c>
      <c r="P70" s="431">
        <f t="shared" si="29"/>
        <v>0</v>
      </c>
    </row>
    <row r="71" spans="1:16">
      <c r="A71" s="250"/>
      <c r="B71" s="250"/>
      <c r="C71" s="258"/>
      <c r="D71" s="350" t="s">
        <v>10</v>
      </c>
      <c r="E71" s="313"/>
      <c r="F71" s="294">
        <f t="shared" si="27"/>
        <v>0</v>
      </c>
      <c r="G71" s="290">
        <f t="shared" si="27"/>
        <v>0</v>
      </c>
      <c r="H71" s="290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346">
        <f t="shared" si="27"/>
        <v>0</v>
      </c>
      <c r="O71" s="534">
        <f t="shared" si="28"/>
        <v>0</v>
      </c>
      <c r="P71" s="431">
        <f t="shared" si="29"/>
        <v>0</v>
      </c>
    </row>
    <row r="72" spans="1:16">
      <c r="A72" s="250"/>
      <c r="B72" s="250"/>
      <c r="C72" s="258"/>
      <c r="D72" s="350" t="s">
        <v>11</v>
      </c>
      <c r="E72" s="313"/>
      <c r="F72" s="294">
        <f t="shared" si="27"/>
        <v>0</v>
      </c>
      <c r="G72" s="290">
        <f t="shared" si="27"/>
        <v>0</v>
      </c>
      <c r="H72" s="290">
        <f t="shared" si="27"/>
        <v>0</v>
      </c>
      <c r="I72" s="416">
        <f t="shared" si="27"/>
        <v>0</v>
      </c>
      <c r="J72" s="381">
        <f t="shared" si="27"/>
        <v>0</v>
      </c>
      <c r="K72" s="381">
        <f t="shared" si="27"/>
        <v>0</v>
      </c>
      <c r="L72" s="381">
        <f t="shared" si="27"/>
        <v>0</v>
      </c>
      <c r="M72" s="381">
        <f t="shared" si="27"/>
        <v>0</v>
      </c>
      <c r="N72" s="346">
        <f t="shared" si="27"/>
        <v>0</v>
      </c>
      <c r="O72" s="534">
        <f t="shared" si="28"/>
        <v>0</v>
      </c>
      <c r="P72" s="431">
        <f t="shared" si="29"/>
        <v>0</v>
      </c>
    </row>
    <row r="73" spans="1:16">
      <c r="A73" s="250"/>
      <c r="B73" s="250"/>
      <c r="C73" s="259"/>
      <c r="D73" s="354" t="s">
        <v>12</v>
      </c>
      <c r="E73" s="546"/>
      <c r="F73" s="294">
        <f t="shared" si="27"/>
        <v>0</v>
      </c>
      <c r="G73" s="290">
        <f t="shared" si="27"/>
        <v>0</v>
      </c>
      <c r="H73" s="290">
        <f t="shared" si="27"/>
        <v>0</v>
      </c>
      <c r="I73" s="416">
        <f t="shared" si="27"/>
        <v>0</v>
      </c>
      <c r="J73" s="381">
        <f t="shared" si="27"/>
        <v>0</v>
      </c>
      <c r="K73" s="381">
        <f t="shared" si="27"/>
        <v>0</v>
      </c>
      <c r="L73" s="381">
        <f t="shared" si="27"/>
        <v>0</v>
      </c>
      <c r="M73" s="381">
        <f t="shared" si="27"/>
        <v>0</v>
      </c>
      <c r="N73" s="346">
        <f t="shared" si="27"/>
        <v>0</v>
      </c>
      <c r="O73" s="534">
        <f t="shared" si="28"/>
        <v>0</v>
      </c>
      <c r="P73" s="431">
        <f t="shared" si="29"/>
        <v>0</v>
      </c>
    </row>
    <row r="74" spans="1:16">
      <c r="A74" s="250"/>
      <c r="B74" s="250"/>
      <c r="C74" s="536"/>
      <c r="D74" s="537" t="str">
        <f>"Total incl Overhead - As Incurred "&amp;Assumptions!$C$8</f>
        <v>Total incl Overhead - As Incurred $ Mar 2017</v>
      </c>
      <c r="E74" s="517"/>
      <c r="F74" s="292">
        <f>+SUM(F64:F73)</f>
        <v>22249.395599888947</v>
      </c>
      <c r="G74" s="253">
        <f t="shared" ref="G74:N74" si="30">+SUM(G64:G73)</f>
        <v>1680.2658655554849</v>
      </c>
      <c r="H74" s="253">
        <f t="shared" si="30"/>
        <v>0</v>
      </c>
      <c r="I74" s="411">
        <f t="shared" si="30"/>
        <v>0</v>
      </c>
      <c r="J74" s="382">
        <f t="shared" si="30"/>
        <v>0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519">
        <f t="shared" si="30"/>
        <v>0</v>
      </c>
      <c r="O74" s="292">
        <f>SUM(O64:O73)</f>
        <v>23929.661465444431</v>
      </c>
      <c r="P74" s="428">
        <f>SUM(P64:P73)</f>
        <v>0</v>
      </c>
    </row>
    <row r="75" spans="1:16">
      <c r="B75" s="250"/>
      <c r="E75" s="547" t="s">
        <v>50</v>
      </c>
      <c r="F75" s="548">
        <f>F74-F59</f>
        <v>0</v>
      </c>
      <c r="G75" s="548">
        <f t="shared" ref="G75:P75" si="31">G74-G59</f>
        <v>0</v>
      </c>
      <c r="H75" s="548">
        <f t="shared" si="31"/>
        <v>0</v>
      </c>
      <c r="I75" s="548">
        <f t="shared" si="31"/>
        <v>0</v>
      </c>
      <c r="J75" s="548">
        <f t="shared" si="31"/>
        <v>0</v>
      </c>
      <c r="K75" s="548">
        <f t="shared" si="31"/>
        <v>0</v>
      </c>
      <c r="L75" s="548">
        <f t="shared" si="31"/>
        <v>0</v>
      </c>
      <c r="M75" s="548">
        <f t="shared" si="31"/>
        <v>0</v>
      </c>
      <c r="N75" s="548">
        <f t="shared" si="31"/>
        <v>0</v>
      </c>
      <c r="O75" s="548">
        <f t="shared" si="31"/>
        <v>0</v>
      </c>
      <c r="P75" s="548">
        <f t="shared" si="31"/>
        <v>0</v>
      </c>
    </row>
    <row r="76" spans="1:16" hidden="1" outlineLevel="1">
      <c r="A76" s="250"/>
      <c r="B76" s="250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344">
        <f t="shared" ref="F76:N76" si="32">F14</f>
        <v>20285.66179321321</v>
      </c>
      <c r="G76" s="344">
        <f t="shared" si="32"/>
        <v>1526.8777693816394</v>
      </c>
      <c r="H76" s="344">
        <f t="shared" si="32"/>
        <v>0</v>
      </c>
      <c r="I76" s="531">
        <f t="shared" si="32"/>
        <v>0</v>
      </c>
      <c r="J76" s="344">
        <f t="shared" si="32"/>
        <v>0</v>
      </c>
      <c r="K76" s="344">
        <f t="shared" si="32"/>
        <v>0</v>
      </c>
      <c r="L76" s="344">
        <f t="shared" si="32"/>
        <v>0</v>
      </c>
      <c r="M76" s="344">
        <f t="shared" si="32"/>
        <v>0</v>
      </c>
      <c r="N76" s="345">
        <f t="shared" si="32"/>
        <v>0</v>
      </c>
      <c r="O76" s="549">
        <f>SUM(F76:N76)</f>
        <v>21812.539562594851</v>
      </c>
      <c r="P76" s="545">
        <f t="shared" ref="P76:P80" si="33">SUM(I76:M76)</f>
        <v>0</v>
      </c>
    </row>
    <row r="77" spans="1:16" hidden="1" outlineLevel="1">
      <c r="A77" s="250"/>
      <c r="B77" s="250"/>
      <c r="C77" s="453"/>
      <c r="D77" s="350" t="str">
        <f>"Labour &amp; Material Escalation - "&amp;Assumptions!C7</f>
        <v>Labour &amp; Material Escalation - $ 2015/16</v>
      </c>
      <c r="E77" s="454"/>
      <c r="F77" s="290">
        <f>IF(F$10="Prior",0,IF(AND(F76&lt;&gt;0,SUM(E76:$F76)=0),F76/SUM($F$76:F76)*F61,IF(F76&lt;&gt;0,SUM($F$76:F76)/SUM($F$11:F11)*F61-E83,0)))</f>
        <v>0</v>
      </c>
      <c r="G77" s="290">
        <f>IF(G$10="Prior",0,IF(AND(G76&lt;&gt;0,SUM($F76:F76)=0),G76/SUM($F$76:G76)*G61,IF(G76&lt;&gt;0,SUM($F$76:G76)/SUM($F$11:G11)*G61-F83,0)))</f>
        <v>4.1026320544375077</v>
      </c>
      <c r="H77" s="290">
        <f>IF(H$10="Prior",0,IF(AND(H76&lt;&gt;0,SUM($F76:G76)=0),H76/SUM($F$76:H76)*H61,IF(H76&lt;&gt;0,SUM($F$76:H76)/SUM($F$11:H11)*H61-G83,0)))</f>
        <v>0</v>
      </c>
      <c r="I77" s="512">
        <f>IF(I$10="Prior",0,IF(AND(I76&lt;&gt;0,SUM($F76:H76)=0),I76/SUM($F$76:I76)*I61,IF(I76&lt;&gt;0,SUM($F$76:I76)/SUM($F$11:I11)*I61-H83,0)))</f>
        <v>0</v>
      </c>
      <c r="J77" s="290">
        <f>IF(J$10="Prior",0,IF(AND(J76&lt;&gt;0,SUM($F76:I76)=0),J76/SUM($F$76:J76)*J61,IF(J76&lt;&gt;0,SUM($F$76:J76)/SUM($F$11:J11)*J61-I83,0)))</f>
        <v>0</v>
      </c>
      <c r="K77" s="290">
        <f>IF(K$10="Prior",0,IF(AND(K76&lt;&gt;0,SUM($F76:J76)=0),K76/SUM($F$76:K76)*K61,IF(K76&lt;&gt;0,SUM($F$76:K76)/SUM($F$11:K11)*K61-J83,0)))</f>
        <v>0</v>
      </c>
      <c r="L77" s="290">
        <f>IF(L$10="Prior",0,IF(AND(L76&lt;&gt;0,SUM($F76:K76)=0),L76/SUM($F$76:L76)*L61,IF(L76&lt;&gt;0,SUM($F$76:L76)/SUM($F$11:L11)*L61-K83,0)))</f>
        <v>0</v>
      </c>
      <c r="M77" s="290">
        <f>IF(M$10="Prior",0,IF(AND(M76&lt;&gt;0,SUM($F76:L76)=0),M76/SUM($F$76:M76)*M61,IF(M76&lt;&gt;0,SUM($F$76:M76)/SUM($F$11:M11)*M61-L83,0)))</f>
        <v>0</v>
      </c>
      <c r="N77" s="346">
        <f>IF(N$10="Prior",0,IF(AND(N76&lt;&gt;0,SUM($F76:M76)=0),N76/SUM($F$76:N76)*N61,IF(N76&lt;&gt;0,SUM($F$76:N76)/SUM($F$11:N11)*N61-M83,0)))</f>
        <v>0</v>
      </c>
      <c r="O77" s="550">
        <f>SUM(F77:N77)</f>
        <v>4.1026320544375077</v>
      </c>
      <c r="P77" s="551">
        <f t="shared" si="33"/>
        <v>0</v>
      </c>
    </row>
    <row r="78" spans="1:16" hidden="1" outlineLevel="1">
      <c r="A78" s="250"/>
      <c r="B78" s="250"/>
      <c r="C78" s="453"/>
      <c r="D78" s="470" t="str">
        <f>"Total Direct Expenditure - "&amp;Assumptions!C7</f>
        <v>Total Direct Expenditure - $ 2015/16</v>
      </c>
      <c r="E78" s="471"/>
      <c r="F78" s="552">
        <f>SUM(F76:F77)</f>
        <v>20285.66179321321</v>
      </c>
      <c r="G78" s="553">
        <f t="shared" ref="G78:N78" si="34">SUM(G76:G77)</f>
        <v>1530.9804014360768</v>
      </c>
      <c r="H78" s="553">
        <f t="shared" si="34"/>
        <v>0</v>
      </c>
      <c r="I78" s="554">
        <f t="shared" si="34"/>
        <v>0</v>
      </c>
      <c r="J78" s="553">
        <f t="shared" si="34"/>
        <v>0</v>
      </c>
      <c r="K78" s="553">
        <f t="shared" si="34"/>
        <v>0</v>
      </c>
      <c r="L78" s="553">
        <f t="shared" si="34"/>
        <v>0</v>
      </c>
      <c r="M78" s="553">
        <f t="shared" si="34"/>
        <v>0</v>
      </c>
      <c r="N78" s="555">
        <f t="shared" si="34"/>
        <v>0</v>
      </c>
      <c r="O78" s="556">
        <f>SUM(F78:N78)</f>
        <v>21816.642194649288</v>
      </c>
      <c r="P78" s="557">
        <f t="shared" si="33"/>
        <v>0</v>
      </c>
    </row>
    <row r="79" spans="1:16" hidden="1" outlineLevel="1">
      <c r="A79" s="250"/>
      <c r="B79" s="250"/>
      <c r="C79" s="453"/>
      <c r="D79" s="470" t="str">
        <f>"Total Direct Expenditure - "&amp;Assumptions!C8</f>
        <v>Total Direct Expenditure - $ Mar 2017</v>
      </c>
      <c r="E79" s="471"/>
      <c r="F79" s="552">
        <f>F78*Assumptions!$G$21</f>
        <v>20628.840282196143</v>
      </c>
      <c r="G79" s="553">
        <f>G78*Assumptions!$G$21</f>
        <v>1556.8804458212737</v>
      </c>
      <c r="H79" s="553">
        <f>H78*Assumptions!$G$21</f>
        <v>0</v>
      </c>
      <c r="I79" s="554">
        <f>I78*Assumptions!$G$21</f>
        <v>0</v>
      </c>
      <c r="J79" s="553">
        <f>J78*Assumptions!$G$21</f>
        <v>0</v>
      </c>
      <c r="K79" s="553">
        <f>K78*Assumptions!$G$21</f>
        <v>0</v>
      </c>
      <c r="L79" s="553">
        <f>L78*Assumptions!$G$21</f>
        <v>0</v>
      </c>
      <c r="M79" s="553">
        <f>M78*Assumptions!$G$21</f>
        <v>0</v>
      </c>
      <c r="N79" s="555">
        <f>N78*Assumptions!$G$21</f>
        <v>0</v>
      </c>
      <c r="O79" s="556">
        <f>SUM(F79:N79)</f>
        <v>22185.720728017415</v>
      </c>
      <c r="P79" s="557">
        <f t="shared" si="33"/>
        <v>0</v>
      </c>
    </row>
    <row r="80" spans="1:16" hidden="1" outlineLevel="1">
      <c r="A80" s="250"/>
      <c r="B80" s="250"/>
      <c r="C80" s="258"/>
      <c r="D80" s="354" t="s">
        <v>264</v>
      </c>
      <c r="E80" s="312"/>
      <c r="F80" s="290">
        <f>IF(F$10="Prior",F79*F56,IF(AND(F79&lt;&gt;0,SUM(E79:$F79)=0),F79/SUM($F$54:F54)*F60,IF(F79&lt;&gt;0,SUM($F$79:F79)/SUM($F$54:F54)*F60-E82,0)))</f>
        <v>1651.9929878254827</v>
      </c>
      <c r="G80" s="290">
        <f>IF(G$10="Prior",G79*G56,IF(AND(G79&lt;&gt;0,SUM($F79:F79)=0),G79/SUM($F$54:G54)*G60,IF(G79&lt;&gt;0,SUM($F$79:G79)/SUM($F$54:G54)*G60-F82,0)))</f>
        <v>91.947749601540863</v>
      </c>
      <c r="H80" s="290">
        <f>IF(H$10="Prior",H79*H56,IF(AND(H79&lt;&gt;0,SUM($F79:G79)=0),H79/SUM($F$54:H54)*H60,IF(H79&lt;&gt;0,SUM($F$79:H79)/SUM($F$54:H54)*H60-G82,0)))</f>
        <v>0</v>
      </c>
      <c r="I80" s="512">
        <f>IF(I$10="Prior",I79*I56,IF(AND(I79&lt;&gt;0,SUM($F79:H79)=0),I79/SUM($F$54:I54)*I60,IF(I79&lt;&gt;0,SUM($F$79:I79)/SUM($F$54:I54)*I60-H82,0)))</f>
        <v>0</v>
      </c>
      <c r="J80" s="290">
        <f>IF(J$10="Prior",J79*J56,IF(AND(J79&lt;&gt;0,SUM($F79:I79)=0),J79/SUM($F$54:J54)*J60,IF(J79&lt;&gt;0,SUM($F$79:J79)/SUM($F$54:J54)*J60-I82,0)))</f>
        <v>0</v>
      </c>
      <c r="K80" s="290">
        <f>IF(K$10="Prior",K79*K56,IF(AND(K79&lt;&gt;0,SUM($F79:J79)=0),K79/SUM($F$54:K54)*K60,IF(K79&lt;&gt;0,SUM($F$79:K79)/SUM($F$54:K54)*K60-J82,0)))</f>
        <v>0</v>
      </c>
      <c r="L80" s="290">
        <f>IF(L$10="Prior",L79*L56,IF(AND(L79&lt;&gt;0,SUM($F79:K79)=0),L79/SUM($F$54:L54)*L60,IF(L79&lt;&gt;0,SUM($F$79:L79)/SUM($F$54:L54)*L60-K82,0)))</f>
        <v>0</v>
      </c>
      <c r="M80" s="290">
        <f>IF(M$10="Prior",M79*M56,IF(AND(M79&lt;&gt;0,SUM($F79:L79)=0),M79/SUM($F$54:M54)*M60,IF(M79&lt;&gt;0,SUM($F$79:M79)/SUM($F$54:M54)*M60-L82,0)))</f>
        <v>0</v>
      </c>
      <c r="N80" s="346">
        <f>IF(N$10="Prior",N79*N56,IF(AND(N79&lt;&gt;0,SUM($F79:M79)=0),N79/SUM($F$54:N54)*N60,IF(N79&lt;&gt;0,SUM($F$79:N79)/SUM($F$54:N54)*N60-M82,0)))</f>
        <v>0</v>
      </c>
      <c r="O80" s="550">
        <f>SUM(F80:N80)</f>
        <v>1743.9407374270236</v>
      </c>
      <c r="P80" s="497">
        <f t="shared" si="33"/>
        <v>0</v>
      </c>
    </row>
    <row r="81" spans="1:17" hidden="1" outlineLevel="1">
      <c r="A81" s="250"/>
      <c r="B81" s="250"/>
      <c r="C81" s="536"/>
      <c r="D81" s="537" t="str">
        <f>"Total incl Overhead - As commissioned "&amp;Assumptions!$C$8</f>
        <v>Total incl Overhead - As commissioned $ Mar 2017</v>
      </c>
      <c r="E81" s="517"/>
      <c r="F81" s="558">
        <f>SUM(F79:F80)</f>
        <v>22280.833270021627</v>
      </c>
      <c r="G81" s="559">
        <f t="shared" ref="G81:P81" si="35">SUM(G79:G80)</f>
        <v>1648.8281954228146</v>
      </c>
      <c r="H81" s="559">
        <f t="shared" si="35"/>
        <v>0</v>
      </c>
      <c r="I81" s="560">
        <f t="shared" si="35"/>
        <v>0</v>
      </c>
      <c r="J81" s="559">
        <f t="shared" si="35"/>
        <v>0</v>
      </c>
      <c r="K81" s="559">
        <f t="shared" si="35"/>
        <v>0</v>
      </c>
      <c r="L81" s="559">
        <f t="shared" si="35"/>
        <v>0</v>
      </c>
      <c r="M81" s="559">
        <f t="shared" si="35"/>
        <v>0</v>
      </c>
      <c r="N81" s="561">
        <f t="shared" si="35"/>
        <v>0</v>
      </c>
      <c r="O81" s="562">
        <f t="shared" si="35"/>
        <v>23929.661465444438</v>
      </c>
      <c r="P81" s="563">
        <f t="shared" si="35"/>
        <v>0</v>
      </c>
    </row>
    <row r="82" spans="1:17" hidden="1" outlineLevel="1">
      <c r="A82" s="250"/>
      <c r="B82" s="250"/>
      <c r="C82" s="250"/>
      <c r="D82" s="251" t="s">
        <v>286</v>
      </c>
      <c r="E82" s="251"/>
      <c r="F82" s="252">
        <f>F80</f>
        <v>1651.9929878254827</v>
      </c>
      <c r="G82" s="252">
        <f t="shared" ref="G82:N82" si="36">G80+F82</f>
        <v>1743.9407374270236</v>
      </c>
      <c r="H82" s="252">
        <f t="shared" si="36"/>
        <v>1743.9407374270236</v>
      </c>
      <c r="I82" s="252">
        <f t="shared" si="36"/>
        <v>1743.9407374270236</v>
      </c>
      <c r="J82" s="252">
        <f t="shared" si="36"/>
        <v>1743.9407374270236</v>
      </c>
      <c r="K82" s="252">
        <f t="shared" si="36"/>
        <v>1743.9407374270236</v>
      </c>
      <c r="L82" s="252">
        <f t="shared" si="36"/>
        <v>1743.9407374270236</v>
      </c>
      <c r="M82" s="252">
        <f t="shared" si="36"/>
        <v>1743.9407374270236</v>
      </c>
      <c r="N82" s="252">
        <f t="shared" si="36"/>
        <v>1743.9407374270236</v>
      </c>
      <c r="O82" s="543"/>
    </row>
    <row r="83" spans="1:17" hidden="1" outlineLevel="1">
      <c r="A83" s="250"/>
      <c r="B83" s="250"/>
      <c r="C83" s="250"/>
      <c r="D83" s="251" t="s">
        <v>287</v>
      </c>
      <c r="E83" s="251"/>
      <c r="F83" s="252">
        <f>F77</f>
        <v>0</v>
      </c>
      <c r="G83" s="252">
        <f t="shared" ref="G83:N83" si="37">G77+F83</f>
        <v>4.1026320544375077</v>
      </c>
      <c r="H83" s="252">
        <f t="shared" si="37"/>
        <v>4.1026320544375077</v>
      </c>
      <c r="I83" s="252">
        <f t="shared" si="37"/>
        <v>4.1026320544375077</v>
      </c>
      <c r="J83" s="252">
        <f t="shared" si="37"/>
        <v>4.1026320544375077</v>
      </c>
      <c r="K83" s="252">
        <f t="shared" si="37"/>
        <v>4.1026320544375077</v>
      </c>
      <c r="L83" s="252">
        <f t="shared" si="37"/>
        <v>4.1026320544375077</v>
      </c>
      <c r="M83" s="252">
        <f t="shared" si="37"/>
        <v>4.1026320544375077</v>
      </c>
      <c r="N83" s="252">
        <f t="shared" si="37"/>
        <v>4.1026320544375077</v>
      </c>
      <c r="O83" s="543"/>
    </row>
    <row r="84" spans="1:17" collapsed="1">
      <c r="A84" s="250"/>
      <c r="B84" s="250"/>
      <c r="C84" s="540" t="s">
        <v>276</v>
      </c>
    </row>
    <row r="85" spans="1:17">
      <c r="B85" s="250"/>
      <c r="C85" s="257" t="s">
        <v>23</v>
      </c>
      <c r="D85" s="353" t="s">
        <v>3</v>
      </c>
      <c r="E85" s="530"/>
      <c r="F85" s="343">
        <f t="shared" ref="F85:N94" si="38">IF($O$74=0,0,F$81/$O$81*$O$74*F17)</f>
        <v>1636.0000391679193</v>
      </c>
      <c r="G85" s="344">
        <f t="shared" si="38"/>
        <v>121.06741967870202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532">
        <f>SUM(F85:N85)</f>
        <v>1757.0674588466213</v>
      </c>
      <c r="P85" s="430">
        <f t="shared" ref="P85:P94" si="39">SUM(I85:M85)</f>
        <v>0</v>
      </c>
    </row>
    <row r="86" spans="1:17">
      <c r="C86" s="258" t="s">
        <v>24</v>
      </c>
      <c r="D86" s="350" t="s">
        <v>4</v>
      </c>
      <c r="E86" s="313"/>
      <c r="F86" s="294">
        <f t="shared" si="38"/>
        <v>8718.7439792907153</v>
      </c>
      <c r="G86" s="290">
        <f t="shared" si="38"/>
        <v>645.20526353337266</v>
      </c>
      <c r="H86" s="290">
        <f t="shared" si="38"/>
        <v>0</v>
      </c>
      <c r="I86" s="416">
        <f t="shared" si="38"/>
        <v>0</v>
      </c>
      <c r="J86" s="381">
        <f t="shared" si="38"/>
        <v>0</v>
      </c>
      <c r="K86" s="381">
        <f t="shared" si="38"/>
        <v>0</v>
      </c>
      <c r="L86" s="381">
        <f t="shared" si="38"/>
        <v>0</v>
      </c>
      <c r="M86" s="381">
        <f t="shared" si="38"/>
        <v>0</v>
      </c>
      <c r="N86" s="346">
        <f t="shared" si="38"/>
        <v>0</v>
      </c>
      <c r="O86" s="534">
        <f t="shared" ref="O86:O94" si="40">SUM(F86:N86)</f>
        <v>9363.9492428240883</v>
      </c>
      <c r="P86" s="431">
        <f t="shared" si="39"/>
        <v>0</v>
      </c>
    </row>
    <row r="87" spans="1:17">
      <c r="C87" s="258" t="s">
        <v>26</v>
      </c>
      <c r="D87" s="350" t="s">
        <v>5</v>
      </c>
      <c r="E87" s="313"/>
      <c r="F87" s="294">
        <f t="shared" si="38"/>
        <v>6471.3655314447369</v>
      </c>
      <c r="G87" s="290">
        <f t="shared" si="38"/>
        <v>478.89456475085746</v>
      </c>
      <c r="H87" s="290">
        <f t="shared" si="38"/>
        <v>0</v>
      </c>
      <c r="I87" s="416">
        <f t="shared" si="38"/>
        <v>0</v>
      </c>
      <c r="J87" s="381">
        <f t="shared" si="38"/>
        <v>0</v>
      </c>
      <c r="K87" s="381">
        <f t="shared" si="38"/>
        <v>0</v>
      </c>
      <c r="L87" s="381">
        <f t="shared" si="38"/>
        <v>0</v>
      </c>
      <c r="M87" s="381">
        <f t="shared" si="38"/>
        <v>0</v>
      </c>
      <c r="N87" s="346">
        <f t="shared" si="38"/>
        <v>0</v>
      </c>
      <c r="O87" s="534">
        <f t="shared" si="40"/>
        <v>6950.2600961955941</v>
      </c>
      <c r="P87" s="431">
        <f t="shared" si="39"/>
        <v>0</v>
      </c>
    </row>
    <row r="88" spans="1:17">
      <c r="C88" s="258"/>
      <c r="D88" s="350" t="s">
        <v>6</v>
      </c>
      <c r="E88" s="313"/>
      <c r="F88" s="294">
        <f t="shared" si="38"/>
        <v>0</v>
      </c>
      <c r="G88" s="290">
        <f t="shared" si="38"/>
        <v>0</v>
      </c>
      <c r="H88" s="290">
        <f t="shared" si="38"/>
        <v>0</v>
      </c>
      <c r="I88" s="416">
        <f t="shared" si="38"/>
        <v>0</v>
      </c>
      <c r="J88" s="381">
        <f t="shared" si="38"/>
        <v>0</v>
      </c>
      <c r="K88" s="381">
        <f t="shared" si="38"/>
        <v>0</v>
      </c>
      <c r="L88" s="381">
        <f t="shared" si="38"/>
        <v>0</v>
      </c>
      <c r="M88" s="381">
        <f t="shared" si="38"/>
        <v>0</v>
      </c>
      <c r="N88" s="346">
        <f t="shared" si="38"/>
        <v>0</v>
      </c>
      <c r="O88" s="534">
        <f t="shared" si="40"/>
        <v>0</v>
      </c>
      <c r="P88" s="431">
        <f t="shared" si="39"/>
        <v>0</v>
      </c>
    </row>
    <row r="89" spans="1:17">
      <c r="C89" s="258"/>
      <c r="D89" s="350" t="s">
        <v>7</v>
      </c>
      <c r="E89" s="313"/>
      <c r="F89" s="294">
        <f t="shared" si="38"/>
        <v>0</v>
      </c>
      <c r="G89" s="290">
        <f t="shared" si="38"/>
        <v>0</v>
      </c>
      <c r="H89" s="290">
        <f t="shared" si="38"/>
        <v>0</v>
      </c>
      <c r="I89" s="416">
        <f t="shared" si="38"/>
        <v>0</v>
      </c>
      <c r="J89" s="381">
        <f t="shared" si="38"/>
        <v>0</v>
      </c>
      <c r="K89" s="381">
        <f t="shared" si="38"/>
        <v>0</v>
      </c>
      <c r="L89" s="381">
        <f t="shared" si="38"/>
        <v>0</v>
      </c>
      <c r="M89" s="381">
        <f t="shared" si="38"/>
        <v>0</v>
      </c>
      <c r="N89" s="346">
        <f t="shared" si="38"/>
        <v>0</v>
      </c>
      <c r="O89" s="534">
        <f t="shared" si="40"/>
        <v>0</v>
      </c>
      <c r="P89" s="431">
        <f t="shared" si="39"/>
        <v>0</v>
      </c>
    </row>
    <row r="90" spans="1:17">
      <c r="C90" s="258"/>
      <c r="D90" s="350" t="s">
        <v>8</v>
      </c>
      <c r="E90" s="313"/>
      <c r="F90" s="294">
        <f t="shared" si="38"/>
        <v>5380.5315838777105</v>
      </c>
      <c r="G90" s="290">
        <f t="shared" si="38"/>
        <v>398.17057442806913</v>
      </c>
      <c r="H90" s="290">
        <f t="shared" si="38"/>
        <v>0</v>
      </c>
      <c r="I90" s="416">
        <f t="shared" si="38"/>
        <v>0</v>
      </c>
      <c r="J90" s="381">
        <f t="shared" si="38"/>
        <v>0</v>
      </c>
      <c r="K90" s="381">
        <f t="shared" si="38"/>
        <v>0</v>
      </c>
      <c r="L90" s="381">
        <f t="shared" si="38"/>
        <v>0</v>
      </c>
      <c r="M90" s="381">
        <f t="shared" si="38"/>
        <v>0</v>
      </c>
      <c r="N90" s="346">
        <f t="shared" si="38"/>
        <v>0</v>
      </c>
      <c r="O90" s="534">
        <f t="shared" si="40"/>
        <v>5778.7021583057794</v>
      </c>
      <c r="P90" s="431">
        <f t="shared" si="39"/>
        <v>0</v>
      </c>
    </row>
    <row r="91" spans="1:17">
      <c r="C91" s="258"/>
      <c r="D91" s="350" t="s">
        <v>9</v>
      </c>
      <c r="E91" s="313"/>
      <c r="F91" s="294">
        <f t="shared" si="38"/>
        <v>74.192136240534794</v>
      </c>
      <c r="G91" s="290">
        <f t="shared" si="38"/>
        <v>5.4903730318128208</v>
      </c>
      <c r="H91" s="290">
        <f t="shared" si="38"/>
        <v>0</v>
      </c>
      <c r="I91" s="416">
        <f t="shared" si="38"/>
        <v>0</v>
      </c>
      <c r="J91" s="381">
        <f t="shared" si="38"/>
        <v>0</v>
      </c>
      <c r="K91" s="381">
        <f t="shared" si="38"/>
        <v>0</v>
      </c>
      <c r="L91" s="381">
        <f t="shared" si="38"/>
        <v>0</v>
      </c>
      <c r="M91" s="381">
        <f t="shared" si="38"/>
        <v>0</v>
      </c>
      <c r="N91" s="346">
        <f t="shared" si="38"/>
        <v>0</v>
      </c>
      <c r="O91" s="534">
        <f t="shared" si="40"/>
        <v>79.682509272347616</v>
      </c>
      <c r="P91" s="431">
        <f t="shared" si="39"/>
        <v>0</v>
      </c>
    </row>
    <row r="92" spans="1:17">
      <c r="C92" s="258"/>
      <c r="D92" s="350" t="s">
        <v>10</v>
      </c>
      <c r="E92" s="313"/>
      <c r="F92" s="294">
        <f t="shared" si="38"/>
        <v>0</v>
      </c>
      <c r="G92" s="290">
        <f t="shared" si="38"/>
        <v>0</v>
      </c>
      <c r="H92" s="290">
        <f t="shared" si="38"/>
        <v>0</v>
      </c>
      <c r="I92" s="416">
        <f t="shared" si="38"/>
        <v>0</v>
      </c>
      <c r="J92" s="381">
        <f t="shared" si="38"/>
        <v>0</v>
      </c>
      <c r="K92" s="381">
        <f t="shared" si="38"/>
        <v>0</v>
      </c>
      <c r="L92" s="381">
        <f t="shared" si="38"/>
        <v>0</v>
      </c>
      <c r="M92" s="381">
        <f t="shared" si="38"/>
        <v>0</v>
      </c>
      <c r="N92" s="346">
        <f t="shared" si="38"/>
        <v>0</v>
      </c>
      <c r="O92" s="534">
        <f t="shared" si="40"/>
        <v>0</v>
      </c>
      <c r="P92" s="431">
        <f t="shared" si="39"/>
        <v>0</v>
      </c>
    </row>
    <row r="93" spans="1:17">
      <c r="C93" s="258"/>
      <c r="D93" s="350" t="s">
        <v>11</v>
      </c>
      <c r="E93" s="313"/>
      <c r="F93" s="294">
        <f t="shared" si="38"/>
        <v>0</v>
      </c>
      <c r="G93" s="290">
        <f t="shared" si="38"/>
        <v>0</v>
      </c>
      <c r="H93" s="290">
        <f t="shared" si="38"/>
        <v>0</v>
      </c>
      <c r="I93" s="416">
        <f t="shared" si="38"/>
        <v>0</v>
      </c>
      <c r="J93" s="381">
        <f t="shared" si="38"/>
        <v>0</v>
      </c>
      <c r="K93" s="381">
        <f t="shared" si="38"/>
        <v>0</v>
      </c>
      <c r="L93" s="381">
        <f t="shared" si="38"/>
        <v>0</v>
      </c>
      <c r="M93" s="381">
        <f t="shared" si="38"/>
        <v>0</v>
      </c>
      <c r="N93" s="346">
        <f t="shared" si="38"/>
        <v>0</v>
      </c>
      <c r="O93" s="534">
        <f t="shared" si="40"/>
        <v>0</v>
      </c>
      <c r="P93" s="431">
        <f t="shared" si="39"/>
        <v>0</v>
      </c>
    </row>
    <row r="94" spans="1:17">
      <c r="C94" s="258"/>
      <c r="D94" s="350" t="s">
        <v>12</v>
      </c>
      <c r="E94" s="313"/>
      <c r="F94" s="294">
        <f t="shared" si="38"/>
        <v>0</v>
      </c>
      <c r="G94" s="290">
        <f t="shared" si="38"/>
        <v>0</v>
      </c>
      <c r="H94" s="290">
        <f t="shared" si="38"/>
        <v>0</v>
      </c>
      <c r="I94" s="416">
        <f t="shared" si="38"/>
        <v>0</v>
      </c>
      <c r="J94" s="381">
        <f t="shared" si="38"/>
        <v>0</v>
      </c>
      <c r="K94" s="381">
        <f t="shared" si="38"/>
        <v>0</v>
      </c>
      <c r="L94" s="381">
        <f t="shared" si="38"/>
        <v>0</v>
      </c>
      <c r="M94" s="381">
        <f t="shared" si="38"/>
        <v>0</v>
      </c>
      <c r="N94" s="346">
        <f t="shared" si="38"/>
        <v>0</v>
      </c>
      <c r="O94" s="534">
        <f t="shared" si="40"/>
        <v>0</v>
      </c>
      <c r="P94" s="431">
        <f t="shared" si="39"/>
        <v>0</v>
      </c>
    </row>
    <row r="95" spans="1:17">
      <c r="C95" s="536"/>
      <c r="D95" s="537" t="str">
        <f>"Total incl Overhead - As commissioned "&amp;Assumptions!$C$8</f>
        <v>Total incl Overhead - As commissioned $ Mar 2017</v>
      </c>
      <c r="E95" s="517"/>
      <c r="F95" s="292">
        <f>+SUM(F85:F94)</f>
        <v>22280.833270021612</v>
      </c>
      <c r="G95" s="253">
        <f t="shared" ref="G95" si="41">+SUM(G85:G94)</f>
        <v>1648.8281954228141</v>
      </c>
      <c r="H95" s="253">
        <f t="shared" ref="H95:N95" si="42">+SUM(H85:H94)</f>
        <v>0</v>
      </c>
      <c r="I95" s="411">
        <f t="shared" si="42"/>
        <v>0</v>
      </c>
      <c r="J95" s="382">
        <f t="shared" si="42"/>
        <v>0</v>
      </c>
      <c r="K95" s="382">
        <f t="shared" si="42"/>
        <v>0</v>
      </c>
      <c r="L95" s="382">
        <f t="shared" si="42"/>
        <v>0</v>
      </c>
      <c r="M95" s="382">
        <f t="shared" si="42"/>
        <v>0</v>
      </c>
      <c r="N95" s="286">
        <f t="shared" si="42"/>
        <v>0</v>
      </c>
      <c r="O95" s="292">
        <f>SUM(O85:O94)</f>
        <v>23929.661465444431</v>
      </c>
      <c r="P95" s="428">
        <f>SUM(P85:P94)</f>
        <v>0</v>
      </c>
      <c r="Q95" s="564"/>
    </row>
    <row r="96" spans="1:17">
      <c r="E96" s="547" t="s">
        <v>50</v>
      </c>
      <c r="F96" s="452">
        <f>F95-F81</f>
        <v>0</v>
      </c>
      <c r="G96" s="452">
        <f t="shared" ref="G96:P96" si="43">G95-G81</f>
        <v>0</v>
      </c>
      <c r="H96" s="452">
        <f t="shared" si="43"/>
        <v>0</v>
      </c>
      <c r="I96" s="452">
        <f t="shared" si="43"/>
        <v>0</v>
      </c>
      <c r="J96" s="452">
        <f t="shared" si="43"/>
        <v>0</v>
      </c>
      <c r="K96" s="452">
        <f t="shared" si="43"/>
        <v>0</v>
      </c>
      <c r="L96" s="452">
        <f t="shared" si="43"/>
        <v>0</v>
      </c>
      <c r="M96" s="452">
        <f t="shared" si="43"/>
        <v>0</v>
      </c>
      <c r="N96" s="452">
        <f t="shared" si="43"/>
        <v>0</v>
      </c>
      <c r="O96" s="452">
        <f t="shared" si="43"/>
        <v>0</v>
      </c>
      <c r="P96" s="452">
        <f t="shared" si="43"/>
        <v>0</v>
      </c>
    </row>
    <row r="97" spans="3:16">
      <c r="C97" s="565"/>
      <c r="D97" s="251"/>
      <c r="F97" s="252"/>
      <c r="G97" s="252"/>
      <c r="H97" s="252"/>
      <c r="I97" s="252"/>
      <c r="J97" s="252"/>
      <c r="K97" s="252"/>
      <c r="L97" s="252"/>
      <c r="M97" s="252"/>
      <c r="N97" s="252"/>
      <c r="O97" s="566">
        <f>O95-O74</f>
        <v>0</v>
      </c>
      <c r="P97" s="565"/>
    </row>
    <row r="98" spans="3:16" hidden="1" outlineLevel="1">
      <c r="C98" s="236" t="s">
        <v>452</v>
      </c>
      <c r="F98" s="452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6" t="s">
        <v>451</v>
      </c>
      <c r="D99" s="236" t="s">
        <v>379</v>
      </c>
      <c r="F99" s="252"/>
      <c r="G99" s="487">
        <f>0.5*G21</f>
        <v>0</v>
      </c>
      <c r="H99" s="487">
        <f t="shared" ref="H99:N99" si="44">0.5*H21</f>
        <v>0</v>
      </c>
      <c r="I99" s="487">
        <f t="shared" si="44"/>
        <v>0</v>
      </c>
      <c r="J99" s="487">
        <f t="shared" si="44"/>
        <v>0</v>
      </c>
      <c r="K99" s="487">
        <f t="shared" si="44"/>
        <v>0</v>
      </c>
      <c r="L99" s="487">
        <f t="shared" si="44"/>
        <v>0</v>
      </c>
      <c r="M99" s="487">
        <f t="shared" si="44"/>
        <v>0</v>
      </c>
      <c r="N99" s="487">
        <f t="shared" si="44"/>
        <v>0</v>
      </c>
    </row>
    <row r="100" spans="3:16" hidden="1" outlineLevel="1">
      <c r="D100" s="236" t="s">
        <v>380</v>
      </c>
      <c r="F100" s="452"/>
      <c r="G100" s="487">
        <v>0</v>
      </c>
      <c r="H100" s="487">
        <v>0</v>
      </c>
      <c r="I100" s="487">
        <v>0</v>
      </c>
      <c r="J100" s="487">
        <v>0</v>
      </c>
      <c r="K100" s="487">
        <v>0</v>
      </c>
      <c r="L100" s="487">
        <v>0</v>
      </c>
      <c r="M100" s="487">
        <v>0</v>
      </c>
      <c r="N100" s="487">
        <v>0</v>
      </c>
    </row>
    <row r="101" spans="3:16" hidden="1" outlineLevel="1">
      <c r="D101" s="236" t="s">
        <v>381</v>
      </c>
      <c r="G101" s="487">
        <f>0.5*G21</f>
        <v>0</v>
      </c>
      <c r="H101" s="487">
        <f t="shared" ref="H101:N101" si="45">0.5*H21</f>
        <v>0</v>
      </c>
      <c r="I101" s="487">
        <f t="shared" si="45"/>
        <v>0</v>
      </c>
      <c r="J101" s="487">
        <f t="shared" si="45"/>
        <v>0</v>
      </c>
      <c r="K101" s="487">
        <f t="shared" si="45"/>
        <v>0</v>
      </c>
      <c r="L101" s="487">
        <f t="shared" si="45"/>
        <v>0</v>
      </c>
      <c r="M101" s="487">
        <f t="shared" si="45"/>
        <v>0</v>
      </c>
      <c r="N101" s="487">
        <f t="shared" si="45"/>
        <v>0</v>
      </c>
    </row>
    <row r="102" spans="3:16" hidden="1" outlineLevel="1">
      <c r="D102" s="236" t="s">
        <v>382</v>
      </c>
      <c r="F102" s="452"/>
      <c r="G102" s="487">
        <v>0</v>
      </c>
      <c r="H102" s="487">
        <v>0</v>
      </c>
      <c r="I102" s="487">
        <v>0</v>
      </c>
      <c r="J102" s="487">
        <v>0</v>
      </c>
      <c r="K102" s="487">
        <v>0</v>
      </c>
      <c r="L102" s="487">
        <v>0</v>
      </c>
      <c r="M102" s="487">
        <v>0</v>
      </c>
      <c r="N102" s="487">
        <v>0</v>
      </c>
    </row>
    <row r="103" spans="3:16" hidden="1" outlineLevel="1">
      <c r="D103" s="236" t="s">
        <v>383</v>
      </c>
      <c r="F103" s="452"/>
      <c r="G103" s="487">
        <f>G18</f>
        <v>0.3913113963749999</v>
      </c>
      <c r="H103" s="487">
        <f t="shared" ref="H103:N105" si="46">H18</f>
        <v>0.3913113963749999</v>
      </c>
      <c r="I103" s="487">
        <f t="shared" si="46"/>
        <v>0.3913113963749999</v>
      </c>
      <c r="J103" s="487">
        <f t="shared" si="46"/>
        <v>0.3913113963749999</v>
      </c>
      <c r="K103" s="487">
        <f t="shared" si="46"/>
        <v>0.3913113963749999</v>
      </c>
      <c r="L103" s="487">
        <f t="shared" si="46"/>
        <v>0.3913113963749999</v>
      </c>
      <c r="M103" s="487">
        <f t="shared" si="46"/>
        <v>0.3913113963749999</v>
      </c>
      <c r="N103" s="487">
        <f t="shared" si="46"/>
        <v>0.3913113963749999</v>
      </c>
    </row>
    <row r="104" spans="3:16" hidden="1" outlineLevel="1">
      <c r="D104" s="236" t="s">
        <v>384</v>
      </c>
      <c r="G104" s="487">
        <f>G19</f>
        <v>0.29044539999999996</v>
      </c>
      <c r="H104" s="487">
        <f t="shared" si="46"/>
        <v>0.29044539999999996</v>
      </c>
      <c r="I104" s="487">
        <f t="shared" si="46"/>
        <v>0.29044539999999996</v>
      </c>
      <c r="J104" s="487">
        <f t="shared" si="46"/>
        <v>0.29044539999999996</v>
      </c>
      <c r="K104" s="487">
        <f t="shared" si="46"/>
        <v>0.29044539999999996</v>
      </c>
      <c r="L104" s="487">
        <f t="shared" si="46"/>
        <v>0.29044539999999996</v>
      </c>
      <c r="M104" s="487">
        <f t="shared" si="46"/>
        <v>0.29044539999999996</v>
      </c>
      <c r="N104" s="487">
        <f t="shared" si="46"/>
        <v>0.29044539999999996</v>
      </c>
    </row>
    <row r="105" spans="3:16" hidden="1" outlineLevel="1">
      <c r="D105" s="236" t="s">
        <v>385</v>
      </c>
      <c r="G105" s="487">
        <f>G20</f>
        <v>0</v>
      </c>
      <c r="H105" s="487">
        <f t="shared" si="46"/>
        <v>0</v>
      </c>
      <c r="I105" s="487">
        <f t="shared" si="46"/>
        <v>0</v>
      </c>
      <c r="J105" s="487">
        <f t="shared" si="46"/>
        <v>0</v>
      </c>
      <c r="K105" s="487">
        <f t="shared" si="46"/>
        <v>0</v>
      </c>
      <c r="L105" s="487">
        <f t="shared" si="46"/>
        <v>0</v>
      </c>
      <c r="M105" s="487">
        <f t="shared" si="46"/>
        <v>0</v>
      </c>
      <c r="N105" s="487">
        <f t="shared" si="46"/>
        <v>0</v>
      </c>
    </row>
    <row r="106" spans="3:16" hidden="1" outlineLevel="1">
      <c r="D106" s="236" t="s">
        <v>386</v>
      </c>
      <c r="G106" s="487">
        <f>G17+G23</f>
        <v>7.6756203625000005E-2</v>
      </c>
      <c r="H106" s="487">
        <f t="shared" ref="H106:N106" si="47">H17+H23</f>
        <v>7.6756203625000005E-2</v>
      </c>
      <c r="I106" s="487">
        <f t="shared" si="47"/>
        <v>7.6756203625000005E-2</v>
      </c>
      <c r="J106" s="487">
        <f t="shared" si="47"/>
        <v>7.6756203625000005E-2</v>
      </c>
      <c r="K106" s="487">
        <f t="shared" si="47"/>
        <v>7.6756203625000005E-2</v>
      </c>
      <c r="L106" s="487">
        <f t="shared" si="47"/>
        <v>7.6756203625000005E-2</v>
      </c>
      <c r="M106" s="487">
        <f t="shared" si="47"/>
        <v>7.6756203625000005E-2</v>
      </c>
      <c r="N106" s="487">
        <f t="shared" si="47"/>
        <v>7.6756203625000005E-2</v>
      </c>
    </row>
    <row r="107" spans="3:16" hidden="1" outlineLevel="1">
      <c r="D107" s="236" t="s">
        <v>387</v>
      </c>
      <c r="G107" s="487">
        <f>G22</f>
        <v>0.24148699999999998</v>
      </c>
      <c r="H107" s="487">
        <f t="shared" ref="H107:N107" si="48">H22</f>
        <v>0.24148699999999998</v>
      </c>
      <c r="I107" s="487">
        <f t="shared" si="48"/>
        <v>0.24148699999999998</v>
      </c>
      <c r="J107" s="487">
        <f t="shared" si="48"/>
        <v>0.24148699999999998</v>
      </c>
      <c r="K107" s="487">
        <f t="shared" si="48"/>
        <v>0.24148699999999998</v>
      </c>
      <c r="L107" s="487">
        <f t="shared" si="48"/>
        <v>0.24148699999999998</v>
      </c>
      <c r="M107" s="487">
        <f t="shared" si="48"/>
        <v>0.24148699999999998</v>
      </c>
      <c r="N107" s="487">
        <f t="shared" si="48"/>
        <v>0.24148699999999998</v>
      </c>
    </row>
    <row r="108" spans="3:16" hidden="1" outlineLevel="1">
      <c r="D108" s="236" t="s">
        <v>16</v>
      </c>
      <c r="G108" s="487">
        <f>SUM(G99:G107)</f>
        <v>0.99999999999999989</v>
      </c>
      <c r="H108" s="487">
        <f t="shared" ref="H108:N108" si="49">SUM(H99:H107)</f>
        <v>0.99999999999999989</v>
      </c>
      <c r="I108" s="487">
        <f t="shared" si="49"/>
        <v>0.99999999999999989</v>
      </c>
      <c r="J108" s="487">
        <f t="shared" si="49"/>
        <v>0.99999999999999989</v>
      </c>
      <c r="K108" s="487">
        <f t="shared" si="49"/>
        <v>0.99999999999999989</v>
      </c>
      <c r="L108" s="487">
        <f t="shared" si="49"/>
        <v>0.99999999999999989</v>
      </c>
      <c r="M108" s="487">
        <f t="shared" si="49"/>
        <v>0.99999999999999989</v>
      </c>
      <c r="N108" s="487">
        <f t="shared" si="49"/>
        <v>0.99999999999999989</v>
      </c>
    </row>
    <row r="109" spans="3:16" hidden="1" outlineLevel="1"/>
    <row r="110" spans="3:16" hidden="1" outlineLevel="1">
      <c r="C110" s="236" t="s">
        <v>443</v>
      </c>
      <c r="D110" s="236" t="s">
        <v>445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7" t="s">
        <v>16</v>
      </c>
      <c r="P110" s="807" t="s">
        <v>453</v>
      </c>
    </row>
    <row r="111" spans="3:16" hidden="1" outlineLevel="1">
      <c r="C111" s="236" t="s">
        <v>444</v>
      </c>
      <c r="D111" s="236" t="s">
        <v>379</v>
      </c>
      <c r="G111" s="452">
        <f>G99*G$53</f>
        <v>0</v>
      </c>
      <c r="H111" s="452">
        <f t="shared" ref="H111:N111" si="50">H99*H$53</f>
        <v>0</v>
      </c>
      <c r="I111" s="452">
        <f t="shared" si="50"/>
        <v>0</v>
      </c>
      <c r="J111" s="452">
        <f t="shared" si="50"/>
        <v>0</v>
      </c>
      <c r="K111" s="452">
        <f t="shared" si="50"/>
        <v>0</v>
      </c>
      <c r="L111" s="452">
        <f t="shared" si="50"/>
        <v>0</v>
      </c>
      <c r="M111" s="452">
        <f t="shared" si="50"/>
        <v>0</v>
      </c>
      <c r="N111" s="452">
        <f t="shared" si="50"/>
        <v>0</v>
      </c>
      <c r="O111" s="452">
        <f t="shared" ref="O111:O119" si="51">SUM(F111:N111)</f>
        <v>0</v>
      </c>
      <c r="P111" s="452">
        <f t="shared" ref="P111:P119" si="52">SUM(I111:M111)</f>
        <v>0</v>
      </c>
    </row>
    <row r="112" spans="3:16" hidden="1" outlineLevel="1">
      <c r="D112" s="236" t="s">
        <v>380</v>
      </c>
      <c r="G112" s="452">
        <f t="shared" ref="G112:N119" si="53">G100*G$53</f>
        <v>0</v>
      </c>
      <c r="H112" s="452">
        <f t="shared" si="53"/>
        <v>0</v>
      </c>
      <c r="I112" s="452">
        <f t="shared" si="53"/>
        <v>0</v>
      </c>
      <c r="J112" s="452">
        <f t="shared" si="53"/>
        <v>0</v>
      </c>
      <c r="K112" s="452">
        <f t="shared" si="53"/>
        <v>0</v>
      </c>
      <c r="L112" s="452">
        <f t="shared" si="53"/>
        <v>0</v>
      </c>
      <c r="M112" s="452">
        <f t="shared" si="53"/>
        <v>0</v>
      </c>
      <c r="N112" s="452">
        <f t="shared" si="53"/>
        <v>0</v>
      </c>
      <c r="O112" s="452">
        <f t="shared" si="51"/>
        <v>0</v>
      </c>
      <c r="P112" s="452">
        <f t="shared" si="52"/>
        <v>0</v>
      </c>
    </row>
    <row r="113" spans="4:16" hidden="1" outlineLevel="1">
      <c r="D113" s="236" t="s">
        <v>381</v>
      </c>
      <c r="G113" s="452">
        <f t="shared" si="53"/>
        <v>0</v>
      </c>
      <c r="H113" s="452">
        <f t="shared" si="53"/>
        <v>0</v>
      </c>
      <c r="I113" s="452">
        <f t="shared" si="53"/>
        <v>0</v>
      </c>
      <c r="J113" s="452">
        <f t="shared" si="53"/>
        <v>0</v>
      </c>
      <c r="K113" s="452">
        <f t="shared" si="53"/>
        <v>0</v>
      </c>
      <c r="L113" s="452">
        <f t="shared" si="53"/>
        <v>0</v>
      </c>
      <c r="M113" s="452">
        <f t="shared" si="53"/>
        <v>0</v>
      </c>
      <c r="N113" s="452">
        <f t="shared" si="53"/>
        <v>0</v>
      </c>
      <c r="O113" s="452">
        <f t="shared" si="51"/>
        <v>0</v>
      </c>
      <c r="P113" s="452">
        <f t="shared" si="52"/>
        <v>0</v>
      </c>
    </row>
    <row r="114" spans="4:16" hidden="1" outlineLevel="1">
      <c r="D114" s="236" t="s">
        <v>382</v>
      </c>
      <c r="G114" s="452">
        <f t="shared" si="53"/>
        <v>0</v>
      </c>
      <c r="H114" s="452">
        <f t="shared" si="53"/>
        <v>0</v>
      </c>
      <c r="I114" s="452">
        <f t="shared" si="53"/>
        <v>0</v>
      </c>
      <c r="J114" s="452">
        <f t="shared" si="53"/>
        <v>0</v>
      </c>
      <c r="K114" s="452">
        <f t="shared" si="53"/>
        <v>0</v>
      </c>
      <c r="L114" s="452">
        <f t="shared" si="53"/>
        <v>0</v>
      </c>
      <c r="M114" s="452">
        <f t="shared" si="53"/>
        <v>0</v>
      </c>
      <c r="N114" s="452">
        <f t="shared" si="53"/>
        <v>0</v>
      </c>
      <c r="O114" s="452">
        <f t="shared" si="51"/>
        <v>0</v>
      </c>
      <c r="P114" s="452">
        <f t="shared" si="52"/>
        <v>0</v>
      </c>
    </row>
    <row r="115" spans="4:16" hidden="1" outlineLevel="1">
      <c r="D115" s="236" t="s">
        <v>383</v>
      </c>
      <c r="G115" s="452">
        <f t="shared" si="53"/>
        <v>247.59291959286244</v>
      </c>
      <c r="H115" s="452">
        <f t="shared" si="53"/>
        <v>0</v>
      </c>
      <c r="I115" s="452">
        <f t="shared" si="53"/>
        <v>0</v>
      </c>
      <c r="J115" s="452">
        <f t="shared" si="53"/>
        <v>0</v>
      </c>
      <c r="K115" s="452">
        <f t="shared" si="53"/>
        <v>0</v>
      </c>
      <c r="L115" s="452">
        <f t="shared" si="53"/>
        <v>0</v>
      </c>
      <c r="M115" s="452">
        <f t="shared" si="53"/>
        <v>0</v>
      </c>
      <c r="N115" s="452">
        <f t="shared" si="53"/>
        <v>0</v>
      </c>
      <c r="O115" s="452">
        <f t="shared" si="51"/>
        <v>247.59291959286244</v>
      </c>
      <c r="P115" s="452">
        <f t="shared" si="52"/>
        <v>0</v>
      </c>
    </row>
    <row r="116" spans="4:16" hidden="1" outlineLevel="1">
      <c r="D116" s="236" t="s">
        <v>384</v>
      </c>
      <c r="G116" s="452">
        <f t="shared" si="53"/>
        <v>183.77237472379196</v>
      </c>
      <c r="H116" s="452">
        <f t="shared" si="53"/>
        <v>0</v>
      </c>
      <c r="I116" s="452">
        <f t="shared" si="53"/>
        <v>0</v>
      </c>
      <c r="J116" s="452">
        <f t="shared" si="53"/>
        <v>0</v>
      </c>
      <c r="K116" s="452">
        <f t="shared" si="53"/>
        <v>0</v>
      </c>
      <c r="L116" s="452">
        <f t="shared" si="53"/>
        <v>0</v>
      </c>
      <c r="M116" s="452">
        <f t="shared" si="53"/>
        <v>0</v>
      </c>
      <c r="N116" s="452">
        <f t="shared" si="53"/>
        <v>0</v>
      </c>
      <c r="O116" s="452">
        <f t="shared" si="51"/>
        <v>183.77237472379196</v>
      </c>
      <c r="P116" s="452">
        <f t="shared" si="52"/>
        <v>0</v>
      </c>
    </row>
    <row r="117" spans="4:16" hidden="1" outlineLevel="1">
      <c r="D117" s="236" t="s">
        <v>385</v>
      </c>
      <c r="G117" s="452">
        <f t="shared" si="53"/>
        <v>0</v>
      </c>
      <c r="H117" s="452">
        <f t="shared" si="53"/>
        <v>0</v>
      </c>
      <c r="I117" s="452">
        <f t="shared" si="53"/>
        <v>0</v>
      </c>
      <c r="J117" s="452">
        <f t="shared" si="53"/>
        <v>0</v>
      </c>
      <c r="K117" s="452">
        <f t="shared" si="53"/>
        <v>0</v>
      </c>
      <c r="L117" s="452">
        <f t="shared" si="53"/>
        <v>0</v>
      </c>
      <c r="M117" s="452">
        <f t="shared" si="53"/>
        <v>0</v>
      </c>
      <c r="N117" s="452">
        <f t="shared" si="53"/>
        <v>0</v>
      </c>
      <c r="O117" s="452">
        <f t="shared" si="51"/>
        <v>0</v>
      </c>
      <c r="P117" s="452">
        <f t="shared" si="52"/>
        <v>0</v>
      </c>
    </row>
    <row r="118" spans="4:16" hidden="1" outlineLevel="1">
      <c r="D118" s="236" t="s">
        <v>386</v>
      </c>
      <c r="G118" s="452">
        <f t="shared" si="53"/>
        <v>48.565650600591987</v>
      </c>
      <c r="H118" s="452">
        <f t="shared" si="53"/>
        <v>0</v>
      </c>
      <c r="I118" s="452">
        <f t="shared" si="53"/>
        <v>0</v>
      </c>
      <c r="J118" s="452">
        <f t="shared" si="53"/>
        <v>0</v>
      </c>
      <c r="K118" s="452">
        <f t="shared" si="53"/>
        <v>0</v>
      </c>
      <c r="L118" s="452">
        <f t="shared" si="53"/>
        <v>0</v>
      </c>
      <c r="M118" s="452">
        <f t="shared" si="53"/>
        <v>0</v>
      </c>
      <c r="N118" s="452">
        <f t="shared" si="53"/>
        <v>0</v>
      </c>
      <c r="O118" s="452">
        <f t="shared" si="51"/>
        <v>48.565650600591987</v>
      </c>
      <c r="P118" s="452">
        <f t="shared" si="52"/>
        <v>0</v>
      </c>
    </row>
    <row r="119" spans="4:16" hidden="1" outlineLevel="1">
      <c r="D119" s="236" t="s">
        <v>387</v>
      </c>
      <c r="G119" s="913">
        <f t="shared" si="53"/>
        <v>152.79511899628758</v>
      </c>
      <c r="H119" s="913">
        <f t="shared" si="53"/>
        <v>0</v>
      </c>
      <c r="I119" s="913">
        <f t="shared" si="53"/>
        <v>0</v>
      </c>
      <c r="J119" s="913">
        <f t="shared" si="53"/>
        <v>0</v>
      </c>
      <c r="K119" s="913">
        <f t="shared" si="53"/>
        <v>0</v>
      </c>
      <c r="L119" s="913">
        <f t="shared" si="53"/>
        <v>0</v>
      </c>
      <c r="M119" s="913">
        <f t="shared" si="53"/>
        <v>0</v>
      </c>
      <c r="N119" s="913">
        <f t="shared" si="53"/>
        <v>0</v>
      </c>
      <c r="O119" s="913">
        <f t="shared" si="51"/>
        <v>152.79511899628758</v>
      </c>
      <c r="P119" s="913">
        <f t="shared" si="52"/>
        <v>0</v>
      </c>
    </row>
    <row r="120" spans="4:16" hidden="1" outlineLevel="1">
      <c r="D120" s="236" t="s">
        <v>440</v>
      </c>
      <c r="G120" s="452">
        <f>SUM(G111:G119)</f>
        <v>632.72606391353395</v>
      </c>
      <c r="H120" s="452">
        <f t="shared" ref="H120:P120" si="54">SUM(H111:H119)</f>
        <v>0</v>
      </c>
      <c r="I120" s="452">
        <f t="shared" si="54"/>
        <v>0</v>
      </c>
      <c r="J120" s="452">
        <f t="shared" si="54"/>
        <v>0</v>
      </c>
      <c r="K120" s="452">
        <f t="shared" si="54"/>
        <v>0</v>
      </c>
      <c r="L120" s="452">
        <f t="shared" si="54"/>
        <v>0</v>
      </c>
      <c r="M120" s="452">
        <f t="shared" si="54"/>
        <v>0</v>
      </c>
      <c r="N120" s="452">
        <f t="shared" si="54"/>
        <v>0</v>
      </c>
      <c r="O120" s="452">
        <f t="shared" si="54"/>
        <v>632.72606391353395</v>
      </c>
      <c r="P120" s="452">
        <f t="shared" si="54"/>
        <v>0</v>
      </c>
    </row>
    <row r="121" spans="4:16" hidden="1" outlineLevel="1"/>
    <row r="122" spans="4:16" hidden="1" outlineLevel="1">
      <c r="D122" s="236" t="s">
        <v>446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453</v>
      </c>
    </row>
    <row r="123" spans="4:16" hidden="1" outlineLevel="1">
      <c r="D123" s="236" t="s">
        <v>379</v>
      </c>
      <c r="G123" s="452">
        <f>G99*G$51</f>
        <v>0</v>
      </c>
      <c r="H123" s="452">
        <f t="shared" ref="H123:N123" si="55">H99*H$51</f>
        <v>0</v>
      </c>
      <c r="I123" s="452">
        <f t="shared" si="55"/>
        <v>0</v>
      </c>
      <c r="J123" s="452">
        <f t="shared" si="55"/>
        <v>0</v>
      </c>
      <c r="K123" s="452">
        <f t="shared" si="55"/>
        <v>0</v>
      </c>
      <c r="L123" s="452">
        <f t="shared" si="55"/>
        <v>0</v>
      </c>
      <c r="M123" s="452">
        <f t="shared" si="55"/>
        <v>0</v>
      </c>
      <c r="N123" s="452">
        <f t="shared" si="55"/>
        <v>0</v>
      </c>
      <c r="O123" s="452">
        <f t="shared" ref="O123:O131" si="56">SUM(F123:N123)</f>
        <v>0</v>
      </c>
      <c r="P123" s="452">
        <f t="shared" ref="P123:P131" si="57">SUM(I123:M123)</f>
        <v>0</v>
      </c>
    </row>
    <row r="124" spans="4:16" hidden="1" outlineLevel="1">
      <c r="D124" s="236" t="s">
        <v>380</v>
      </c>
      <c r="G124" s="452">
        <f t="shared" ref="G124:N131" si="58">G100*G$51</f>
        <v>0</v>
      </c>
      <c r="H124" s="452">
        <f t="shared" si="58"/>
        <v>0</v>
      </c>
      <c r="I124" s="452">
        <f t="shared" si="58"/>
        <v>0</v>
      </c>
      <c r="J124" s="452">
        <f t="shared" si="58"/>
        <v>0</v>
      </c>
      <c r="K124" s="452">
        <f t="shared" si="58"/>
        <v>0</v>
      </c>
      <c r="L124" s="452">
        <f t="shared" si="58"/>
        <v>0</v>
      </c>
      <c r="M124" s="452">
        <f t="shared" si="58"/>
        <v>0</v>
      </c>
      <c r="N124" s="452">
        <f t="shared" si="58"/>
        <v>0</v>
      </c>
      <c r="O124" s="452">
        <f t="shared" si="56"/>
        <v>0</v>
      </c>
      <c r="P124" s="452">
        <f t="shared" si="57"/>
        <v>0</v>
      </c>
    </row>
    <row r="125" spans="4:16" hidden="1" outlineLevel="1">
      <c r="D125" s="236" t="s">
        <v>381</v>
      </c>
      <c r="G125" s="452">
        <f t="shared" si="58"/>
        <v>0</v>
      </c>
      <c r="H125" s="452">
        <f t="shared" si="58"/>
        <v>0</v>
      </c>
      <c r="I125" s="452">
        <f t="shared" si="58"/>
        <v>0</v>
      </c>
      <c r="J125" s="452">
        <f t="shared" si="58"/>
        <v>0</v>
      </c>
      <c r="K125" s="452">
        <f t="shared" si="58"/>
        <v>0</v>
      </c>
      <c r="L125" s="452">
        <f t="shared" si="58"/>
        <v>0</v>
      </c>
      <c r="M125" s="452">
        <f t="shared" si="58"/>
        <v>0</v>
      </c>
      <c r="N125" s="452">
        <f t="shared" si="58"/>
        <v>0</v>
      </c>
      <c r="O125" s="452">
        <f t="shared" si="56"/>
        <v>0</v>
      </c>
      <c r="P125" s="452">
        <f t="shared" si="57"/>
        <v>0</v>
      </c>
    </row>
    <row r="126" spans="4:16" hidden="1" outlineLevel="1">
      <c r="D126" s="236" t="s">
        <v>382</v>
      </c>
      <c r="G126" s="452">
        <f t="shared" si="58"/>
        <v>0</v>
      </c>
      <c r="H126" s="452">
        <f t="shared" si="58"/>
        <v>0</v>
      </c>
      <c r="I126" s="452">
        <f t="shared" si="58"/>
        <v>0</v>
      </c>
      <c r="J126" s="452">
        <f t="shared" si="58"/>
        <v>0</v>
      </c>
      <c r="K126" s="452">
        <f t="shared" si="58"/>
        <v>0</v>
      </c>
      <c r="L126" s="452">
        <f t="shared" si="58"/>
        <v>0</v>
      </c>
      <c r="M126" s="452">
        <f t="shared" si="58"/>
        <v>0</v>
      </c>
      <c r="N126" s="452">
        <f t="shared" si="58"/>
        <v>0</v>
      </c>
      <c r="O126" s="452">
        <f t="shared" si="56"/>
        <v>0</v>
      </c>
      <c r="P126" s="452">
        <f t="shared" si="57"/>
        <v>0</v>
      </c>
    </row>
    <row r="127" spans="4:16" hidden="1" outlineLevel="1">
      <c r="D127" s="236" t="s">
        <v>383</v>
      </c>
      <c r="G127" s="452">
        <f t="shared" si="58"/>
        <v>62.261881998867644</v>
      </c>
      <c r="H127" s="452">
        <f t="shared" si="58"/>
        <v>0</v>
      </c>
      <c r="I127" s="452">
        <f t="shared" si="58"/>
        <v>0</v>
      </c>
      <c r="J127" s="452">
        <f t="shared" si="58"/>
        <v>0</v>
      </c>
      <c r="K127" s="452">
        <f t="shared" si="58"/>
        <v>0</v>
      </c>
      <c r="L127" s="452">
        <f t="shared" si="58"/>
        <v>0</v>
      </c>
      <c r="M127" s="452">
        <f t="shared" si="58"/>
        <v>0</v>
      </c>
      <c r="N127" s="452">
        <f t="shared" si="58"/>
        <v>0</v>
      </c>
      <c r="O127" s="452">
        <f t="shared" si="56"/>
        <v>62.261881998867644</v>
      </c>
      <c r="P127" s="452">
        <f t="shared" si="57"/>
        <v>0</v>
      </c>
    </row>
    <row r="128" spans="4:16" hidden="1" outlineLevel="1">
      <c r="D128" s="236" t="s">
        <v>384</v>
      </c>
      <c r="G128" s="452">
        <f t="shared" si="58"/>
        <v>46.213009356323568</v>
      </c>
      <c r="H128" s="452">
        <f t="shared" si="58"/>
        <v>0</v>
      </c>
      <c r="I128" s="452">
        <f t="shared" si="58"/>
        <v>0</v>
      </c>
      <c r="J128" s="452">
        <f t="shared" si="58"/>
        <v>0</v>
      </c>
      <c r="K128" s="452">
        <f t="shared" si="58"/>
        <v>0</v>
      </c>
      <c r="L128" s="452">
        <f t="shared" si="58"/>
        <v>0</v>
      </c>
      <c r="M128" s="452">
        <f t="shared" si="58"/>
        <v>0</v>
      </c>
      <c r="N128" s="452">
        <f t="shared" si="58"/>
        <v>0</v>
      </c>
      <c r="O128" s="452">
        <f t="shared" si="56"/>
        <v>46.213009356323568</v>
      </c>
      <c r="P128" s="452">
        <f t="shared" si="57"/>
        <v>0</v>
      </c>
    </row>
    <row r="129" spans="4:16" hidden="1" outlineLevel="1">
      <c r="D129" s="236" t="s">
        <v>385</v>
      </c>
      <c r="G129" s="452">
        <f t="shared" si="58"/>
        <v>0</v>
      </c>
      <c r="H129" s="452">
        <f t="shared" si="58"/>
        <v>0</v>
      </c>
      <c r="I129" s="452">
        <f t="shared" si="58"/>
        <v>0</v>
      </c>
      <c r="J129" s="452">
        <f t="shared" si="58"/>
        <v>0</v>
      </c>
      <c r="K129" s="452">
        <f t="shared" si="58"/>
        <v>0</v>
      </c>
      <c r="L129" s="452">
        <f t="shared" si="58"/>
        <v>0</v>
      </c>
      <c r="M129" s="452">
        <f t="shared" si="58"/>
        <v>0</v>
      </c>
      <c r="N129" s="452">
        <f t="shared" si="58"/>
        <v>0</v>
      </c>
      <c r="O129" s="452">
        <f t="shared" si="56"/>
        <v>0</v>
      </c>
      <c r="P129" s="452">
        <f t="shared" si="57"/>
        <v>0</v>
      </c>
    </row>
    <row r="130" spans="4:16" hidden="1" outlineLevel="1">
      <c r="D130" s="236" t="s">
        <v>386</v>
      </c>
      <c r="G130" s="452">
        <f t="shared" si="58"/>
        <v>12.212743449467618</v>
      </c>
      <c r="H130" s="452">
        <f t="shared" si="58"/>
        <v>0</v>
      </c>
      <c r="I130" s="452">
        <f t="shared" si="58"/>
        <v>0</v>
      </c>
      <c r="J130" s="452">
        <f t="shared" si="58"/>
        <v>0</v>
      </c>
      <c r="K130" s="452">
        <f t="shared" si="58"/>
        <v>0</v>
      </c>
      <c r="L130" s="452">
        <f t="shared" si="58"/>
        <v>0</v>
      </c>
      <c r="M130" s="452">
        <f t="shared" si="58"/>
        <v>0</v>
      </c>
      <c r="N130" s="452">
        <f t="shared" si="58"/>
        <v>0</v>
      </c>
      <c r="O130" s="452">
        <f t="shared" si="56"/>
        <v>12.212743449467618</v>
      </c>
      <c r="P130" s="452">
        <f t="shared" si="57"/>
        <v>0</v>
      </c>
    </row>
    <row r="131" spans="4:16" hidden="1" outlineLevel="1">
      <c r="D131" s="236" t="s">
        <v>387</v>
      </c>
      <c r="G131" s="913">
        <f t="shared" si="58"/>
        <v>38.4231975800977</v>
      </c>
      <c r="H131" s="913">
        <f t="shared" si="58"/>
        <v>0</v>
      </c>
      <c r="I131" s="913">
        <f t="shared" si="58"/>
        <v>0</v>
      </c>
      <c r="J131" s="913">
        <f t="shared" si="58"/>
        <v>0</v>
      </c>
      <c r="K131" s="913">
        <f t="shared" si="58"/>
        <v>0</v>
      </c>
      <c r="L131" s="913">
        <f t="shared" si="58"/>
        <v>0</v>
      </c>
      <c r="M131" s="913">
        <f t="shared" si="58"/>
        <v>0</v>
      </c>
      <c r="N131" s="913">
        <f t="shared" si="58"/>
        <v>0</v>
      </c>
      <c r="O131" s="913">
        <f t="shared" si="56"/>
        <v>38.4231975800977</v>
      </c>
      <c r="P131" s="913">
        <f t="shared" si="57"/>
        <v>0</v>
      </c>
    </row>
    <row r="132" spans="4:16" hidden="1" outlineLevel="1">
      <c r="D132" s="236" t="s">
        <v>441</v>
      </c>
      <c r="G132" s="452">
        <f>SUM(G123:G131)</f>
        <v>159.11083238475652</v>
      </c>
      <c r="H132" s="452">
        <f t="shared" ref="H132:P132" si="59">SUM(H123:H131)</f>
        <v>0</v>
      </c>
      <c r="I132" s="452">
        <f t="shared" si="59"/>
        <v>0</v>
      </c>
      <c r="J132" s="452">
        <f t="shared" si="59"/>
        <v>0</v>
      </c>
      <c r="K132" s="452">
        <f t="shared" si="59"/>
        <v>0</v>
      </c>
      <c r="L132" s="452">
        <f t="shared" si="59"/>
        <v>0</v>
      </c>
      <c r="M132" s="452">
        <f t="shared" si="59"/>
        <v>0</v>
      </c>
      <c r="N132" s="452">
        <f t="shared" si="59"/>
        <v>0</v>
      </c>
      <c r="O132" s="452">
        <f t="shared" si="59"/>
        <v>159.11083238475652</v>
      </c>
      <c r="P132" s="452">
        <f t="shared" si="59"/>
        <v>0</v>
      </c>
    </row>
    <row r="133" spans="4:16" hidden="1" outlineLevel="1"/>
    <row r="134" spans="4:16" hidden="1" outlineLevel="1">
      <c r="D134" s="236" t="s">
        <v>447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453</v>
      </c>
    </row>
    <row r="135" spans="4:16" hidden="1" outlineLevel="1">
      <c r="D135" s="236" t="s">
        <v>379</v>
      </c>
      <c r="G135" s="452">
        <f>G99*G$52</f>
        <v>0</v>
      </c>
      <c r="H135" s="452">
        <f t="shared" ref="H135:N135" si="60">H99*H$52</f>
        <v>0</v>
      </c>
      <c r="I135" s="452">
        <f t="shared" si="60"/>
        <v>0</v>
      </c>
      <c r="J135" s="452">
        <f t="shared" si="60"/>
        <v>0</v>
      </c>
      <c r="K135" s="452">
        <f t="shared" si="60"/>
        <v>0</v>
      </c>
      <c r="L135" s="452">
        <f t="shared" si="60"/>
        <v>0</v>
      </c>
      <c r="M135" s="452">
        <f t="shared" si="60"/>
        <v>0</v>
      </c>
      <c r="N135" s="452">
        <f t="shared" si="60"/>
        <v>0</v>
      </c>
      <c r="O135" s="452">
        <f t="shared" ref="O135:O143" si="61">SUM(F135:N135)</f>
        <v>0</v>
      </c>
      <c r="P135" s="452">
        <f t="shared" ref="P135:P143" si="62">SUM(I135:M135)</f>
        <v>0</v>
      </c>
    </row>
    <row r="136" spans="4:16" hidden="1" outlineLevel="1">
      <c r="D136" s="236" t="s">
        <v>380</v>
      </c>
      <c r="G136" s="452">
        <f t="shared" ref="G136:N143" si="63">G100*G$52</f>
        <v>0</v>
      </c>
      <c r="H136" s="452">
        <f t="shared" si="63"/>
        <v>0</v>
      </c>
      <c r="I136" s="452">
        <f t="shared" si="63"/>
        <v>0</v>
      </c>
      <c r="J136" s="452">
        <f t="shared" si="63"/>
        <v>0</v>
      </c>
      <c r="K136" s="452">
        <f t="shared" si="63"/>
        <v>0</v>
      </c>
      <c r="L136" s="452">
        <f t="shared" si="63"/>
        <v>0</v>
      </c>
      <c r="M136" s="452">
        <f t="shared" si="63"/>
        <v>0</v>
      </c>
      <c r="N136" s="452">
        <f t="shared" si="63"/>
        <v>0</v>
      </c>
      <c r="O136" s="452">
        <f t="shared" si="61"/>
        <v>0</v>
      </c>
      <c r="P136" s="452">
        <f t="shared" si="62"/>
        <v>0</v>
      </c>
    </row>
    <row r="137" spans="4:16" hidden="1" outlineLevel="1">
      <c r="D137" s="236" t="s">
        <v>381</v>
      </c>
      <c r="G137" s="452">
        <f t="shared" si="63"/>
        <v>0</v>
      </c>
      <c r="H137" s="452">
        <f t="shared" si="63"/>
        <v>0</v>
      </c>
      <c r="I137" s="452">
        <f t="shared" si="63"/>
        <v>0</v>
      </c>
      <c r="J137" s="452">
        <f t="shared" si="63"/>
        <v>0</v>
      </c>
      <c r="K137" s="452">
        <f t="shared" si="63"/>
        <v>0</v>
      </c>
      <c r="L137" s="452">
        <f t="shared" si="63"/>
        <v>0</v>
      </c>
      <c r="M137" s="452">
        <f t="shared" si="63"/>
        <v>0</v>
      </c>
      <c r="N137" s="452">
        <f t="shared" si="63"/>
        <v>0</v>
      </c>
      <c r="O137" s="452">
        <f t="shared" si="61"/>
        <v>0</v>
      </c>
      <c r="P137" s="452">
        <f t="shared" si="62"/>
        <v>0</v>
      </c>
    </row>
    <row r="138" spans="4:16" hidden="1" outlineLevel="1">
      <c r="D138" s="236" t="s">
        <v>382</v>
      </c>
      <c r="G138" s="452">
        <f t="shared" si="63"/>
        <v>0</v>
      </c>
      <c r="H138" s="452">
        <f t="shared" si="63"/>
        <v>0</v>
      </c>
      <c r="I138" s="452">
        <f t="shared" si="63"/>
        <v>0</v>
      </c>
      <c r="J138" s="452">
        <f t="shared" si="63"/>
        <v>0</v>
      </c>
      <c r="K138" s="452">
        <f t="shared" si="63"/>
        <v>0</v>
      </c>
      <c r="L138" s="452">
        <f t="shared" si="63"/>
        <v>0</v>
      </c>
      <c r="M138" s="452">
        <f t="shared" si="63"/>
        <v>0</v>
      </c>
      <c r="N138" s="452">
        <f t="shared" si="63"/>
        <v>0</v>
      </c>
      <c r="O138" s="452">
        <f t="shared" si="61"/>
        <v>0</v>
      </c>
      <c r="P138" s="452">
        <f t="shared" si="62"/>
        <v>0</v>
      </c>
    </row>
    <row r="139" spans="4:16" hidden="1" outlineLevel="1">
      <c r="D139" s="236" t="s">
        <v>383</v>
      </c>
      <c r="G139" s="452">
        <f t="shared" si="63"/>
        <v>310.76006320399148</v>
      </c>
      <c r="H139" s="452">
        <f t="shared" si="63"/>
        <v>0</v>
      </c>
      <c r="I139" s="452">
        <f t="shared" si="63"/>
        <v>0</v>
      </c>
      <c r="J139" s="452">
        <f t="shared" si="63"/>
        <v>0</v>
      </c>
      <c r="K139" s="452">
        <f t="shared" si="63"/>
        <v>0</v>
      </c>
      <c r="L139" s="452">
        <f t="shared" si="63"/>
        <v>0</v>
      </c>
      <c r="M139" s="452">
        <f t="shared" si="63"/>
        <v>0</v>
      </c>
      <c r="N139" s="452">
        <f t="shared" si="63"/>
        <v>0</v>
      </c>
      <c r="O139" s="452">
        <f t="shared" si="61"/>
        <v>310.76006320399148</v>
      </c>
      <c r="P139" s="452">
        <f t="shared" si="62"/>
        <v>0</v>
      </c>
    </row>
    <row r="140" spans="4:16" hidden="1" outlineLevel="1">
      <c r="D140" s="236" t="s">
        <v>384</v>
      </c>
      <c r="G140" s="452">
        <f t="shared" si="63"/>
        <v>230.65730182519937</v>
      </c>
      <c r="H140" s="452">
        <f t="shared" si="63"/>
        <v>0</v>
      </c>
      <c r="I140" s="452">
        <f t="shared" si="63"/>
        <v>0</v>
      </c>
      <c r="J140" s="452">
        <f t="shared" si="63"/>
        <v>0</v>
      </c>
      <c r="K140" s="452">
        <f t="shared" si="63"/>
        <v>0</v>
      </c>
      <c r="L140" s="452">
        <f t="shared" si="63"/>
        <v>0</v>
      </c>
      <c r="M140" s="452">
        <f t="shared" si="63"/>
        <v>0</v>
      </c>
      <c r="N140" s="452">
        <f t="shared" si="63"/>
        <v>0</v>
      </c>
      <c r="O140" s="452">
        <f t="shared" si="61"/>
        <v>230.65730182519937</v>
      </c>
      <c r="P140" s="452">
        <f t="shared" si="62"/>
        <v>0</v>
      </c>
    </row>
    <row r="141" spans="4:16" hidden="1" outlineLevel="1">
      <c r="D141" s="236" t="s">
        <v>385</v>
      </c>
      <c r="G141" s="452">
        <f t="shared" si="63"/>
        <v>0</v>
      </c>
      <c r="H141" s="452">
        <f t="shared" si="63"/>
        <v>0</v>
      </c>
      <c r="I141" s="452">
        <f t="shared" si="63"/>
        <v>0</v>
      </c>
      <c r="J141" s="452">
        <f t="shared" si="63"/>
        <v>0</v>
      </c>
      <c r="K141" s="452">
        <f t="shared" si="63"/>
        <v>0</v>
      </c>
      <c r="L141" s="452">
        <f t="shared" si="63"/>
        <v>0</v>
      </c>
      <c r="M141" s="452">
        <f t="shared" si="63"/>
        <v>0</v>
      </c>
      <c r="N141" s="452">
        <f t="shared" si="63"/>
        <v>0</v>
      </c>
      <c r="O141" s="452">
        <f t="shared" si="61"/>
        <v>0</v>
      </c>
      <c r="P141" s="452">
        <f t="shared" si="62"/>
        <v>0</v>
      </c>
    </row>
    <row r="142" spans="4:16" hidden="1" outlineLevel="1">
      <c r="D142" s="236" t="s">
        <v>386</v>
      </c>
      <c r="G142" s="452">
        <f t="shared" si="63"/>
        <v>60.955962210068016</v>
      </c>
      <c r="H142" s="452">
        <f t="shared" si="63"/>
        <v>0</v>
      </c>
      <c r="I142" s="452">
        <f t="shared" si="63"/>
        <v>0</v>
      </c>
      <c r="J142" s="452">
        <f t="shared" si="63"/>
        <v>0</v>
      </c>
      <c r="K142" s="452">
        <f t="shared" si="63"/>
        <v>0</v>
      </c>
      <c r="L142" s="452">
        <f t="shared" si="63"/>
        <v>0</v>
      </c>
      <c r="M142" s="452">
        <f t="shared" si="63"/>
        <v>0</v>
      </c>
      <c r="N142" s="452">
        <f t="shared" si="63"/>
        <v>0</v>
      </c>
      <c r="O142" s="452">
        <f t="shared" si="61"/>
        <v>60.955962210068016</v>
      </c>
      <c r="P142" s="452">
        <f t="shared" si="62"/>
        <v>0</v>
      </c>
    </row>
    <row r="143" spans="4:16" hidden="1" outlineLevel="1">
      <c r="D143" s="236" t="s">
        <v>387</v>
      </c>
      <c r="G143" s="913">
        <f t="shared" si="63"/>
        <v>191.77697373021545</v>
      </c>
      <c r="H143" s="913">
        <f t="shared" si="63"/>
        <v>0</v>
      </c>
      <c r="I143" s="913">
        <f t="shared" si="63"/>
        <v>0</v>
      </c>
      <c r="J143" s="913">
        <f t="shared" si="63"/>
        <v>0</v>
      </c>
      <c r="K143" s="913">
        <f t="shared" si="63"/>
        <v>0</v>
      </c>
      <c r="L143" s="913">
        <f t="shared" si="63"/>
        <v>0</v>
      </c>
      <c r="M143" s="913">
        <f t="shared" si="63"/>
        <v>0</v>
      </c>
      <c r="N143" s="913">
        <f t="shared" si="63"/>
        <v>0</v>
      </c>
      <c r="O143" s="913">
        <f t="shared" si="61"/>
        <v>191.77697373021545</v>
      </c>
      <c r="P143" s="913">
        <f t="shared" si="62"/>
        <v>0</v>
      </c>
    </row>
    <row r="144" spans="4:16" hidden="1" outlineLevel="1">
      <c r="D144" s="236" t="s">
        <v>442</v>
      </c>
      <c r="G144" s="452">
        <f>SUM(G135:G143)</f>
        <v>794.1503009694743</v>
      </c>
      <c r="H144" s="452">
        <f t="shared" ref="H144:P144" si="64">SUM(H135:H143)</f>
        <v>0</v>
      </c>
      <c r="I144" s="452">
        <f t="shared" si="64"/>
        <v>0</v>
      </c>
      <c r="J144" s="452">
        <f t="shared" si="64"/>
        <v>0</v>
      </c>
      <c r="K144" s="452">
        <f t="shared" si="64"/>
        <v>0</v>
      </c>
      <c r="L144" s="452">
        <f t="shared" si="64"/>
        <v>0</v>
      </c>
      <c r="M144" s="452">
        <f t="shared" si="64"/>
        <v>0</v>
      </c>
      <c r="N144" s="452">
        <f t="shared" si="64"/>
        <v>0</v>
      </c>
      <c r="O144" s="452">
        <f t="shared" si="64"/>
        <v>794.1503009694743</v>
      </c>
      <c r="P144" s="452">
        <f t="shared" si="64"/>
        <v>0</v>
      </c>
    </row>
    <row r="145" spans="4:16" hidden="1" outlineLevel="1" collapsed="1"/>
    <row r="146" spans="4:16" hidden="1" outlineLevel="1">
      <c r="D146" s="236" t="s">
        <v>454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453</v>
      </c>
    </row>
    <row r="147" spans="4:16" hidden="1" outlineLevel="1">
      <c r="D147" s="236" t="s">
        <v>379</v>
      </c>
      <c r="G147" s="452">
        <f t="shared" ref="G147:N155" si="65">G111+G123+G135</f>
        <v>0</v>
      </c>
      <c r="H147" s="452">
        <f t="shared" si="65"/>
        <v>0</v>
      </c>
      <c r="I147" s="452">
        <f t="shared" si="65"/>
        <v>0</v>
      </c>
      <c r="J147" s="452">
        <f t="shared" si="65"/>
        <v>0</v>
      </c>
      <c r="K147" s="452">
        <f t="shared" si="65"/>
        <v>0</v>
      </c>
      <c r="L147" s="452">
        <f t="shared" si="65"/>
        <v>0</v>
      </c>
      <c r="M147" s="452">
        <f t="shared" si="65"/>
        <v>0</v>
      </c>
      <c r="N147" s="452">
        <f t="shared" si="65"/>
        <v>0</v>
      </c>
      <c r="O147" s="452">
        <f t="shared" ref="O147:O155" si="66">SUM(F147:N147)</f>
        <v>0</v>
      </c>
      <c r="P147" s="452">
        <f t="shared" ref="P147:P155" si="67">SUM(I147:M147)</f>
        <v>0</v>
      </c>
    </row>
    <row r="148" spans="4:16" hidden="1" outlineLevel="1">
      <c r="D148" s="236" t="s">
        <v>380</v>
      </c>
      <c r="G148" s="452">
        <f t="shared" si="65"/>
        <v>0</v>
      </c>
      <c r="H148" s="452">
        <f t="shared" si="65"/>
        <v>0</v>
      </c>
      <c r="I148" s="452">
        <f t="shared" si="65"/>
        <v>0</v>
      </c>
      <c r="J148" s="452">
        <f t="shared" si="65"/>
        <v>0</v>
      </c>
      <c r="K148" s="452">
        <f t="shared" si="65"/>
        <v>0</v>
      </c>
      <c r="L148" s="452">
        <f t="shared" si="65"/>
        <v>0</v>
      </c>
      <c r="M148" s="452">
        <f t="shared" si="65"/>
        <v>0</v>
      </c>
      <c r="N148" s="452">
        <f t="shared" si="65"/>
        <v>0</v>
      </c>
      <c r="O148" s="452">
        <f t="shared" si="66"/>
        <v>0</v>
      </c>
      <c r="P148" s="452">
        <f t="shared" si="67"/>
        <v>0</v>
      </c>
    </row>
    <row r="149" spans="4:16" hidden="1" outlineLevel="1">
      <c r="D149" s="236" t="s">
        <v>381</v>
      </c>
      <c r="G149" s="452">
        <f t="shared" si="65"/>
        <v>0</v>
      </c>
      <c r="H149" s="452">
        <f t="shared" si="65"/>
        <v>0</v>
      </c>
      <c r="I149" s="452">
        <f t="shared" si="65"/>
        <v>0</v>
      </c>
      <c r="J149" s="452">
        <f t="shared" si="65"/>
        <v>0</v>
      </c>
      <c r="K149" s="452">
        <f t="shared" si="65"/>
        <v>0</v>
      </c>
      <c r="L149" s="452">
        <f t="shared" si="65"/>
        <v>0</v>
      </c>
      <c r="M149" s="452">
        <f t="shared" si="65"/>
        <v>0</v>
      </c>
      <c r="N149" s="452">
        <f t="shared" si="65"/>
        <v>0</v>
      </c>
      <c r="O149" s="452">
        <f t="shared" si="66"/>
        <v>0</v>
      </c>
      <c r="P149" s="452">
        <f t="shared" si="67"/>
        <v>0</v>
      </c>
    </row>
    <row r="150" spans="4:16" hidden="1" outlineLevel="1">
      <c r="D150" s="236" t="s">
        <v>382</v>
      </c>
      <c r="G150" s="452">
        <f t="shared" si="65"/>
        <v>0</v>
      </c>
      <c r="H150" s="452">
        <f t="shared" si="65"/>
        <v>0</v>
      </c>
      <c r="I150" s="452">
        <f t="shared" si="65"/>
        <v>0</v>
      </c>
      <c r="J150" s="452">
        <f t="shared" si="65"/>
        <v>0</v>
      </c>
      <c r="K150" s="452">
        <f t="shared" si="65"/>
        <v>0</v>
      </c>
      <c r="L150" s="452">
        <f t="shared" si="65"/>
        <v>0</v>
      </c>
      <c r="M150" s="452">
        <f t="shared" si="65"/>
        <v>0</v>
      </c>
      <c r="N150" s="452">
        <f t="shared" si="65"/>
        <v>0</v>
      </c>
      <c r="O150" s="452">
        <f t="shared" si="66"/>
        <v>0</v>
      </c>
      <c r="P150" s="452">
        <f t="shared" si="67"/>
        <v>0</v>
      </c>
    </row>
    <row r="151" spans="4:16" hidden="1" outlineLevel="1">
      <c r="D151" s="236" t="s">
        <v>383</v>
      </c>
      <c r="G151" s="452">
        <f t="shared" si="65"/>
        <v>620.61486479572159</v>
      </c>
      <c r="H151" s="452">
        <f t="shared" si="65"/>
        <v>0</v>
      </c>
      <c r="I151" s="452">
        <f t="shared" si="65"/>
        <v>0</v>
      </c>
      <c r="J151" s="452">
        <f t="shared" si="65"/>
        <v>0</v>
      </c>
      <c r="K151" s="452">
        <f t="shared" si="65"/>
        <v>0</v>
      </c>
      <c r="L151" s="452">
        <f t="shared" si="65"/>
        <v>0</v>
      </c>
      <c r="M151" s="452">
        <f t="shared" si="65"/>
        <v>0</v>
      </c>
      <c r="N151" s="452">
        <f t="shared" si="65"/>
        <v>0</v>
      </c>
      <c r="O151" s="452">
        <f t="shared" si="66"/>
        <v>620.61486479572159</v>
      </c>
      <c r="P151" s="452">
        <f t="shared" si="67"/>
        <v>0</v>
      </c>
    </row>
    <row r="152" spans="4:16" hidden="1" outlineLevel="1">
      <c r="D152" s="236" t="s">
        <v>384</v>
      </c>
      <c r="G152" s="452">
        <f t="shared" si="65"/>
        <v>460.64268590531492</v>
      </c>
      <c r="H152" s="452">
        <f t="shared" si="65"/>
        <v>0</v>
      </c>
      <c r="I152" s="452">
        <f t="shared" si="65"/>
        <v>0</v>
      </c>
      <c r="J152" s="452">
        <f t="shared" si="65"/>
        <v>0</v>
      </c>
      <c r="K152" s="452">
        <f t="shared" si="65"/>
        <v>0</v>
      </c>
      <c r="L152" s="452">
        <f t="shared" si="65"/>
        <v>0</v>
      </c>
      <c r="M152" s="452">
        <f t="shared" si="65"/>
        <v>0</v>
      </c>
      <c r="N152" s="452">
        <f t="shared" si="65"/>
        <v>0</v>
      </c>
      <c r="O152" s="452">
        <f t="shared" si="66"/>
        <v>460.64268590531492</v>
      </c>
      <c r="P152" s="452">
        <f t="shared" si="67"/>
        <v>0</v>
      </c>
    </row>
    <row r="153" spans="4:16" hidden="1" outlineLevel="1">
      <c r="D153" s="236" t="s">
        <v>385</v>
      </c>
      <c r="G153" s="452">
        <f t="shared" si="65"/>
        <v>0</v>
      </c>
      <c r="H153" s="452">
        <f t="shared" si="65"/>
        <v>0</v>
      </c>
      <c r="I153" s="452">
        <f t="shared" si="65"/>
        <v>0</v>
      </c>
      <c r="J153" s="452">
        <f t="shared" si="65"/>
        <v>0</v>
      </c>
      <c r="K153" s="452">
        <f t="shared" si="65"/>
        <v>0</v>
      </c>
      <c r="L153" s="452">
        <f t="shared" si="65"/>
        <v>0</v>
      </c>
      <c r="M153" s="452">
        <f t="shared" si="65"/>
        <v>0</v>
      </c>
      <c r="N153" s="452">
        <f t="shared" si="65"/>
        <v>0</v>
      </c>
      <c r="O153" s="452">
        <f t="shared" si="66"/>
        <v>0</v>
      </c>
      <c r="P153" s="452">
        <f t="shared" si="67"/>
        <v>0</v>
      </c>
    </row>
    <row r="154" spans="4:16" hidden="1" outlineLevel="1">
      <c r="D154" s="236" t="s">
        <v>386</v>
      </c>
      <c r="G154" s="452">
        <f t="shared" si="65"/>
        <v>121.73435626012761</v>
      </c>
      <c r="H154" s="452">
        <f t="shared" si="65"/>
        <v>0</v>
      </c>
      <c r="I154" s="452">
        <f t="shared" si="65"/>
        <v>0</v>
      </c>
      <c r="J154" s="452">
        <f t="shared" si="65"/>
        <v>0</v>
      </c>
      <c r="K154" s="452">
        <f t="shared" si="65"/>
        <v>0</v>
      </c>
      <c r="L154" s="452">
        <f t="shared" si="65"/>
        <v>0</v>
      </c>
      <c r="M154" s="452">
        <f t="shared" si="65"/>
        <v>0</v>
      </c>
      <c r="N154" s="452">
        <f t="shared" si="65"/>
        <v>0</v>
      </c>
      <c r="O154" s="452">
        <f t="shared" si="66"/>
        <v>121.73435626012761</v>
      </c>
      <c r="P154" s="452">
        <f t="shared" si="67"/>
        <v>0</v>
      </c>
    </row>
    <row r="155" spans="4:16" hidden="1" outlineLevel="1">
      <c r="D155" s="236" t="s">
        <v>387</v>
      </c>
      <c r="G155" s="913">
        <f t="shared" si="65"/>
        <v>382.99529030660074</v>
      </c>
      <c r="H155" s="913">
        <f t="shared" si="65"/>
        <v>0</v>
      </c>
      <c r="I155" s="913">
        <f t="shared" si="65"/>
        <v>0</v>
      </c>
      <c r="J155" s="913">
        <f t="shared" si="65"/>
        <v>0</v>
      </c>
      <c r="K155" s="913">
        <f t="shared" si="65"/>
        <v>0</v>
      </c>
      <c r="L155" s="913">
        <f t="shared" si="65"/>
        <v>0</v>
      </c>
      <c r="M155" s="913">
        <f t="shared" si="65"/>
        <v>0</v>
      </c>
      <c r="N155" s="913">
        <f t="shared" si="65"/>
        <v>0</v>
      </c>
      <c r="O155" s="913">
        <f t="shared" si="66"/>
        <v>382.99529030660074</v>
      </c>
      <c r="P155" s="913">
        <f t="shared" si="67"/>
        <v>0</v>
      </c>
    </row>
    <row r="156" spans="4:16" hidden="1" outlineLevel="1">
      <c r="D156" s="236" t="s">
        <v>454</v>
      </c>
      <c r="G156" s="452">
        <f>SUM(G147:G155)</f>
        <v>1585.9871972677649</v>
      </c>
      <c r="H156" s="452">
        <f t="shared" ref="H156:N156" si="68">SUM(H147:H155)</f>
        <v>0</v>
      </c>
      <c r="I156" s="452">
        <f t="shared" si="68"/>
        <v>0</v>
      </c>
      <c r="J156" s="452">
        <f t="shared" si="68"/>
        <v>0</v>
      </c>
      <c r="K156" s="452">
        <f t="shared" si="68"/>
        <v>0</v>
      </c>
      <c r="L156" s="452">
        <f t="shared" si="68"/>
        <v>0</v>
      </c>
      <c r="M156" s="452">
        <f t="shared" si="68"/>
        <v>0</v>
      </c>
      <c r="N156" s="452">
        <f t="shared" si="68"/>
        <v>0</v>
      </c>
      <c r="O156" s="452">
        <f t="shared" ref="O156:P156" si="69">SUM(O147:O155)</f>
        <v>1585.9871972677649</v>
      </c>
      <c r="P156" s="452">
        <f t="shared" si="69"/>
        <v>0</v>
      </c>
    </row>
    <row r="157" spans="4:16" collapsed="1"/>
  </sheetData>
  <mergeCells count="1">
    <mergeCell ref="C13:C14"/>
  </mergeCells>
  <conditionalFormatting sqref="R14">
    <cfRule type="cellIs" dxfId="102" priority="4" operator="equal">
      <formula>"Error"</formula>
    </cfRule>
  </conditionalFormatting>
  <conditionalFormatting sqref="R11">
    <cfRule type="cellIs" dxfId="101" priority="3" operator="equal">
      <formula>"Error"</formula>
    </cfRule>
  </conditionalFormatting>
  <conditionalFormatting sqref="R54">
    <cfRule type="cellIs" dxfId="10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F1" sqref="F1"/>
    </sheetView>
  </sheetViews>
  <sheetFormatPr defaultRowHeight="15" outlineLevelRow="1"/>
  <cols>
    <col min="1" max="1" width="4" style="236" customWidth="1"/>
    <col min="2" max="2" width="6.5703125" style="236" customWidth="1"/>
    <col min="3" max="3" width="26.42578125" style="236" customWidth="1"/>
    <col min="4" max="4" width="25.5703125" style="236" customWidth="1"/>
    <col min="5" max="5" width="21.42578125" style="236" customWidth="1"/>
    <col min="6" max="6" width="14.7109375" style="236" customWidth="1"/>
    <col min="7" max="9" width="12.140625" style="236" customWidth="1"/>
    <col min="10" max="10" width="11.28515625" style="236" customWidth="1"/>
    <col min="11" max="11" width="12.7109375" style="236" customWidth="1"/>
    <col min="12" max="14" width="11.28515625" style="236" customWidth="1"/>
    <col min="15" max="15" width="12.28515625" style="236" customWidth="1"/>
    <col min="16" max="16" width="12.5703125" style="236" customWidth="1"/>
    <col min="17" max="19" width="9.140625" style="236"/>
    <col min="20" max="20" width="11.85546875" style="236" customWidth="1"/>
    <col min="21" max="16384" width="9.140625" style="236"/>
  </cols>
  <sheetData>
    <row r="1" spans="1:21">
      <c r="B1" s="574" t="s">
        <v>294</v>
      </c>
      <c r="C1" s="484" t="s">
        <v>290</v>
      </c>
    </row>
    <row r="2" spans="1:21">
      <c r="A2" s="250"/>
      <c r="B2" s="250"/>
      <c r="C2" s="572" t="s">
        <v>293</v>
      </c>
    </row>
    <row r="3" spans="1:21" ht="18.75">
      <c r="A3" s="250"/>
      <c r="B3" s="250"/>
      <c r="D3" s="339" t="str">
        <f>Project_Inputs!B18</f>
        <v>XB54</v>
      </c>
      <c r="E3" s="248"/>
      <c r="F3" s="249" t="s">
        <v>63</v>
      </c>
      <c r="G3" s="249" t="str">
        <f>Project_Inputs!F18</f>
        <v>Yes</v>
      </c>
      <c r="H3" s="248"/>
    </row>
    <row r="4" spans="1:21" ht="18.75">
      <c r="A4" s="250"/>
      <c r="B4" s="250"/>
      <c r="C4" s="485" t="s">
        <v>15</v>
      </c>
      <c r="D4" s="339" t="str">
        <f>Project_Inputs!D18</f>
        <v>Ringwood Terminal Station (RWTS) 220kV Circuit Breaker Replacements</v>
      </c>
      <c r="E4" s="486"/>
      <c r="F4" s="486"/>
      <c r="G4" s="486"/>
    </row>
    <row r="5" spans="1:21">
      <c r="A5" s="250"/>
      <c r="B5" s="250"/>
      <c r="D5" s="248"/>
    </row>
    <row r="6" spans="1:21">
      <c r="A6" s="250"/>
      <c r="B6" s="250"/>
      <c r="C6" s="236" t="s">
        <v>20</v>
      </c>
      <c r="D6" s="338" t="str">
        <f>Project_Inputs!H18</f>
        <v>Network</v>
      </c>
      <c r="E6" s="486"/>
      <c r="F6" s="10"/>
      <c r="G6" s="9" t="s">
        <v>269</v>
      </c>
      <c r="H6" s="248"/>
      <c r="I6" s="487"/>
      <c r="J6" s="487"/>
      <c r="K6" s="487"/>
      <c r="L6" s="487"/>
      <c r="M6" s="487"/>
      <c r="N6" s="487"/>
    </row>
    <row r="7" spans="1:21">
      <c r="A7" s="250"/>
      <c r="B7" s="250"/>
      <c r="C7" s="236" t="s">
        <v>21</v>
      </c>
      <c r="D7" s="338" t="str">
        <f>Project_Inputs!I18</f>
        <v>Replacement - Major Station</v>
      </c>
      <c r="E7" s="486"/>
      <c r="F7" s="486"/>
      <c r="G7" s="486"/>
      <c r="I7" s="487"/>
      <c r="J7" s="487"/>
      <c r="K7" s="487"/>
      <c r="L7" s="487"/>
      <c r="M7" s="487"/>
      <c r="N7" s="487"/>
    </row>
    <row r="8" spans="1:21">
      <c r="A8" s="250"/>
      <c r="B8" s="250"/>
      <c r="C8" s="236" t="s">
        <v>13</v>
      </c>
      <c r="D8" s="338" t="s">
        <v>14</v>
      </c>
      <c r="E8" s="486"/>
      <c r="F8" s="486"/>
      <c r="G8" s="486"/>
      <c r="I8" s="488"/>
      <c r="J8" s="488"/>
      <c r="K8" s="488"/>
      <c r="L8" s="488"/>
      <c r="M8" s="487"/>
      <c r="N8" s="487"/>
    </row>
    <row r="9" spans="1:21">
      <c r="A9" s="250"/>
      <c r="B9" s="250"/>
      <c r="C9" s="236" t="s">
        <v>278</v>
      </c>
      <c r="D9" s="338" t="str">
        <f>Project_Inputs!J18</f>
        <v>Repex_OHD</v>
      </c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489" t="s">
        <v>265</v>
      </c>
      <c r="P9" s="490" t="s">
        <v>231</v>
      </c>
    </row>
    <row r="10" spans="1:21">
      <c r="A10" s="250"/>
      <c r="B10" s="250"/>
      <c r="E10" s="491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492" t="s">
        <v>16</v>
      </c>
      <c r="P10" s="493" t="s">
        <v>16</v>
      </c>
      <c r="R10" s="495" t="s">
        <v>50</v>
      </c>
      <c r="T10" s="495"/>
      <c r="U10" s="250"/>
    </row>
    <row r="11" spans="1:21">
      <c r="A11" s="250"/>
      <c r="B11" s="250"/>
      <c r="C11" s="257" t="s">
        <v>22</v>
      </c>
      <c r="D11" s="353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13212.363784553469</v>
      </c>
      <c r="G11" s="319">
        <f>IF(G$10="Prior",SUMIFS(Project_Inputs!$W$5:$W$50,Project_Inputs!$D$5:$D$50,$D$4),SUMIFS(Project_Inputs!M$5:M$50,Project_Inputs!$D$5:$D$50,$D$4))</f>
        <v>649.65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496">
        <f>SUM(F11:N11)</f>
        <v>13862.013784553468</v>
      </c>
      <c r="P11" s="497">
        <f t="shared" ref="P11" si="0">SUM(I11:M11)</f>
        <v>0</v>
      </c>
      <c r="R11" s="608" t="str">
        <f>IF(O11=Project_Inputs!V18,"ok","error")</f>
        <v>ok</v>
      </c>
      <c r="T11" s="250"/>
      <c r="U11" s="250"/>
    </row>
    <row r="12" spans="1:21" ht="15" hidden="1" customHeight="1">
      <c r="A12" s="250"/>
      <c r="B12" s="250"/>
      <c r="C12" s="482"/>
      <c r="D12" s="350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496"/>
      <c r="P12" s="497"/>
    </row>
    <row r="13" spans="1:21">
      <c r="A13" s="250"/>
      <c r="B13" s="250"/>
      <c r="C13" s="1006" t="s">
        <v>284</v>
      </c>
      <c r="D13" s="350" t="s">
        <v>65</v>
      </c>
      <c r="E13" s="313"/>
      <c r="F13" s="336"/>
      <c r="G13" s="10"/>
      <c r="H13" s="391"/>
      <c r="I13" s="401"/>
      <c r="J13" s="10"/>
      <c r="K13" s="10"/>
      <c r="L13" s="10"/>
      <c r="M13" s="10"/>
      <c r="N13" s="337"/>
      <c r="O13" s="498"/>
      <c r="P13" s="258"/>
    </row>
    <row r="14" spans="1:21">
      <c r="A14" s="250"/>
      <c r="B14" s="250"/>
      <c r="C14" s="1006"/>
      <c r="D14" s="350" t="str">
        <f>"Direct Expenditure (As Commissioned) - "&amp;Assumptions!C7</f>
        <v>Direct Expenditure (As Commissioned) - $ 2015/16</v>
      </c>
      <c r="E14" s="313"/>
      <c r="F14" s="446">
        <f>IF($G$3="Yes",SUMIFS(Project_Inputs!AJ$5:AJ$50,Project_Inputs!$D$5:$D$50,$D$4),IF(AND(F$13="X",F$10="Prior"),F11,IF(F$13="X",SUM($F11:F11)-SUM(E14:$F14),0)))</f>
        <v>11782.711716870448</v>
      </c>
      <c r="G14" s="447">
        <f>IF($G$3="Yes",SUMIFS(Project_Inputs!AK$5:AK$50,Project_Inputs!$D$5:$D$50,$D$4),IF(AND(G$13="X",G$10="Prior"),G11,IF(G$13="X",SUM($F11:G11)-SUM(F14:$F14),0)))</f>
        <v>2079.3020676830201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99">
        <f>SUM(F14:N14)</f>
        <v>13862.013784553468</v>
      </c>
      <c r="P14" s="500">
        <f>SUM(I14:M14)</f>
        <v>0</v>
      </c>
      <c r="R14" s="607" t="str">
        <f>IF(AND(O$11&lt;&gt;0,O$14=0),"Error","ok")</f>
        <v>ok</v>
      </c>
    </row>
    <row r="15" spans="1:21">
      <c r="A15" s="250"/>
      <c r="B15" s="250"/>
      <c r="C15" s="259"/>
      <c r="D15" s="354"/>
      <c r="E15" s="501"/>
      <c r="F15" s="327"/>
      <c r="G15" s="328"/>
      <c r="H15" s="328"/>
      <c r="I15" s="402"/>
      <c r="J15" s="328"/>
      <c r="K15" s="328"/>
      <c r="L15" s="328"/>
      <c r="M15" s="328"/>
      <c r="N15" s="329"/>
      <c r="O15" s="502"/>
      <c r="P15" s="503"/>
    </row>
    <row r="16" spans="1:21">
      <c r="A16" s="250"/>
      <c r="B16" s="250"/>
      <c r="C16" s="258"/>
      <c r="D16" s="504"/>
      <c r="E16" s="313"/>
      <c r="F16" s="325"/>
      <c r="G16" s="326"/>
      <c r="H16" s="330"/>
      <c r="I16" s="403"/>
      <c r="J16" s="330"/>
      <c r="K16" s="330"/>
      <c r="L16" s="330"/>
      <c r="M16" s="330"/>
      <c r="N16" s="331"/>
      <c r="O16" s="505"/>
      <c r="P16" s="258"/>
    </row>
    <row r="17" spans="1:27">
      <c r="A17" s="250"/>
      <c r="B17" s="250"/>
      <c r="C17" s="258" t="s">
        <v>2</v>
      </c>
      <c r="D17" s="350" t="s">
        <v>3</v>
      </c>
      <c r="E17" s="506"/>
      <c r="F17" s="340"/>
      <c r="G17" s="341"/>
      <c r="H17" s="392"/>
      <c r="I17" s="404"/>
      <c r="J17" s="341"/>
      <c r="K17" s="341"/>
      <c r="L17" s="341"/>
      <c r="M17" s="341"/>
      <c r="N17" s="342"/>
      <c r="O17" s="505"/>
      <c r="P17" s="258"/>
    </row>
    <row r="18" spans="1:27">
      <c r="A18" s="250"/>
      <c r="B18" s="250"/>
      <c r="C18" s="258"/>
      <c r="D18" s="350" t="s">
        <v>4</v>
      </c>
      <c r="E18" s="506"/>
      <c r="F18" s="340">
        <v>1</v>
      </c>
      <c r="G18" s="341">
        <v>1</v>
      </c>
      <c r="H18" s="392">
        <v>1</v>
      </c>
      <c r="I18" s="404">
        <v>1</v>
      </c>
      <c r="J18" s="341">
        <v>1</v>
      </c>
      <c r="K18" s="341">
        <v>1</v>
      </c>
      <c r="L18" s="341">
        <v>1</v>
      </c>
      <c r="M18" s="341">
        <v>1</v>
      </c>
      <c r="N18" s="342">
        <v>1</v>
      </c>
      <c r="O18" s="505"/>
      <c r="P18" s="258"/>
    </row>
    <row r="19" spans="1:27">
      <c r="A19" s="250"/>
      <c r="B19" s="250"/>
      <c r="C19" s="258"/>
      <c r="D19" s="350" t="s">
        <v>5</v>
      </c>
      <c r="E19" s="506"/>
      <c r="F19" s="340"/>
      <c r="G19" s="341"/>
      <c r="H19" s="392"/>
      <c r="I19" s="404"/>
      <c r="J19" s="341"/>
      <c r="K19" s="341"/>
      <c r="L19" s="341"/>
      <c r="M19" s="341"/>
      <c r="N19" s="342"/>
      <c r="O19" s="505"/>
      <c r="P19" s="258"/>
    </row>
    <row r="20" spans="1:27">
      <c r="A20" s="250"/>
      <c r="B20" s="250"/>
      <c r="C20" s="258"/>
      <c r="D20" s="350" t="s">
        <v>6</v>
      </c>
      <c r="E20" s="506"/>
      <c r="F20" s="340"/>
      <c r="G20" s="341"/>
      <c r="H20" s="392"/>
      <c r="I20" s="404"/>
      <c r="J20" s="341"/>
      <c r="K20" s="341"/>
      <c r="L20" s="341"/>
      <c r="M20" s="341"/>
      <c r="N20" s="342"/>
      <c r="O20" s="505"/>
      <c r="P20" s="258"/>
    </row>
    <row r="21" spans="1:27">
      <c r="A21" s="250"/>
      <c r="B21" s="250"/>
      <c r="C21" s="258"/>
      <c r="D21" s="350" t="s">
        <v>7</v>
      </c>
      <c r="E21" s="506"/>
      <c r="F21" s="340"/>
      <c r="G21" s="341"/>
      <c r="H21" s="392"/>
      <c r="I21" s="404"/>
      <c r="J21" s="341"/>
      <c r="K21" s="341"/>
      <c r="L21" s="341"/>
      <c r="M21" s="341"/>
      <c r="N21" s="342"/>
      <c r="O21" s="505"/>
      <c r="P21" s="258"/>
      <c r="U21" s="507"/>
      <c r="V21" s="507"/>
      <c r="W21" s="507"/>
      <c r="X21" s="507"/>
      <c r="Y21" s="507"/>
      <c r="Z21" s="507"/>
      <c r="AA21" s="507"/>
    </row>
    <row r="22" spans="1:27">
      <c r="A22" s="250"/>
      <c r="B22" s="250"/>
      <c r="C22" s="258"/>
      <c r="D22" s="350" t="s">
        <v>8</v>
      </c>
      <c r="E22" s="506"/>
      <c r="F22" s="340"/>
      <c r="G22" s="341"/>
      <c r="H22" s="392"/>
      <c r="I22" s="404"/>
      <c r="J22" s="341"/>
      <c r="K22" s="341"/>
      <c r="L22" s="341"/>
      <c r="M22" s="341"/>
      <c r="N22" s="342"/>
      <c r="O22" s="505"/>
      <c r="P22" s="258"/>
    </row>
    <row r="23" spans="1:27">
      <c r="A23" s="250"/>
      <c r="B23" s="250"/>
      <c r="C23" s="258"/>
      <c r="D23" s="350" t="s">
        <v>9</v>
      </c>
      <c r="E23" s="506"/>
      <c r="F23" s="340"/>
      <c r="G23" s="341"/>
      <c r="H23" s="392"/>
      <c r="I23" s="404"/>
      <c r="J23" s="341"/>
      <c r="K23" s="341"/>
      <c r="L23" s="341"/>
      <c r="M23" s="341"/>
      <c r="N23" s="342"/>
      <c r="O23" s="505"/>
      <c r="P23" s="258"/>
    </row>
    <row r="24" spans="1:27">
      <c r="A24" s="250"/>
      <c r="B24" s="250"/>
      <c r="C24" s="258"/>
      <c r="D24" s="350" t="s">
        <v>10</v>
      </c>
      <c r="E24" s="506"/>
      <c r="F24" s="340"/>
      <c r="G24" s="341"/>
      <c r="H24" s="392"/>
      <c r="I24" s="404"/>
      <c r="J24" s="341"/>
      <c r="K24" s="341"/>
      <c r="L24" s="341"/>
      <c r="M24" s="341"/>
      <c r="N24" s="342"/>
      <c r="O24" s="505"/>
      <c r="P24" s="258"/>
    </row>
    <row r="25" spans="1:27">
      <c r="A25" s="250"/>
      <c r="B25" s="250"/>
      <c r="C25" s="258"/>
      <c r="D25" s="350" t="s">
        <v>11</v>
      </c>
      <c r="E25" s="506"/>
      <c r="F25" s="340"/>
      <c r="G25" s="341"/>
      <c r="H25" s="392"/>
      <c r="I25" s="404"/>
      <c r="J25" s="341"/>
      <c r="K25" s="341"/>
      <c r="L25" s="341"/>
      <c r="M25" s="341"/>
      <c r="N25" s="342"/>
      <c r="O25" s="505"/>
      <c r="P25" s="258"/>
      <c r="T25" s="507"/>
    </row>
    <row r="26" spans="1:27">
      <c r="A26" s="250"/>
      <c r="B26" s="250"/>
      <c r="C26" s="258"/>
      <c r="D26" s="350" t="s">
        <v>12</v>
      </c>
      <c r="E26" s="506"/>
      <c r="F26" s="340"/>
      <c r="G26" s="341"/>
      <c r="H26" s="392"/>
      <c r="I26" s="404"/>
      <c r="J26" s="341"/>
      <c r="K26" s="341"/>
      <c r="L26" s="341"/>
      <c r="M26" s="341"/>
      <c r="N26" s="342"/>
      <c r="O26" s="505"/>
      <c r="P26" s="258"/>
      <c r="T26" s="507"/>
    </row>
    <row r="27" spans="1:27">
      <c r="A27" s="250"/>
      <c r="B27" s="250"/>
      <c r="C27" s="259"/>
      <c r="D27" s="464"/>
      <c r="E27" s="508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509"/>
      <c r="P27" s="259"/>
      <c r="T27" s="507"/>
    </row>
    <row r="28" spans="1:27">
      <c r="A28" s="250"/>
      <c r="B28" s="250"/>
      <c r="C28" s="257"/>
      <c r="D28" s="302"/>
      <c r="E28" s="510"/>
      <c r="F28" s="333"/>
      <c r="G28" s="334"/>
      <c r="H28" s="394"/>
      <c r="I28" s="406"/>
      <c r="J28" s="334"/>
      <c r="K28" s="334"/>
      <c r="L28" s="334"/>
      <c r="M28" s="334"/>
      <c r="N28" s="335"/>
      <c r="O28" s="505"/>
      <c r="P28" s="258"/>
      <c r="T28" s="507"/>
    </row>
    <row r="29" spans="1:27">
      <c r="A29" s="250"/>
      <c r="B29" s="250"/>
      <c r="C29" s="258" t="s">
        <v>58</v>
      </c>
      <c r="D29" s="350" t="s">
        <v>0</v>
      </c>
      <c r="E29" s="506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505"/>
      <c r="P29" s="258"/>
      <c r="T29" s="507"/>
    </row>
    <row r="30" spans="1:27">
      <c r="A30" s="250"/>
      <c r="B30" s="250"/>
      <c r="C30" s="258"/>
      <c r="D30" s="350" t="s">
        <v>1</v>
      </c>
      <c r="E30" s="506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505"/>
      <c r="P30" s="258"/>
      <c r="T30" s="507"/>
    </row>
    <row r="31" spans="1:27">
      <c r="A31" s="250"/>
      <c r="B31" s="250"/>
      <c r="C31" s="258"/>
      <c r="D31" s="350" t="s">
        <v>57</v>
      </c>
      <c r="E31" s="506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1"/>
      <c r="P31" s="258"/>
      <c r="T31" s="507"/>
    </row>
    <row r="32" spans="1:27">
      <c r="A32" s="250"/>
      <c r="B32" s="250"/>
      <c r="C32" s="259"/>
      <c r="D32" s="464"/>
      <c r="E32" s="508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5"/>
      <c r="P32" s="259"/>
    </row>
    <row r="33" spans="1:21">
      <c r="A33" s="250"/>
      <c r="B33" s="250"/>
      <c r="C33" s="258" t="s">
        <v>59</v>
      </c>
      <c r="D33" s="271"/>
      <c r="E33" s="313"/>
      <c r="F33" s="511"/>
      <c r="G33" s="250"/>
      <c r="H33" s="250"/>
      <c r="I33" s="512"/>
      <c r="J33" s="290"/>
      <c r="K33" s="290"/>
      <c r="L33" s="290"/>
      <c r="M33" s="290"/>
      <c r="N33" s="346"/>
      <c r="O33" s="511"/>
      <c r="P33" s="258"/>
      <c r="Q33" s="250"/>
      <c r="R33" s="250"/>
      <c r="S33" s="250"/>
      <c r="T33" s="250"/>
      <c r="U33" s="250"/>
    </row>
    <row r="34" spans="1:21">
      <c r="A34" s="250"/>
      <c r="B34" s="250"/>
      <c r="C34" s="258" t="s">
        <v>266</v>
      </c>
      <c r="D34" s="350" t="s">
        <v>3</v>
      </c>
      <c r="E34" s="313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512">
        <f>IF(I$10="Prior",0,(I$11*I$31*I17)*(Assumptions!I54-1))</f>
        <v>0</v>
      </c>
      <c r="J34" s="290">
        <f>IF(J$10="Prior",0,(J$11*J$31*J17)*(Assumptions!J54-1))</f>
        <v>0</v>
      </c>
      <c r="K34" s="290">
        <f>IF(K$10="Prior",0,(K$11*K$31*K17)*(Assumptions!K54-1))</f>
        <v>0</v>
      </c>
      <c r="L34" s="290">
        <f>IF(L$10="Prior",0,(L$11*L$31*L17)*(Assumptions!L54-1))</f>
        <v>0</v>
      </c>
      <c r="M34" s="290">
        <f>IF(M$10="Prior",0,(M$11*M$31*M17)*(Assumptions!M54-1))</f>
        <v>0</v>
      </c>
      <c r="N34" s="346">
        <f>IF(N$10="Prior",0,(N$11*N$31*N17)*(Assumptions!N54-1))</f>
        <v>0</v>
      </c>
      <c r="O34" s="513">
        <f t="shared" ref="O34:O43" si="3">SUM(F34:N34)</f>
        <v>0</v>
      </c>
      <c r="P34" s="514">
        <f t="shared" ref="P34:P43" si="4">SUM(I34:M34)</f>
        <v>0</v>
      </c>
      <c r="Q34" s="250"/>
      <c r="R34" s="250"/>
      <c r="S34" s="250"/>
      <c r="T34" s="250"/>
      <c r="U34" s="250"/>
    </row>
    <row r="35" spans="1:21">
      <c r="A35" s="250"/>
      <c r="B35" s="250"/>
      <c r="C35" s="258"/>
      <c r="D35" s="350" t="s">
        <v>4</v>
      </c>
      <c r="E35" s="313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512">
        <f>IF(I$10="Prior",0,(I$11*I$31*I18)*(Assumptions!I55-1))</f>
        <v>0</v>
      </c>
      <c r="J35" s="290">
        <f>IF(J$10="Prior",0,(J$11*J$31*J18)*(Assumptions!J55-1))</f>
        <v>0</v>
      </c>
      <c r="K35" s="290">
        <f>IF(K$10="Prior",0,(K$11*K$31*K18)*(Assumptions!K55-1))</f>
        <v>0</v>
      </c>
      <c r="L35" s="290">
        <f>IF(L$10="Prior",0,(L$11*L$31*L18)*(Assumptions!L55-1))</f>
        <v>0</v>
      </c>
      <c r="M35" s="290">
        <f>IF(M$10="Prior",0,(M$11*M$31*M18)*(Assumptions!M55-1))</f>
        <v>0</v>
      </c>
      <c r="N35" s="346">
        <f>IF(N$10="Prior",0,(N$11*N$31*N18)*(Assumptions!N55-1))</f>
        <v>0</v>
      </c>
      <c r="O35" s="513">
        <f t="shared" si="3"/>
        <v>0</v>
      </c>
      <c r="P35" s="514">
        <f t="shared" si="4"/>
        <v>0</v>
      </c>
      <c r="Q35" s="515"/>
      <c r="R35" s="515"/>
      <c r="S35" s="515"/>
      <c r="T35" s="515"/>
    </row>
    <row r="36" spans="1:21">
      <c r="A36" s="250"/>
      <c r="B36" s="250"/>
      <c r="C36" s="258"/>
      <c r="D36" s="350" t="s">
        <v>5</v>
      </c>
      <c r="E36" s="313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512">
        <f>IF(I$10="Prior",0,(I$11*I$31*I19)*(Assumptions!I56-1))</f>
        <v>0</v>
      </c>
      <c r="J36" s="290">
        <f>IF(J$10="Prior",0,(J$11*J$31*J19)*(Assumptions!J56-1))</f>
        <v>0</v>
      </c>
      <c r="K36" s="290">
        <f>IF(K$10="Prior",0,(K$11*K$31*K19)*(Assumptions!K56-1))</f>
        <v>0</v>
      </c>
      <c r="L36" s="290">
        <f>IF(L$10="Prior",0,(L$11*L$31*L19)*(Assumptions!L56-1))</f>
        <v>0</v>
      </c>
      <c r="M36" s="290">
        <f>IF(M$10="Prior",0,(M$11*M$31*M19)*(Assumptions!M56-1))</f>
        <v>0</v>
      </c>
      <c r="N36" s="346">
        <f>IF(N$10="Prior",0,(N$11*N$31*N19)*(Assumptions!N56-1))</f>
        <v>0</v>
      </c>
      <c r="O36" s="513">
        <f t="shared" si="3"/>
        <v>0</v>
      </c>
      <c r="P36" s="514">
        <f t="shared" si="4"/>
        <v>0</v>
      </c>
    </row>
    <row r="37" spans="1:21">
      <c r="A37" s="250"/>
      <c r="B37" s="250"/>
      <c r="C37" s="258"/>
      <c r="D37" s="350" t="s">
        <v>6</v>
      </c>
      <c r="E37" s="313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512">
        <f>IF(I$10="Prior",0,(I$11*I$31*I20)*(Assumptions!I57-1))</f>
        <v>0</v>
      </c>
      <c r="J37" s="290">
        <f>IF(J$10="Prior",0,(J$11*J$31*J20)*(Assumptions!J57-1))</f>
        <v>0</v>
      </c>
      <c r="K37" s="290">
        <f>IF(K$10="Prior",0,(K$11*K$31*K20)*(Assumptions!K57-1))</f>
        <v>0</v>
      </c>
      <c r="L37" s="290">
        <f>IF(L$10="Prior",0,(L$11*L$31*L20)*(Assumptions!L57-1))</f>
        <v>0</v>
      </c>
      <c r="M37" s="290">
        <f>IF(M$10="Prior",0,(M$11*M$31*M20)*(Assumptions!M57-1))</f>
        <v>0</v>
      </c>
      <c r="N37" s="346">
        <f>IF(N$10="Prior",0,(N$11*N$31*N20)*(Assumptions!N57-1))</f>
        <v>0</v>
      </c>
      <c r="O37" s="513">
        <f t="shared" si="3"/>
        <v>0</v>
      </c>
      <c r="P37" s="514">
        <f t="shared" si="4"/>
        <v>0</v>
      </c>
    </row>
    <row r="38" spans="1:21">
      <c r="A38" s="250"/>
      <c r="B38" s="250"/>
      <c r="C38" s="258"/>
      <c r="D38" s="350" t="s">
        <v>7</v>
      </c>
      <c r="E38" s="313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512">
        <f>IF(I$10="Prior",0,(I$11*I$31*I21)*(Assumptions!I58-1))</f>
        <v>0</v>
      </c>
      <c r="J38" s="290">
        <f>IF(J$10="Prior",0,(J$11*J$31*J21)*(Assumptions!J58-1))</f>
        <v>0</v>
      </c>
      <c r="K38" s="290">
        <f>IF(K$10="Prior",0,(K$11*K$31*K21)*(Assumptions!K58-1))</f>
        <v>0</v>
      </c>
      <c r="L38" s="290">
        <f>IF(L$10="Prior",0,(L$11*L$31*L21)*(Assumptions!L58-1))</f>
        <v>0</v>
      </c>
      <c r="M38" s="290">
        <f>IF(M$10="Prior",0,(M$11*M$31*M21)*(Assumptions!M58-1))</f>
        <v>0</v>
      </c>
      <c r="N38" s="346">
        <f>IF(N$10="Prior",0,(N$11*N$31*N21)*(Assumptions!N58-1))</f>
        <v>0</v>
      </c>
      <c r="O38" s="513">
        <f t="shared" si="3"/>
        <v>0</v>
      </c>
      <c r="P38" s="514">
        <f t="shared" si="4"/>
        <v>0</v>
      </c>
      <c r="Q38" s="516"/>
      <c r="R38" s="516"/>
      <c r="S38" s="516"/>
      <c r="T38" s="516"/>
    </row>
    <row r="39" spans="1:21">
      <c r="A39" s="250"/>
      <c r="B39" s="250"/>
      <c r="C39" s="258"/>
      <c r="D39" s="350" t="s">
        <v>8</v>
      </c>
      <c r="E39" s="313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512">
        <f>IF(I$10="Prior",0,(I$11*I$31*I22)*(Assumptions!I59-1))</f>
        <v>0</v>
      </c>
      <c r="J39" s="290">
        <f>IF(J$10="Prior",0,(J$11*J$31*J22)*(Assumptions!J59-1))</f>
        <v>0</v>
      </c>
      <c r="K39" s="290">
        <f>IF(K$10="Prior",0,(K$11*K$31*K22)*(Assumptions!K59-1))</f>
        <v>0</v>
      </c>
      <c r="L39" s="290">
        <f>IF(L$10="Prior",0,(L$11*L$31*L22)*(Assumptions!L59-1))</f>
        <v>0</v>
      </c>
      <c r="M39" s="290">
        <f>IF(M$10="Prior",0,(M$11*M$31*M22)*(Assumptions!M59-1))</f>
        <v>0</v>
      </c>
      <c r="N39" s="346">
        <f>IF(N$10="Prior",0,(N$11*N$31*N22)*(Assumptions!N59-1))</f>
        <v>0</v>
      </c>
      <c r="O39" s="513">
        <f t="shared" si="3"/>
        <v>0</v>
      </c>
      <c r="P39" s="514">
        <f t="shared" si="4"/>
        <v>0</v>
      </c>
    </row>
    <row r="40" spans="1:21">
      <c r="A40" s="250"/>
      <c r="B40" s="250"/>
      <c r="C40" s="258"/>
      <c r="D40" s="350" t="s">
        <v>9</v>
      </c>
      <c r="E40" s="313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512">
        <f>IF(I$10="Prior",0,(I$11*I$31*I23)*(Assumptions!I60-1))</f>
        <v>0</v>
      </c>
      <c r="J40" s="290">
        <f>IF(J$10="Prior",0,(J$11*J$31*J23)*(Assumptions!J60-1))</f>
        <v>0</v>
      </c>
      <c r="K40" s="290">
        <f>IF(K$10="Prior",0,(K$11*K$31*K23)*(Assumptions!K60-1))</f>
        <v>0</v>
      </c>
      <c r="L40" s="290">
        <f>IF(L$10="Prior",0,(L$11*L$31*L23)*(Assumptions!L60-1))</f>
        <v>0</v>
      </c>
      <c r="M40" s="290">
        <f>IF(M$10="Prior",0,(M$11*M$31*M23)*(Assumptions!M60-1))</f>
        <v>0</v>
      </c>
      <c r="N40" s="346">
        <f>IF(N$10="Prior",0,(N$11*N$31*N23)*(Assumptions!N60-1))</f>
        <v>0</v>
      </c>
      <c r="O40" s="513">
        <f t="shared" si="3"/>
        <v>0</v>
      </c>
      <c r="P40" s="514">
        <f t="shared" si="4"/>
        <v>0</v>
      </c>
    </row>
    <row r="41" spans="1:21">
      <c r="A41" s="250"/>
      <c r="B41" s="250"/>
      <c r="C41" s="258"/>
      <c r="D41" s="350" t="s">
        <v>10</v>
      </c>
      <c r="E41" s="313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512">
        <f>IF(I$10="Prior",0,(I$11*I$31*I24)*(Assumptions!I61-1))</f>
        <v>0</v>
      </c>
      <c r="J41" s="290">
        <f>IF(J$10="Prior",0,(J$11*J$31*J24)*(Assumptions!J61-1))</f>
        <v>0</v>
      </c>
      <c r="K41" s="290">
        <f>IF(K$10="Prior",0,(K$11*K$31*K24)*(Assumptions!K61-1))</f>
        <v>0</v>
      </c>
      <c r="L41" s="290">
        <f>IF(L$10="Prior",0,(L$11*L$31*L24)*(Assumptions!L61-1))</f>
        <v>0</v>
      </c>
      <c r="M41" s="290">
        <f>IF(M$10="Prior",0,(M$11*M$31*M24)*(Assumptions!M61-1))</f>
        <v>0</v>
      </c>
      <c r="N41" s="346">
        <f>IF(N$10="Prior",0,(N$11*N$31*N24)*(Assumptions!N61-1))</f>
        <v>0</v>
      </c>
      <c r="O41" s="513">
        <f t="shared" si="3"/>
        <v>0</v>
      </c>
      <c r="P41" s="514">
        <f t="shared" si="4"/>
        <v>0</v>
      </c>
      <c r="Q41" s="516"/>
      <c r="R41" s="516"/>
      <c r="S41" s="516"/>
      <c r="T41" s="516"/>
    </row>
    <row r="42" spans="1:21">
      <c r="A42" s="250"/>
      <c r="B42" s="250"/>
      <c r="C42" s="258"/>
      <c r="D42" s="350" t="s">
        <v>11</v>
      </c>
      <c r="E42" s="313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512">
        <f>IF(I$10="Prior",0,(I$11*I$31*I25)*(Assumptions!I62-1))</f>
        <v>0</v>
      </c>
      <c r="J42" s="290">
        <f>IF(J$10="Prior",0,(J$11*J$31*J25)*(Assumptions!J62-1))</f>
        <v>0</v>
      </c>
      <c r="K42" s="290">
        <f>IF(K$10="Prior",0,(K$11*K$31*K25)*(Assumptions!K62-1))</f>
        <v>0</v>
      </c>
      <c r="L42" s="290">
        <f>IF(L$10="Prior",0,(L$11*L$31*L25)*(Assumptions!L62-1))</f>
        <v>0</v>
      </c>
      <c r="M42" s="290">
        <f>IF(M$10="Prior",0,(M$11*M$31*M25)*(Assumptions!M62-1))</f>
        <v>0</v>
      </c>
      <c r="N42" s="346">
        <f>IF(N$10="Prior",0,(N$11*N$31*N25)*(Assumptions!N62-1))</f>
        <v>0</v>
      </c>
      <c r="O42" s="513">
        <f t="shared" si="3"/>
        <v>0</v>
      </c>
      <c r="P42" s="514">
        <f t="shared" si="4"/>
        <v>0</v>
      </c>
    </row>
    <row r="43" spans="1:21">
      <c r="A43" s="250"/>
      <c r="B43" s="250"/>
      <c r="C43" s="258"/>
      <c r="D43" s="350" t="s">
        <v>12</v>
      </c>
      <c r="E43" s="313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512">
        <f>IF(I$10="Prior",0,(I$11*I$31*I26)*(Assumptions!I63-1))</f>
        <v>0</v>
      </c>
      <c r="J43" s="290">
        <f>IF(J$10="Prior",0,(J$11*J$31*J26)*(Assumptions!J63-1))</f>
        <v>0</v>
      </c>
      <c r="K43" s="290">
        <f>IF(K$10="Prior",0,(K$11*K$31*K26)*(Assumptions!K63-1))</f>
        <v>0</v>
      </c>
      <c r="L43" s="290">
        <f>IF(L$10="Prior",0,(L$11*L$31*L26)*(Assumptions!L63-1))</f>
        <v>0</v>
      </c>
      <c r="M43" s="290">
        <f>IF(M$10="Prior",0,(M$11*M$31*M26)*(Assumptions!M63-1))</f>
        <v>0</v>
      </c>
      <c r="N43" s="346">
        <f>IF(N$10="Prior",0,(N$11*N$31*N26)*(Assumptions!N63-1))</f>
        <v>0</v>
      </c>
      <c r="O43" s="513">
        <f t="shared" si="3"/>
        <v>0</v>
      </c>
      <c r="P43" s="514">
        <f t="shared" si="4"/>
        <v>0</v>
      </c>
    </row>
    <row r="44" spans="1:21">
      <c r="A44" s="250"/>
      <c r="B44" s="250"/>
      <c r="C44" s="258"/>
      <c r="D44" s="465" t="s">
        <v>61</v>
      </c>
      <c r="E44" s="517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518">
        <f t="shared" si="5"/>
        <v>0</v>
      </c>
      <c r="J44" s="253">
        <f t="shared" si="5"/>
        <v>0</v>
      </c>
      <c r="K44" s="253">
        <f t="shared" si="5"/>
        <v>0</v>
      </c>
      <c r="L44" s="253">
        <f t="shared" si="5"/>
        <v>0</v>
      </c>
      <c r="M44" s="253">
        <f t="shared" si="5"/>
        <v>0</v>
      </c>
      <c r="N44" s="519">
        <f t="shared" si="5"/>
        <v>0</v>
      </c>
      <c r="O44" s="520">
        <f>SUM(O34:O43)</f>
        <v>0</v>
      </c>
      <c r="P44" s="521">
        <f>SUM(P34:P43)</f>
        <v>0</v>
      </c>
      <c r="Q44" s="516"/>
      <c r="R44" s="516"/>
      <c r="S44" s="516"/>
      <c r="T44" s="516"/>
    </row>
    <row r="45" spans="1:21">
      <c r="A45" s="250"/>
      <c r="B45" s="250"/>
      <c r="C45" s="258"/>
      <c r="D45" s="284"/>
      <c r="E45" s="250"/>
      <c r="F45" s="293"/>
      <c r="G45" s="287"/>
      <c r="H45" s="287"/>
      <c r="I45" s="522"/>
      <c r="J45" s="523"/>
      <c r="K45" s="523"/>
      <c r="L45" s="523"/>
      <c r="M45" s="523"/>
      <c r="N45" s="524"/>
      <c r="O45" s="511"/>
      <c r="P45" s="258"/>
    </row>
    <row r="46" spans="1:21">
      <c r="A46" s="250"/>
      <c r="B46" s="250"/>
      <c r="C46" s="258" t="s">
        <v>165</v>
      </c>
      <c r="D46" s="352" t="s">
        <v>270</v>
      </c>
      <c r="E46" s="250"/>
      <c r="F46" s="291">
        <f>IF(F$10="Prior",0,(F11*F29)*(Assumptions!F28-1))</f>
        <v>0</v>
      </c>
      <c r="G46" s="290">
        <f>IF(G$10="Prior",0,(G11*G29)*(Assumptions!G28-1))</f>
        <v>0.38166937500000486</v>
      </c>
      <c r="H46" s="290">
        <f>IF(H$10="Prior",0,(H11*H29)*(Assumptions!H28-1))</f>
        <v>0</v>
      </c>
      <c r="I46" s="512">
        <f>IF(I$10="Prior",0,(I11*I29)*(Assumptions!I28-1))</f>
        <v>0</v>
      </c>
      <c r="J46" s="290">
        <f>IF(J$10="Prior",0,(J11*J29)*(Assumptions!J28-1))</f>
        <v>0</v>
      </c>
      <c r="K46" s="290">
        <f>IF(K$10="Prior",0,(K11*K29)*(Assumptions!K28-1))</f>
        <v>0</v>
      </c>
      <c r="L46" s="290">
        <f>IF(L$10="Prior",0,(L11*L29)*(Assumptions!L28-1))</f>
        <v>0</v>
      </c>
      <c r="M46" s="290">
        <f>IF(M$10="Prior",0,(M11*M29)*(Assumptions!M28-1))</f>
        <v>0</v>
      </c>
      <c r="N46" s="346">
        <f>IF(N$10="Prior",0,(N11*N29)*(Assumptions!N28-1))</f>
        <v>0</v>
      </c>
      <c r="O46" s="294">
        <f t="shared" ref="O46:O47" si="6">SUM(F46:N46)</f>
        <v>0.38166937500000486</v>
      </c>
      <c r="P46" s="497">
        <f t="shared" ref="P46:P47" si="7">SUM(I46:M46)</f>
        <v>0</v>
      </c>
    </row>
    <row r="47" spans="1:21">
      <c r="A47" s="250"/>
      <c r="B47" s="250"/>
      <c r="C47" s="258"/>
      <c r="D47" s="352" t="s">
        <v>271</v>
      </c>
      <c r="E47" s="250"/>
      <c r="F47" s="294">
        <f>IF(F$10="Prior",0,(F11*F30)*(Assumptions!F30-1))</f>
        <v>0</v>
      </c>
      <c r="G47" s="290">
        <f>IF(G$10="Prior",0,(G11*G30)*(Assumptions!G30-1))</f>
        <v>1.3317824999999974</v>
      </c>
      <c r="H47" s="290">
        <f>IF(H$10="Prior",0,(H11*H30)*(Assumptions!H30-1))</f>
        <v>0</v>
      </c>
      <c r="I47" s="512">
        <f>IF(I$10="Prior",0,(I11*I30)*(Assumptions!I30-1))</f>
        <v>0</v>
      </c>
      <c r="J47" s="290">
        <f>IF(J$10="Prior",0,(J11*J30)*(Assumptions!J30-1))</f>
        <v>0</v>
      </c>
      <c r="K47" s="290">
        <f>IF(K$10="Prior",0,(K11*K30)*(Assumptions!K30-1))</f>
        <v>0</v>
      </c>
      <c r="L47" s="290">
        <f>IF(L$10="Prior",0,(L11*L30)*(Assumptions!L30-1))</f>
        <v>0</v>
      </c>
      <c r="M47" s="290">
        <f>IF(M$10="Prior",0,(M11*M30)*(Assumptions!M30-1))</f>
        <v>0</v>
      </c>
      <c r="N47" s="346">
        <f>IF(N$10="Prior",0,(N11*N30)*(Assumptions!N30-1))</f>
        <v>0</v>
      </c>
      <c r="O47" s="294">
        <f t="shared" si="6"/>
        <v>1.3317824999999974</v>
      </c>
      <c r="P47" s="497">
        <f t="shared" si="7"/>
        <v>0</v>
      </c>
    </row>
    <row r="48" spans="1:21">
      <c r="A48" s="250"/>
      <c r="B48" s="250"/>
      <c r="C48" s="258"/>
      <c r="D48" s="465" t="s">
        <v>273</v>
      </c>
      <c r="E48" s="525"/>
      <c r="F48" s="292">
        <f>SUM(F46:F47)</f>
        <v>0</v>
      </c>
      <c r="G48" s="253">
        <f t="shared" ref="G48:N48" si="8">SUM(G46:G47)</f>
        <v>1.7134518750000023</v>
      </c>
      <c r="H48" s="253">
        <f t="shared" si="8"/>
        <v>0</v>
      </c>
      <c r="I48" s="518">
        <f t="shared" si="8"/>
        <v>0</v>
      </c>
      <c r="J48" s="253">
        <f t="shared" si="8"/>
        <v>0</v>
      </c>
      <c r="K48" s="253">
        <f t="shared" si="8"/>
        <v>0</v>
      </c>
      <c r="L48" s="253">
        <f t="shared" si="8"/>
        <v>0</v>
      </c>
      <c r="M48" s="253">
        <f t="shared" si="8"/>
        <v>0</v>
      </c>
      <c r="N48" s="519">
        <f t="shared" si="8"/>
        <v>0</v>
      </c>
      <c r="O48" s="520">
        <f>SUM(O46:O47)</f>
        <v>1.7134518750000023</v>
      </c>
      <c r="P48" s="526">
        <f>SUM(P46:P47)</f>
        <v>0</v>
      </c>
    </row>
    <row r="49" spans="1:18">
      <c r="A49" s="250"/>
      <c r="B49" s="250"/>
      <c r="C49" s="439"/>
      <c r="D49" s="465" t="s">
        <v>60</v>
      </c>
      <c r="E49" s="525"/>
      <c r="F49" s="292">
        <f t="shared" ref="F49:N49" si="9">F44+F48</f>
        <v>0</v>
      </c>
      <c r="G49" s="253">
        <f t="shared" si="9"/>
        <v>1.7134518750000023</v>
      </c>
      <c r="H49" s="253">
        <f t="shared" si="9"/>
        <v>0</v>
      </c>
      <c r="I49" s="518">
        <f t="shared" si="9"/>
        <v>0</v>
      </c>
      <c r="J49" s="253">
        <f t="shared" si="9"/>
        <v>0</v>
      </c>
      <c r="K49" s="253">
        <f t="shared" si="9"/>
        <v>0</v>
      </c>
      <c r="L49" s="253">
        <f t="shared" si="9"/>
        <v>0</v>
      </c>
      <c r="M49" s="253">
        <f t="shared" si="9"/>
        <v>0</v>
      </c>
      <c r="N49" s="519">
        <f t="shared" si="9"/>
        <v>0</v>
      </c>
      <c r="O49" s="520">
        <f>O44+O48</f>
        <v>1.7134518750000023</v>
      </c>
      <c r="P49" s="521">
        <f>P44+P48</f>
        <v>0</v>
      </c>
    </row>
    <row r="50" spans="1:18">
      <c r="A50" s="250"/>
      <c r="B50" s="250"/>
      <c r="C50" s="260"/>
      <c r="D50" s="386" t="s">
        <v>283</v>
      </c>
      <c r="E50" s="527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0</v>
      </c>
      <c r="I50" s="528">
        <f t="shared" si="10"/>
        <v>0</v>
      </c>
      <c r="J50" s="441">
        <f t="shared" si="10"/>
        <v>0</v>
      </c>
      <c r="K50" s="441">
        <f t="shared" si="10"/>
        <v>0</v>
      </c>
      <c r="L50" s="441">
        <f t="shared" si="10"/>
        <v>0</v>
      </c>
      <c r="M50" s="441">
        <f t="shared" si="10"/>
        <v>0</v>
      </c>
      <c r="N50" s="529">
        <f t="shared" si="10"/>
        <v>0</v>
      </c>
      <c r="O50" s="529">
        <f t="shared" si="10"/>
        <v>1.2360771686068534E-4</v>
      </c>
      <c r="P50" s="529">
        <f t="shared" si="10"/>
        <v>0</v>
      </c>
    </row>
    <row r="51" spans="1:18">
      <c r="A51" s="250"/>
      <c r="B51" s="250"/>
      <c r="C51" s="310" t="s">
        <v>277</v>
      </c>
      <c r="D51" s="353" t="s">
        <v>17</v>
      </c>
      <c r="E51" s="530"/>
      <c r="F51" s="343">
        <f>(F29*F$11+F46)*Assumptions!$G$21</f>
        <v>1343.5881216998923</v>
      </c>
      <c r="G51" s="344">
        <f>(G29*G$11+G46)*Assumptions!$G$21</f>
        <v>66.452158142622196</v>
      </c>
      <c r="H51" s="344">
        <f>(H29*H$11+H46)*Assumptions!$G$21</f>
        <v>0</v>
      </c>
      <c r="I51" s="531">
        <f>(I29*I$11+I46)*Assumptions!$G$21</f>
        <v>0</v>
      </c>
      <c r="J51" s="344">
        <f>(J29*J$11+J46)*Assumptions!$G$21</f>
        <v>0</v>
      </c>
      <c r="K51" s="344">
        <f>(K29*K$11+K46)*Assumptions!$G$21</f>
        <v>0</v>
      </c>
      <c r="L51" s="344">
        <f>(L29*L$11+L46)*Assumptions!$G$21</f>
        <v>0</v>
      </c>
      <c r="M51" s="344">
        <f>(M29*M$11+M46)*Assumptions!$G$21</f>
        <v>0</v>
      </c>
      <c r="N51" s="345">
        <f>(N29*N$11+N46)*Assumptions!$G$21</f>
        <v>0</v>
      </c>
      <c r="O51" s="532">
        <f t="shared" ref="O51:O53" si="11">SUM(F51:N51)</f>
        <v>1410.0402798425146</v>
      </c>
      <c r="P51" s="533">
        <f>SUM(I51:M51)</f>
        <v>0</v>
      </c>
    </row>
    <row r="52" spans="1:18">
      <c r="A52" s="250"/>
      <c r="B52" s="250"/>
      <c r="C52" s="258" t="s">
        <v>25</v>
      </c>
      <c r="D52" s="350" t="s">
        <v>19</v>
      </c>
      <c r="E52" s="313"/>
      <c r="F52" s="294">
        <f>(F30*F$11+F47)*Assumptions!$G$21</f>
        <v>6717.9406084994616</v>
      </c>
      <c r="G52" s="290">
        <f>(G30*G$11+G47)*Assumptions!$G$21</f>
        <v>331.67447242951124</v>
      </c>
      <c r="H52" s="290">
        <f>(H30*H$11+H47)*Assumptions!$G$21</f>
        <v>0</v>
      </c>
      <c r="I52" s="512">
        <f>(I30*I$11+I47)*Assumptions!$G$21</f>
        <v>0</v>
      </c>
      <c r="J52" s="290">
        <f>(J30*J$11+J47)*Assumptions!$G$21</f>
        <v>0</v>
      </c>
      <c r="K52" s="290">
        <f>(K30*K$11+K47)*Assumptions!$G$21</f>
        <v>0</v>
      </c>
      <c r="L52" s="290">
        <f>(L30*L$11+L47)*Assumptions!$G$21</f>
        <v>0</v>
      </c>
      <c r="M52" s="290">
        <f>(M30*M$11+M47)*Assumptions!$G$21</f>
        <v>0</v>
      </c>
      <c r="N52" s="346">
        <f>(N30*N$11+N47)*Assumptions!$G$21</f>
        <v>0</v>
      </c>
      <c r="O52" s="534">
        <f t="shared" si="11"/>
        <v>7049.6150809289729</v>
      </c>
      <c r="P52" s="535">
        <f>SUM(I52:M52)</f>
        <v>0</v>
      </c>
    </row>
    <row r="53" spans="1:18">
      <c r="A53" s="250"/>
      <c r="B53" s="250"/>
      <c r="C53" s="258"/>
      <c r="D53" s="350" t="s">
        <v>18</v>
      </c>
      <c r="E53" s="313"/>
      <c r="F53" s="294">
        <f>(F31*F$11+F$44)*Assumptions!$G$21</f>
        <v>5374.3524867995693</v>
      </c>
      <c r="G53" s="290">
        <f>(G31*G$11+G$44)*Assumptions!$G$21</f>
        <v>264.25612781954891</v>
      </c>
      <c r="H53" s="290">
        <f>(H31*H$11+H$44)*Assumptions!$G$21</f>
        <v>0</v>
      </c>
      <c r="I53" s="512">
        <f>(I31*I$11+I$44)*Assumptions!$G$21</f>
        <v>0</v>
      </c>
      <c r="J53" s="290">
        <f>(J31*J$11+J$44)*Assumptions!$G$21</f>
        <v>0</v>
      </c>
      <c r="K53" s="290">
        <f>(K31*K$11+K$44)*Assumptions!$G$21</f>
        <v>0</v>
      </c>
      <c r="L53" s="290">
        <f>(L31*L$11+L$44)*Assumptions!$G$21</f>
        <v>0</v>
      </c>
      <c r="M53" s="290">
        <f>(M31*M$11+M$44)*Assumptions!$G$21</f>
        <v>0</v>
      </c>
      <c r="N53" s="346">
        <f>(N31*N$11+N$44)*Assumptions!$G$21</f>
        <v>0</v>
      </c>
      <c r="O53" s="534">
        <f t="shared" si="11"/>
        <v>5638.6086146191183</v>
      </c>
      <c r="P53" s="535">
        <f>SUM(I53:M53)</f>
        <v>0</v>
      </c>
    </row>
    <row r="54" spans="1:18">
      <c r="A54" s="250"/>
      <c r="B54" s="250"/>
      <c r="C54" s="536"/>
      <c r="D54" s="537" t="str">
        <f>"Total Direct - As Incurred "&amp;Assumptions!$C$8</f>
        <v>Total Direct - As Incurred $ Mar 2017</v>
      </c>
      <c r="E54" s="517"/>
      <c r="F54" s="292">
        <f t="shared" ref="F54:P54" si="12">+SUM(F51:F53)</f>
        <v>13435.881216998923</v>
      </c>
      <c r="G54" s="253">
        <f t="shared" si="12"/>
        <v>662.38275839168227</v>
      </c>
      <c r="H54" s="253">
        <f t="shared" si="12"/>
        <v>0</v>
      </c>
      <c r="I54" s="411">
        <f t="shared" si="12"/>
        <v>0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14098.263975390604</v>
      </c>
      <c r="P54" s="428">
        <f t="shared" si="12"/>
        <v>0</v>
      </c>
      <c r="R54" s="616" t="str">
        <f>IF(ROUND(O11*(1+O50)*Assumptions!$G$21,0)-ROUND(O54,0)&lt;&gt;0,"Error","ok")</f>
        <v>ok</v>
      </c>
    </row>
    <row r="55" spans="1:18">
      <c r="A55" s="250"/>
      <c r="B55" s="250"/>
      <c r="C55" s="257"/>
      <c r="D55" s="302"/>
      <c r="E55" s="510"/>
      <c r="F55" s="296"/>
      <c r="G55" s="297"/>
      <c r="H55" s="395"/>
      <c r="I55" s="412"/>
      <c r="J55" s="303"/>
      <c r="K55" s="303"/>
      <c r="L55" s="303"/>
      <c r="M55" s="303"/>
      <c r="N55" s="304"/>
      <c r="O55" s="511"/>
      <c r="P55" s="258"/>
    </row>
    <row r="56" spans="1:18">
      <c r="A56" s="250"/>
      <c r="B56" s="250"/>
      <c r="C56" s="258" t="s">
        <v>274</v>
      </c>
      <c r="D56" s="350" t="s">
        <v>272</v>
      </c>
      <c r="E56" s="506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511"/>
      <c r="P56" s="538"/>
    </row>
    <row r="57" spans="1:18">
      <c r="A57" s="250"/>
      <c r="B57" s="250"/>
      <c r="C57" s="258"/>
      <c r="D57" s="350" t="s">
        <v>267</v>
      </c>
      <c r="E57" s="506"/>
      <c r="F57" s="294">
        <f>F54*F56</f>
        <v>1075.9684622162072</v>
      </c>
      <c r="G57" s="290">
        <f t="shared" ref="G57:N57" si="13">G54*G56</f>
        <v>39.375200799537829</v>
      </c>
      <c r="H57" s="290">
        <f t="shared" si="13"/>
        <v>0</v>
      </c>
      <c r="I57" s="512">
        <f t="shared" si="13"/>
        <v>0</v>
      </c>
      <c r="J57" s="290">
        <f t="shared" si="13"/>
        <v>0</v>
      </c>
      <c r="K57" s="290">
        <f t="shared" si="13"/>
        <v>0</v>
      </c>
      <c r="L57" s="290">
        <f t="shared" si="13"/>
        <v>0</v>
      </c>
      <c r="M57" s="290">
        <f t="shared" si="13"/>
        <v>0</v>
      </c>
      <c r="N57" s="346">
        <f t="shared" si="13"/>
        <v>0</v>
      </c>
      <c r="O57" s="294">
        <f>SUM(F57:N57)</f>
        <v>1115.3436630157451</v>
      </c>
      <c r="P57" s="497">
        <f>SUM(I57:M57)</f>
        <v>0</v>
      </c>
    </row>
    <row r="58" spans="1:18">
      <c r="A58" s="250"/>
      <c r="B58" s="250"/>
      <c r="C58" s="259"/>
      <c r="D58" s="305"/>
      <c r="E58" s="312"/>
      <c r="F58" s="511"/>
      <c r="G58" s="250"/>
      <c r="H58" s="250"/>
      <c r="I58" s="539"/>
      <c r="J58" s="250"/>
      <c r="K58" s="250"/>
      <c r="L58" s="250"/>
      <c r="M58" s="250"/>
      <c r="N58" s="454"/>
      <c r="O58" s="511"/>
      <c r="P58" s="258"/>
    </row>
    <row r="59" spans="1:18">
      <c r="A59" s="250"/>
      <c r="B59" s="250"/>
      <c r="C59" s="536"/>
      <c r="D59" s="537" t="str">
        <f>"Total incl Overhead - As Incurred "&amp;Assumptions!$C$8</f>
        <v>Total incl Overhead - As Incurred $ Mar 2017</v>
      </c>
      <c r="E59" s="517"/>
      <c r="F59" s="292">
        <f t="shared" ref="F59:M59" si="14">F54+F57</f>
        <v>14511.849679215131</v>
      </c>
      <c r="G59" s="253">
        <f t="shared" si="14"/>
        <v>701.75795919122015</v>
      </c>
      <c r="H59" s="253">
        <f t="shared" si="14"/>
        <v>0</v>
      </c>
      <c r="I59" s="411">
        <f t="shared" si="14"/>
        <v>0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15213.607638406349</v>
      </c>
      <c r="P59" s="429">
        <f t="shared" si="15"/>
        <v>0</v>
      </c>
    </row>
    <row r="60" spans="1:18" hidden="1" outlineLevel="1">
      <c r="A60" s="250"/>
      <c r="B60" s="250"/>
      <c r="C60" s="250"/>
      <c r="D60" s="313" t="s">
        <v>263</v>
      </c>
      <c r="E60" s="313"/>
      <c r="F60" s="290">
        <f>F57</f>
        <v>1075.9684622162072</v>
      </c>
      <c r="G60" s="290">
        <f t="shared" ref="G60:N60" si="16">G57+F60</f>
        <v>1115.3436630157451</v>
      </c>
      <c r="H60" s="290">
        <f t="shared" si="16"/>
        <v>1115.3436630157451</v>
      </c>
      <c r="I60" s="290">
        <f t="shared" si="16"/>
        <v>1115.3436630157451</v>
      </c>
      <c r="J60" s="290">
        <f t="shared" si="16"/>
        <v>1115.3436630157451</v>
      </c>
      <c r="K60" s="290">
        <f t="shared" si="16"/>
        <v>1115.3436630157451</v>
      </c>
      <c r="L60" s="290">
        <f t="shared" si="16"/>
        <v>1115.3436630157451</v>
      </c>
      <c r="M60" s="290">
        <f t="shared" si="16"/>
        <v>1115.3436630157451</v>
      </c>
      <c r="N60" s="290">
        <f t="shared" si="16"/>
        <v>1115.3436630157451</v>
      </c>
    </row>
    <row r="61" spans="1:18" hidden="1" outlineLevel="1" collapsed="1">
      <c r="A61" s="250"/>
      <c r="B61" s="250"/>
      <c r="D61" s="251" t="s">
        <v>288</v>
      </c>
      <c r="E61" s="251"/>
      <c r="F61" s="252">
        <f>F49</f>
        <v>0</v>
      </c>
      <c r="G61" s="252">
        <f>G49+F61</f>
        <v>1.7134518750000023</v>
      </c>
      <c r="H61" s="252">
        <f t="shared" ref="H61:N61" si="17">H49+G61</f>
        <v>1.7134518750000023</v>
      </c>
      <c r="I61" s="252">
        <f t="shared" si="17"/>
        <v>1.7134518750000023</v>
      </c>
      <c r="J61" s="252">
        <f t="shared" si="17"/>
        <v>1.7134518750000023</v>
      </c>
      <c r="K61" s="252">
        <f t="shared" si="17"/>
        <v>1.7134518750000023</v>
      </c>
      <c r="L61" s="252">
        <f t="shared" si="17"/>
        <v>1.7134518750000023</v>
      </c>
      <c r="M61" s="252">
        <f t="shared" si="17"/>
        <v>1.7134518750000023</v>
      </c>
      <c r="N61" s="252">
        <f t="shared" si="17"/>
        <v>1.7134518750000023</v>
      </c>
    </row>
    <row r="62" spans="1:18" collapsed="1">
      <c r="A62" s="250"/>
      <c r="B62" s="250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  <c r="P62" s="248"/>
    </row>
    <row r="63" spans="1:18">
      <c r="A63" s="250"/>
      <c r="B63" s="250"/>
      <c r="C63" s="540" t="s">
        <v>275</v>
      </c>
      <c r="D63" s="541"/>
      <c r="E63" s="541"/>
      <c r="F63" s="542"/>
      <c r="G63" s="542"/>
      <c r="H63" s="542"/>
      <c r="I63" s="542"/>
      <c r="J63" s="542"/>
      <c r="K63" s="542"/>
      <c r="L63" s="542"/>
      <c r="M63" s="542"/>
      <c r="N63" s="542"/>
      <c r="O63" s="543"/>
      <c r="P63" s="544"/>
    </row>
    <row r="64" spans="1:18">
      <c r="A64" s="250"/>
      <c r="B64" s="250"/>
      <c r="C64" s="257" t="s">
        <v>23</v>
      </c>
      <c r="D64" s="353" t="s">
        <v>3</v>
      </c>
      <c r="E64" s="530"/>
      <c r="F64" s="343">
        <f t="shared" ref="F64:N73" si="18">F$59*F17</f>
        <v>0</v>
      </c>
      <c r="G64" s="344">
        <f t="shared" si="18"/>
        <v>0</v>
      </c>
      <c r="H64" s="344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345">
        <f t="shared" si="18"/>
        <v>0</v>
      </c>
      <c r="O64" s="532">
        <f>SUM(F64:N64)</f>
        <v>0</v>
      </c>
      <c r="P64" s="430">
        <f>SUM(I64:M64)</f>
        <v>0</v>
      </c>
    </row>
    <row r="65" spans="1:16">
      <c r="A65" s="250"/>
      <c r="B65" s="250"/>
      <c r="C65" s="258" t="s">
        <v>24</v>
      </c>
      <c r="D65" s="350" t="s">
        <v>4</v>
      </c>
      <c r="E65" s="313"/>
      <c r="F65" s="294">
        <f t="shared" si="18"/>
        <v>14511.849679215131</v>
      </c>
      <c r="G65" s="290">
        <f t="shared" si="18"/>
        <v>701.75795919122015</v>
      </c>
      <c r="H65" s="290">
        <f t="shared" si="18"/>
        <v>0</v>
      </c>
      <c r="I65" s="416">
        <f t="shared" si="18"/>
        <v>0</v>
      </c>
      <c r="J65" s="381">
        <f t="shared" si="18"/>
        <v>0</v>
      </c>
      <c r="K65" s="381">
        <f t="shared" si="18"/>
        <v>0</v>
      </c>
      <c r="L65" s="381">
        <f t="shared" si="18"/>
        <v>0</v>
      </c>
      <c r="M65" s="381">
        <f t="shared" si="18"/>
        <v>0</v>
      </c>
      <c r="N65" s="346">
        <f t="shared" si="18"/>
        <v>0</v>
      </c>
      <c r="O65" s="534">
        <f t="shared" ref="O65:O73" si="19">SUM(F65:N65)</f>
        <v>15213.607638406351</v>
      </c>
      <c r="P65" s="431">
        <f t="shared" ref="P65:P73" si="20">SUM(I65:M65)</f>
        <v>0</v>
      </c>
    </row>
    <row r="66" spans="1:16">
      <c r="A66" s="250"/>
      <c r="B66" s="250"/>
      <c r="C66" s="258" t="s">
        <v>25</v>
      </c>
      <c r="D66" s="350" t="s">
        <v>5</v>
      </c>
      <c r="E66" s="313"/>
      <c r="F66" s="294">
        <f t="shared" si="18"/>
        <v>0</v>
      </c>
      <c r="G66" s="290">
        <f t="shared" si="18"/>
        <v>0</v>
      </c>
      <c r="H66" s="290">
        <f t="shared" si="18"/>
        <v>0</v>
      </c>
      <c r="I66" s="416">
        <f t="shared" si="18"/>
        <v>0</v>
      </c>
      <c r="J66" s="381">
        <f t="shared" si="18"/>
        <v>0</v>
      </c>
      <c r="K66" s="381">
        <f t="shared" si="18"/>
        <v>0</v>
      </c>
      <c r="L66" s="381">
        <f t="shared" si="18"/>
        <v>0</v>
      </c>
      <c r="M66" s="381">
        <f t="shared" si="18"/>
        <v>0</v>
      </c>
      <c r="N66" s="346">
        <f t="shared" si="18"/>
        <v>0</v>
      </c>
      <c r="O66" s="534">
        <f t="shared" si="19"/>
        <v>0</v>
      </c>
      <c r="P66" s="431">
        <f t="shared" si="20"/>
        <v>0</v>
      </c>
    </row>
    <row r="67" spans="1:16">
      <c r="A67" s="250"/>
      <c r="B67" s="250"/>
      <c r="C67" s="258"/>
      <c r="D67" s="350" t="s">
        <v>6</v>
      </c>
      <c r="E67" s="313"/>
      <c r="F67" s="294">
        <f t="shared" si="18"/>
        <v>0</v>
      </c>
      <c r="G67" s="290">
        <f t="shared" si="18"/>
        <v>0</v>
      </c>
      <c r="H67" s="290">
        <f t="shared" si="18"/>
        <v>0</v>
      </c>
      <c r="I67" s="416">
        <f t="shared" si="18"/>
        <v>0</v>
      </c>
      <c r="J67" s="381">
        <f t="shared" si="18"/>
        <v>0</v>
      </c>
      <c r="K67" s="381">
        <f t="shared" si="18"/>
        <v>0</v>
      </c>
      <c r="L67" s="381">
        <f t="shared" si="18"/>
        <v>0</v>
      </c>
      <c r="M67" s="381">
        <f t="shared" si="18"/>
        <v>0</v>
      </c>
      <c r="N67" s="346">
        <f t="shared" si="18"/>
        <v>0</v>
      </c>
      <c r="O67" s="534">
        <f t="shared" si="19"/>
        <v>0</v>
      </c>
      <c r="P67" s="431">
        <f t="shared" si="20"/>
        <v>0</v>
      </c>
    </row>
    <row r="68" spans="1:16">
      <c r="A68" s="250"/>
      <c r="B68" s="250"/>
      <c r="C68" s="258"/>
      <c r="D68" s="350" t="s">
        <v>7</v>
      </c>
      <c r="E68" s="313"/>
      <c r="F68" s="294">
        <f t="shared" si="18"/>
        <v>0</v>
      </c>
      <c r="G68" s="290">
        <f t="shared" si="18"/>
        <v>0</v>
      </c>
      <c r="H68" s="290">
        <f t="shared" si="18"/>
        <v>0</v>
      </c>
      <c r="I68" s="416">
        <f t="shared" si="18"/>
        <v>0</v>
      </c>
      <c r="J68" s="381">
        <f t="shared" si="18"/>
        <v>0</v>
      </c>
      <c r="K68" s="381">
        <f t="shared" si="18"/>
        <v>0</v>
      </c>
      <c r="L68" s="381">
        <f t="shared" si="18"/>
        <v>0</v>
      </c>
      <c r="M68" s="381">
        <f t="shared" si="18"/>
        <v>0</v>
      </c>
      <c r="N68" s="346">
        <f t="shared" si="18"/>
        <v>0</v>
      </c>
      <c r="O68" s="534">
        <f t="shared" si="19"/>
        <v>0</v>
      </c>
      <c r="P68" s="431">
        <f t="shared" si="20"/>
        <v>0</v>
      </c>
    </row>
    <row r="69" spans="1:16">
      <c r="A69" s="250"/>
      <c r="B69" s="250"/>
      <c r="C69" s="258"/>
      <c r="D69" s="350" t="s">
        <v>8</v>
      </c>
      <c r="E69" s="313"/>
      <c r="F69" s="294">
        <f t="shared" si="18"/>
        <v>0</v>
      </c>
      <c r="G69" s="290">
        <f t="shared" si="18"/>
        <v>0</v>
      </c>
      <c r="H69" s="290">
        <f t="shared" si="18"/>
        <v>0</v>
      </c>
      <c r="I69" s="416">
        <f t="shared" si="18"/>
        <v>0</v>
      </c>
      <c r="J69" s="381">
        <f t="shared" si="18"/>
        <v>0</v>
      </c>
      <c r="K69" s="381">
        <f t="shared" si="18"/>
        <v>0</v>
      </c>
      <c r="L69" s="381">
        <f t="shared" si="18"/>
        <v>0</v>
      </c>
      <c r="M69" s="381">
        <f t="shared" si="18"/>
        <v>0</v>
      </c>
      <c r="N69" s="346">
        <f t="shared" si="18"/>
        <v>0</v>
      </c>
      <c r="O69" s="534">
        <f t="shared" si="19"/>
        <v>0</v>
      </c>
      <c r="P69" s="431">
        <f t="shared" si="20"/>
        <v>0</v>
      </c>
    </row>
    <row r="70" spans="1:16">
      <c r="A70" s="250"/>
      <c r="B70" s="250"/>
      <c r="C70" s="258"/>
      <c r="D70" s="350" t="s">
        <v>9</v>
      </c>
      <c r="E70" s="313"/>
      <c r="F70" s="294">
        <f t="shared" si="18"/>
        <v>0</v>
      </c>
      <c r="G70" s="290">
        <f t="shared" si="18"/>
        <v>0</v>
      </c>
      <c r="H70" s="290">
        <f t="shared" si="18"/>
        <v>0</v>
      </c>
      <c r="I70" s="416">
        <f t="shared" si="18"/>
        <v>0</v>
      </c>
      <c r="J70" s="381">
        <f t="shared" si="18"/>
        <v>0</v>
      </c>
      <c r="K70" s="381">
        <f t="shared" si="18"/>
        <v>0</v>
      </c>
      <c r="L70" s="381">
        <f t="shared" si="18"/>
        <v>0</v>
      </c>
      <c r="M70" s="381">
        <f t="shared" si="18"/>
        <v>0</v>
      </c>
      <c r="N70" s="346">
        <f t="shared" si="18"/>
        <v>0</v>
      </c>
      <c r="O70" s="534">
        <f t="shared" si="19"/>
        <v>0</v>
      </c>
      <c r="P70" s="431">
        <f t="shared" si="20"/>
        <v>0</v>
      </c>
    </row>
    <row r="71" spans="1:16">
      <c r="A71" s="250"/>
      <c r="B71" s="250"/>
      <c r="C71" s="258"/>
      <c r="D71" s="350" t="s">
        <v>10</v>
      </c>
      <c r="E71" s="313"/>
      <c r="F71" s="294">
        <f t="shared" si="18"/>
        <v>0</v>
      </c>
      <c r="G71" s="290">
        <f t="shared" si="18"/>
        <v>0</v>
      </c>
      <c r="H71" s="290">
        <f t="shared" si="18"/>
        <v>0</v>
      </c>
      <c r="I71" s="416">
        <f t="shared" si="18"/>
        <v>0</v>
      </c>
      <c r="J71" s="381">
        <f t="shared" si="18"/>
        <v>0</v>
      </c>
      <c r="K71" s="381">
        <f t="shared" si="18"/>
        <v>0</v>
      </c>
      <c r="L71" s="381">
        <f t="shared" si="18"/>
        <v>0</v>
      </c>
      <c r="M71" s="381">
        <f t="shared" si="18"/>
        <v>0</v>
      </c>
      <c r="N71" s="346">
        <f t="shared" si="18"/>
        <v>0</v>
      </c>
      <c r="O71" s="534">
        <f t="shared" si="19"/>
        <v>0</v>
      </c>
      <c r="P71" s="431">
        <f t="shared" si="20"/>
        <v>0</v>
      </c>
    </row>
    <row r="72" spans="1:16">
      <c r="A72" s="250"/>
      <c r="B72" s="250"/>
      <c r="C72" s="258"/>
      <c r="D72" s="350" t="s">
        <v>11</v>
      </c>
      <c r="E72" s="313"/>
      <c r="F72" s="294">
        <f t="shared" si="18"/>
        <v>0</v>
      </c>
      <c r="G72" s="290">
        <f t="shared" si="18"/>
        <v>0</v>
      </c>
      <c r="H72" s="290">
        <f t="shared" si="18"/>
        <v>0</v>
      </c>
      <c r="I72" s="416">
        <f t="shared" si="18"/>
        <v>0</v>
      </c>
      <c r="J72" s="381">
        <f t="shared" si="18"/>
        <v>0</v>
      </c>
      <c r="K72" s="381">
        <f t="shared" si="18"/>
        <v>0</v>
      </c>
      <c r="L72" s="381">
        <f t="shared" si="18"/>
        <v>0</v>
      </c>
      <c r="M72" s="381">
        <f t="shared" si="18"/>
        <v>0</v>
      </c>
      <c r="N72" s="346">
        <f t="shared" si="18"/>
        <v>0</v>
      </c>
      <c r="O72" s="534">
        <f t="shared" si="19"/>
        <v>0</v>
      </c>
      <c r="P72" s="431">
        <f t="shared" si="20"/>
        <v>0</v>
      </c>
    </row>
    <row r="73" spans="1:16">
      <c r="A73" s="250"/>
      <c r="B73" s="250"/>
      <c r="C73" s="259"/>
      <c r="D73" s="354" t="s">
        <v>12</v>
      </c>
      <c r="E73" s="546"/>
      <c r="F73" s="294">
        <f t="shared" si="18"/>
        <v>0</v>
      </c>
      <c r="G73" s="290">
        <f t="shared" si="18"/>
        <v>0</v>
      </c>
      <c r="H73" s="290">
        <f t="shared" si="18"/>
        <v>0</v>
      </c>
      <c r="I73" s="416">
        <f t="shared" si="18"/>
        <v>0</v>
      </c>
      <c r="J73" s="381">
        <f t="shared" si="18"/>
        <v>0</v>
      </c>
      <c r="K73" s="381">
        <f t="shared" si="18"/>
        <v>0</v>
      </c>
      <c r="L73" s="381">
        <f t="shared" si="18"/>
        <v>0</v>
      </c>
      <c r="M73" s="381">
        <f t="shared" si="18"/>
        <v>0</v>
      </c>
      <c r="N73" s="346">
        <f t="shared" si="18"/>
        <v>0</v>
      </c>
      <c r="O73" s="534">
        <f t="shared" si="19"/>
        <v>0</v>
      </c>
      <c r="P73" s="431">
        <f t="shared" si="20"/>
        <v>0</v>
      </c>
    </row>
    <row r="74" spans="1:16">
      <c r="A74" s="250"/>
      <c r="B74" s="250"/>
      <c r="C74" s="536"/>
      <c r="D74" s="537" t="str">
        <f>"Total incl Overhead - As Incurred "&amp;Assumptions!$C$8</f>
        <v>Total incl Overhead - As Incurred $ Mar 2017</v>
      </c>
      <c r="E74" s="517"/>
      <c r="F74" s="292">
        <f>+SUM(F64:F73)</f>
        <v>14511.849679215131</v>
      </c>
      <c r="G74" s="253">
        <f t="shared" ref="G74:N74" si="21">+SUM(G64:G73)</f>
        <v>701.75795919122015</v>
      </c>
      <c r="H74" s="253">
        <f t="shared" si="21"/>
        <v>0</v>
      </c>
      <c r="I74" s="411">
        <f t="shared" si="21"/>
        <v>0</v>
      </c>
      <c r="J74" s="382">
        <f t="shared" si="21"/>
        <v>0</v>
      </c>
      <c r="K74" s="382">
        <f t="shared" si="21"/>
        <v>0</v>
      </c>
      <c r="L74" s="382">
        <f t="shared" si="21"/>
        <v>0</v>
      </c>
      <c r="M74" s="382">
        <f t="shared" si="21"/>
        <v>0</v>
      </c>
      <c r="N74" s="519">
        <f t="shared" si="21"/>
        <v>0</v>
      </c>
      <c r="O74" s="292">
        <f>SUM(O64:O73)</f>
        <v>15213.607638406351</v>
      </c>
      <c r="P74" s="428">
        <f>SUM(P64:P73)</f>
        <v>0</v>
      </c>
    </row>
    <row r="75" spans="1:16">
      <c r="B75" s="250"/>
      <c r="E75" s="547" t="s">
        <v>50</v>
      </c>
      <c r="F75" s="548">
        <f>F74-F59</f>
        <v>0</v>
      </c>
      <c r="G75" s="548">
        <f t="shared" ref="G75:P75" si="22">G74-G59</f>
        <v>0</v>
      </c>
      <c r="H75" s="548">
        <f t="shared" si="22"/>
        <v>0</v>
      </c>
      <c r="I75" s="548">
        <f t="shared" si="22"/>
        <v>0</v>
      </c>
      <c r="J75" s="548">
        <f t="shared" si="22"/>
        <v>0</v>
      </c>
      <c r="K75" s="548">
        <f t="shared" si="22"/>
        <v>0</v>
      </c>
      <c r="L75" s="548">
        <f t="shared" si="22"/>
        <v>0</v>
      </c>
      <c r="M75" s="548">
        <f t="shared" si="22"/>
        <v>0</v>
      </c>
      <c r="N75" s="548">
        <f t="shared" si="22"/>
        <v>0</v>
      </c>
      <c r="O75" s="548">
        <f t="shared" si="22"/>
        <v>0</v>
      </c>
      <c r="P75" s="548">
        <f t="shared" si="22"/>
        <v>0</v>
      </c>
    </row>
    <row r="76" spans="1:16" hidden="1" outlineLevel="1">
      <c r="A76" s="250"/>
      <c r="B76" s="250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344">
        <f t="shared" ref="F76:N76" si="23">F14</f>
        <v>11782.711716870448</v>
      </c>
      <c r="G76" s="344">
        <f t="shared" si="23"/>
        <v>2079.3020676830201</v>
      </c>
      <c r="H76" s="344">
        <f t="shared" si="23"/>
        <v>0</v>
      </c>
      <c r="I76" s="531">
        <f t="shared" si="23"/>
        <v>0</v>
      </c>
      <c r="J76" s="344">
        <f t="shared" si="23"/>
        <v>0</v>
      </c>
      <c r="K76" s="344">
        <f t="shared" si="23"/>
        <v>0</v>
      </c>
      <c r="L76" s="344">
        <f t="shared" si="23"/>
        <v>0</v>
      </c>
      <c r="M76" s="344">
        <f t="shared" si="23"/>
        <v>0</v>
      </c>
      <c r="N76" s="345">
        <f t="shared" si="23"/>
        <v>0</v>
      </c>
      <c r="O76" s="549">
        <f>SUM(F76:N76)</f>
        <v>13862.013784553468</v>
      </c>
      <c r="P76" s="545">
        <f t="shared" ref="P76:P80" si="24">SUM(I76:M76)</f>
        <v>0</v>
      </c>
    </row>
    <row r="77" spans="1:16" hidden="1" outlineLevel="1">
      <c r="A77" s="250"/>
      <c r="B77" s="250"/>
      <c r="C77" s="453"/>
      <c r="D77" s="350" t="str">
        <f>"Labour &amp; Material Escalation - "&amp;Assumptions!C7</f>
        <v>Labour &amp; Material Escalation - $ 2015/16</v>
      </c>
      <c r="E77" s="454"/>
      <c r="F77" s="290">
        <f>IF(F$10="Prior",0,IF(AND(F76&lt;&gt;0,SUM(E76:$F76)=0),F76/SUM($F$76:F76)*F61,IF(F76&lt;&gt;0,SUM($F$76:F76)/SUM($F$11:F11)*F61-E83,0)))</f>
        <v>0</v>
      </c>
      <c r="G77" s="290">
        <f>IF(G$10="Prior",0,IF(AND(G76&lt;&gt;0,SUM($F76:F76)=0),G76/SUM($F$76:G76)*G61,IF(G76&lt;&gt;0,SUM($F$76:G76)/SUM($F$11:G11)*G61-F83,0)))</f>
        <v>1.7134518750000023</v>
      </c>
      <c r="H77" s="290">
        <f>IF(H$10="Prior",0,IF(AND(H76&lt;&gt;0,SUM($F76:G76)=0),H76/SUM($F$76:H76)*H61,IF(H76&lt;&gt;0,SUM($F$76:H76)/SUM($F$11:H11)*H61-G83,0)))</f>
        <v>0</v>
      </c>
      <c r="I77" s="512">
        <f>IF(I$10="Prior",0,IF(AND(I76&lt;&gt;0,SUM($F76:H76)=0),I76/SUM($F$76:I76)*I61,IF(I76&lt;&gt;0,SUM($F$76:I76)/SUM($F$11:I11)*I61-H83,0)))</f>
        <v>0</v>
      </c>
      <c r="J77" s="290">
        <f>IF(J$10="Prior",0,IF(AND(J76&lt;&gt;0,SUM($F76:I76)=0),J76/SUM($F$76:J76)*J61,IF(J76&lt;&gt;0,SUM($F$76:J76)/SUM($F$11:J11)*J61-I83,0)))</f>
        <v>0</v>
      </c>
      <c r="K77" s="290">
        <f>IF(K$10="Prior",0,IF(AND(K76&lt;&gt;0,SUM($F76:J76)=0),K76/SUM($F$76:K76)*K61,IF(K76&lt;&gt;0,SUM($F$76:K76)/SUM($F$11:K11)*K61-J83,0)))</f>
        <v>0</v>
      </c>
      <c r="L77" s="290">
        <f>IF(L$10="Prior",0,IF(AND(L76&lt;&gt;0,SUM($F76:K76)=0),L76/SUM($F$76:L76)*L61,IF(L76&lt;&gt;0,SUM($F$76:L76)/SUM($F$11:L11)*L61-K83,0)))</f>
        <v>0</v>
      </c>
      <c r="M77" s="290">
        <f>IF(M$10="Prior",0,IF(AND(M76&lt;&gt;0,SUM($F76:L76)=0),M76/SUM($F$76:M76)*M61,IF(M76&lt;&gt;0,SUM($F$76:M76)/SUM($F$11:M11)*M61-L83,0)))</f>
        <v>0</v>
      </c>
      <c r="N77" s="346">
        <f>IF(N$10="Prior",0,IF(AND(N76&lt;&gt;0,SUM($F76:M76)=0),N76/SUM($F$76:N76)*N61,IF(N76&lt;&gt;0,SUM($F$76:N76)/SUM($F$11:N11)*N61-M83,0)))</f>
        <v>0</v>
      </c>
      <c r="O77" s="550">
        <f>SUM(F77:N77)</f>
        <v>1.7134518750000023</v>
      </c>
      <c r="P77" s="551">
        <f t="shared" si="24"/>
        <v>0</v>
      </c>
    </row>
    <row r="78" spans="1:16" hidden="1" outlineLevel="1">
      <c r="A78" s="250"/>
      <c r="B78" s="250"/>
      <c r="C78" s="453"/>
      <c r="D78" s="470" t="str">
        <f>"Total Direct Expenditure - "&amp;Assumptions!C7</f>
        <v>Total Direct Expenditure - $ 2015/16</v>
      </c>
      <c r="E78" s="471"/>
      <c r="F78" s="552">
        <f>SUM(F76:F77)</f>
        <v>11782.711716870448</v>
      </c>
      <c r="G78" s="553">
        <f t="shared" ref="G78:N78" si="25">SUM(G76:G77)</f>
        <v>2081.0155195580201</v>
      </c>
      <c r="H78" s="553">
        <f t="shared" si="25"/>
        <v>0</v>
      </c>
      <c r="I78" s="554">
        <f t="shared" si="25"/>
        <v>0</v>
      </c>
      <c r="J78" s="553">
        <f t="shared" si="25"/>
        <v>0</v>
      </c>
      <c r="K78" s="553">
        <f t="shared" si="25"/>
        <v>0</v>
      </c>
      <c r="L78" s="553">
        <f t="shared" si="25"/>
        <v>0</v>
      </c>
      <c r="M78" s="553">
        <f t="shared" si="25"/>
        <v>0</v>
      </c>
      <c r="N78" s="555">
        <f t="shared" si="25"/>
        <v>0</v>
      </c>
      <c r="O78" s="556">
        <f>SUM(F78:N78)</f>
        <v>13863.727236428469</v>
      </c>
      <c r="P78" s="557">
        <f t="shared" si="24"/>
        <v>0</v>
      </c>
    </row>
    <row r="79" spans="1:16" hidden="1" outlineLevel="1">
      <c r="A79" s="250"/>
      <c r="B79" s="250"/>
      <c r="C79" s="453"/>
      <c r="D79" s="470" t="str">
        <f>"Total Direct Expenditure - "&amp;Assumptions!C8</f>
        <v>Total Direct Expenditure - $ Mar 2017</v>
      </c>
      <c r="E79" s="471"/>
      <c r="F79" s="552">
        <f>F78*Assumptions!$G$21</f>
        <v>11982.043306065625</v>
      </c>
      <c r="G79" s="553">
        <f>G78*Assumptions!$G$21</f>
        <v>2116.2206693249791</v>
      </c>
      <c r="H79" s="553">
        <f>H78*Assumptions!$G$21</f>
        <v>0</v>
      </c>
      <c r="I79" s="554">
        <f>I78*Assumptions!$G$21</f>
        <v>0</v>
      </c>
      <c r="J79" s="553">
        <f>J78*Assumptions!$G$21</f>
        <v>0</v>
      </c>
      <c r="K79" s="553">
        <f>K78*Assumptions!$G$21</f>
        <v>0</v>
      </c>
      <c r="L79" s="553">
        <f>L78*Assumptions!$G$21</f>
        <v>0</v>
      </c>
      <c r="M79" s="553">
        <f>M78*Assumptions!$G$21</f>
        <v>0</v>
      </c>
      <c r="N79" s="555">
        <f>N78*Assumptions!$G$21</f>
        <v>0</v>
      </c>
      <c r="O79" s="556">
        <f>SUM(F79:N79)</f>
        <v>14098.263975390604</v>
      </c>
      <c r="P79" s="557">
        <f t="shared" si="24"/>
        <v>0</v>
      </c>
    </row>
    <row r="80" spans="1:16" hidden="1" outlineLevel="1">
      <c r="A80" s="250"/>
      <c r="B80" s="250"/>
      <c r="C80" s="258"/>
      <c r="D80" s="354" t="s">
        <v>264</v>
      </c>
      <c r="E80" s="312"/>
      <c r="F80" s="290">
        <f>IF(F$10="Prior",F79*F56,IF(AND(F79&lt;&gt;0,SUM(E79:$F79)=0),F79/SUM($F$54:F54)*F60,IF(F79&lt;&gt;0,SUM($F$79:F79)/SUM($F$54:F54)*F60-E82,0)))</f>
        <v>959.54262336914974</v>
      </c>
      <c r="G80" s="290">
        <f>IF(G$10="Prior",G79*G56,IF(AND(G79&lt;&gt;0,SUM($F79:F79)=0),G79/SUM($F$54:G54)*G60,IF(G79&lt;&gt;0,SUM($F$79:G79)/SUM($F$54:G54)*G60-F82,0)))</f>
        <v>155.80103964659509</v>
      </c>
      <c r="H80" s="290">
        <f>IF(H$10="Prior",H79*H56,IF(AND(H79&lt;&gt;0,SUM($F79:G79)=0),H79/SUM($F$54:H54)*H60,IF(H79&lt;&gt;0,SUM($F$79:H79)/SUM($F$54:H54)*H60-G82,0)))</f>
        <v>0</v>
      </c>
      <c r="I80" s="512">
        <f>IF(I$10="Prior",I79*I56,IF(AND(I79&lt;&gt;0,SUM($F79:H79)=0),I79/SUM($F$54:I54)*I60,IF(I79&lt;&gt;0,SUM($F$79:I79)/SUM($F$54:I54)*I60-H82,0)))</f>
        <v>0</v>
      </c>
      <c r="J80" s="290">
        <f>IF(J$10="Prior",J79*J56,IF(AND(J79&lt;&gt;0,SUM($F79:I79)=0),J79/SUM($F$54:J54)*J60,IF(J79&lt;&gt;0,SUM($F$79:J79)/SUM($F$54:J54)*J60-I82,0)))</f>
        <v>0</v>
      </c>
      <c r="K80" s="290">
        <f>IF(K$10="Prior",K79*K56,IF(AND(K79&lt;&gt;0,SUM($F79:J79)=0),K79/SUM($F$54:K54)*K60,IF(K79&lt;&gt;0,SUM($F$79:K79)/SUM($F$54:K54)*K60-J82,0)))</f>
        <v>0</v>
      </c>
      <c r="L80" s="290">
        <f>IF(L$10="Prior",L79*L56,IF(AND(L79&lt;&gt;0,SUM($F79:K79)=0),L79/SUM($F$54:L54)*L60,IF(L79&lt;&gt;0,SUM($F$79:L79)/SUM($F$54:L54)*L60-K82,0)))</f>
        <v>0</v>
      </c>
      <c r="M80" s="290">
        <f>IF(M$10="Prior",M79*M56,IF(AND(M79&lt;&gt;0,SUM($F79:L79)=0),M79/SUM($F$54:M54)*M60,IF(M79&lt;&gt;0,SUM($F$79:M79)/SUM($F$54:M54)*M60-L82,0)))</f>
        <v>0</v>
      </c>
      <c r="N80" s="346">
        <f>IF(N$10="Prior",N79*N56,IF(AND(N79&lt;&gt;0,SUM($F79:M79)=0),N79/SUM($F$54:N54)*N60,IF(N79&lt;&gt;0,SUM($F$79:N79)/SUM($F$54:N54)*N60-M82,0)))</f>
        <v>0</v>
      </c>
      <c r="O80" s="550">
        <f>SUM(F80:N80)</f>
        <v>1115.3436630157448</v>
      </c>
      <c r="P80" s="497">
        <f t="shared" si="24"/>
        <v>0</v>
      </c>
    </row>
    <row r="81" spans="1:17" hidden="1" outlineLevel="1">
      <c r="A81" s="250"/>
      <c r="B81" s="250"/>
      <c r="C81" s="536"/>
      <c r="D81" s="537" t="str">
        <f>"Total incl Overhead - As commissioned "&amp;Assumptions!$C$8</f>
        <v>Total incl Overhead - As commissioned $ Mar 2017</v>
      </c>
      <c r="E81" s="517"/>
      <c r="F81" s="558">
        <f>SUM(F79:F80)</f>
        <v>12941.585929434776</v>
      </c>
      <c r="G81" s="559">
        <f t="shared" ref="G81:P81" si="26">SUM(G79:G80)</f>
        <v>2272.0217089715743</v>
      </c>
      <c r="H81" s="559">
        <f t="shared" si="26"/>
        <v>0</v>
      </c>
      <c r="I81" s="560">
        <f t="shared" si="26"/>
        <v>0</v>
      </c>
      <c r="J81" s="559">
        <f t="shared" si="26"/>
        <v>0</v>
      </c>
      <c r="K81" s="559">
        <f t="shared" si="26"/>
        <v>0</v>
      </c>
      <c r="L81" s="559">
        <f t="shared" si="26"/>
        <v>0</v>
      </c>
      <c r="M81" s="559">
        <f t="shared" si="26"/>
        <v>0</v>
      </c>
      <c r="N81" s="561">
        <f t="shared" si="26"/>
        <v>0</v>
      </c>
      <c r="O81" s="562">
        <f t="shared" si="26"/>
        <v>15213.607638406349</v>
      </c>
      <c r="P81" s="563">
        <f t="shared" si="26"/>
        <v>0</v>
      </c>
    </row>
    <row r="82" spans="1:17" hidden="1" outlineLevel="1">
      <c r="A82" s="250"/>
      <c r="B82" s="250"/>
      <c r="C82" s="250"/>
      <c r="D82" s="251" t="s">
        <v>286</v>
      </c>
      <c r="E82" s="251"/>
      <c r="F82" s="252">
        <f>F80</f>
        <v>959.54262336914974</v>
      </c>
      <c r="G82" s="252">
        <f t="shared" ref="G82:N82" si="27">G80+F82</f>
        <v>1115.3436630157448</v>
      </c>
      <c r="H82" s="252">
        <f t="shared" si="27"/>
        <v>1115.3436630157448</v>
      </c>
      <c r="I82" s="252">
        <f t="shared" si="27"/>
        <v>1115.3436630157448</v>
      </c>
      <c r="J82" s="252">
        <f t="shared" si="27"/>
        <v>1115.3436630157448</v>
      </c>
      <c r="K82" s="252">
        <f t="shared" si="27"/>
        <v>1115.3436630157448</v>
      </c>
      <c r="L82" s="252">
        <f t="shared" si="27"/>
        <v>1115.3436630157448</v>
      </c>
      <c r="M82" s="252">
        <f t="shared" si="27"/>
        <v>1115.3436630157448</v>
      </c>
      <c r="N82" s="252">
        <f t="shared" si="27"/>
        <v>1115.3436630157448</v>
      </c>
      <c r="O82" s="543"/>
    </row>
    <row r="83" spans="1:17" hidden="1" outlineLevel="1">
      <c r="A83" s="250"/>
      <c r="B83" s="250"/>
      <c r="C83" s="250"/>
      <c r="D83" s="251" t="s">
        <v>287</v>
      </c>
      <c r="E83" s="251"/>
      <c r="F83" s="252">
        <f>F77</f>
        <v>0</v>
      </c>
      <c r="G83" s="252">
        <f t="shared" ref="G83:N83" si="28">G77+F83</f>
        <v>1.7134518750000023</v>
      </c>
      <c r="H83" s="252">
        <f t="shared" si="28"/>
        <v>1.7134518750000023</v>
      </c>
      <c r="I83" s="252">
        <f t="shared" si="28"/>
        <v>1.7134518750000023</v>
      </c>
      <c r="J83" s="252">
        <f t="shared" si="28"/>
        <v>1.7134518750000023</v>
      </c>
      <c r="K83" s="252">
        <f t="shared" si="28"/>
        <v>1.7134518750000023</v>
      </c>
      <c r="L83" s="252">
        <f t="shared" si="28"/>
        <v>1.7134518750000023</v>
      </c>
      <c r="M83" s="252">
        <f t="shared" si="28"/>
        <v>1.7134518750000023</v>
      </c>
      <c r="N83" s="252">
        <f t="shared" si="28"/>
        <v>1.7134518750000023</v>
      </c>
      <c r="O83" s="543"/>
    </row>
    <row r="84" spans="1:17" collapsed="1">
      <c r="A84" s="250"/>
      <c r="B84" s="250"/>
      <c r="C84" s="540" t="s">
        <v>276</v>
      </c>
    </row>
    <row r="85" spans="1:17">
      <c r="B85" s="250"/>
      <c r="C85" s="257" t="s">
        <v>23</v>
      </c>
      <c r="D85" s="353" t="s">
        <v>3</v>
      </c>
      <c r="E85" s="530"/>
      <c r="F85" s="343">
        <f t="shared" ref="F85:N94" si="29">IF($O$74=0,0,F$81/$O$81*$O$74*F17)</f>
        <v>0</v>
      </c>
      <c r="G85" s="344">
        <f t="shared" si="29"/>
        <v>0</v>
      </c>
      <c r="H85" s="344">
        <f t="shared" si="29"/>
        <v>0</v>
      </c>
      <c r="I85" s="415">
        <f t="shared" si="29"/>
        <v>0</v>
      </c>
      <c r="J85" s="380">
        <f t="shared" si="29"/>
        <v>0</v>
      </c>
      <c r="K85" s="380">
        <f t="shared" si="29"/>
        <v>0</v>
      </c>
      <c r="L85" s="380">
        <f t="shared" si="29"/>
        <v>0</v>
      </c>
      <c r="M85" s="380">
        <f t="shared" si="29"/>
        <v>0</v>
      </c>
      <c r="N85" s="345">
        <f t="shared" si="29"/>
        <v>0</v>
      </c>
      <c r="O85" s="532">
        <f>SUM(F85:N85)</f>
        <v>0</v>
      </c>
      <c r="P85" s="430">
        <f t="shared" ref="P85:P94" si="30">SUM(I85:M85)</f>
        <v>0</v>
      </c>
    </row>
    <row r="86" spans="1:17">
      <c r="C86" s="258" t="s">
        <v>24</v>
      </c>
      <c r="D86" s="350" t="s">
        <v>4</v>
      </c>
      <c r="E86" s="313"/>
      <c r="F86" s="294">
        <f t="shared" si="29"/>
        <v>12941.585929434777</v>
      </c>
      <c r="G86" s="290">
        <f t="shared" si="29"/>
        <v>2272.0217089715748</v>
      </c>
      <c r="H86" s="290">
        <f t="shared" si="29"/>
        <v>0</v>
      </c>
      <c r="I86" s="416">
        <f t="shared" si="29"/>
        <v>0</v>
      </c>
      <c r="J86" s="381">
        <f t="shared" si="29"/>
        <v>0</v>
      </c>
      <c r="K86" s="381">
        <f t="shared" si="29"/>
        <v>0</v>
      </c>
      <c r="L86" s="381">
        <f t="shared" si="29"/>
        <v>0</v>
      </c>
      <c r="M86" s="381">
        <f t="shared" si="29"/>
        <v>0</v>
      </c>
      <c r="N86" s="346">
        <f t="shared" si="29"/>
        <v>0</v>
      </c>
      <c r="O86" s="534">
        <f t="shared" ref="O86:O94" si="31">SUM(F86:N86)</f>
        <v>15213.607638406353</v>
      </c>
      <c r="P86" s="431">
        <f t="shared" si="30"/>
        <v>0</v>
      </c>
    </row>
    <row r="87" spans="1:17">
      <c r="C87" s="258" t="s">
        <v>26</v>
      </c>
      <c r="D87" s="350" t="s">
        <v>5</v>
      </c>
      <c r="E87" s="313"/>
      <c r="F87" s="294">
        <f t="shared" si="29"/>
        <v>0</v>
      </c>
      <c r="G87" s="290">
        <f t="shared" si="29"/>
        <v>0</v>
      </c>
      <c r="H87" s="290">
        <f t="shared" si="29"/>
        <v>0</v>
      </c>
      <c r="I87" s="416">
        <f t="shared" si="29"/>
        <v>0</v>
      </c>
      <c r="J87" s="381">
        <f t="shared" si="29"/>
        <v>0</v>
      </c>
      <c r="K87" s="381">
        <f t="shared" si="29"/>
        <v>0</v>
      </c>
      <c r="L87" s="381">
        <f t="shared" si="29"/>
        <v>0</v>
      </c>
      <c r="M87" s="381">
        <f t="shared" si="29"/>
        <v>0</v>
      </c>
      <c r="N87" s="346">
        <f t="shared" si="29"/>
        <v>0</v>
      </c>
      <c r="O87" s="534">
        <f t="shared" si="31"/>
        <v>0</v>
      </c>
      <c r="P87" s="431">
        <f t="shared" si="30"/>
        <v>0</v>
      </c>
    </row>
    <row r="88" spans="1:17">
      <c r="C88" s="258"/>
      <c r="D88" s="350" t="s">
        <v>6</v>
      </c>
      <c r="E88" s="313"/>
      <c r="F88" s="294">
        <f t="shared" si="29"/>
        <v>0</v>
      </c>
      <c r="G88" s="290">
        <f t="shared" si="29"/>
        <v>0</v>
      </c>
      <c r="H88" s="290">
        <f t="shared" si="29"/>
        <v>0</v>
      </c>
      <c r="I88" s="416">
        <f t="shared" si="29"/>
        <v>0</v>
      </c>
      <c r="J88" s="381">
        <f t="shared" si="29"/>
        <v>0</v>
      </c>
      <c r="K88" s="381">
        <f t="shared" si="29"/>
        <v>0</v>
      </c>
      <c r="L88" s="381">
        <f t="shared" si="29"/>
        <v>0</v>
      </c>
      <c r="M88" s="381">
        <f t="shared" si="29"/>
        <v>0</v>
      </c>
      <c r="N88" s="346">
        <f t="shared" si="29"/>
        <v>0</v>
      </c>
      <c r="O88" s="534">
        <f t="shared" si="31"/>
        <v>0</v>
      </c>
      <c r="P88" s="431">
        <f t="shared" si="30"/>
        <v>0</v>
      </c>
    </row>
    <row r="89" spans="1:17">
      <c r="C89" s="258"/>
      <c r="D89" s="350" t="s">
        <v>7</v>
      </c>
      <c r="E89" s="313"/>
      <c r="F89" s="294">
        <f t="shared" si="29"/>
        <v>0</v>
      </c>
      <c r="G89" s="290">
        <f t="shared" si="29"/>
        <v>0</v>
      </c>
      <c r="H89" s="290">
        <f t="shared" si="29"/>
        <v>0</v>
      </c>
      <c r="I89" s="416">
        <f t="shared" si="29"/>
        <v>0</v>
      </c>
      <c r="J89" s="381">
        <f t="shared" si="29"/>
        <v>0</v>
      </c>
      <c r="K89" s="381">
        <f t="shared" si="29"/>
        <v>0</v>
      </c>
      <c r="L89" s="381">
        <f t="shared" si="29"/>
        <v>0</v>
      </c>
      <c r="M89" s="381">
        <f t="shared" si="29"/>
        <v>0</v>
      </c>
      <c r="N89" s="346">
        <f t="shared" si="29"/>
        <v>0</v>
      </c>
      <c r="O89" s="534">
        <f t="shared" si="31"/>
        <v>0</v>
      </c>
      <c r="P89" s="431">
        <f t="shared" si="30"/>
        <v>0</v>
      </c>
    </row>
    <row r="90" spans="1:17">
      <c r="C90" s="258"/>
      <c r="D90" s="350" t="s">
        <v>8</v>
      </c>
      <c r="E90" s="313"/>
      <c r="F90" s="294">
        <f t="shared" si="29"/>
        <v>0</v>
      </c>
      <c r="G90" s="290">
        <f t="shared" si="29"/>
        <v>0</v>
      </c>
      <c r="H90" s="290">
        <f t="shared" si="29"/>
        <v>0</v>
      </c>
      <c r="I90" s="416">
        <f t="shared" si="29"/>
        <v>0</v>
      </c>
      <c r="J90" s="381">
        <f t="shared" si="29"/>
        <v>0</v>
      </c>
      <c r="K90" s="381">
        <f t="shared" si="29"/>
        <v>0</v>
      </c>
      <c r="L90" s="381">
        <f t="shared" si="29"/>
        <v>0</v>
      </c>
      <c r="M90" s="381">
        <f t="shared" si="29"/>
        <v>0</v>
      </c>
      <c r="N90" s="346">
        <f t="shared" si="29"/>
        <v>0</v>
      </c>
      <c r="O90" s="534">
        <f t="shared" si="31"/>
        <v>0</v>
      </c>
      <c r="P90" s="431">
        <f t="shared" si="30"/>
        <v>0</v>
      </c>
    </row>
    <row r="91" spans="1:17">
      <c r="C91" s="258"/>
      <c r="D91" s="350" t="s">
        <v>9</v>
      </c>
      <c r="E91" s="313"/>
      <c r="F91" s="294">
        <f t="shared" si="29"/>
        <v>0</v>
      </c>
      <c r="G91" s="290">
        <f t="shared" si="29"/>
        <v>0</v>
      </c>
      <c r="H91" s="290">
        <f t="shared" si="29"/>
        <v>0</v>
      </c>
      <c r="I91" s="416">
        <f t="shared" si="29"/>
        <v>0</v>
      </c>
      <c r="J91" s="381">
        <f t="shared" si="29"/>
        <v>0</v>
      </c>
      <c r="K91" s="381">
        <f t="shared" si="29"/>
        <v>0</v>
      </c>
      <c r="L91" s="381">
        <f t="shared" si="29"/>
        <v>0</v>
      </c>
      <c r="M91" s="381">
        <f t="shared" si="29"/>
        <v>0</v>
      </c>
      <c r="N91" s="346">
        <f t="shared" si="29"/>
        <v>0</v>
      </c>
      <c r="O91" s="534">
        <f t="shared" si="31"/>
        <v>0</v>
      </c>
      <c r="P91" s="431">
        <f t="shared" si="30"/>
        <v>0</v>
      </c>
    </row>
    <row r="92" spans="1:17">
      <c r="C92" s="258"/>
      <c r="D92" s="350" t="s">
        <v>10</v>
      </c>
      <c r="E92" s="313"/>
      <c r="F92" s="294">
        <f t="shared" si="29"/>
        <v>0</v>
      </c>
      <c r="G92" s="290">
        <f t="shared" si="29"/>
        <v>0</v>
      </c>
      <c r="H92" s="290">
        <f t="shared" si="29"/>
        <v>0</v>
      </c>
      <c r="I92" s="416">
        <f t="shared" si="29"/>
        <v>0</v>
      </c>
      <c r="J92" s="381">
        <f t="shared" si="29"/>
        <v>0</v>
      </c>
      <c r="K92" s="381">
        <f t="shared" si="29"/>
        <v>0</v>
      </c>
      <c r="L92" s="381">
        <f t="shared" si="29"/>
        <v>0</v>
      </c>
      <c r="M92" s="381">
        <f t="shared" si="29"/>
        <v>0</v>
      </c>
      <c r="N92" s="346">
        <f t="shared" si="29"/>
        <v>0</v>
      </c>
      <c r="O92" s="534">
        <f t="shared" si="31"/>
        <v>0</v>
      </c>
      <c r="P92" s="431">
        <f t="shared" si="30"/>
        <v>0</v>
      </c>
    </row>
    <row r="93" spans="1:17">
      <c r="C93" s="258"/>
      <c r="D93" s="350" t="s">
        <v>11</v>
      </c>
      <c r="E93" s="313"/>
      <c r="F93" s="294">
        <f t="shared" si="29"/>
        <v>0</v>
      </c>
      <c r="G93" s="290">
        <f t="shared" si="29"/>
        <v>0</v>
      </c>
      <c r="H93" s="290">
        <f t="shared" si="29"/>
        <v>0</v>
      </c>
      <c r="I93" s="416">
        <f t="shared" si="29"/>
        <v>0</v>
      </c>
      <c r="J93" s="381">
        <f t="shared" si="29"/>
        <v>0</v>
      </c>
      <c r="K93" s="381">
        <f t="shared" si="29"/>
        <v>0</v>
      </c>
      <c r="L93" s="381">
        <f t="shared" si="29"/>
        <v>0</v>
      </c>
      <c r="M93" s="381">
        <f t="shared" si="29"/>
        <v>0</v>
      </c>
      <c r="N93" s="346">
        <f t="shared" si="29"/>
        <v>0</v>
      </c>
      <c r="O93" s="534">
        <f t="shared" si="31"/>
        <v>0</v>
      </c>
      <c r="P93" s="431">
        <f t="shared" si="30"/>
        <v>0</v>
      </c>
    </row>
    <row r="94" spans="1:17">
      <c r="C94" s="258"/>
      <c r="D94" s="350" t="s">
        <v>12</v>
      </c>
      <c r="E94" s="313"/>
      <c r="F94" s="294">
        <f t="shared" si="29"/>
        <v>0</v>
      </c>
      <c r="G94" s="290">
        <f t="shared" si="29"/>
        <v>0</v>
      </c>
      <c r="H94" s="290">
        <f t="shared" si="29"/>
        <v>0</v>
      </c>
      <c r="I94" s="416">
        <f t="shared" si="29"/>
        <v>0</v>
      </c>
      <c r="J94" s="381">
        <f t="shared" si="29"/>
        <v>0</v>
      </c>
      <c r="K94" s="381">
        <f t="shared" si="29"/>
        <v>0</v>
      </c>
      <c r="L94" s="381">
        <f t="shared" si="29"/>
        <v>0</v>
      </c>
      <c r="M94" s="381">
        <f t="shared" si="29"/>
        <v>0</v>
      </c>
      <c r="N94" s="346">
        <f t="shared" si="29"/>
        <v>0</v>
      </c>
      <c r="O94" s="534">
        <f t="shared" si="31"/>
        <v>0</v>
      </c>
      <c r="P94" s="431">
        <f t="shared" si="30"/>
        <v>0</v>
      </c>
    </row>
    <row r="95" spans="1:17">
      <c r="C95" s="536"/>
      <c r="D95" s="537" t="str">
        <f>"Total incl Overhead - As commissioned "&amp;Assumptions!$C$8</f>
        <v>Total incl Overhead - As commissioned $ Mar 2017</v>
      </c>
      <c r="E95" s="517"/>
      <c r="F95" s="292">
        <f>+SUM(F85:F94)</f>
        <v>12941.585929434777</v>
      </c>
      <c r="G95" s="253">
        <f t="shared" ref="G95" si="32">+SUM(G85:G94)</f>
        <v>2272.0217089715748</v>
      </c>
      <c r="H95" s="253">
        <f t="shared" ref="H95:N95" si="33">+SUM(H85:H94)</f>
        <v>0</v>
      </c>
      <c r="I95" s="411">
        <f t="shared" si="33"/>
        <v>0</v>
      </c>
      <c r="J95" s="382">
        <f t="shared" si="33"/>
        <v>0</v>
      </c>
      <c r="K95" s="382">
        <f t="shared" si="33"/>
        <v>0</v>
      </c>
      <c r="L95" s="382">
        <f t="shared" si="33"/>
        <v>0</v>
      </c>
      <c r="M95" s="382">
        <f t="shared" si="33"/>
        <v>0</v>
      </c>
      <c r="N95" s="286">
        <f t="shared" si="33"/>
        <v>0</v>
      </c>
      <c r="O95" s="292">
        <f>SUM(O85:O94)</f>
        <v>15213.607638406353</v>
      </c>
      <c r="P95" s="428">
        <f>SUM(P85:P94)</f>
        <v>0</v>
      </c>
      <c r="Q95" s="564"/>
    </row>
    <row r="96" spans="1:17">
      <c r="E96" s="547" t="s">
        <v>50</v>
      </c>
      <c r="F96" s="452">
        <f>F95-F81</f>
        <v>0</v>
      </c>
      <c r="G96" s="452">
        <f t="shared" ref="G96:P96" si="34">G95-G81</f>
        <v>0</v>
      </c>
      <c r="H96" s="452">
        <f t="shared" si="34"/>
        <v>0</v>
      </c>
      <c r="I96" s="452">
        <f t="shared" si="34"/>
        <v>0</v>
      </c>
      <c r="J96" s="452">
        <f t="shared" si="34"/>
        <v>0</v>
      </c>
      <c r="K96" s="452">
        <f t="shared" si="34"/>
        <v>0</v>
      </c>
      <c r="L96" s="452">
        <f t="shared" si="34"/>
        <v>0</v>
      </c>
      <c r="M96" s="452">
        <f t="shared" si="34"/>
        <v>0</v>
      </c>
      <c r="N96" s="452">
        <f t="shared" si="34"/>
        <v>0</v>
      </c>
      <c r="O96" s="452">
        <f t="shared" si="34"/>
        <v>0</v>
      </c>
      <c r="P96" s="452">
        <f t="shared" si="34"/>
        <v>0</v>
      </c>
    </row>
    <row r="97" spans="3:16">
      <c r="C97" s="565"/>
      <c r="D97" s="251"/>
      <c r="F97" s="252"/>
      <c r="G97" s="252"/>
      <c r="H97" s="252"/>
      <c r="I97" s="252"/>
      <c r="J97" s="252"/>
      <c r="K97" s="252"/>
      <c r="L97" s="252"/>
      <c r="M97" s="252"/>
      <c r="N97" s="252"/>
      <c r="O97" s="566">
        <f>O95-O74</f>
        <v>0</v>
      </c>
      <c r="P97" s="565"/>
    </row>
    <row r="98" spans="3:16" hidden="1" outlineLevel="1">
      <c r="C98" s="236" t="s">
        <v>452</v>
      </c>
      <c r="F98" s="452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6" t="s">
        <v>451</v>
      </c>
      <c r="D99" s="236" t="s">
        <v>379</v>
      </c>
      <c r="F99" s="252"/>
      <c r="G99" s="487">
        <f>0.5*G21</f>
        <v>0</v>
      </c>
      <c r="H99" s="487">
        <f t="shared" ref="H99:N99" si="35">0.5*H21</f>
        <v>0</v>
      </c>
      <c r="I99" s="487">
        <f t="shared" si="35"/>
        <v>0</v>
      </c>
      <c r="J99" s="487">
        <f t="shared" si="35"/>
        <v>0</v>
      </c>
      <c r="K99" s="487">
        <f t="shared" si="35"/>
        <v>0</v>
      </c>
      <c r="L99" s="487">
        <f t="shared" si="35"/>
        <v>0</v>
      </c>
      <c r="M99" s="487">
        <f t="shared" si="35"/>
        <v>0</v>
      </c>
      <c r="N99" s="487">
        <f t="shared" si="35"/>
        <v>0</v>
      </c>
    </row>
    <row r="100" spans="3:16" hidden="1" outlineLevel="1">
      <c r="D100" s="236" t="s">
        <v>380</v>
      </c>
      <c r="F100" s="452"/>
      <c r="G100" s="487">
        <v>0</v>
      </c>
      <c r="H100" s="487">
        <v>0</v>
      </c>
      <c r="I100" s="487">
        <v>0</v>
      </c>
      <c r="J100" s="487">
        <v>0</v>
      </c>
      <c r="K100" s="487">
        <v>0</v>
      </c>
      <c r="L100" s="487">
        <v>0</v>
      </c>
      <c r="M100" s="487">
        <v>0</v>
      </c>
      <c r="N100" s="487">
        <v>0</v>
      </c>
    </row>
    <row r="101" spans="3:16" hidden="1" outlineLevel="1">
      <c r="D101" s="236" t="s">
        <v>381</v>
      </c>
      <c r="G101" s="487">
        <f>0.5*G21</f>
        <v>0</v>
      </c>
      <c r="H101" s="487">
        <f t="shared" ref="H101:N101" si="36">0.5*H21</f>
        <v>0</v>
      </c>
      <c r="I101" s="487">
        <f t="shared" si="36"/>
        <v>0</v>
      </c>
      <c r="J101" s="487">
        <f t="shared" si="36"/>
        <v>0</v>
      </c>
      <c r="K101" s="487">
        <f t="shared" si="36"/>
        <v>0</v>
      </c>
      <c r="L101" s="487">
        <f t="shared" si="36"/>
        <v>0</v>
      </c>
      <c r="M101" s="487">
        <f t="shared" si="36"/>
        <v>0</v>
      </c>
      <c r="N101" s="487">
        <f t="shared" si="36"/>
        <v>0</v>
      </c>
    </row>
    <row r="102" spans="3:16" hidden="1" outlineLevel="1">
      <c r="D102" s="236" t="s">
        <v>382</v>
      </c>
      <c r="F102" s="452"/>
      <c r="G102" s="487">
        <v>0</v>
      </c>
      <c r="H102" s="487">
        <v>0</v>
      </c>
      <c r="I102" s="487">
        <v>0</v>
      </c>
      <c r="J102" s="487">
        <v>0</v>
      </c>
      <c r="K102" s="487">
        <v>0</v>
      </c>
      <c r="L102" s="487">
        <v>0</v>
      </c>
      <c r="M102" s="487">
        <v>0</v>
      </c>
      <c r="N102" s="487">
        <v>0</v>
      </c>
    </row>
    <row r="103" spans="3:16" hidden="1" outlineLevel="1">
      <c r="D103" s="236" t="s">
        <v>383</v>
      </c>
      <c r="F103" s="452"/>
      <c r="G103" s="487">
        <f>G18</f>
        <v>1</v>
      </c>
      <c r="H103" s="487">
        <f t="shared" ref="H103:N105" si="37">H18</f>
        <v>1</v>
      </c>
      <c r="I103" s="487">
        <f t="shared" si="37"/>
        <v>1</v>
      </c>
      <c r="J103" s="487">
        <f t="shared" si="37"/>
        <v>1</v>
      </c>
      <c r="K103" s="487">
        <f t="shared" si="37"/>
        <v>1</v>
      </c>
      <c r="L103" s="487">
        <f t="shared" si="37"/>
        <v>1</v>
      </c>
      <c r="M103" s="487">
        <f t="shared" si="37"/>
        <v>1</v>
      </c>
      <c r="N103" s="487">
        <f t="shared" si="37"/>
        <v>1</v>
      </c>
    </row>
    <row r="104" spans="3:16" hidden="1" outlineLevel="1">
      <c r="D104" s="236" t="s">
        <v>384</v>
      </c>
      <c r="G104" s="487">
        <f>G19</f>
        <v>0</v>
      </c>
      <c r="H104" s="487">
        <f t="shared" si="37"/>
        <v>0</v>
      </c>
      <c r="I104" s="487">
        <f t="shared" si="37"/>
        <v>0</v>
      </c>
      <c r="J104" s="487">
        <f t="shared" si="37"/>
        <v>0</v>
      </c>
      <c r="K104" s="487">
        <f t="shared" si="37"/>
        <v>0</v>
      </c>
      <c r="L104" s="487">
        <f t="shared" si="37"/>
        <v>0</v>
      </c>
      <c r="M104" s="487">
        <f t="shared" si="37"/>
        <v>0</v>
      </c>
      <c r="N104" s="487">
        <f t="shared" si="37"/>
        <v>0</v>
      </c>
    </row>
    <row r="105" spans="3:16" hidden="1" outlineLevel="1">
      <c r="D105" s="236" t="s">
        <v>385</v>
      </c>
      <c r="G105" s="487">
        <f>G20</f>
        <v>0</v>
      </c>
      <c r="H105" s="487">
        <f t="shared" si="37"/>
        <v>0</v>
      </c>
      <c r="I105" s="487">
        <f t="shared" si="37"/>
        <v>0</v>
      </c>
      <c r="J105" s="487">
        <f t="shared" si="37"/>
        <v>0</v>
      </c>
      <c r="K105" s="487">
        <f t="shared" si="37"/>
        <v>0</v>
      </c>
      <c r="L105" s="487">
        <f t="shared" si="37"/>
        <v>0</v>
      </c>
      <c r="M105" s="487">
        <f t="shared" si="37"/>
        <v>0</v>
      </c>
      <c r="N105" s="487">
        <f t="shared" si="37"/>
        <v>0</v>
      </c>
    </row>
    <row r="106" spans="3:16" hidden="1" outlineLevel="1">
      <c r="D106" s="236" t="s">
        <v>386</v>
      </c>
      <c r="G106" s="487">
        <f>G17+G23</f>
        <v>0</v>
      </c>
      <c r="H106" s="487">
        <f t="shared" ref="H106:N106" si="38">H17+H23</f>
        <v>0</v>
      </c>
      <c r="I106" s="487">
        <f t="shared" si="38"/>
        <v>0</v>
      </c>
      <c r="J106" s="487">
        <f t="shared" si="38"/>
        <v>0</v>
      </c>
      <c r="K106" s="487">
        <f t="shared" si="38"/>
        <v>0</v>
      </c>
      <c r="L106" s="487">
        <f t="shared" si="38"/>
        <v>0</v>
      </c>
      <c r="M106" s="487">
        <f t="shared" si="38"/>
        <v>0</v>
      </c>
      <c r="N106" s="487">
        <f t="shared" si="38"/>
        <v>0</v>
      </c>
    </row>
    <row r="107" spans="3:16" hidden="1" outlineLevel="1">
      <c r="D107" s="236" t="s">
        <v>387</v>
      </c>
      <c r="G107" s="487">
        <f>G22</f>
        <v>0</v>
      </c>
      <c r="H107" s="487">
        <f t="shared" ref="H107:N107" si="39">H22</f>
        <v>0</v>
      </c>
      <c r="I107" s="487">
        <f t="shared" si="39"/>
        <v>0</v>
      </c>
      <c r="J107" s="487">
        <f t="shared" si="39"/>
        <v>0</v>
      </c>
      <c r="K107" s="487">
        <f t="shared" si="39"/>
        <v>0</v>
      </c>
      <c r="L107" s="487">
        <f t="shared" si="39"/>
        <v>0</v>
      </c>
      <c r="M107" s="487">
        <f t="shared" si="39"/>
        <v>0</v>
      </c>
      <c r="N107" s="487">
        <f t="shared" si="39"/>
        <v>0</v>
      </c>
    </row>
    <row r="108" spans="3:16" hidden="1" outlineLevel="1">
      <c r="D108" s="236" t="s">
        <v>16</v>
      </c>
      <c r="G108" s="487">
        <f>SUM(G99:G107)</f>
        <v>1</v>
      </c>
      <c r="H108" s="487">
        <f t="shared" ref="H108:N108" si="40">SUM(H99:H107)</f>
        <v>1</v>
      </c>
      <c r="I108" s="487">
        <f t="shared" si="40"/>
        <v>1</v>
      </c>
      <c r="J108" s="487">
        <f t="shared" si="40"/>
        <v>1</v>
      </c>
      <c r="K108" s="487">
        <f t="shared" si="40"/>
        <v>1</v>
      </c>
      <c r="L108" s="487">
        <f t="shared" si="40"/>
        <v>1</v>
      </c>
      <c r="M108" s="487">
        <f t="shared" si="40"/>
        <v>1</v>
      </c>
      <c r="N108" s="487">
        <f t="shared" si="40"/>
        <v>1</v>
      </c>
    </row>
    <row r="109" spans="3:16" hidden="1" outlineLevel="1"/>
    <row r="110" spans="3:16" hidden="1" outlineLevel="1">
      <c r="C110" s="236" t="s">
        <v>443</v>
      </c>
      <c r="D110" s="236" t="s">
        <v>445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7" t="s">
        <v>16</v>
      </c>
      <c r="P110" s="807" t="s">
        <v>453</v>
      </c>
    </row>
    <row r="111" spans="3:16" hidden="1" outlineLevel="1">
      <c r="C111" s="236" t="s">
        <v>444</v>
      </c>
      <c r="D111" s="236" t="s">
        <v>379</v>
      </c>
      <c r="G111" s="452">
        <f>G99*G$53</f>
        <v>0</v>
      </c>
      <c r="H111" s="452">
        <f t="shared" ref="H111:N111" si="41">H99*H$53</f>
        <v>0</v>
      </c>
      <c r="I111" s="452">
        <f t="shared" si="41"/>
        <v>0</v>
      </c>
      <c r="J111" s="452">
        <f t="shared" si="41"/>
        <v>0</v>
      </c>
      <c r="K111" s="452">
        <f t="shared" si="41"/>
        <v>0</v>
      </c>
      <c r="L111" s="452">
        <f t="shared" si="41"/>
        <v>0</v>
      </c>
      <c r="M111" s="452">
        <f t="shared" si="41"/>
        <v>0</v>
      </c>
      <c r="N111" s="452">
        <f t="shared" si="41"/>
        <v>0</v>
      </c>
      <c r="O111" s="452">
        <f t="shared" ref="O111:O119" si="42">SUM(F111:N111)</f>
        <v>0</v>
      </c>
      <c r="P111" s="452">
        <f t="shared" ref="P111:P119" si="43">SUM(I111:M111)</f>
        <v>0</v>
      </c>
    </row>
    <row r="112" spans="3:16" hidden="1" outlineLevel="1">
      <c r="D112" s="236" t="s">
        <v>380</v>
      </c>
      <c r="G112" s="452">
        <f t="shared" ref="G112:N119" si="44">G100*G$53</f>
        <v>0</v>
      </c>
      <c r="H112" s="452">
        <f t="shared" si="44"/>
        <v>0</v>
      </c>
      <c r="I112" s="452">
        <f t="shared" si="44"/>
        <v>0</v>
      </c>
      <c r="J112" s="452">
        <f t="shared" si="44"/>
        <v>0</v>
      </c>
      <c r="K112" s="452">
        <f t="shared" si="44"/>
        <v>0</v>
      </c>
      <c r="L112" s="452">
        <f t="shared" si="44"/>
        <v>0</v>
      </c>
      <c r="M112" s="452">
        <f t="shared" si="44"/>
        <v>0</v>
      </c>
      <c r="N112" s="452">
        <f t="shared" si="44"/>
        <v>0</v>
      </c>
      <c r="O112" s="452">
        <f t="shared" si="42"/>
        <v>0</v>
      </c>
      <c r="P112" s="452">
        <f t="shared" si="43"/>
        <v>0</v>
      </c>
    </row>
    <row r="113" spans="4:16" hidden="1" outlineLevel="1">
      <c r="D113" s="236" t="s">
        <v>381</v>
      </c>
      <c r="G113" s="452">
        <f t="shared" si="44"/>
        <v>0</v>
      </c>
      <c r="H113" s="452">
        <f t="shared" si="44"/>
        <v>0</v>
      </c>
      <c r="I113" s="452">
        <f t="shared" si="44"/>
        <v>0</v>
      </c>
      <c r="J113" s="452">
        <f t="shared" si="44"/>
        <v>0</v>
      </c>
      <c r="K113" s="452">
        <f t="shared" si="44"/>
        <v>0</v>
      </c>
      <c r="L113" s="452">
        <f t="shared" si="44"/>
        <v>0</v>
      </c>
      <c r="M113" s="452">
        <f t="shared" si="44"/>
        <v>0</v>
      </c>
      <c r="N113" s="452">
        <f t="shared" si="44"/>
        <v>0</v>
      </c>
      <c r="O113" s="452">
        <f t="shared" si="42"/>
        <v>0</v>
      </c>
      <c r="P113" s="452">
        <f t="shared" si="43"/>
        <v>0</v>
      </c>
    </row>
    <row r="114" spans="4:16" hidden="1" outlineLevel="1">
      <c r="D114" s="236" t="s">
        <v>382</v>
      </c>
      <c r="G114" s="452">
        <f t="shared" si="44"/>
        <v>0</v>
      </c>
      <c r="H114" s="452">
        <f t="shared" si="44"/>
        <v>0</v>
      </c>
      <c r="I114" s="452">
        <f t="shared" si="44"/>
        <v>0</v>
      </c>
      <c r="J114" s="452">
        <f t="shared" si="44"/>
        <v>0</v>
      </c>
      <c r="K114" s="452">
        <f t="shared" si="44"/>
        <v>0</v>
      </c>
      <c r="L114" s="452">
        <f t="shared" si="44"/>
        <v>0</v>
      </c>
      <c r="M114" s="452">
        <f t="shared" si="44"/>
        <v>0</v>
      </c>
      <c r="N114" s="452">
        <f t="shared" si="44"/>
        <v>0</v>
      </c>
      <c r="O114" s="452">
        <f t="shared" si="42"/>
        <v>0</v>
      </c>
      <c r="P114" s="452">
        <f t="shared" si="43"/>
        <v>0</v>
      </c>
    </row>
    <row r="115" spans="4:16" hidden="1" outlineLevel="1">
      <c r="D115" s="236" t="s">
        <v>383</v>
      </c>
      <c r="G115" s="452">
        <f t="shared" si="44"/>
        <v>264.25612781954891</v>
      </c>
      <c r="H115" s="452">
        <f t="shared" si="44"/>
        <v>0</v>
      </c>
      <c r="I115" s="452">
        <f t="shared" si="44"/>
        <v>0</v>
      </c>
      <c r="J115" s="452">
        <f t="shared" si="44"/>
        <v>0</v>
      </c>
      <c r="K115" s="452">
        <f t="shared" si="44"/>
        <v>0</v>
      </c>
      <c r="L115" s="452">
        <f t="shared" si="44"/>
        <v>0</v>
      </c>
      <c r="M115" s="452">
        <f t="shared" si="44"/>
        <v>0</v>
      </c>
      <c r="N115" s="452">
        <f t="shared" si="44"/>
        <v>0</v>
      </c>
      <c r="O115" s="452">
        <f t="shared" si="42"/>
        <v>264.25612781954891</v>
      </c>
      <c r="P115" s="452">
        <f t="shared" si="43"/>
        <v>0</v>
      </c>
    </row>
    <row r="116" spans="4:16" hidden="1" outlineLevel="1">
      <c r="D116" s="236" t="s">
        <v>384</v>
      </c>
      <c r="G116" s="452">
        <f t="shared" si="44"/>
        <v>0</v>
      </c>
      <c r="H116" s="452">
        <f t="shared" si="44"/>
        <v>0</v>
      </c>
      <c r="I116" s="452">
        <f t="shared" si="44"/>
        <v>0</v>
      </c>
      <c r="J116" s="452">
        <f t="shared" si="44"/>
        <v>0</v>
      </c>
      <c r="K116" s="452">
        <f t="shared" si="44"/>
        <v>0</v>
      </c>
      <c r="L116" s="452">
        <f t="shared" si="44"/>
        <v>0</v>
      </c>
      <c r="M116" s="452">
        <f t="shared" si="44"/>
        <v>0</v>
      </c>
      <c r="N116" s="452">
        <f t="shared" si="44"/>
        <v>0</v>
      </c>
      <c r="O116" s="452">
        <f t="shared" si="42"/>
        <v>0</v>
      </c>
      <c r="P116" s="452">
        <f t="shared" si="43"/>
        <v>0</v>
      </c>
    </row>
    <row r="117" spans="4:16" hidden="1" outlineLevel="1">
      <c r="D117" s="236" t="s">
        <v>385</v>
      </c>
      <c r="G117" s="452">
        <f t="shared" si="44"/>
        <v>0</v>
      </c>
      <c r="H117" s="452">
        <f t="shared" si="44"/>
        <v>0</v>
      </c>
      <c r="I117" s="452">
        <f t="shared" si="44"/>
        <v>0</v>
      </c>
      <c r="J117" s="452">
        <f t="shared" si="44"/>
        <v>0</v>
      </c>
      <c r="K117" s="452">
        <f t="shared" si="44"/>
        <v>0</v>
      </c>
      <c r="L117" s="452">
        <f t="shared" si="44"/>
        <v>0</v>
      </c>
      <c r="M117" s="452">
        <f t="shared" si="44"/>
        <v>0</v>
      </c>
      <c r="N117" s="452">
        <f t="shared" si="44"/>
        <v>0</v>
      </c>
      <c r="O117" s="452">
        <f t="shared" si="42"/>
        <v>0</v>
      </c>
      <c r="P117" s="452">
        <f t="shared" si="43"/>
        <v>0</v>
      </c>
    </row>
    <row r="118" spans="4:16" hidden="1" outlineLevel="1">
      <c r="D118" s="236" t="s">
        <v>386</v>
      </c>
      <c r="G118" s="452">
        <f t="shared" si="44"/>
        <v>0</v>
      </c>
      <c r="H118" s="452">
        <f t="shared" si="44"/>
        <v>0</v>
      </c>
      <c r="I118" s="452">
        <f t="shared" si="44"/>
        <v>0</v>
      </c>
      <c r="J118" s="452">
        <f t="shared" si="44"/>
        <v>0</v>
      </c>
      <c r="K118" s="452">
        <f t="shared" si="44"/>
        <v>0</v>
      </c>
      <c r="L118" s="452">
        <f t="shared" si="44"/>
        <v>0</v>
      </c>
      <c r="M118" s="452">
        <f t="shared" si="44"/>
        <v>0</v>
      </c>
      <c r="N118" s="452">
        <f t="shared" si="44"/>
        <v>0</v>
      </c>
      <c r="O118" s="452">
        <f t="shared" si="42"/>
        <v>0</v>
      </c>
      <c r="P118" s="452">
        <f t="shared" si="43"/>
        <v>0</v>
      </c>
    </row>
    <row r="119" spans="4:16" hidden="1" outlineLevel="1">
      <c r="D119" s="236" t="s">
        <v>387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6" t="s">
        <v>440</v>
      </c>
      <c r="G120" s="452">
        <f>SUM(G111:G119)</f>
        <v>264.25612781954891</v>
      </c>
      <c r="H120" s="452">
        <f t="shared" ref="H120:P120" si="45">SUM(H111:H119)</f>
        <v>0</v>
      </c>
      <c r="I120" s="452">
        <f t="shared" si="45"/>
        <v>0</v>
      </c>
      <c r="J120" s="452">
        <f t="shared" si="45"/>
        <v>0</v>
      </c>
      <c r="K120" s="452">
        <f t="shared" si="45"/>
        <v>0</v>
      </c>
      <c r="L120" s="452">
        <f t="shared" si="45"/>
        <v>0</v>
      </c>
      <c r="M120" s="452">
        <f t="shared" si="45"/>
        <v>0</v>
      </c>
      <c r="N120" s="452">
        <f t="shared" si="45"/>
        <v>0</v>
      </c>
      <c r="O120" s="452">
        <f t="shared" si="45"/>
        <v>264.25612781954891</v>
      </c>
      <c r="P120" s="452">
        <f t="shared" si="45"/>
        <v>0</v>
      </c>
    </row>
    <row r="121" spans="4:16" hidden="1" outlineLevel="1"/>
    <row r="122" spans="4:16" hidden="1" outlineLevel="1">
      <c r="D122" s="236" t="s">
        <v>446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453</v>
      </c>
    </row>
    <row r="123" spans="4:16" hidden="1" outlineLevel="1">
      <c r="D123" s="236" t="s">
        <v>379</v>
      </c>
      <c r="G123" s="452">
        <f>G99*G$51</f>
        <v>0</v>
      </c>
      <c r="H123" s="452">
        <f t="shared" ref="H123:N123" si="46">H99*H$51</f>
        <v>0</v>
      </c>
      <c r="I123" s="452">
        <f t="shared" si="46"/>
        <v>0</v>
      </c>
      <c r="J123" s="452">
        <f t="shared" si="46"/>
        <v>0</v>
      </c>
      <c r="K123" s="452">
        <f t="shared" si="46"/>
        <v>0</v>
      </c>
      <c r="L123" s="452">
        <f t="shared" si="46"/>
        <v>0</v>
      </c>
      <c r="M123" s="452">
        <f t="shared" si="46"/>
        <v>0</v>
      </c>
      <c r="N123" s="452">
        <f t="shared" si="46"/>
        <v>0</v>
      </c>
      <c r="O123" s="452">
        <f t="shared" ref="O123:O131" si="47">SUM(F123:N123)</f>
        <v>0</v>
      </c>
      <c r="P123" s="452">
        <f t="shared" ref="P123:P131" si="48">SUM(I123:M123)</f>
        <v>0</v>
      </c>
    </row>
    <row r="124" spans="4:16" hidden="1" outlineLevel="1">
      <c r="D124" s="236" t="s">
        <v>380</v>
      </c>
      <c r="G124" s="452">
        <f t="shared" ref="G124:N131" si="49">G100*G$51</f>
        <v>0</v>
      </c>
      <c r="H124" s="452">
        <f t="shared" si="49"/>
        <v>0</v>
      </c>
      <c r="I124" s="452">
        <f t="shared" si="49"/>
        <v>0</v>
      </c>
      <c r="J124" s="452">
        <f t="shared" si="49"/>
        <v>0</v>
      </c>
      <c r="K124" s="452">
        <f t="shared" si="49"/>
        <v>0</v>
      </c>
      <c r="L124" s="452">
        <f t="shared" si="49"/>
        <v>0</v>
      </c>
      <c r="M124" s="452">
        <f t="shared" si="49"/>
        <v>0</v>
      </c>
      <c r="N124" s="452">
        <f t="shared" si="49"/>
        <v>0</v>
      </c>
      <c r="O124" s="452">
        <f t="shared" si="47"/>
        <v>0</v>
      </c>
      <c r="P124" s="452">
        <f t="shared" si="48"/>
        <v>0</v>
      </c>
    </row>
    <row r="125" spans="4:16" hidden="1" outlineLevel="1">
      <c r="D125" s="236" t="s">
        <v>381</v>
      </c>
      <c r="G125" s="452">
        <f t="shared" si="49"/>
        <v>0</v>
      </c>
      <c r="H125" s="452">
        <f t="shared" si="49"/>
        <v>0</v>
      </c>
      <c r="I125" s="452">
        <f t="shared" si="49"/>
        <v>0</v>
      </c>
      <c r="J125" s="452">
        <f t="shared" si="49"/>
        <v>0</v>
      </c>
      <c r="K125" s="452">
        <f t="shared" si="49"/>
        <v>0</v>
      </c>
      <c r="L125" s="452">
        <f t="shared" si="49"/>
        <v>0</v>
      </c>
      <c r="M125" s="452">
        <f t="shared" si="49"/>
        <v>0</v>
      </c>
      <c r="N125" s="452">
        <f t="shared" si="49"/>
        <v>0</v>
      </c>
      <c r="O125" s="452">
        <f t="shared" si="47"/>
        <v>0</v>
      </c>
      <c r="P125" s="452">
        <f t="shared" si="48"/>
        <v>0</v>
      </c>
    </row>
    <row r="126" spans="4:16" hidden="1" outlineLevel="1">
      <c r="D126" s="236" t="s">
        <v>382</v>
      </c>
      <c r="G126" s="452">
        <f t="shared" si="49"/>
        <v>0</v>
      </c>
      <c r="H126" s="452">
        <f t="shared" si="49"/>
        <v>0</v>
      </c>
      <c r="I126" s="452">
        <f t="shared" si="49"/>
        <v>0</v>
      </c>
      <c r="J126" s="452">
        <f t="shared" si="49"/>
        <v>0</v>
      </c>
      <c r="K126" s="452">
        <f t="shared" si="49"/>
        <v>0</v>
      </c>
      <c r="L126" s="452">
        <f t="shared" si="49"/>
        <v>0</v>
      </c>
      <c r="M126" s="452">
        <f t="shared" si="49"/>
        <v>0</v>
      </c>
      <c r="N126" s="452">
        <f t="shared" si="49"/>
        <v>0</v>
      </c>
      <c r="O126" s="452">
        <f t="shared" si="47"/>
        <v>0</v>
      </c>
      <c r="P126" s="452">
        <f t="shared" si="48"/>
        <v>0</v>
      </c>
    </row>
    <row r="127" spans="4:16" hidden="1" outlineLevel="1">
      <c r="D127" s="236" t="s">
        <v>383</v>
      </c>
      <c r="G127" s="452">
        <f t="shared" si="49"/>
        <v>66.452158142622196</v>
      </c>
      <c r="H127" s="452">
        <f t="shared" si="49"/>
        <v>0</v>
      </c>
      <c r="I127" s="452">
        <f t="shared" si="49"/>
        <v>0</v>
      </c>
      <c r="J127" s="452">
        <f t="shared" si="49"/>
        <v>0</v>
      </c>
      <c r="K127" s="452">
        <f t="shared" si="49"/>
        <v>0</v>
      </c>
      <c r="L127" s="452">
        <f t="shared" si="49"/>
        <v>0</v>
      </c>
      <c r="M127" s="452">
        <f t="shared" si="49"/>
        <v>0</v>
      </c>
      <c r="N127" s="452">
        <f t="shared" si="49"/>
        <v>0</v>
      </c>
      <c r="O127" s="452">
        <f t="shared" si="47"/>
        <v>66.452158142622196</v>
      </c>
      <c r="P127" s="452">
        <f t="shared" si="48"/>
        <v>0</v>
      </c>
    </row>
    <row r="128" spans="4:16" hidden="1" outlineLevel="1">
      <c r="D128" s="236" t="s">
        <v>384</v>
      </c>
      <c r="G128" s="452">
        <f t="shared" si="49"/>
        <v>0</v>
      </c>
      <c r="H128" s="452">
        <f t="shared" si="49"/>
        <v>0</v>
      </c>
      <c r="I128" s="452">
        <f t="shared" si="49"/>
        <v>0</v>
      </c>
      <c r="J128" s="452">
        <f t="shared" si="49"/>
        <v>0</v>
      </c>
      <c r="K128" s="452">
        <f t="shared" si="49"/>
        <v>0</v>
      </c>
      <c r="L128" s="452">
        <f t="shared" si="49"/>
        <v>0</v>
      </c>
      <c r="M128" s="452">
        <f t="shared" si="49"/>
        <v>0</v>
      </c>
      <c r="N128" s="452">
        <f t="shared" si="49"/>
        <v>0</v>
      </c>
      <c r="O128" s="452">
        <f t="shared" si="47"/>
        <v>0</v>
      </c>
      <c r="P128" s="452">
        <f t="shared" si="48"/>
        <v>0</v>
      </c>
    </row>
    <row r="129" spans="4:16" hidden="1" outlineLevel="1">
      <c r="D129" s="236" t="s">
        <v>385</v>
      </c>
      <c r="G129" s="452">
        <f t="shared" si="49"/>
        <v>0</v>
      </c>
      <c r="H129" s="452">
        <f t="shared" si="49"/>
        <v>0</v>
      </c>
      <c r="I129" s="452">
        <f t="shared" si="49"/>
        <v>0</v>
      </c>
      <c r="J129" s="452">
        <f t="shared" si="49"/>
        <v>0</v>
      </c>
      <c r="K129" s="452">
        <f t="shared" si="49"/>
        <v>0</v>
      </c>
      <c r="L129" s="452">
        <f t="shared" si="49"/>
        <v>0</v>
      </c>
      <c r="M129" s="452">
        <f t="shared" si="49"/>
        <v>0</v>
      </c>
      <c r="N129" s="452">
        <f t="shared" si="49"/>
        <v>0</v>
      </c>
      <c r="O129" s="452">
        <f t="shared" si="47"/>
        <v>0</v>
      </c>
      <c r="P129" s="452">
        <f t="shared" si="48"/>
        <v>0</v>
      </c>
    </row>
    <row r="130" spans="4:16" hidden="1" outlineLevel="1">
      <c r="D130" s="236" t="s">
        <v>386</v>
      </c>
      <c r="G130" s="452">
        <f t="shared" si="49"/>
        <v>0</v>
      </c>
      <c r="H130" s="452">
        <f t="shared" si="49"/>
        <v>0</v>
      </c>
      <c r="I130" s="452">
        <f t="shared" si="49"/>
        <v>0</v>
      </c>
      <c r="J130" s="452">
        <f t="shared" si="49"/>
        <v>0</v>
      </c>
      <c r="K130" s="452">
        <f t="shared" si="49"/>
        <v>0</v>
      </c>
      <c r="L130" s="452">
        <f t="shared" si="49"/>
        <v>0</v>
      </c>
      <c r="M130" s="452">
        <f t="shared" si="49"/>
        <v>0</v>
      </c>
      <c r="N130" s="452">
        <f t="shared" si="49"/>
        <v>0</v>
      </c>
      <c r="O130" s="452">
        <f t="shared" si="47"/>
        <v>0</v>
      </c>
      <c r="P130" s="452">
        <f t="shared" si="48"/>
        <v>0</v>
      </c>
    </row>
    <row r="131" spans="4:16" hidden="1" outlineLevel="1">
      <c r="D131" s="236" t="s">
        <v>387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6" t="s">
        <v>441</v>
      </c>
      <c r="G132" s="452">
        <f>SUM(G123:G131)</f>
        <v>66.452158142622196</v>
      </c>
      <c r="H132" s="452">
        <f t="shared" ref="H132:P132" si="50">SUM(H123:H131)</f>
        <v>0</v>
      </c>
      <c r="I132" s="452">
        <f t="shared" si="50"/>
        <v>0</v>
      </c>
      <c r="J132" s="452">
        <f t="shared" si="50"/>
        <v>0</v>
      </c>
      <c r="K132" s="452">
        <f t="shared" si="50"/>
        <v>0</v>
      </c>
      <c r="L132" s="452">
        <f t="shared" si="50"/>
        <v>0</v>
      </c>
      <c r="M132" s="452">
        <f t="shared" si="50"/>
        <v>0</v>
      </c>
      <c r="N132" s="452">
        <f t="shared" si="50"/>
        <v>0</v>
      </c>
      <c r="O132" s="452">
        <f t="shared" si="50"/>
        <v>66.452158142622196</v>
      </c>
      <c r="P132" s="452">
        <f t="shared" si="50"/>
        <v>0</v>
      </c>
    </row>
    <row r="133" spans="4:16" hidden="1" outlineLevel="1"/>
    <row r="134" spans="4:16" hidden="1" outlineLevel="1">
      <c r="D134" s="236" t="s">
        <v>447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453</v>
      </c>
    </row>
    <row r="135" spans="4:16" hidden="1" outlineLevel="1">
      <c r="D135" s="236" t="s">
        <v>379</v>
      </c>
      <c r="G135" s="452">
        <f>G99*G$52</f>
        <v>0</v>
      </c>
      <c r="H135" s="452">
        <f t="shared" ref="H135:N135" si="51">H99*H$52</f>
        <v>0</v>
      </c>
      <c r="I135" s="452">
        <f t="shared" si="51"/>
        <v>0</v>
      </c>
      <c r="J135" s="452">
        <f t="shared" si="51"/>
        <v>0</v>
      </c>
      <c r="K135" s="452">
        <f t="shared" si="51"/>
        <v>0</v>
      </c>
      <c r="L135" s="452">
        <f t="shared" si="51"/>
        <v>0</v>
      </c>
      <c r="M135" s="452">
        <f t="shared" si="51"/>
        <v>0</v>
      </c>
      <c r="N135" s="452">
        <f t="shared" si="51"/>
        <v>0</v>
      </c>
      <c r="O135" s="452">
        <f t="shared" ref="O135:O143" si="52">SUM(F135:N135)</f>
        <v>0</v>
      </c>
      <c r="P135" s="452">
        <f t="shared" ref="P135:P143" si="53">SUM(I135:M135)</f>
        <v>0</v>
      </c>
    </row>
    <row r="136" spans="4:16" hidden="1" outlineLevel="1">
      <c r="D136" s="236" t="s">
        <v>380</v>
      </c>
      <c r="G136" s="452">
        <f t="shared" ref="G136:N143" si="54">G100*G$52</f>
        <v>0</v>
      </c>
      <c r="H136" s="452">
        <f t="shared" si="54"/>
        <v>0</v>
      </c>
      <c r="I136" s="452">
        <f t="shared" si="54"/>
        <v>0</v>
      </c>
      <c r="J136" s="452">
        <f t="shared" si="54"/>
        <v>0</v>
      </c>
      <c r="K136" s="452">
        <f t="shared" si="54"/>
        <v>0</v>
      </c>
      <c r="L136" s="452">
        <f t="shared" si="54"/>
        <v>0</v>
      </c>
      <c r="M136" s="452">
        <f t="shared" si="54"/>
        <v>0</v>
      </c>
      <c r="N136" s="452">
        <f t="shared" si="54"/>
        <v>0</v>
      </c>
      <c r="O136" s="452">
        <f t="shared" si="52"/>
        <v>0</v>
      </c>
      <c r="P136" s="452">
        <f t="shared" si="53"/>
        <v>0</v>
      </c>
    </row>
    <row r="137" spans="4:16" hidden="1" outlineLevel="1">
      <c r="D137" s="236" t="s">
        <v>381</v>
      </c>
      <c r="G137" s="452">
        <f t="shared" si="54"/>
        <v>0</v>
      </c>
      <c r="H137" s="452">
        <f t="shared" si="54"/>
        <v>0</v>
      </c>
      <c r="I137" s="452">
        <f t="shared" si="54"/>
        <v>0</v>
      </c>
      <c r="J137" s="452">
        <f t="shared" si="54"/>
        <v>0</v>
      </c>
      <c r="K137" s="452">
        <f t="shared" si="54"/>
        <v>0</v>
      </c>
      <c r="L137" s="452">
        <f t="shared" si="54"/>
        <v>0</v>
      </c>
      <c r="M137" s="452">
        <f t="shared" si="54"/>
        <v>0</v>
      </c>
      <c r="N137" s="452">
        <f t="shared" si="54"/>
        <v>0</v>
      </c>
      <c r="O137" s="452">
        <f t="shared" si="52"/>
        <v>0</v>
      </c>
      <c r="P137" s="452">
        <f t="shared" si="53"/>
        <v>0</v>
      </c>
    </row>
    <row r="138" spans="4:16" hidden="1" outlineLevel="1">
      <c r="D138" s="236" t="s">
        <v>382</v>
      </c>
      <c r="G138" s="452">
        <f t="shared" si="54"/>
        <v>0</v>
      </c>
      <c r="H138" s="452">
        <f t="shared" si="54"/>
        <v>0</v>
      </c>
      <c r="I138" s="452">
        <f t="shared" si="54"/>
        <v>0</v>
      </c>
      <c r="J138" s="452">
        <f t="shared" si="54"/>
        <v>0</v>
      </c>
      <c r="K138" s="452">
        <f t="shared" si="54"/>
        <v>0</v>
      </c>
      <c r="L138" s="452">
        <f t="shared" si="54"/>
        <v>0</v>
      </c>
      <c r="M138" s="452">
        <f t="shared" si="54"/>
        <v>0</v>
      </c>
      <c r="N138" s="452">
        <f t="shared" si="54"/>
        <v>0</v>
      </c>
      <c r="O138" s="452">
        <f t="shared" si="52"/>
        <v>0</v>
      </c>
      <c r="P138" s="452">
        <f t="shared" si="53"/>
        <v>0</v>
      </c>
    </row>
    <row r="139" spans="4:16" hidden="1" outlineLevel="1">
      <c r="D139" s="236" t="s">
        <v>383</v>
      </c>
      <c r="G139" s="452">
        <f t="shared" si="54"/>
        <v>331.67447242951124</v>
      </c>
      <c r="H139" s="452">
        <f t="shared" si="54"/>
        <v>0</v>
      </c>
      <c r="I139" s="452">
        <f t="shared" si="54"/>
        <v>0</v>
      </c>
      <c r="J139" s="452">
        <f t="shared" si="54"/>
        <v>0</v>
      </c>
      <c r="K139" s="452">
        <f t="shared" si="54"/>
        <v>0</v>
      </c>
      <c r="L139" s="452">
        <f t="shared" si="54"/>
        <v>0</v>
      </c>
      <c r="M139" s="452">
        <f t="shared" si="54"/>
        <v>0</v>
      </c>
      <c r="N139" s="452">
        <f t="shared" si="54"/>
        <v>0</v>
      </c>
      <c r="O139" s="452">
        <f t="shared" si="52"/>
        <v>331.67447242951124</v>
      </c>
      <c r="P139" s="452">
        <f t="shared" si="53"/>
        <v>0</v>
      </c>
    </row>
    <row r="140" spans="4:16" hidden="1" outlineLevel="1">
      <c r="D140" s="236" t="s">
        <v>384</v>
      </c>
      <c r="G140" s="452">
        <f t="shared" si="54"/>
        <v>0</v>
      </c>
      <c r="H140" s="452">
        <f t="shared" si="54"/>
        <v>0</v>
      </c>
      <c r="I140" s="452">
        <f t="shared" si="54"/>
        <v>0</v>
      </c>
      <c r="J140" s="452">
        <f t="shared" si="54"/>
        <v>0</v>
      </c>
      <c r="K140" s="452">
        <f t="shared" si="54"/>
        <v>0</v>
      </c>
      <c r="L140" s="452">
        <f t="shared" si="54"/>
        <v>0</v>
      </c>
      <c r="M140" s="452">
        <f t="shared" si="54"/>
        <v>0</v>
      </c>
      <c r="N140" s="452">
        <f t="shared" si="54"/>
        <v>0</v>
      </c>
      <c r="O140" s="452">
        <f t="shared" si="52"/>
        <v>0</v>
      </c>
      <c r="P140" s="452">
        <f t="shared" si="53"/>
        <v>0</v>
      </c>
    </row>
    <row r="141" spans="4:16" hidden="1" outlineLevel="1">
      <c r="D141" s="236" t="s">
        <v>385</v>
      </c>
      <c r="G141" s="452">
        <f t="shared" si="54"/>
        <v>0</v>
      </c>
      <c r="H141" s="452">
        <f t="shared" si="54"/>
        <v>0</v>
      </c>
      <c r="I141" s="452">
        <f t="shared" si="54"/>
        <v>0</v>
      </c>
      <c r="J141" s="452">
        <f t="shared" si="54"/>
        <v>0</v>
      </c>
      <c r="K141" s="452">
        <f t="shared" si="54"/>
        <v>0</v>
      </c>
      <c r="L141" s="452">
        <f t="shared" si="54"/>
        <v>0</v>
      </c>
      <c r="M141" s="452">
        <f t="shared" si="54"/>
        <v>0</v>
      </c>
      <c r="N141" s="452">
        <f t="shared" si="54"/>
        <v>0</v>
      </c>
      <c r="O141" s="452">
        <f t="shared" si="52"/>
        <v>0</v>
      </c>
      <c r="P141" s="452">
        <f t="shared" si="53"/>
        <v>0</v>
      </c>
    </row>
    <row r="142" spans="4:16" hidden="1" outlineLevel="1">
      <c r="D142" s="236" t="s">
        <v>386</v>
      </c>
      <c r="G142" s="452">
        <f t="shared" si="54"/>
        <v>0</v>
      </c>
      <c r="H142" s="452">
        <f t="shared" si="54"/>
        <v>0</v>
      </c>
      <c r="I142" s="452">
        <f t="shared" si="54"/>
        <v>0</v>
      </c>
      <c r="J142" s="452">
        <f t="shared" si="54"/>
        <v>0</v>
      </c>
      <c r="K142" s="452">
        <f t="shared" si="54"/>
        <v>0</v>
      </c>
      <c r="L142" s="452">
        <f t="shared" si="54"/>
        <v>0</v>
      </c>
      <c r="M142" s="452">
        <f t="shared" si="54"/>
        <v>0</v>
      </c>
      <c r="N142" s="452">
        <f t="shared" si="54"/>
        <v>0</v>
      </c>
      <c r="O142" s="452">
        <f t="shared" si="52"/>
        <v>0</v>
      </c>
      <c r="P142" s="452">
        <f t="shared" si="53"/>
        <v>0</v>
      </c>
    </row>
    <row r="143" spans="4:16" hidden="1" outlineLevel="1">
      <c r="D143" s="236" t="s">
        <v>387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6" t="s">
        <v>442</v>
      </c>
      <c r="G144" s="452">
        <f>SUM(G135:G143)</f>
        <v>331.67447242951124</v>
      </c>
      <c r="H144" s="452">
        <f t="shared" ref="H144:P144" si="55">SUM(H135:H143)</f>
        <v>0</v>
      </c>
      <c r="I144" s="452">
        <f t="shared" si="55"/>
        <v>0</v>
      </c>
      <c r="J144" s="452">
        <f t="shared" si="55"/>
        <v>0</v>
      </c>
      <c r="K144" s="452">
        <f t="shared" si="55"/>
        <v>0</v>
      </c>
      <c r="L144" s="452">
        <f t="shared" si="55"/>
        <v>0</v>
      </c>
      <c r="M144" s="452">
        <f t="shared" si="55"/>
        <v>0</v>
      </c>
      <c r="N144" s="452">
        <f t="shared" si="55"/>
        <v>0</v>
      </c>
      <c r="O144" s="452">
        <f t="shared" si="55"/>
        <v>331.67447242951124</v>
      </c>
      <c r="P144" s="452">
        <f t="shared" si="55"/>
        <v>0</v>
      </c>
    </row>
    <row r="145" spans="4:16" hidden="1" outlineLevel="1" collapsed="1"/>
    <row r="146" spans="4:16" hidden="1" outlineLevel="1">
      <c r="D146" s="236" t="s">
        <v>454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453</v>
      </c>
    </row>
    <row r="147" spans="4:16" hidden="1" outlineLevel="1">
      <c r="D147" s="236" t="s">
        <v>379</v>
      </c>
      <c r="G147" s="452">
        <f t="shared" ref="G147:N155" si="56">G111+G123+G135</f>
        <v>0</v>
      </c>
      <c r="H147" s="452">
        <f t="shared" si="56"/>
        <v>0</v>
      </c>
      <c r="I147" s="452">
        <f t="shared" si="56"/>
        <v>0</v>
      </c>
      <c r="J147" s="452">
        <f t="shared" si="56"/>
        <v>0</v>
      </c>
      <c r="K147" s="452">
        <f t="shared" si="56"/>
        <v>0</v>
      </c>
      <c r="L147" s="452">
        <f t="shared" si="56"/>
        <v>0</v>
      </c>
      <c r="M147" s="452">
        <f t="shared" si="56"/>
        <v>0</v>
      </c>
      <c r="N147" s="452">
        <f t="shared" si="56"/>
        <v>0</v>
      </c>
      <c r="O147" s="452">
        <f t="shared" ref="O147:O155" si="57">SUM(F147:N147)</f>
        <v>0</v>
      </c>
      <c r="P147" s="452">
        <f t="shared" ref="P147:P155" si="58">SUM(I147:M147)</f>
        <v>0</v>
      </c>
    </row>
    <row r="148" spans="4:16" hidden="1" outlineLevel="1">
      <c r="D148" s="236" t="s">
        <v>380</v>
      </c>
      <c r="G148" s="452">
        <f t="shared" si="56"/>
        <v>0</v>
      </c>
      <c r="H148" s="452">
        <f t="shared" si="56"/>
        <v>0</v>
      </c>
      <c r="I148" s="452">
        <f t="shared" si="56"/>
        <v>0</v>
      </c>
      <c r="J148" s="452">
        <f t="shared" si="56"/>
        <v>0</v>
      </c>
      <c r="K148" s="452">
        <f t="shared" si="56"/>
        <v>0</v>
      </c>
      <c r="L148" s="452">
        <f t="shared" si="56"/>
        <v>0</v>
      </c>
      <c r="M148" s="452">
        <f t="shared" si="56"/>
        <v>0</v>
      </c>
      <c r="N148" s="452">
        <f t="shared" si="56"/>
        <v>0</v>
      </c>
      <c r="O148" s="452">
        <f t="shared" si="57"/>
        <v>0</v>
      </c>
      <c r="P148" s="452">
        <f t="shared" si="58"/>
        <v>0</v>
      </c>
    </row>
    <row r="149" spans="4:16" hidden="1" outlineLevel="1">
      <c r="D149" s="236" t="s">
        <v>381</v>
      </c>
      <c r="G149" s="452">
        <f t="shared" si="56"/>
        <v>0</v>
      </c>
      <c r="H149" s="452">
        <f t="shared" si="56"/>
        <v>0</v>
      </c>
      <c r="I149" s="452">
        <f t="shared" si="56"/>
        <v>0</v>
      </c>
      <c r="J149" s="452">
        <f t="shared" si="56"/>
        <v>0</v>
      </c>
      <c r="K149" s="452">
        <f t="shared" si="56"/>
        <v>0</v>
      </c>
      <c r="L149" s="452">
        <f t="shared" si="56"/>
        <v>0</v>
      </c>
      <c r="M149" s="452">
        <f t="shared" si="56"/>
        <v>0</v>
      </c>
      <c r="N149" s="452">
        <f t="shared" si="56"/>
        <v>0</v>
      </c>
      <c r="O149" s="452">
        <f t="shared" si="57"/>
        <v>0</v>
      </c>
      <c r="P149" s="452">
        <f t="shared" si="58"/>
        <v>0</v>
      </c>
    </row>
    <row r="150" spans="4:16" hidden="1" outlineLevel="1">
      <c r="D150" s="236" t="s">
        <v>382</v>
      </c>
      <c r="G150" s="452">
        <f t="shared" si="56"/>
        <v>0</v>
      </c>
      <c r="H150" s="452">
        <f t="shared" si="56"/>
        <v>0</v>
      </c>
      <c r="I150" s="452">
        <f t="shared" si="56"/>
        <v>0</v>
      </c>
      <c r="J150" s="452">
        <f t="shared" si="56"/>
        <v>0</v>
      </c>
      <c r="K150" s="452">
        <f t="shared" si="56"/>
        <v>0</v>
      </c>
      <c r="L150" s="452">
        <f t="shared" si="56"/>
        <v>0</v>
      </c>
      <c r="M150" s="452">
        <f t="shared" si="56"/>
        <v>0</v>
      </c>
      <c r="N150" s="452">
        <f t="shared" si="56"/>
        <v>0</v>
      </c>
      <c r="O150" s="452">
        <f t="shared" si="57"/>
        <v>0</v>
      </c>
      <c r="P150" s="452">
        <f t="shared" si="58"/>
        <v>0</v>
      </c>
    </row>
    <row r="151" spans="4:16" hidden="1" outlineLevel="1">
      <c r="D151" s="236" t="s">
        <v>383</v>
      </c>
      <c r="G151" s="452">
        <f t="shared" si="56"/>
        <v>662.38275839168227</v>
      </c>
      <c r="H151" s="452">
        <f t="shared" si="56"/>
        <v>0</v>
      </c>
      <c r="I151" s="452">
        <f t="shared" si="56"/>
        <v>0</v>
      </c>
      <c r="J151" s="452">
        <f t="shared" si="56"/>
        <v>0</v>
      </c>
      <c r="K151" s="452">
        <f t="shared" si="56"/>
        <v>0</v>
      </c>
      <c r="L151" s="452">
        <f t="shared" si="56"/>
        <v>0</v>
      </c>
      <c r="M151" s="452">
        <f t="shared" si="56"/>
        <v>0</v>
      </c>
      <c r="N151" s="452">
        <f t="shared" si="56"/>
        <v>0</v>
      </c>
      <c r="O151" s="452">
        <f t="shared" si="57"/>
        <v>662.38275839168227</v>
      </c>
      <c r="P151" s="452">
        <f t="shared" si="58"/>
        <v>0</v>
      </c>
    </row>
    <row r="152" spans="4:16" hidden="1" outlineLevel="1">
      <c r="D152" s="236" t="s">
        <v>384</v>
      </c>
      <c r="G152" s="452">
        <f t="shared" si="56"/>
        <v>0</v>
      </c>
      <c r="H152" s="452">
        <f t="shared" si="56"/>
        <v>0</v>
      </c>
      <c r="I152" s="452">
        <f t="shared" si="56"/>
        <v>0</v>
      </c>
      <c r="J152" s="452">
        <f t="shared" si="56"/>
        <v>0</v>
      </c>
      <c r="K152" s="452">
        <f t="shared" si="56"/>
        <v>0</v>
      </c>
      <c r="L152" s="452">
        <f t="shared" si="56"/>
        <v>0</v>
      </c>
      <c r="M152" s="452">
        <f t="shared" si="56"/>
        <v>0</v>
      </c>
      <c r="N152" s="452">
        <f t="shared" si="56"/>
        <v>0</v>
      </c>
      <c r="O152" s="452">
        <f t="shared" si="57"/>
        <v>0</v>
      </c>
      <c r="P152" s="452">
        <f t="shared" si="58"/>
        <v>0</v>
      </c>
    </row>
    <row r="153" spans="4:16" hidden="1" outlineLevel="1">
      <c r="D153" s="236" t="s">
        <v>385</v>
      </c>
      <c r="G153" s="452">
        <f t="shared" si="56"/>
        <v>0</v>
      </c>
      <c r="H153" s="452">
        <f t="shared" si="56"/>
        <v>0</v>
      </c>
      <c r="I153" s="452">
        <f t="shared" si="56"/>
        <v>0</v>
      </c>
      <c r="J153" s="452">
        <f t="shared" si="56"/>
        <v>0</v>
      </c>
      <c r="K153" s="452">
        <f t="shared" si="56"/>
        <v>0</v>
      </c>
      <c r="L153" s="452">
        <f t="shared" si="56"/>
        <v>0</v>
      </c>
      <c r="M153" s="452">
        <f t="shared" si="56"/>
        <v>0</v>
      </c>
      <c r="N153" s="452">
        <f t="shared" si="56"/>
        <v>0</v>
      </c>
      <c r="O153" s="452">
        <f t="shared" si="57"/>
        <v>0</v>
      </c>
      <c r="P153" s="452">
        <f t="shared" si="58"/>
        <v>0</v>
      </c>
    </row>
    <row r="154" spans="4:16" hidden="1" outlineLevel="1">
      <c r="D154" s="236" t="s">
        <v>386</v>
      </c>
      <c r="G154" s="452">
        <f t="shared" si="56"/>
        <v>0</v>
      </c>
      <c r="H154" s="452">
        <f t="shared" si="56"/>
        <v>0</v>
      </c>
      <c r="I154" s="452">
        <f t="shared" si="56"/>
        <v>0</v>
      </c>
      <c r="J154" s="452">
        <f t="shared" si="56"/>
        <v>0</v>
      </c>
      <c r="K154" s="452">
        <f t="shared" si="56"/>
        <v>0</v>
      </c>
      <c r="L154" s="452">
        <f t="shared" si="56"/>
        <v>0</v>
      </c>
      <c r="M154" s="452">
        <f t="shared" si="56"/>
        <v>0</v>
      </c>
      <c r="N154" s="452">
        <f t="shared" si="56"/>
        <v>0</v>
      </c>
      <c r="O154" s="452">
        <f t="shared" si="57"/>
        <v>0</v>
      </c>
      <c r="P154" s="452">
        <f t="shared" si="58"/>
        <v>0</v>
      </c>
    </row>
    <row r="155" spans="4:16" hidden="1" outlineLevel="1">
      <c r="D155" s="236" t="s">
        <v>387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6" t="s">
        <v>454</v>
      </c>
      <c r="G156" s="452">
        <f>SUM(G147:G155)</f>
        <v>662.38275839168227</v>
      </c>
      <c r="H156" s="452">
        <f t="shared" ref="H156:N156" si="59">SUM(H147:H155)</f>
        <v>0</v>
      </c>
      <c r="I156" s="452">
        <f t="shared" si="59"/>
        <v>0</v>
      </c>
      <c r="J156" s="452">
        <f t="shared" si="59"/>
        <v>0</v>
      </c>
      <c r="K156" s="452">
        <f t="shared" si="59"/>
        <v>0</v>
      </c>
      <c r="L156" s="452">
        <f t="shared" si="59"/>
        <v>0</v>
      </c>
      <c r="M156" s="452">
        <f t="shared" si="59"/>
        <v>0</v>
      </c>
      <c r="N156" s="452">
        <f t="shared" si="59"/>
        <v>0</v>
      </c>
      <c r="O156" s="452">
        <f t="shared" ref="O156:P156" si="60">SUM(O147:O155)</f>
        <v>662.38275839168227</v>
      </c>
      <c r="P156" s="452">
        <f t="shared" si="60"/>
        <v>0</v>
      </c>
    </row>
    <row r="157" spans="4:16" collapsed="1"/>
  </sheetData>
  <mergeCells count="1">
    <mergeCell ref="C13:C14"/>
  </mergeCells>
  <conditionalFormatting sqref="R14">
    <cfRule type="cellIs" dxfId="99" priority="4" operator="equal">
      <formula>"Error"</formula>
    </cfRule>
  </conditionalFormatting>
  <conditionalFormatting sqref="R11">
    <cfRule type="cellIs" dxfId="98" priority="3" operator="equal">
      <formula>"Error"</formula>
    </cfRule>
  </conditionalFormatting>
  <conditionalFormatting sqref="R54">
    <cfRule type="cellIs" dxfId="9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A11" sqref="A11:XFD11"/>
    </sheetView>
  </sheetViews>
  <sheetFormatPr defaultRowHeight="15" outlineLevelRow="1"/>
  <cols>
    <col min="1" max="1" width="4" style="236" customWidth="1"/>
    <col min="2" max="2" width="6.5703125" style="236" customWidth="1"/>
    <col min="3" max="3" width="26.42578125" style="236" customWidth="1"/>
    <col min="4" max="4" width="25.5703125" style="236" customWidth="1"/>
    <col min="5" max="5" width="21.42578125" style="236" customWidth="1"/>
    <col min="6" max="6" width="14.7109375" style="236" customWidth="1"/>
    <col min="7" max="9" width="12.140625" style="236" customWidth="1"/>
    <col min="10" max="10" width="11.28515625" style="236" customWidth="1"/>
    <col min="11" max="11" width="12.7109375" style="236" customWidth="1"/>
    <col min="12" max="14" width="11.28515625" style="236" customWidth="1"/>
    <col min="15" max="15" width="12.28515625" style="236" customWidth="1"/>
    <col min="16" max="16" width="12.5703125" style="236" customWidth="1"/>
    <col min="17" max="19" width="9.140625" style="236"/>
    <col min="20" max="20" width="11.85546875" style="236" customWidth="1"/>
    <col min="21" max="16384" width="9.140625" style="236"/>
  </cols>
  <sheetData>
    <row r="1" spans="1:21">
      <c r="B1" s="574" t="s">
        <v>294</v>
      </c>
      <c r="C1" s="484" t="s">
        <v>290</v>
      </c>
    </row>
    <row r="2" spans="1:21">
      <c r="A2" s="250"/>
      <c r="B2" s="250"/>
      <c r="C2" s="572" t="s">
        <v>293</v>
      </c>
    </row>
    <row r="3" spans="1:21" ht="18.75">
      <c r="A3" s="250"/>
      <c r="B3" s="250"/>
      <c r="D3" s="339" t="str">
        <f>Project_Inputs!B19</f>
        <v>XB56</v>
      </c>
      <c r="E3" s="248"/>
      <c r="F3" s="249" t="s">
        <v>63</v>
      </c>
      <c r="G3" s="249" t="str">
        <f>Project_Inputs!F19</f>
        <v>Yes</v>
      </c>
      <c r="H3" s="248"/>
    </row>
    <row r="4" spans="1:21" ht="18.75">
      <c r="A4" s="250"/>
      <c r="B4" s="250"/>
      <c r="C4" s="485" t="s">
        <v>15</v>
      </c>
      <c r="D4" s="339" t="str">
        <f>Project_Inputs!D19</f>
        <v>HWPS CB Replacement Stage 3</v>
      </c>
      <c r="E4" s="486"/>
      <c r="F4" s="486"/>
      <c r="G4" s="486"/>
    </row>
    <row r="5" spans="1:21">
      <c r="A5" s="250"/>
      <c r="B5" s="250"/>
      <c r="D5" s="248"/>
    </row>
    <row r="6" spans="1:21">
      <c r="A6" s="250"/>
      <c r="B6" s="250"/>
      <c r="C6" s="236" t="s">
        <v>20</v>
      </c>
      <c r="D6" s="338" t="str">
        <f>Project_Inputs!H19</f>
        <v>Network</v>
      </c>
      <c r="E6" s="486"/>
      <c r="F6" s="10"/>
      <c r="G6" s="9" t="s">
        <v>269</v>
      </c>
      <c r="H6" s="248"/>
      <c r="I6" s="487"/>
      <c r="J6" s="487"/>
      <c r="K6" s="487"/>
      <c r="L6" s="487"/>
      <c r="M6" s="487"/>
      <c r="N6" s="487"/>
    </row>
    <row r="7" spans="1:21">
      <c r="A7" s="250"/>
      <c r="B7" s="250"/>
      <c r="C7" s="236" t="s">
        <v>21</v>
      </c>
      <c r="D7" s="338" t="str">
        <f>Project_Inputs!I19</f>
        <v>Replacement - Major Station</v>
      </c>
      <c r="E7" s="486"/>
      <c r="F7" s="486"/>
      <c r="G7" s="486"/>
      <c r="I7" s="487"/>
      <c r="J7" s="487"/>
      <c r="K7" s="487"/>
      <c r="L7" s="487"/>
      <c r="M7" s="487"/>
      <c r="N7" s="487"/>
    </row>
    <row r="8" spans="1:21">
      <c r="A8" s="250"/>
      <c r="B8" s="250"/>
      <c r="C8" s="236" t="s">
        <v>13</v>
      </c>
      <c r="D8" s="338" t="s">
        <v>14</v>
      </c>
      <c r="E8" s="486"/>
      <c r="F8" s="486"/>
      <c r="G8" s="486"/>
      <c r="I8" s="488"/>
      <c r="J8" s="488"/>
      <c r="K8" s="488"/>
      <c r="L8" s="488"/>
      <c r="M8" s="487"/>
      <c r="N8" s="487"/>
    </row>
    <row r="9" spans="1:21">
      <c r="A9" s="250"/>
      <c r="B9" s="250"/>
      <c r="C9" s="236" t="s">
        <v>278</v>
      </c>
      <c r="D9" s="338" t="str">
        <f>Project_Inputs!J19</f>
        <v>Repex_OHD</v>
      </c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489" t="s">
        <v>265</v>
      </c>
      <c r="P9" s="490" t="s">
        <v>231</v>
      </c>
    </row>
    <row r="10" spans="1:21">
      <c r="A10" s="250"/>
      <c r="B10" s="250"/>
      <c r="E10" s="491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492" t="s">
        <v>16</v>
      </c>
      <c r="P10" s="493" t="s">
        <v>16</v>
      </c>
      <c r="R10" s="495" t="s">
        <v>50</v>
      </c>
      <c r="T10" s="495"/>
      <c r="U10" s="250"/>
    </row>
    <row r="11" spans="1:21">
      <c r="A11" s="250"/>
      <c r="B11" s="250"/>
      <c r="C11" s="257" t="s">
        <v>22</v>
      </c>
      <c r="D11" s="353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5338.0357594116831</v>
      </c>
      <c r="G11" s="319">
        <f>IF(G$10="Prior",SUMIFS(Project_Inputs!$W$5:$W$50,Project_Inputs!$D$5:$D$50,$D$4),SUMIFS(Project_Inputs!M$5:M$50,Project_Inputs!$D$5:$D$50,$D$4))</f>
        <v>2733.3210223499991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496">
        <f>SUM(F11:N11)</f>
        <v>8071.3567817616822</v>
      </c>
      <c r="P11" s="497">
        <f t="shared" ref="P11" si="0">SUM(I11:M11)</f>
        <v>0</v>
      </c>
      <c r="R11" s="608" t="str">
        <f>IF(O11=Project_Inputs!V19,"ok","error")</f>
        <v>ok</v>
      </c>
      <c r="T11" s="250"/>
      <c r="U11" s="250"/>
    </row>
    <row r="12" spans="1:21" ht="15" hidden="1" customHeight="1">
      <c r="A12" s="250"/>
      <c r="B12" s="250"/>
      <c r="C12" s="482"/>
      <c r="D12" s="350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496"/>
      <c r="P12" s="497"/>
    </row>
    <row r="13" spans="1:21">
      <c r="A13" s="250"/>
      <c r="B13" s="250"/>
      <c r="C13" s="1006" t="s">
        <v>284</v>
      </c>
      <c r="D13" s="350" t="s">
        <v>65</v>
      </c>
      <c r="E13" s="313"/>
      <c r="F13" s="336"/>
      <c r="G13" s="10"/>
      <c r="H13" s="391"/>
      <c r="I13" s="401"/>
      <c r="J13" s="10"/>
      <c r="K13" s="10"/>
      <c r="L13" s="10"/>
      <c r="M13" s="10"/>
      <c r="N13" s="337"/>
      <c r="O13" s="498"/>
      <c r="P13" s="258"/>
    </row>
    <row r="14" spans="1:21">
      <c r="A14" s="250"/>
      <c r="B14" s="250"/>
      <c r="C14" s="1006"/>
      <c r="D14" s="350" t="str">
        <f>"Direct Expenditure (As Commissioned) - "&amp;Assumptions!C7</f>
        <v>Direct Expenditure (As Commissioned) - $ 2015/16</v>
      </c>
      <c r="E14" s="313"/>
      <c r="F14" s="446">
        <f>IF($G$3="Yes",SUMIFS(Project_Inputs!AJ$5:AJ$50,Project_Inputs!$D$5:$D$50,$D$4),IF(AND(F$13="X",F$10="Prior"),F11,IF(F$13="X",SUM($F11:F11)-SUM(E14:$F14),0)))</f>
        <v>1653.6368890990059</v>
      </c>
      <c r="G14" s="447">
        <f>IF($G$3="Yes",SUMIFS(Project_Inputs!AK$5:AK$50,Project_Inputs!$D$5:$D$50,$D$4),IF(AND(G$13="X",G$10="Prior"),G11,IF(G$13="X",SUM($F11:G11)-SUM(F14:$F14),0)))</f>
        <v>6417.7198926626761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99">
        <f>SUM(F14:N14)</f>
        <v>8071.3567817616822</v>
      </c>
      <c r="P14" s="500">
        <f>SUM(I14:M14)</f>
        <v>0</v>
      </c>
      <c r="R14" s="607" t="str">
        <f>IF(AND(O$11&lt;&gt;0,O$14=0),"Error","ok")</f>
        <v>ok</v>
      </c>
    </row>
    <row r="15" spans="1:21">
      <c r="A15" s="250"/>
      <c r="B15" s="250"/>
      <c r="C15" s="259"/>
      <c r="D15" s="354"/>
      <c r="E15" s="501"/>
      <c r="F15" s="327"/>
      <c r="G15" s="328"/>
      <c r="H15" s="328"/>
      <c r="I15" s="402"/>
      <c r="J15" s="328"/>
      <c r="K15" s="328"/>
      <c r="L15" s="328"/>
      <c r="M15" s="328"/>
      <c r="N15" s="329"/>
      <c r="O15" s="502"/>
      <c r="P15" s="503"/>
    </row>
    <row r="16" spans="1:21">
      <c r="A16" s="250"/>
      <c r="B16" s="250"/>
      <c r="C16" s="258"/>
      <c r="D16" s="504"/>
      <c r="E16" s="313"/>
      <c r="F16" s="325"/>
      <c r="G16" s="326"/>
      <c r="H16" s="330"/>
      <c r="I16" s="403"/>
      <c r="J16" s="330"/>
      <c r="K16" s="330"/>
      <c r="L16" s="330"/>
      <c r="M16" s="330"/>
      <c r="N16" s="331"/>
      <c r="O16" s="505"/>
      <c r="P16" s="258"/>
    </row>
    <row r="17" spans="1:27">
      <c r="A17" s="250"/>
      <c r="B17" s="250"/>
      <c r="C17" s="258" t="s">
        <v>2</v>
      </c>
      <c r="D17" s="350" t="s">
        <v>3</v>
      </c>
      <c r="E17" s="506"/>
      <c r="F17" s="340"/>
      <c r="G17" s="341"/>
      <c r="H17" s="392"/>
      <c r="I17" s="404"/>
      <c r="J17" s="341"/>
      <c r="K17" s="341"/>
      <c r="L17" s="341"/>
      <c r="M17" s="341"/>
      <c r="N17" s="342"/>
      <c r="O17" s="505"/>
      <c r="P17" s="258"/>
    </row>
    <row r="18" spans="1:27">
      <c r="A18" s="250"/>
      <c r="B18" s="250"/>
      <c r="C18" s="258"/>
      <c r="D18" s="350" t="s">
        <v>4</v>
      </c>
      <c r="E18" s="506"/>
      <c r="F18" s="340">
        <v>1</v>
      </c>
      <c r="G18" s="341">
        <v>1</v>
      </c>
      <c r="H18" s="392">
        <v>1</v>
      </c>
      <c r="I18" s="404">
        <v>1</v>
      </c>
      <c r="J18" s="341">
        <v>1</v>
      </c>
      <c r="K18" s="341">
        <v>1</v>
      </c>
      <c r="L18" s="341">
        <v>1</v>
      </c>
      <c r="M18" s="341">
        <v>1</v>
      </c>
      <c r="N18" s="342">
        <v>1</v>
      </c>
      <c r="O18" s="505"/>
      <c r="P18" s="258"/>
    </row>
    <row r="19" spans="1:27">
      <c r="A19" s="250"/>
      <c r="B19" s="250"/>
      <c r="C19" s="258"/>
      <c r="D19" s="350" t="s">
        <v>5</v>
      </c>
      <c r="E19" s="506"/>
      <c r="F19" s="340"/>
      <c r="G19" s="341"/>
      <c r="H19" s="392"/>
      <c r="I19" s="404"/>
      <c r="J19" s="341"/>
      <c r="K19" s="341"/>
      <c r="L19" s="341"/>
      <c r="M19" s="341"/>
      <c r="N19" s="342"/>
      <c r="O19" s="505"/>
      <c r="P19" s="258"/>
    </row>
    <row r="20" spans="1:27">
      <c r="A20" s="250"/>
      <c r="B20" s="250"/>
      <c r="C20" s="258"/>
      <c r="D20" s="350" t="s">
        <v>6</v>
      </c>
      <c r="E20" s="506"/>
      <c r="F20" s="340"/>
      <c r="G20" s="341"/>
      <c r="H20" s="392"/>
      <c r="I20" s="404"/>
      <c r="J20" s="341"/>
      <c r="K20" s="341"/>
      <c r="L20" s="341"/>
      <c r="M20" s="341"/>
      <c r="N20" s="342"/>
      <c r="O20" s="505"/>
      <c r="P20" s="258"/>
    </row>
    <row r="21" spans="1:27">
      <c r="A21" s="250"/>
      <c r="B21" s="250"/>
      <c r="C21" s="258"/>
      <c r="D21" s="350" t="s">
        <v>7</v>
      </c>
      <c r="E21" s="506"/>
      <c r="F21" s="340"/>
      <c r="G21" s="341"/>
      <c r="H21" s="392"/>
      <c r="I21" s="404"/>
      <c r="J21" s="341"/>
      <c r="K21" s="341"/>
      <c r="L21" s="341"/>
      <c r="M21" s="341"/>
      <c r="N21" s="342"/>
      <c r="O21" s="505"/>
      <c r="P21" s="258"/>
      <c r="U21" s="507"/>
      <c r="V21" s="507"/>
      <c r="W21" s="507"/>
      <c r="X21" s="507"/>
      <c r="Y21" s="507"/>
      <c r="Z21" s="507"/>
      <c r="AA21" s="507"/>
    </row>
    <row r="22" spans="1:27">
      <c r="A22" s="250"/>
      <c r="B22" s="250"/>
      <c r="C22" s="258"/>
      <c r="D22" s="350" t="s">
        <v>8</v>
      </c>
      <c r="E22" s="506"/>
      <c r="F22" s="340"/>
      <c r="G22" s="341"/>
      <c r="H22" s="392"/>
      <c r="I22" s="404"/>
      <c r="J22" s="341"/>
      <c r="K22" s="341"/>
      <c r="L22" s="341"/>
      <c r="M22" s="341"/>
      <c r="N22" s="342"/>
      <c r="O22" s="505"/>
      <c r="P22" s="258"/>
    </row>
    <row r="23" spans="1:27">
      <c r="A23" s="250"/>
      <c r="B23" s="250"/>
      <c r="C23" s="258"/>
      <c r="D23" s="350" t="s">
        <v>9</v>
      </c>
      <c r="E23" s="506"/>
      <c r="F23" s="340"/>
      <c r="G23" s="341"/>
      <c r="H23" s="392"/>
      <c r="I23" s="404"/>
      <c r="J23" s="341"/>
      <c r="K23" s="341"/>
      <c r="L23" s="341"/>
      <c r="M23" s="341"/>
      <c r="N23" s="342"/>
      <c r="O23" s="505"/>
      <c r="P23" s="258"/>
    </row>
    <row r="24" spans="1:27">
      <c r="A24" s="250"/>
      <c r="B24" s="250"/>
      <c r="C24" s="258"/>
      <c r="D24" s="350" t="s">
        <v>10</v>
      </c>
      <c r="E24" s="506"/>
      <c r="F24" s="340"/>
      <c r="G24" s="341"/>
      <c r="H24" s="392"/>
      <c r="I24" s="404"/>
      <c r="J24" s="341"/>
      <c r="K24" s="341"/>
      <c r="L24" s="341"/>
      <c r="M24" s="341"/>
      <c r="N24" s="342"/>
      <c r="O24" s="505"/>
      <c r="P24" s="258"/>
    </row>
    <row r="25" spans="1:27">
      <c r="A25" s="250"/>
      <c r="B25" s="250"/>
      <c r="C25" s="258"/>
      <c r="D25" s="350" t="s">
        <v>11</v>
      </c>
      <c r="E25" s="506"/>
      <c r="F25" s="340"/>
      <c r="G25" s="341"/>
      <c r="H25" s="392"/>
      <c r="I25" s="404"/>
      <c r="J25" s="341"/>
      <c r="K25" s="341"/>
      <c r="L25" s="341"/>
      <c r="M25" s="341"/>
      <c r="N25" s="342"/>
      <c r="O25" s="505"/>
      <c r="P25" s="258"/>
      <c r="T25" s="507"/>
    </row>
    <row r="26" spans="1:27">
      <c r="A26" s="250"/>
      <c r="B26" s="250"/>
      <c r="C26" s="258"/>
      <c r="D26" s="350" t="s">
        <v>12</v>
      </c>
      <c r="E26" s="506"/>
      <c r="F26" s="340"/>
      <c r="G26" s="341"/>
      <c r="H26" s="392"/>
      <c r="I26" s="404"/>
      <c r="J26" s="341"/>
      <c r="K26" s="341"/>
      <c r="L26" s="341"/>
      <c r="M26" s="341"/>
      <c r="N26" s="342"/>
      <c r="O26" s="505"/>
      <c r="P26" s="258"/>
      <c r="T26" s="507"/>
    </row>
    <row r="27" spans="1:27">
      <c r="A27" s="250"/>
      <c r="B27" s="250"/>
      <c r="C27" s="259"/>
      <c r="D27" s="464"/>
      <c r="E27" s="508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509"/>
      <c r="P27" s="259"/>
      <c r="T27" s="507"/>
    </row>
    <row r="28" spans="1:27">
      <c r="A28" s="250"/>
      <c r="B28" s="250"/>
      <c r="C28" s="257"/>
      <c r="D28" s="302"/>
      <c r="E28" s="510"/>
      <c r="F28" s="333"/>
      <c r="G28" s="334"/>
      <c r="H28" s="394"/>
      <c r="I28" s="406"/>
      <c r="J28" s="334"/>
      <c r="K28" s="334"/>
      <c r="L28" s="334"/>
      <c r="M28" s="334"/>
      <c r="N28" s="335"/>
      <c r="O28" s="505"/>
      <c r="P28" s="258"/>
      <c r="T28" s="507"/>
    </row>
    <row r="29" spans="1:27">
      <c r="A29" s="250"/>
      <c r="B29" s="250"/>
      <c r="C29" s="258" t="s">
        <v>58</v>
      </c>
      <c r="D29" s="350" t="s">
        <v>0</v>
      </c>
      <c r="E29" s="506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505"/>
      <c r="P29" s="258"/>
      <c r="T29" s="507"/>
    </row>
    <row r="30" spans="1:27">
      <c r="A30" s="250"/>
      <c r="B30" s="250"/>
      <c r="C30" s="258"/>
      <c r="D30" s="350" t="s">
        <v>1</v>
      </c>
      <c r="E30" s="506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505"/>
      <c r="P30" s="258"/>
      <c r="T30" s="507"/>
    </row>
    <row r="31" spans="1:27">
      <c r="A31" s="250"/>
      <c r="B31" s="250"/>
      <c r="C31" s="258"/>
      <c r="D31" s="350" t="s">
        <v>57</v>
      </c>
      <c r="E31" s="506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1"/>
      <c r="P31" s="258"/>
      <c r="T31" s="507"/>
    </row>
    <row r="32" spans="1:27">
      <c r="A32" s="250"/>
      <c r="B32" s="250"/>
      <c r="C32" s="259"/>
      <c r="D32" s="464"/>
      <c r="E32" s="508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5"/>
      <c r="P32" s="259"/>
    </row>
    <row r="33" spans="1:21">
      <c r="A33" s="250"/>
      <c r="B33" s="250"/>
      <c r="C33" s="258" t="s">
        <v>59</v>
      </c>
      <c r="D33" s="271"/>
      <c r="E33" s="313"/>
      <c r="F33" s="511"/>
      <c r="G33" s="250"/>
      <c r="H33" s="250"/>
      <c r="I33" s="512"/>
      <c r="J33" s="290"/>
      <c r="K33" s="290"/>
      <c r="L33" s="290"/>
      <c r="M33" s="290"/>
      <c r="N33" s="346"/>
      <c r="O33" s="511"/>
      <c r="P33" s="258"/>
      <c r="Q33" s="250"/>
      <c r="R33" s="250"/>
      <c r="S33" s="250"/>
      <c r="T33" s="250"/>
      <c r="U33" s="250"/>
    </row>
    <row r="34" spans="1:21">
      <c r="A34" s="250"/>
      <c r="B34" s="250"/>
      <c r="C34" s="258" t="s">
        <v>266</v>
      </c>
      <c r="D34" s="350" t="s">
        <v>3</v>
      </c>
      <c r="E34" s="313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512">
        <f>IF(I$10="Prior",0,(I$11*I$31*I17)*(Assumptions!I54-1))</f>
        <v>0</v>
      </c>
      <c r="J34" s="290">
        <f>IF(J$10="Prior",0,(J$11*J$31*J17)*(Assumptions!J54-1))</f>
        <v>0</v>
      </c>
      <c r="K34" s="290">
        <f>IF(K$10="Prior",0,(K$11*K$31*K17)*(Assumptions!K54-1))</f>
        <v>0</v>
      </c>
      <c r="L34" s="290">
        <f>IF(L$10="Prior",0,(L$11*L$31*L17)*(Assumptions!L54-1))</f>
        <v>0</v>
      </c>
      <c r="M34" s="290">
        <f>IF(M$10="Prior",0,(M$11*M$31*M17)*(Assumptions!M54-1))</f>
        <v>0</v>
      </c>
      <c r="N34" s="346">
        <f>IF(N$10="Prior",0,(N$11*N$31*N17)*(Assumptions!N54-1))</f>
        <v>0</v>
      </c>
      <c r="O34" s="513">
        <f t="shared" ref="O34:O43" si="3">SUM(F34:N34)</f>
        <v>0</v>
      </c>
      <c r="P34" s="514">
        <f t="shared" ref="P34:P43" si="4">SUM(I34:M34)</f>
        <v>0</v>
      </c>
      <c r="Q34" s="250"/>
      <c r="R34" s="250"/>
      <c r="S34" s="250"/>
      <c r="T34" s="250"/>
      <c r="U34" s="250"/>
    </row>
    <row r="35" spans="1:21">
      <c r="A35" s="250"/>
      <c r="B35" s="250"/>
      <c r="C35" s="258"/>
      <c r="D35" s="350" t="s">
        <v>4</v>
      </c>
      <c r="E35" s="313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512">
        <f>IF(I$10="Prior",0,(I$11*I$31*I18)*(Assumptions!I55-1))</f>
        <v>0</v>
      </c>
      <c r="J35" s="290">
        <f>IF(J$10="Prior",0,(J$11*J$31*J18)*(Assumptions!J55-1))</f>
        <v>0</v>
      </c>
      <c r="K35" s="290">
        <f>IF(K$10="Prior",0,(K$11*K$31*K18)*(Assumptions!K55-1))</f>
        <v>0</v>
      </c>
      <c r="L35" s="290">
        <f>IF(L$10="Prior",0,(L$11*L$31*L18)*(Assumptions!L55-1))</f>
        <v>0</v>
      </c>
      <c r="M35" s="290">
        <f>IF(M$10="Prior",0,(M$11*M$31*M18)*(Assumptions!M55-1))</f>
        <v>0</v>
      </c>
      <c r="N35" s="346">
        <f>IF(N$10="Prior",0,(N$11*N$31*N18)*(Assumptions!N55-1))</f>
        <v>0</v>
      </c>
      <c r="O35" s="513">
        <f t="shared" si="3"/>
        <v>0</v>
      </c>
      <c r="P35" s="514">
        <f t="shared" si="4"/>
        <v>0</v>
      </c>
      <c r="Q35" s="515"/>
      <c r="R35" s="515"/>
      <c r="S35" s="515"/>
      <c r="T35" s="515"/>
    </row>
    <row r="36" spans="1:21">
      <c r="A36" s="250"/>
      <c r="B36" s="250"/>
      <c r="C36" s="258"/>
      <c r="D36" s="350" t="s">
        <v>5</v>
      </c>
      <c r="E36" s="313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512">
        <f>IF(I$10="Prior",0,(I$11*I$31*I19)*(Assumptions!I56-1))</f>
        <v>0</v>
      </c>
      <c r="J36" s="290">
        <f>IF(J$10="Prior",0,(J$11*J$31*J19)*(Assumptions!J56-1))</f>
        <v>0</v>
      </c>
      <c r="K36" s="290">
        <f>IF(K$10="Prior",0,(K$11*K$31*K19)*(Assumptions!K56-1))</f>
        <v>0</v>
      </c>
      <c r="L36" s="290">
        <f>IF(L$10="Prior",0,(L$11*L$31*L19)*(Assumptions!L56-1))</f>
        <v>0</v>
      </c>
      <c r="M36" s="290">
        <f>IF(M$10="Prior",0,(M$11*M$31*M19)*(Assumptions!M56-1))</f>
        <v>0</v>
      </c>
      <c r="N36" s="346">
        <f>IF(N$10="Prior",0,(N$11*N$31*N19)*(Assumptions!N56-1))</f>
        <v>0</v>
      </c>
      <c r="O36" s="513">
        <f t="shared" si="3"/>
        <v>0</v>
      </c>
      <c r="P36" s="514">
        <f t="shared" si="4"/>
        <v>0</v>
      </c>
    </row>
    <row r="37" spans="1:21">
      <c r="A37" s="250"/>
      <c r="B37" s="250"/>
      <c r="C37" s="258"/>
      <c r="D37" s="350" t="s">
        <v>6</v>
      </c>
      <c r="E37" s="313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512">
        <f>IF(I$10="Prior",0,(I$11*I$31*I20)*(Assumptions!I57-1))</f>
        <v>0</v>
      </c>
      <c r="J37" s="290">
        <f>IF(J$10="Prior",0,(J$11*J$31*J20)*(Assumptions!J57-1))</f>
        <v>0</v>
      </c>
      <c r="K37" s="290">
        <f>IF(K$10="Prior",0,(K$11*K$31*K20)*(Assumptions!K57-1))</f>
        <v>0</v>
      </c>
      <c r="L37" s="290">
        <f>IF(L$10="Prior",0,(L$11*L$31*L20)*(Assumptions!L57-1))</f>
        <v>0</v>
      </c>
      <c r="M37" s="290">
        <f>IF(M$10="Prior",0,(M$11*M$31*M20)*(Assumptions!M57-1))</f>
        <v>0</v>
      </c>
      <c r="N37" s="346">
        <f>IF(N$10="Prior",0,(N$11*N$31*N20)*(Assumptions!N57-1))</f>
        <v>0</v>
      </c>
      <c r="O37" s="513">
        <f t="shared" si="3"/>
        <v>0</v>
      </c>
      <c r="P37" s="514">
        <f t="shared" si="4"/>
        <v>0</v>
      </c>
    </row>
    <row r="38" spans="1:21">
      <c r="A38" s="250"/>
      <c r="B38" s="250"/>
      <c r="C38" s="258"/>
      <c r="D38" s="350" t="s">
        <v>7</v>
      </c>
      <c r="E38" s="313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512">
        <f>IF(I$10="Prior",0,(I$11*I$31*I21)*(Assumptions!I58-1))</f>
        <v>0</v>
      </c>
      <c r="J38" s="290">
        <f>IF(J$10="Prior",0,(J$11*J$31*J21)*(Assumptions!J58-1))</f>
        <v>0</v>
      </c>
      <c r="K38" s="290">
        <f>IF(K$10="Prior",0,(K$11*K$31*K21)*(Assumptions!K58-1))</f>
        <v>0</v>
      </c>
      <c r="L38" s="290">
        <f>IF(L$10="Prior",0,(L$11*L$31*L21)*(Assumptions!L58-1))</f>
        <v>0</v>
      </c>
      <c r="M38" s="290">
        <f>IF(M$10="Prior",0,(M$11*M$31*M21)*(Assumptions!M58-1))</f>
        <v>0</v>
      </c>
      <c r="N38" s="346">
        <f>IF(N$10="Prior",0,(N$11*N$31*N21)*(Assumptions!N58-1))</f>
        <v>0</v>
      </c>
      <c r="O38" s="513">
        <f t="shared" si="3"/>
        <v>0</v>
      </c>
      <c r="P38" s="514">
        <f t="shared" si="4"/>
        <v>0</v>
      </c>
      <c r="Q38" s="516"/>
      <c r="R38" s="516"/>
      <c r="S38" s="516"/>
      <c r="T38" s="516"/>
    </row>
    <row r="39" spans="1:21">
      <c r="A39" s="250"/>
      <c r="B39" s="250"/>
      <c r="C39" s="258"/>
      <c r="D39" s="350" t="s">
        <v>8</v>
      </c>
      <c r="E39" s="313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512">
        <f>IF(I$10="Prior",0,(I$11*I$31*I22)*(Assumptions!I59-1))</f>
        <v>0</v>
      </c>
      <c r="J39" s="290">
        <f>IF(J$10="Prior",0,(J$11*J$31*J22)*(Assumptions!J59-1))</f>
        <v>0</v>
      </c>
      <c r="K39" s="290">
        <f>IF(K$10="Prior",0,(K$11*K$31*K22)*(Assumptions!K59-1))</f>
        <v>0</v>
      </c>
      <c r="L39" s="290">
        <f>IF(L$10="Prior",0,(L$11*L$31*L22)*(Assumptions!L59-1))</f>
        <v>0</v>
      </c>
      <c r="M39" s="290">
        <f>IF(M$10="Prior",0,(M$11*M$31*M22)*(Assumptions!M59-1))</f>
        <v>0</v>
      </c>
      <c r="N39" s="346">
        <f>IF(N$10="Prior",0,(N$11*N$31*N22)*(Assumptions!N59-1))</f>
        <v>0</v>
      </c>
      <c r="O39" s="513">
        <f t="shared" si="3"/>
        <v>0</v>
      </c>
      <c r="P39" s="514">
        <f t="shared" si="4"/>
        <v>0</v>
      </c>
    </row>
    <row r="40" spans="1:21">
      <c r="A40" s="250"/>
      <c r="B40" s="250"/>
      <c r="C40" s="258"/>
      <c r="D40" s="350" t="s">
        <v>9</v>
      </c>
      <c r="E40" s="313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512">
        <f>IF(I$10="Prior",0,(I$11*I$31*I23)*(Assumptions!I60-1))</f>
        <v>0</v>
      </c>
      <c r="J40" s="290">
        <f>IF(J$10="Prior",0,(J$11*J$31*J23)*(Assumptions!J60-1))</f>
        <v>0</v>
      </c>
      <c r="K40" s="290">
        <f>IF(K$10="Prior",0,(K$11*K$31*K23)*(Assumptions!K60-1))</f>
        <v>0</v>
      </c>
      <c r="L40" s="290">
        <f>IF(L$10="Prior",0,(L$11*L$31*L23)*(Assumptions!L60-1))</f>
        <v>0</v>
      </c>
      <c r="M40" s="290">
        <f>IF(M$10="Prior",0,(M$11*M$31*M23)*(Assumptions!M60-1))</f>
        <v>0</v>
      </c>
      <c r="N40" s="346">
        <f>IF(N$10="Prior",0,(N$11*N$31*N23)*(Assumptions!N60-1))</f>
        <v>0</v>
      </c>
      <c r="O40" s="513">
        <f t="shared" si="3"/>
        <v>0</v>
      </c>
      <c r="P40" s="514">
        <f t="shared" si="4"/>
        <v>0</v>
      </c>
    </row>
    <row r="41" spans="1:21">
      <c r="A41" s="250"/>
      <c r="B41" s="250"/>
      <c r="C41" s="258"/>
      <c r="D41" s="350" t="s">
        <v>10</v>
      </c>
      <c r="E41" s="313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512">
        <f>IF(I$10="Prior",0,(I$11*I$31*I24)*(Assumptions!I61-1))</f>
        <v>0</v>
      </c>
      <c r="J41" s="290">
        <f>IF(J$10="Prior",0,(J$11*J$31*J24)*(Assumptions!J61-1))</f>
        <v>0</v>
      </c>
      <c r="K41" s="290">
        <f>IF(K$10="Prior",0,(K$11*K$31*K24)*(Assumptions!K61-1))</f>
        <v>0</v>
      </c>
      <c r="L41" s="290">
        <f>IF(L$10="Prior",0,(L$11*L$31*L24)*(Assumptions!L61-1))</f>
        <v>0</v>
      </c>
      <c r="M41" s="290">
        <f>IF(M$10="Prior",0,(M$11*M$31*M24)*(Assumptions!M61-1))</f>
        <v>0</v>
      </c>
      <c r="N41" s="346">
        <f>IF(N$10="Prior",0,(N$11*N$31*N24)*(Assumptions!N61-1))</f>
        <v>0</v>
      </c>
      <c r="O41" s="513">
        <f t="shared" si="3"/>
        <v>0</v>
      </c>
      <c r="P41" s="514">
        <f t="shared" si="4"/>
        <v>0</v>
      </c>
      <c r="Q41" s="516"/>
      <c r="R41" s="516"/>
      <c r="S41" s="516"/>
      <c r="T41" s="516"/>
    </row>
    <row r="42" spans="1:21">
      <c r="A42" s="250"/>
      <c r="B42" s="250"/>
      <c r="C42" s="258"/>
      <c r="D42" s="350" t="s">
        <v>11</v>
      </c>
      <c r="E42" s="313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512">
        <f>IF(I$10="Prior",0,(I$11*I$31*I25)*(Assumptions!I62-1))</f>
        <v>0</v>
      </c>
      <c r="J42" s="290">
        <f>IF(J$10="Prior",0,(J$11*J$31*J25)*(Assumptions!J62-1))</f>
        <v>0</v>
      </c>
      <c r="K42" s="290">
        <f>IF(K$10="Prior",0,(K$11*K$31*K25)*(Assumptions!K62-1))</f>
        <v>0</v>
      </c>
      <c r="L42" s="290">
        <f>IF(L$10="Prior",0,(L$11*L$31*L25)*(Assumptions!L62-1))</f>
        <v>0</v>
      </c>
      <c r="M42" s="290">
        <f>IF(M$10="Prior",0,(M$11*M$31*M25)*(Assumptions!M62-1))</f>
        <v>0</v>
      </c>
      <c r="N42" s="346">
        <f>IF(N$10="Prior",0,(N$11*N$31*N25)*(Assumptions!N62-1))</f>
        <v>0</v>
      </c>
      <c r="O42" s="513">
        <f t="shared" si="3"/>
        <v>0</v>
      </c>
      <c r="P42" s="514">
        <f t="shared" si="4"/>
        <v>0</v>
      </c>
    </row>
    <row r="43" spans="1:21">
      <c r="A43" s="250"/>
      <c r="B43" s="250"/>
      <c r="C43" s="258"/>
      <c r="D43" s="350" t="s">
        <v>12</v>
      </c>
      <c r="E43" s="313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512">
        <f>IF(I$10="Prior",0,(I$11*I$31*I26)*(Assumptions!I63-1))</f>
        <v>0</v>
      </c>
      <c r="J43" s="290">
        <f>IF(J$10="Prior",0,(J$11*J$31*J26)*(Assumptions!J63-1))</f>
        <v>0</v>
      </c>
      <c r="K43" s="290">
        <f>IF(K$10="Prior",0,(K$11*K$31*K26)*(Assumptions!K63-1))</f>
        <v>0</v>
      </c>
      <c r="L43" s="290">
        <f>IF(L$10="Prior",0,(L$11*L$31*L26)*(Assumptions!L63-1))</f>
        <v>0</v>
      </c>
      <c r="M43" s="290">
        <f>IF(M$10="Prior",0,(M$11*M$31*M26)*(Assumptions!M63-1))</f>
        <v>0</v>
      </c>
      <c r="N43" s="346">
        <f>IF(N$10="Prior",0,(N$11*N$31*N26)*(Assumptions!N63-1))</f>
        <v>0</v>
      </c>
      <c r="O43" s="513">
        <f t="shared" si="3"/>
        <v>0</v>
      </c>
      <c r="P43" s="514">
        <f t="shared" si="4"/>
        <v>0</v>
      </c>
    </row>
    <row r="44" spans="1:21">
      <c r="A44" s="250"/>
      <c r="B44" s="250"/>
      <c r="C44" s="258"/>
      <c r="D44" s="465" t="s">
        <v>61</v>
      </c>
      <c r="E44" s="517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518">
        <f t="shared" si="5"/>
        <v>0</v>
      </c>
      <c r="J44" s="253">
        <f t="shared" si="5"/>
        <v>0</v>
      </c>
      <c r="K44" s="253">
        <f t="shared" si="5"/>
        <v>0</v>
      </c>
      <c r="L44" s="253">
        <f t="shared" si="5"/>
        <v>0</v>
      </c>
      <c r="M44" s="253">
        <f t="shared" si="5"/>
        <v>0</v>
      </c>
      <c r="N44" s="519">
        <f t="shared" si="5"/>
        <v>0</v>
      </c>
      <c r="O44" s="520">
        <f>SUM(O34:O43)</f>
        <v>0</v>
      </c>
      <c r="P44" s="521">
        <f>SUM(P34:P43)</f>
        <v>0</v>
      </c>
      <c r="Q44" s="516"/>
      <c r="R44" s="516"/>
      <c r="S44" s="516"/>
      <c r="T44" s="516"/>
    </row>
    <row r="45" spans="1:21">
      <c r="A45" s="250"/>
      <c r="B45" s="250"/>
      <c r="C45" s="258"/>
      <c r="D45" s="284"/>
      <c r="E45" s="250"/>
      <c r="F45" s="293"/>
      <c r="G45" s="287"/>
      <c r="H45" s="287"/>
      <c r="I45" s="522"/>
      <c r="J45" s="523"/>
      <c r="K45" s="523"/>
      <c r="L45" s="523"/>
      <c r="M45" s="523"/>
      <c r="N45" s="524"/>
      <c r="O45" s="511"/>
      <c r="P45" s="258"/>
    </row>
    <row r="46" spans="1:21">
      <c r="A46" s="250"/>
      <c r="B46" s="250"/>
      <c r="C46" s="258" t="s">
        <v>165</v>
      </c>
      <c r="D46" s="352" t="s">
        <v>270</v>
      </c>
      <c r="E46" s="250"/>
      <c r="F46" s="291">
        <f>IF(F$10="Prior",0,(F11*F29)*(Assumptions!F28-1))</f>
        <v>0</v>
      </c>
      <c r="G46" s="290">
        <f>IF(G$10="Prior",0,(G11*G29)*(Assumptions!G28-1))</f>
        <v>1.6058261006306449</v>
      </c>
      <c r="H46" s="290">
        <f>IF(H$10="Prior",0,(H11*H29)*(Assumptions!H28-1))</f>
        <v>0</v>
      </c>
      <c r="I46" s="512">
        <f>IF(I$10="Prior",0,(I11*I29)*(Assumptions!I28-1))</f>
        <v>0</v>
      </c>
      <c r="J46" s="290">
        <f>IF(J$10="Prior",0,(J11*J29)*(Assumptions!J28-1))</f>
        <v>0</v>
      </c>
      <c r="K46" s="290">
        <f>IF(K$10="Prior",0,(K11*K29)*(Assumptions!K28-1))</f>
        <v>0</v>
      </c>
      <c r="L46" s="290">
        <f>IF(L$10="Prior",0,(L11*L29)*(Assumptions!L28-1))</f>
        <v>0</v>
      </c>
      <c r="M46" s="290">
        <f>IF(M$10="Prior",0,(M11*M29)*(Assumptions!M28-1))</f>
        <v>0</v>
      </c>
      <c r="N46" s="346">
        <f>IF(N$10="Prior",0,(N11*N29)*(Assumptions!N28-1))</f>
        <v>0</v>
      </c>
      <c r="O46" s="294">
        <f t="shared" ref="O46:O47" si="6">SUM(F46:N46)</f>
        <v>1.6058261006306449</v>
      </c>
      <c r="P46" s="497">
        <f t="shared" ref="P46:P47" si="7">SUM(I46:M46)</f>
        <v>0</v>
      </c>
    </row>
    <row r="47" spans="1:21">
      <c r="A47" s="250"/>
      <c r="B47" s="250"/>
      <c r="C47" s="258"/>
      <c r="D47" s="352" t="s">
        <v>271</v>
      </c>
      <c r="E47" s="250"/>
      <c r="F47" s="294">
        <f>IF(F$10="Prior",0,(F11*F30)*(Assumptions!F30-1))</f>
        <v>0</v>
      </c>
      <c r="G47" s="290">
        <f>IF(G$10="Prior",0,(G11*G30)*(Assumptions!G30-1))</f>
        <v>5.6033080958174883</v>
      </c>
      <c r="H47" s="290">
        <f>IF(H$10="Prior",0,(H11*H30)*(Assumptions!H30-1))</f>
        <v>0</v>
      </c>
      <c r="I47" s="512">
        <f>IF(I$10="Prior",0,(I11*I30)*(Assumptions!I30-1))</f>
        <v>0</v>
      </c>
      <c r="J47" s="290">
        <f>IF(J$10="Prior",0,(J11*J30)*(Assumptions!J30-1))</f>
        <v>0</v>
      </c>
      <c r="K47" s="290">
        <f>IF(K$10="Prior",0,(K11*K30)*(Assumptions!K30-1))</f>
        <v>0</v>
      </c>
      <c r="L47" s="290">
        <f>IF(L$10="Prior",0,(L11*L30)*(Assumptions!L30-1))</f>
        <v>0</v>
      </c>
      <c r="M47" s="290">
        <f>IF(M$10="Prior",0,(M11*M30)*(Assumptions!M30-1))</f>
        <v>0</v>
      </c>
      <c r="N47" s="346">
        <f>IF(N$10="Prior",0,(N11*N30)*(Assumptions!N30-1))</f>
        <v>0</v>
      </c>
      <c r="O47" s="294">
        <f t="shared" si="6"/>
        <v>5.6033080958174883</v>
      </c>
      <c r="P47" s="497">
        <f t="shared" si="7"/>
        <v>0</v>
      </c>
    </row>
    <row r="48" spans="1:21">
      <c r="A48" s="250"/>
      <c r="B48" s="250"/>
      <c r="C48" s="258"/>
      <c r="D48" s="465" t="s">
        <v>273</v>
      </c>
      <c r="E48" s="525"/>
      <c r="F48" s="292">
        <f>SUM(F46:F47)</f>
        <v>0</v>
      </c>
      <c r="G48" s="253">
        <f t="shared" ref="G48:N48" si="8">SUM(G46:G47)</f>
        <v>7.209134196448133</v>
      </c>
      <c r="H48" s="253">
        <f t="shared" si="8"/>
        <v>0</v>
      </c>
      <c r="I48" s="518">
        <f t="shared" si="8"/>
        <v>0</v>
      </c>
      <c r="J48" s="253">
        <f t="shared" si="8"/>
        <v>0</v>
      </c>
      <c r="K48" s="253">
        <f t="shared" si="8"/>
        <v>0</v>
      </c>
      <c r="L48" s="253">
        <f t="shared" si="8"/>
        <v>0</v>
      </c>
      <c r="M48" s="253">
        <f t="shared" si="8"/>
        <v>0</v>
      </c>
      <c r="N48" s="519">
        <f t="shared" si="8"/>
        <v>0</v>
      </c>
      <c r="O48" s="520">
        <f>SUM(O46:O47)</f>
        <v>7.209134196448133</v>
      </c>
      <c r="P48" s="526">
        <f>SUM(P46:P47)</f>
        <v>0</v>
      </c>
    </row>
    <row r="49" spans="1:18">
      <c r="A49" s="250"/>
      <c r="B49" s="250"/>
      <c r="C49" s="439"/>
      <c r="D49" s="465" t="s">
        <v>60</v>
      </c>
      <c r="E49" s="525"/>
      <c r="F49" s="292">
        <f t="shared" ref="F49:N49" si="9">F44+F48</f>
        <v>0</v>
      </c>
      <c r="G49" s="253">
        <f t="shared" si="9"/>
        <v>7.209134196448133</v>
      </c>
      <c r="H49" s="253">
        <f t="shared" si="9"/>
        <v>0</v>
      </c>
      <c r="I49" s="518">
        <f t="shared" si="9"/>
        <v>0</v>
      </c>
      <c r="J49" s="253">
        <f t="shared" si="9"/>
        <v>0</v>
      </c>
      <c r="K49" s="253">
        <f t="shared" si="9"/>
        <v>0</v>
      </c>
      <c r="L49" s="253">
        <f t="shared" si="9"/>
        <v>0</v>
      </c>
      <c r="M49" s="253">
        <f t="shared" si="9"/>
        <v>0</v>
      </c>
      <c r="N49" s="519">
        <f t="shared" si="9"/>
        <v>0</v>
      </c>
      <c r="O49" s="520">
        <f>O44+O48</f>
        <v>7.209134196448133</v>
      </c>
      <c r="P49" s="521">
        <f>P44+P48</f>
        <v>0</v>
      </c>
    </row>
    <row r="50" spans="1:18">
      <c r="A50" s="250"/>
      <c r="B50" s="250"/>
      <c r="C50" s="260"/>
      <c r="D50" s="386" t="s">
        <v>283</v>
      </c>
      <c r="E50" s="527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0</v>
      </c>
      <c r="I50" s="528">
        <f t="shared" si="10"/>
        <v>0</v>
      </c>
      <c r="J50" s="441">
        <f t="shared" si="10"/>
        <v>0</v>
      </c>
      <c r="K50" s="441">
        <f t="shared" si="10"/>
        <v>0</v>
      </c>
      <c r="L50" s="441">
        <f t="shared" si="10"/>
        <v>0</v>
      </c>
      <c r="M50" s="441">
        <f t="shared" si="10"/>
        <v>0</v>
      </c>
      <c r="N50" s="529">
        <f t="shared" si="10"/>
        <v>0</v>
      </c>
      <c r="O50" s="529">
        <f t="shared" si="10"/>
        <v>8.9317501274855586E-4</v>
      </c>
      <c r="P50" s="529">
        <f t="shared" si="10"/>
        <v>0</v>
      </c>
    </row>
    <row r="51" spans="1:18">
      <c r="A51" s="250"/>
      <c r="B51" s="250"/>
      <c r="C51" s="310" t="s">
        <v>277</v>
      </c>
      <c r="D51" s="353" t="s">
        <v>17</v>
      </c>
      <c r="E51" s="530"/>
      <c r="F51" s="343">
        <f>(F29*F$11+F46)*Assumptions!$G$21</f>
        <v>542.8340875642333</v>
      </c>
      <c r="G51" s="344">
        <f>(G29*G$11+G46)*Assumptions!$G$21</f>
        <v>279.58913389018073</v>
      </c>
      <c r="H51" s="344">
        <f>(H29*H$11+H46)*Assumptions!$G$21</f>
        <v>0</v>
      </c>
      <c r="I51" s="531">
        <f>(I29*I$11+I46)*Assumptions!$G$21</f>
        <v>0</v>
      </c>
      <c r="J51" s="344">
        <f>(J29*J$11+J46)*Assumptions!$G$21</f>
        <v>0</v>
      </c>
      <c r="K51" s="344">
        <f>(K29*K$11+K46)*Assumptions!$G$21</f>
        <v>0</v>
      </c>
      <c r="L51" s="344">
        <f>(L29*L$11+L46)*Assumptions!$G$21</f>
        <v>0</v>
      </c>
      <c r="M51" s="344">
        <f>(M29*M$11+M46)*Assumptions!$G$21</f>
        <v>0</v>
      </c>
      <c r="N51" s="345">
        <f>(N29*N$11+N46)*Assumptions!$G$21</f>
        <v>0</v>
      </c>
      <c r="O51" s="532">
        <f t="shared" ref="O51:O53" si="11">SUM(F51:N51)</f>
        <v>822.42322145441403</v>
      </c>
      <c r="P51" s="533">
        <f>SUM(I51:M51)</f>
        <v>0</v>
      </c>
    </row>
    <row r="52" spans="1:18">
      <c r="A52" s="250"/>
      <c r="B52" s="250"/>
      <c r="C52" s="258" t="s">
        <v>25</v>
      </c>
      <c r="D52" s="350" t="s">
        <v>19</v>
      </c>
      <c r="E52" s="313"/>
      <c r="F52" s="294">
        <f>(F30*F$11+F47)*Assumptions!$G$21</f>
        <v>2714.1704378211662</v>
      </c>
      <c r="G52" s="290">
        <f>(G30*G$11+G47)*Assumptions!$G$21</f>
        <v>1395.4788086945716</v>
      </c>
      <c r="H52" s="290">
        <f>(H30*H$11+H47)*Assumptions!$G$21</f>
        <v>0</v>
      </c>
      <c r="I52" s="512">
        <f>(I30*I$11+I47)*Assumptions!$G$21</f>
        <v>0</v>
      </c>
      <c r="J52" s="290">
        <f>(J30*J$11+J47)*Assumptions!$G$21</f>
        <v>0</v>
      </c>
      <c r="K52" s="290">
        <f>(K30*K$11+K47)*Assumptions!$G$21</f>
        <v>0</v>
      </c>
      <c r="L52" s="290">
        <f>(L30*L$11+L47)*Assumptions!$G$21</f>
        <v>0</v>
      </c>
      <c r="M52" s="290">
        <f>(M30*M$11+M47)*Assumptions!$G$21</f>
        <v>0</v>
      </c>
      <c r="N52" s="346">
        <f>(N30*N$11+N47)*Assumptions!$G$21</f>
        <v>0</v>
      </c>
      <c r="O52" s="534">
        <f t="shared" si="11"/>
        <v>4109.649246515738</v>
      </c>
      <c r="P52" s="535">
        <f>SUM(I52:M52)</f>
        <v>0</v>
      </c>
    </row>
    <row r="53" spans="1:18">
      <c r="A53" s="250"/>
      <c r="B53" s="250"/>
      <c r="C53" s="258"/>
      <c r="D53" s="350" t="s">
        <v>18</v>
      </c>
      <c r="E53" s="313"/>
      <c r="F53" s="294">
        <f>(F31*F$11+F$44)*Assumptions!$G$21</f>
        <v>2171.3363502569332</v>
      </c>
      <c r="G53" s="290">
        <f>(G31*G$11+G$44)*Assumptions!$G$21</f>
        <v>1111.8245662340976</v>
      </c>
      <c r="H53" s="290">
        <f>(H31*H$11+H$44)*Assumptions!$G$21</f>
        <v>0</v>
      </c>
      <c r="I53" s="512">
        <f>(I31*I$11+I$44)*Assumptions!$G$21</f>
        <v>0</v>
      </c>
      <c r="J53" s="290">
        <f>(J31*J$11+J$44)*Assumptions!$G$21</f>
        <v>0</v>
      </c>
      <c r="K53" s="290">
        <f>(K31*K$11+K$44)*Assumptions!$G$21</f>
        <v>0</v>
      </c>
      <c r="L53" s="290">
        <f>(L31*L$11+L$44)*Assumptions!$G$21</f>
        <v>0</v>
      </c>
      <c r="M53" s="290">
        <f>(M31*M$11+M$44)*Assumptions!$G$21</f>
        <v>0</v>
      </c>
      <c r="N53" s="346">
        <f>(N31*N$11+N$44)*Assumptions!$G$21</f>
        <v>0</v>
      </c>
      <c r="O53" s="534">
        <f t="shared" si="11"/>
        <v>3283.1609164910305</v>
      </c>
      <c r="P53" s="535">
        <f>SUM(I53:M53)</f>
        <v>0</v>
      </c>
    </row>
    <row r="54" spans="1:18">
      <c r="A54" s="250"/>
      <c r="B54" s="250"/>
      <c r="C54" s="536"/>
      <c r="D54" s="537" t="str">
        <f>"Total Direct - As Incurred "&amp;Assumptions!$C$8</f>
        <v>Total Direct - As Incurred $ Mar 2017</v>
      </c>
      <c r="E54" s="517"/>
      <c r="F54" s="292">
        <f t="shared" ref="F54:P54" si="12">+SUM(F51:F53)</f>
        <v>5428.3408756423323</v>
      </c>
      <c r="G54" s="253">
        <f t="shared" si="12"/>
        <v>2786.8925088188498</v>
      </c>
      <c r="H54" s="253">
        <f t="shared" si="12"/>
        <v>0</v>
      </c>
      <c r="I54" s="411">
        <f t="shared" si="12"/>
        <v>0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8215.2333844611821</v>
      </c>
      <c r="P54" s="428">
        <f t="shared" si="12"/>
        <v>0</v>
      </c>
      <c r="R54" s="616" t="str">
        <f>IF(ROUND(O11*(1+O50)*Assumptions!$G$21,0)-ROUND(O54,0)&lt;&gt;0,"Error","ok")</f>
        <v>ok</v>
      </c>
    </row>
    <row r="55" spans="1:18">
      <c r="A55" s="250"/>
      <c r="B55" s="250"/>
      <c r="C55" s="257"/>
      <c r="D55" s="302"/>
      <c r="E55" s="510"/>
      <c r="F55" s="296"/>
      <c r="G55" s="297"/>
      <c r="H55" s="395"/>
      <c r="I55" s="412"/>
      <c r="J55" s="303"/>
      <c r="K55" s="303"/>
      <c r="L55" s="303"/>
      <c r="M55" s="303"/>
      <c r="N55" s="304"/>
      <c r="O55" s="511"/>
      <c r="P55" s="258"/>
    </row>
    <row r="56" spans="1:18">
      <c r="A56" s="250"/>
      <c r="B56" s="250"/>
      <c r="C56" s="258" t="s">
        <v>274</v>
      </c>
      <c r="D56" s="350" t="s">
        <v>272</v>
      </c>
      <c r="E56" s="506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511"/>
      <c r="P56" s="538"/>
    </row>
    <row r="57" spans="1:18">
      <c r="A57" s="250"/>
      <c r="B57" s="250"/>
      <c r="C57" s="258"/>
      <c r="D57" s="350" t="s">
        <v>267</v>
      </c>
      <c r="E57" s="506"/>
      <c r="F57" s="294">
        <f>F54*F56</f>
        <v>434.71086786333325</v>
      </c>
      <c r="G57" s="290">
        <f t="shared" ref="G57:N57" si="13">G54*G56</f>
        <v>165.66622659067076</v>
      </c>
      <c r="H57" s="290">
        <f t="shared" si="13"/>
        <v>0</v>
      </c>
      <c r="I57" s="512">
        <f t="shared" si="13"/>
        <v>0</v>
      </c>
      <c r="J57" s="290">
        <f t="shared" si="13"/>
        <v>0</v>
      </c>
      <c r="K57" s="290">
        <f t="shared" si="13"/>
        <v>0</v>
      </c>
      <c r="L57" s="290">
        <f t="shared" si="13"/>
        <v>0</v>
      </c>
      <c r="M57" s="290">
        <f t="shared" si="13"/>
        <v>0</v>
      </c>
      <c r="N57" s="346">
        <f t="shared" si="13"/>
        <v>0</v>
      </c>
      <c r="O57" s="294">
        <f>SUM(F57:N57)</f>
        <v>600.37709445400401</v>
      </c>
      <c r="P57" s="497">
        <f>SUM(I57:M57)</f>
        <v>0</v>
      </c>
    </row>
    <row r="58" spans="1:18">
      <c r="A58" s="250"/>
      <c r="B58" s="250"/>
      <c r="C58" s="259"/>
      <c r="D58" s="305"/>
      <c r="E58" s="312"/>
      <c r="F58" s="511"/>
      <c r="G58" s="250"/>
      <c r="H58" s="250"/>
      <c r="I58" s="539"/>
      <c r="J58" s="250"/>
      <c r="K58" s="250"/>
      <c r="L58" s="250"/>
      <c r="M58" s="250"/>
      <c r="N58" s="454"/>
      <c r="O58" s="511"/>
      <c r="P58" s="258"/>
    </row>
    <row r="59" spans="1:18">
      <c r="A59" s="250"/>
      <c r="B59" s="250"/>
      <c r="C59" s="536"/>
      <c r="D59" s="537" t="str">
        <f>"Total incl Overhead - As Incurred "&amp;Assumptions!$C$8</f>
        <v>Total incl Overhead - As Incurred $ Mar 2017</v>
      </c>
      <c r="E59" s="517"/>
      <c r="F59" s="292">
        <f t="shared" ref="F59:M59" si="14">F54+F57</f>
        <v>5863.0517435056654</v>
      </c>
      <c r="G59" s="253">
        <f t="shared" si="14"/>
        <v>2952.5587354095205</v>
      </c>
      <c r="H59" s="253">
        <f t="shared" si="14"/>
        <v>0</v>
      </c>
      <c r="I59" s="411">
        <f t="shared" si="14"/>
        <v>0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8815.6104789151868</v>
      </c>
      <c r="P59" s="429">
        <f t="shared" si="15"/>
        <v>0</v>
      </c>
    </row>
    <row r="60" spans="1:18" hidden="1" outlineLevel="1">
      <c r="A60" s="250"/>
      <c r="B60" s="250"/>
      <c r="C60" s="250"/>
      <c r="D60" s="313" t="s">
        <v>263</v>
      </c>
      <c r="E60" s="313"/>
      <c r="F60" s="290">
        <f>F57</f>
        <v>434.71086786333325</v>
      </c>
      <c r="G60" s="290">
        <f t="shared" ref="G60:N60" si="16">G57+F60</f>
        <v>600.37709445400401</v>
      </c>
      <c r="H60" s="290">
        <f t="shared" si="16"/>
        <v>600.37709445400401</v>
      </c>
      <c r="I60" s="290">
        <f t="shared" si="16"/>
        <v>600.37709445400401</v>
      </c>
      <c r="J60" s="290">
        <f t="shared" si="16"/>
        <v>600.37709445400401</v>
      </c>
      <c r="K60" s="290">
        <f t="shared" si="16"/>
        <v>600.37709445400401</v>
      </c>
      <c r="L60" s="290">
        <f t="shared" si="16"/>
        <v>600.37709445400401</v>
      </c>
      <c r="M60" s="290">
        <f t="shared" si="16"/>
        <v>600.37709445400401</v>
      </c>
      <c r="N60" s="290">
        <f t="shared" si="16"/>
        <v>600.37709445400401</v>
      </c>
    </row>
    <row r="61" spans="1:18" hidden="1" outlineLevel="1" collapsed="1">
      <c r="A61" s="250"/>
      <c r="B61" s="250"/>
      <c r="D61" s="251" t="s">
        <v>288</v>
      </c>
      <c r="E61" s="251"/>
      <c r="F61" s="252">
        <f>F49</f>
        <v>0</v>
      </c>
      <c r="G61" s="252">
        <f>G49+F61</f>
        <v>7.209134196448133</v>
      </c>
      <c r="H61" s="252">
        <f t="shared" ref="H61:N61" si="17">H49+G61</f>
        <v>7.209134196448133</v>
      </c>
      <c r="I61" s="252">
        <f t="shared" si="17"/>
        <v>7.209134196448133</v>
      </c>
      <c r="J61" s="252">
        <f t="shared" si="17"/>
        <v>7.209134196448133</v>
      </c>
      <c r="K61" s="252">
        <f t="shared" si="17"/>
        <v>7.209134196448133</v>
      </c>
      <c r="L61" s="252">
        <f t="shared" si="17"/>
        <v>7.209134196448133</v>
      </c>
      <c r="M61" s="252">
        <f t="shared" si="17"/>
        <v>7.209134196448133</v>
      </c>
      <c r="N61" s="252">
        <f t="shared" si="17"/>
        <v>7.209134196448133</v>
      </c>
    </row>
    <row r="62" spans="1:18" collapsed="1">
      <c r="A62" s="250"/>
      <c r="B62" s="250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  <c r="P62" s="248"/>
    </row>
    <row r="63" spans="1:18">
      <c r="A63" s="250"/>
      <c r="B63" s="250"/>
      <c r="C63" s="540" t="s">
        <v>275</v>
      </c>
      <c r="D63" s="541"/>
      <c r="E63" s="541"/>
      <c r="F63" s="542"/>
      <c r="G63" s="542"/>
      <c r="H63" s="542"/>
      <c r="I63" s="542"/>
      <c r="J63" s="542"/>
      <c r="K63" s="542"/>
      <c r="L63" s="542"/>
      <c r="M63" s="542"/>
      <c r="N63" s="542"/>
      <c r="O63" s="543"/>
      <c r="P63" s="544"/>
    </row>
    <row r="64" spans="1:18">
      <c r="A64" s="250"/>
      <c r="B64" s="250"/>
      <c r="C64" s="257" t="s">
        <v>23</v>
      </c>
      <c r="D64" s="353" t="s">
        <v>3</v>
      </c>
      <c r="E64" s="530"/>
      <c r="F64" s="343">
        <f t="shared" ref="F64:N73" si="18">F$59*F17</f>
        <v>0</v>
      </c>
      <c r="G64" s="344">
        <f t="shared" si="18"/>
        <v>0</v>
      </c>
      <c r="H64" s="344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345">
        <f t="shared" si="18"/>
        <v>0</v>
      </c>
      <c r="O64" s="532">
        <f>SUM(F64:N64)</f>
        <v>0</v>
      </c>
      <c r="P64" s="430">
        <f>SUM(I64:M64)</f>
        <v>0</v>
      </c>
    </row>
    <row r="65" spans="1:16">
      <c r="A65" s="250"/>
      <c r="B65" s="250"/>
      <c r="C65" s="258" t="s">
        <v>24</v>
      </c>
      <c r="D65" s="350" t="s">
        <v>4</v>
      </c>
      <c r="E65" s="313"/>
      <c r="F65" s="294">
        <f t="shared" si="18"/>
        <v>5863.0517435056654</v>
      </c>
      <c r="G65" s="290">
        <f t="shared" si="18"/>
        <v>2952.5587354095205</v>
      </c>
      <c r="H65" s="290">
        <f t="shared" si="18"/>
        <v>0</v>
      </c>
      <c r="I65" s="416">
        <f t="shared" si="18"/>
        <v>0</v>
      </c>
      <c r="J65" s="381">
        <f t="shared" si="18"/>
        <v>0</v>
      </c>
      <c r="K65" s="381">
        <f t="shared" si="18"/>
        <v>0</v>
      </c>
      <c r="L65" s="381">
        <f t="shared" si="18"/>
        <v>0</v>
      </c>
      <c r="M65" s="381">
        <f t="shared" si="18"/>
        <v>0</v>
      </c>
      <c r="N65" s="346">
        <f t="shared" si="18"/>
        <v>0</v>
      </c>
      <c r="O65" s="534">
        <f t="shared" ref="O65:O73" si="19">SUM(F65:N65)</f>
        <v>8815.6104789151868</v>
      </c>
      <c r="P65" s="431">
        <f t="shared" ref="P65:P73" si="20">SUM(I65:M65)</f>
        <v>0</v>
      </c>
    </row>
    <row r="66" spans="1:16">
      <c r="A66" s="250"/>
      <c r="B66" s="250"/>
      <c r="C66" s="258" t="s">
        <v>25</v>
      </c>
      <c r="D66" s="350" t="s">
        <v>5</v>
      </c>
      <c r="E66" s="313"/>
      <c r="F66" s="294">
        <f t="shared" si="18"/>
        <v>0</v>
      </c>
      <c r="G66" s="290">
        <f t="shared" si="18"/>
        <v>0</v>
      </c>
      <c r="H66" s="290">
        <f t="shared" si="18"/>
        <v>0</v>
      </c>
      <c r="I66" s="416">
        <f t="shared" si="18"/>
        <v>0</v>
      </c>
      <c r="J66" s="381">
        <f t="shared" si="18"/>
        <v>0</v>
      </c>
      <c r="K66" s="381">
        <f t="shared" si="18"/>
        <v>0</v>
      </c>
      <c r="L66" s="381">
        <f t="shared" si="18"/>
        <v>0</v>
      </c>
      <c r="M66" s="381">
        <f t="shared" si="18"/>
        <v>0</v>
      </c>
      <c r="N66" s="346">
        <f t="shared" si="18"/>
        <v>0</v>
      </c>
      <c r="O66" s="534">
        <f t="shared" si="19"/>
        <v>0</v>
      </c>
      <c r="P66" s="431">
        <f t="shared" si="20"/>
        <v>0</v>
      </c>
    </row>
    <row r="67" spans="1:16">
      <c r="A67" s="250"/>
      <c r="B67" s="250"/>
      <c r="C67" s="258"/>
      <c r="D67" s="350" t="s">
        <v>6</v>
      </c>
      <c r="E67" s="313"/>
      <c r="F67" s="294">
        <f t="shared" si="18"/>
        <v>0</v>
      </c>
      <c r="G67" s="290">
        <f t="shared" si="18"/>
        <v>0</v>
      </c>
      <c r="H67" s="290">
        <f t="shared" si="18"/>
        <v>0</v>
      </c>
      <c r="I67" s="416">
        <f t="shared" si="18"/>
        <v>0</v>
      </c>
      <c r="J67" s="381">
        <f t="shared" si="18"/>
        <v>0</v>
      </c>
      <c r="K67" s="381">
        <f t="shared" si="18"/>
        <v>0</v>
      </c>
      <c r="L67" s="381">
        <f t="shared" si="18"/>
        <v>0</v>
      </c>
      <c r="M67" s="381">
        <f t="shared" si="18"/>
        <v>0</v>
      </c>
      <c r="N67" s="346">
        <f t="shared" si="18"/>
        <v>0</v>
      </c>
      <c r="O67" s="534">
        <f t="shared" si="19"/>
        <v>0</v>
      </c>
      <c r="P67" s="431">
        <f t="shared" si="20"/>
        <v>0</v>
      </c>
    </row>
    <row r="68" spans="1:16">
      <c r="A68" s="250"/>
      <c r="B68" s="250"/>
      <c r="C68" s="258"/>
      <c r="D68" s="350" t="s">
        <v>7</v>
      </c>
      <c r="E68" s="313"/>
      <c r="F68" s="294">
        <f t="shared" si="18"/>
        <v>0</v>
      </c>
      <c r="G68" s="290">
        <f t="shared" si="18"/>
        <v>0</v>
      </c>
      <c r="H68" s="290">
        <f t="shared" si="18"/>
        <v>0</v>
      </c>
      <c r="I68" s="416">
        <f t="shared" si="18"/>
        <v>0</v>
      </c>
      <c r="J68" s="381">
        <f t="shared" si="18"/>
        <v>0</v>
      </c>
      <c r="K68" s="381">
        <f t="shared" si="18"/>
        <v>0</v>
      </c>
      <c r="L68" s="381">
        <f t="shared" si="18"/>
        <v>0</v>
      </c>
      <c r="M68" s="381">
        <f t="shared" si="18"/>
        <v>0</v>
      </c>
      <c r="N68" s="346">
        <f t="shared" si="18"/>
        <v>0</v>
      </c>
      <c r="O68" s="534">
        <f t="shared" si="19"/>
        <v>0</v>
      </c>
      <c r="P68" s="431">
        <f t="shared" si="20"/>
        <v>0</v>
      </c>
    </row>
    <row r="69" spans="1:16">
      <c r="A69" s="250"/>
      <c r="B69" s="250"/>
      <c r="C69" s="258"/>
      <c r="D69" s="350" t="s">
        <v>8</v>
      </c>
      <c r="E69" s="313"/>
      <c r="F69" s="294">
        <f t="shared" si="18"/>
        <v>0</v>
      </c>
      <c r="G69" s="290">
        <f t="shared" si="18"/>
        <v>0</v>
      </c>
      <c r="H69" s="290">
        <f t="shared" si="18"/>
        <v>0</v>
      </c>
      <c r="I69" s="416">
        <f t="shared" si="18"/>
        <v>0</v>
      </c>
      <c r="J69" s="381">
        <f t="shared" si="18"/>
        <v>0</v>
      </c>
      <c r="K69" s="381">
        <f t="shared" si="18"/>
        <v>0</v>
      </c>
      <c r="L69" s="381">
        <f t="shared" si="18"/>
        <v>0</v>
      </c>
      <c r="M69" s="381">
        <f t="shared" si="18"/>
        <v>0</v>
      </c>
      <c r="N69" s="346">
        <f t="shared" si="18"/>
        <v>0</v>
      </c>
      <c r="O69" s="534">
        <f t="shared" si="19"/>
        <v>0</v>
      </c>
      <c r="P69" s="431">
        <f t="shared" si="20"/>
        <v>0</v>
      </c>
    </row>
    <row r="70" spans="1:16">
      <c r="A70" s="250"/>
      <c r="B70" s="250"/>
      <c r="C70" s="258"/>
      <c r="D70" s="350" t="s">
        <v>9</v>
      </c>
      <c r="E70" s="313"/>
      <c r="F70" s="294">
        <f t="shared" si="18"/>
        <v>0</v>
      </c>
      <c r="G70" s="290">
        <f t="shared" si="18"/>
        <v>0</v>
      </c>
      <c r="H70" s="290">
        <f t="shared" si="18"/>
        <v>0</v>
      </c>
      <c r="I70" s="416">
        <f t="shared" si="18"/>
        <v>0</v>
      </c>
      <c r="J70" s="381">
        <f t="shared" si="18"/>
        <v>0</v>
      </c>
      <c r="K70" s="381">
        <f t="shared" si="18"/>
        <v>0</v>
      </c>
      <c r="L70" s="381">
        <f t="shared" si="18"/>
        <v>0</v>
      </c>
      <c r="M70" s="381">
        <f t="shared" si="18"/>
        <v>0</v>
      </c>
      <c r="N70" s="346">
        <f t="shared" si="18"/>
        <v>0</v>
      </c>
      <c r="O70" s="534">
        <f t="shared" si="19"/>
        <v>0</v>
      </c>
      <c r="P70" s="431">
        <f t="shared" si="20"/>
        <v>0</v>
      </c>
    </row>
    <row r="71" spans="1:16">
      <c r="A71" s="250"/>
      <c r="B71" s="250"/>
      <c r="C71" s="258"/>
      <c r="D71" s="350" t="s">
        <v>10</v>
      </c>
      <c r="E71" s="313"/>
      <c r="F71" s="294">
        <f t="shared" si="18"/>
        <v>0</v>
      </c>
      <c r="G71" s="290">
        <f t="shared" si="18"/>
        <v>0</v>
      </c>
      <c r="H71" s="290">
        <f t="shared" si="18"/>
        <v>0</v>
      </c>
      <c r="I71" s="416">
        <f t="shared" si="18"/>
        <v>0</v>
      </c>
      <c r="J71" s="381">
        <f t="shared" si="18"/>
        <v>0</v>
      </c>
      <c r="K71" s="381">
        <f t="shared" si="18"/>
        <v>0</v>
      </c>
      <c r="L71" s="381">
        <f t="shared" si="18"/>
        <v>0</v>
      </c>
      <c r="M71" s="381">
        <f t="shared" si="18"/>
        <v>0</v>
      </c>
      <c r="N71" s="346">
        <f t="shared" si="18"/>
        <v>0</v>
      </c>
      <c r="O71" s="534">
        <f t="shared" si="19"/>
        <v>0</v>
      </c>
      <c r="P71" s="431">
        <f t="shared" si="20"/>
        <v>0</v>
      </c>
    </row>
    <row r="72" spans="1:16">
      <c r="A72" s="250"/>
      <c r="B72" s="250"/>
      <c r="C72" s="258"/>
      <c r="D72" s="350" t="s">
        <v>11</v>
      </c>
      <c r="E72" s="313"/>
      <c r="F72" s="294">
        <f t="shared" si="18"/>
        <v>0</v>
      </c>
      <c r="G72" s="290">
        <f t="shared" si="18"/>
        <v>0</v>
      </c>
      <c r="H72" s="290">
        <f t="shared" si="18"/>
        <v>0</v>
      </c>
      <c r="I72" s="416">
        <f t="shared" si="18"/>
        <v>0</v>
      </c>
      <c r="J72" s="381">
        <f t="shared" si="18"/>
        <v>0</v>
      </c>
      <c r="K72" s="381">
        <f t="shared" si="18"/>
        <v>0</v>
      </c>
      <c r="L72" s="381">
        <f t="shared" si="18"/>
        <v>0</v>
      </c>
      <c r="M72" s="381">
        <f t="shared" si="18"/>
        <v>0</v>
      </c>
      <c r="N72" s="346">
        <f t="shared" si="18"/>
        <v>0</v>
      </c>
      <c r="O72" s="534">
        <f t="shared" si="19"/>
        <v>0</v>
      </c>
      <c r="P72" s="431">
        <f t="shared" si="20"/>
        <v>0</v>
      </c>
    </row>
    <row r="73" spans="1:16">
      <c r="A73" s="250"/>
      <c r="B73" s="250"/>
      <c r="C73" s="259"/>
      <c r="D73" s="354" t="s">
        <v>12</v>
      </c>
      <c r="E73" s="546"/>
      <c r="F73" s="294">
        <f t="shared" si="18"/>
        <v>0</v>
      </c>
      <c r="G73" s="290">
        <f t="shared" si="18"/>
        <v>0</v>
      </c>
      <c r="H73" s="290">
        <f t="shared" si="18"/>
        <v>0</v>
      </c>
      <c r="I73" s="416">
        <f t="shared" si="18"/>
        <v>0</v>
      </c>
      <c r="J73" s="381">
        <f t="shared" si="18"/>
        <v>0</v>
      </c>
      <c r="K73" s="381">
        <f t="shared" si="18"/>
        <v>0</v>
      </c>
      <c r="L73" s="381">
        <f t="shared" si="18"/>
        <v>0</v>
      </c>
      <c r="M73" s="381">
        <f t="shared" si="18"/>
        <v>0</v>
      </c>
      <c r="N73" s="346">
        <f t="shared" si="18"/>
        <v>0</v>
      </c>
      <c r="O73" s="534">
        <f t="shared" si="19"/>
        <v>0</v>
      </c>
      <c r="P73" s="431">
        <f t="shared" si="20"/>
        <v>0</v>
      </c>
    </row>
    <row r="74" spans="1:16">
      <c r="A74" s="250"/>
      <c r="B74" s="250"/>
      <c r="C74" s="536"/>
      <c r="D74" s="537" t="str">
        <f>"Total incl Overhead - As Incurred "&amp;Assumptions!$C$8</f>
        <v>Total incl Overhead - As Incurred $ Mar 2017</v>
      </c>
      <c r="E74" s="517"/>
      <c r="F74" s="292">
        <f>+SUM(F64:F73)</f>
        <v>5863.0517435056654</v>
      </c>
      <c r="G74" s="253">
        <f t="shared" ref="G74:N74" si="21">+SUM(G64:G73)</f>
        <v>2952.5587354095205</v>
      </c>
      <c r="H74" s="253">
        <f t="shared" si="21"/>
        <v>0</v>
      </c>
      <c r="I74" s="411">
        <f t="shared" si="21"/>
        <v>0</v>
      </c>
      <c r="J74" s="382">
        <f t="shared" si="21"/>
        <v>0</v>
      </c>
      <c r="K74" s="382">
        <f t="shared" si="21"/>
        <v>0</v>
      </c>
      <c r="L74" s="382">
        <f t="shared" si="21"/>
        <v>0</v>
      </c>
      <c r="M74" s="382">
        <f t="shared" si="21"/>
        <v>0</v>
      </c>
      <c r="N74" s="519">
        <f t="shared" si="21"/>
        <v>0</v>
      </c>
      <c r="O74" s="292">
        <f>SUM(O64:O73)</f>
        <v>8815.6104789151868</v>
      </c>
      <c r="P74" s="428">
        <f>SUM(P64:P73)</f>
        <v>0</v>
      </c>
    </row>
    <row r="75" spans="1:16">
      <c r="B75" s="250"/>
      <c r="E75" s="547" t="s">
        <v>50</v>
      </c>
      <c r="F75" s="548">
        <f>F74-F59</f>
        <v>0</v>
      </c>
      <c r="G75" s="548">
        <f t="shared" ref="G75:P75" si="22">G74-G59</f>
        <v>0</v>
      </c>
      <c r="H75" s="548">
        <f t="shared" si="22"/>
        <v>0</v>
      </c>
      <c r="I75" s="548">
        <f t="shared" si="22"/>
        <v>0</v>
      </c>
      <c r="J75" s="548">
        <f t="shared" si="22"/>
        <v>0</v>
      </c>
      <c r="K75" s="548">
        <f t="shared" si="22"/>
        <v>0</v>
      </c>
      <c r="L75" s="548">
        <f t="shared" si="22"/>
        <v>0</v>
      </c>
      <c r="M75" s="548">
        <f t="shared" si="22"/>
        <v>0</v>
      </c>
      <c r="N75" s="548">
        <f t="shared" si="22"/>
        <v>0</v>
      </c>
      <c r="O75" s="548">
        <f t="shared" si="22"/>
        <v>0</v>
      </c>
      <c r="P75" s="548">
        <f t="shared" si="22"/>
        <v>0</v>
      </c>
    </row>
    <row r="76" spans="1:16" hidden="1" outlineLevel="1">
      <c r="A76" s="250"/>
      <c r="B76" s="250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344">
        <f t="shared" ref="F76:N76" si="23">F14</f>
        <v>1653.6368890990059</v>
      </c>
      <c r="G76" s="344">
        <f t="shared" si="23"/>
        <v>6417.7198926626761</v>
      </c>
      <c r="H76" s="344">
        <f t="shared" si="23"/>
        <v>0</v>
      </c>
      <c r="I76" s="531">
        <f t="shared" si="23"/>
        <v>0</v>
      </c>
      <c r="J76" s="344">
        <f t="shared" si="23"/>
        <v>0</v>
      </c>
      <c r="K76" s="344">
        <f t="shared" si="23"/>
        <v>0</v>
      </c>
      <c r="L76" s="344">
        <f t="shared" si="23"/>
        <v>0</v>
      </c>
      <c r="M76" s="344">
        <f t="shared" si="23"/>
        <v>0</v>
      </c>
      <c r="N76" s="345">
        <f t="shared" si="23"/>
        <v>0</v>
      </c>
      <c r="O76" s="549">
        <f>SUM(F76:N76)</f>
        <v>8071.3567817616822</v>
      </c>
      <c r="P76" s="545">
        <f t="shared" ref="P76:P80" si="24">SUM(I76:M76)</f>
        <v>0</v>
      </c>
    </row>
    <row r="77" spans="1:16" hidden="1" outlineLevel="1">
      <c r="A77" s="250"/>
      <c r="B77" s="250"/>
      <c r="C77" s="453"/>
      <c r="D77" s="350" t="str">
        <f>"Labour &amp; Material Escalation - "&amp;Assumptions!C7</f>
        <v>Labour &amp; Material Escalation - $ 2015/16</v>
      </c>
      <c r="E77" s="454"/>
      <c r="F77" s="290">
        <f>IF(F$10="Prior",0,IF(AND(F76&lt;&gt;0,SUM(E76:$F76)=0),F76/SUM($F$76:F76)*F61,IF(F76&lt;&gt;0,SUM($F$76:F76)/SUM($F$11:F11)*F61-E83,0)))</f>
        <v>0</v>
      </c>
      <c r="G77" s="290">
        <f>IF(G$10="Prior",0,IF(AND(G76&lt;&gt;0,SUM($F76:F76)=0),G76/SUM($F$76:G76)*G61,IF(G76&lt;&gt;0,SUM($F$76:G76)/SUM($F$11:G11)*G61-F83,0)))</f>
        <v>7.209134196448133</v>
      </c>
      <c r="H77" s="290">
        <f>IF(H$10="Prior",0,IF(AND(H76&lt;&gt;0,SUM($F76:G76)=0),H76/SUM($F$76:H76)*H61,IF(H76&lt;&gt;0,SUM($F$76:H76)/SUM($F$11:H11)*H61-G83,0)))</f>
        <v>0</v>
      </c>
      <c r="I77" s="512">
        <f>IF(I$10="Prior",0,IF(AND(I76&lt;&gt;0,SUM($F76:H76)=0),I76/SUM($F$76:I76)*I61,IF(I76&lt;&gt;0,SUM($F$76:I76)/SUM($F$11:I11)*I61-H83,0)))</f>
        <v>0</v>
      </c>
      <c r="J77" s="290">
        <f>IF(J$10="Prior",0,IF(AND(J76&lt;&gt;0,SUM($F76:I76)=0),J76/SUM($F$76:J76)*J61,IF(J76&lt;&gt;0,SUM($F$76:J76)/SUM($F$11:J11)*J61-I83,0)))</f>
        <v>0</v>
      </c>
      <c r="K77" s="290">
        <f>IF(K$10="Prior",0,IF(AND(K76&lt;&gt;0,SUM($F76:J76)=0),K76/SUM($F$76:K76)*K61,IF(K76&lt;&gt;0,SUM($F$76:K76)/SUM($F$11:K11)*K61-J83,0)))</f>
        <v>0</v>
      </c>
      <c r="L77" s="290">
        <f>IF(L$10="Prior",0,IF(AND(L76&lt;&gt;0,SUM($F76:K76)=0),L76/SUM($F$76:L76)*L61,IF(L76&lt;&gt;0,SUM($F$76:L76)/SUM($F$11:L11)*L61-K83,0)))</f>
        <v>0</v>
      </c>
      <c r="M77" s="290">
        <f>IF(M$10="Prior",0,IF(AND(M76&lt;&gt;0,SUM($F76:L76)=0),M76/SUM($F$76:M76)*M61,IF(M76&lt;&gt;0,SUM($F$76:M76)/SUM($F$11:M11)*M61-L83,0)))</f>
        <v>0</v>
      </c>
      <c r="N77" s="346">
        <f>IF(N$10="Prior",0,IF(AND(N76&lt;&gt;0,SUM($F76:M76)=0),N76/SUM($F$76:N76)*N61,IF(N76&lt;&gt;0,SUM($F$76:N76)/SUM($F$11:N11)*N61-M83,0)))</f>
        <v>0</v>
      </c>
      <c r="O77" s="550">
        <f>SUM(F77:N77)</f>
        <v>7.209134196448133</v>
      </c>
      <c r="P77" s="551">
        <f t="shared" si="24"/>
        <v>0</v>
      </c>
    </row>
    <row r="78" spans="1:16" hidden="1" outlineLevel="1">
      <c r="A78" s="250"/>
      <c r="B78" s="250"/>
      <c r="C78" s="453"/>
      <c r="D78" s="470" t="str">
        <f>"Total Direct Expenditure - "&amp;Assumptions!C7</f>
        <v>Total Direct Expenditure - $ 2015/16</v>
      </c>
      <c r="E78" s="471"/>
      <c r="F78" s="552">
        <f>SUM(F76:F77)</f>
        <v>1653.6368890990059</v>
      </c>
      <c r="G78" s="553">
        <f t="shared" ref="G78:N78" si="25">SUM(G76:G77)</f>
        <v>6424.929026859124</v>
      </c>
      <c r="H78" s="553">
        <f t="shared" si="25"/>
        <v>0</v>
      </c>
      <c r="I78" s="554">
        <f t="shared" si="25"/>
        <v>0</v>
      </c>
      <c r="J78" s="553">
        <f t="shared" si="25"/>
        <v>0</v>
      </c>
      <c r="K78" s="553">
        <f t="shared" si="25"/>
        <v>0</v>
      </c>
      <c r="L78" s="553">
        <f t="shared" si="25"/>
        <v>0</v>
      </c>
      <c r="M78" s="553">
        <f t="shared" si="25"/>
        <v>0</v>
      </c>
      <c r="N78" s="555">
        <f t="shared" si="25"/>
        <v>0</v>
      </c>
      <c r="O78" s="556">
        <f>SUM(F78:N78)</f>
        <v>8078.5659159581301</v>
      </c>
      <c r="P78" s="557">
        <f t="shared" si="24"/>
        <v>0</v>
      </c>
    </row>
    <row r="79" spans="1:16" hidden="1" outlineLevel="1">
      <c r="A79" s="250"/>
      <c r="B79" s="250"/>
      <c r="C79" s="453"/>
      <c r="D79" s="470" t="str">
        <f>"Total Direct Expenditure - "&amp;Assumptions!C8</f>
        <v>Total Direct Expenditure - $ Mar 2017</v>
      </c>
      <c r="E79" s="471"/>
      <c r="F79" s="552">
        <f>F78*Assumptions!$G$21</f>
        <v>1681.6119492529365</v>
      </c>
      <c r="G79" s="553">
        <f>G78*Assumptions!$G$21</f>
        <v>6533.6214352082452</v>
      </c>
      <c r="H79" s="553">
        <f>H78*Assumptions!$G$21</f>
        <v>0</v>
      </c>
      <c r="I79" s="554">
        <f>I78*Assumptions!$G$21</f>
        <v>0</v>
      </c>
      <c r="J79" s="553">
        <f>J78*Assumptions!$G$21</f>
        <v>0</v>
      </c>
      <c r="K79" s="553">
        <f>K78*Assumptions!$G$21</f>
        <v>0</v>
      </c>
      <c r="L79" s="553">
        <f>L78*Assumptions!$G$21</f>
        <v>0</v>
      </c>
      <c r="M79" s="553">
        <f>M78*Assumptions!$G$21</f>
        <v>0</v>
      </c>
      <c r="N79" s="555">
        <f>N78*Assumptions!$G$21</f>
        <v>0</v>
      </c>
      <c r="O79" s="556">
        <f>SUM(F79:N79)</f>
        <v>8215.2333844611821</v>
      </c>
      <c r="P79" s="557">
        <f t="shared" si="24"/>
        <v>0</v>
      </c>
    </row>
    <row r="80" spans="1:16" hidden="1" outlineLevel="1">
      <c r="A80" s="250"/>
      <c r="B80" s="250"/>
      <c r="C80" s="258"/>
      <c r="D80" s="354" t="s">
        <v>264</v>
      </c>
      <c r="E80" s="312"/>
      <c r="F80" s="290">
        <f>IF(F$10="Prior",F79*F56,IF(AND(F79&lt;&gt;0,SUM(E79:$F79)=0),F79/SUM($F$54:F54)*F60,IF(F79&lt;&gt;0,SUM($F$79:F79)/SUM($F$54:F54)*F60-E82,0)))</f>
        <v>134.66637534670204</v>
      </c>
      <c r="G80" s="290">
        <f>IF(G$10="Prior",G79*G56,IF(AND(G79&lt;&gt;0,SUM($F79:F79)=0),G79/SUM($F$54:G54)*G60,IF(G79&lt;&gt;0,SUM($F$79:G79)/SUM($F$54:G54)*G60-F82,0)))</f>
        <v>465.710719107302</v>
      </c>
      <c r="H80" s="290">
        <f>IF(H$10="Prior",H79*H56,IF(AND(H79&lt;&gt;0,SUM($F79:G79)=0),H79/SUM($F$54:H54)*H60,IF(H79&lt;&gt;0,SUM($F$79:H79)/SUM($F$54:H54)*H60-G82,0)))</f>
        <v>0</v>
      </c>
      <c r="I80" s="512">
        <f>IF(I$10="Prior",I79*I56,IF(AND(I79&lt;&gt;0,SUM($F79:H79)=0),I79/SUM($F$54:I54)*I60,IF(I79&lt;&gt;0,SUM($F$79:I79)/SUM($F$54:I54)*I60-H82,0)))</f>
        <v>0</v>
      </c>
      <c r="J80" s="290">
        <f>IF(J$10="Prior",J79*J56,IF(AND(J79&lt;&gt;0,SUM($F79:I79)=0),J79/SUM($F$54:J54)*J60,IF(J79&lt;&gt;0,SUM($F$79:J79)/SUM($F$54:J54)*J60-I82,0)))</f>
        <v>0</v>
      </c>
      <c r="K80" s="290">
        <f>IF(K$10="Prior",K79*K56,IF(AND(K79&lt;&gt;0,SUM($F79:J79)=0),K79/SUM($F$54:K54)*K60,IF(K79&lt;&gt;0,SUM($F$79:K79)/SUM($F$54:K54)*K60-J82,0)))</f>
        <v>0</v>
      </c>
      <c r="L80" s="290">
        <f>IF(L$10="Prior",L79*L56,IF(AND(L79&lt;&gt;0,SUM($F79:K79)=0),L79/SUM($F$54:L54)*L60,IF(L79&lt;&gt;0,SUM($F$79:L79)/SUM($F$54:L54)*L60-K82,0)))</f>
        <v>0</v>
      </c>
      <c r="M80" s="290">
        <f>IF(M$10="Prior",M79*M56,IF(AND(M79&lt;&gt;0,SUM($F79:L79)=0),M79/SUM($F$54:M54)*M60,IF(M79&lt;&gt;0,SUM($F$79:M79)/SUM($F$54:M54)*M60-L82,0)))</f>
        <v>0</v>
      </c>
      <c r="N80" s="346">
        <f>IF(N$10="Prior",N79*N56,IF(AND(N79&lt;&gt;0,SUM($F79:M79)=0),N79/SUM($F$54:N54)*N60,IF(N79&lt;&gt;0,SUM($F$79:N79)/SUM($F$54:N54)*N60-M82,0)))</f>
        <v>0</v>
      </c>
      <c r="O80" s="550">
        <f>SUM(F80:N80)</f>
        <v>600.37709445400401</v>
      </c>
      <c r="P80" s="497">
        <f t="shared" si="24"/>
        <v>0</v>
      </c>
    </row>
    <row r="81" spans="1:17" hidden="1" outlineLevel="1">
      <c r="A81" s="250"/>
      <c r="B81" s="250"/>
      <c r="C81" s="536"/>
      <c r="D81" s="537" t="str">
        <f>"Total incl Overhead - As commissioned "&amp;Assumptions!$C$8</f>
        <v>Total incl Overhead - As commissioned $ Mar 2017</v>
      </c>
      <c r="E81" s="517"/>
      <c r="F81" s="558">
        <f>SUM(F79:F80)</f>
        <v>1816.2783245996386</v>
      </c>
      <c r="G81" s="559">
        <f t="shared" ref="G81:P81" si="26">SUM(G79:G80)</f>
        <v>6999.3321543155471</v>
      </c>
      <c r="H81" s="559">
        <f t="shared" si="26"/>
        <v>0</v>
      </c>
      <c r="I81" s="560">
        <f t="shared" si="26"/>
        <v>0</v>
      </c>
      <c r="J81" s="559">
        <f t="shared" si="26"/>
        <v>0</v>
      </c>
      <c r="K81" s="559">
        <f t="shared" si="26"/>
        <v>0</v>
      </c>
      <c r="L81" s="559">
        <f t="shared" si="26"/>
        <v>0</v>
      </c>
      <c r="M81" s="559">
        <f t="shared" si="26"/>
        <v>0</v>
      </c>
      <c r="N81" s="561">
        <f t="shared" si="26"/>
        <v>0</v>
      </c>
      <c r="O81" s="562">
        <f t="shared" si="26"/>
        <v>8815.6104789151868</v>
      </c>
      <c r="P81" s="563">
        <f t="shared" si="26"/>
        <v>0</v>
      </c>
    </row>
    <row r="82" spans="1:17" hidden="1" outlineLevel="1">
      <c r="A82" s="250"/>
      <c r="B82" s="250"/>
      <c r="C82" s="250"/>
      <c r="D82" s="251" t="s">
        <v>286</v>
      </c>
      <c r="E82" s="251"/>
      <c r="F82" s="252">
        <f>F80</f>
        <v>134.66637534670204</v>
      </c>
      <c r="G82" s="252">
        <f t="shared" ref="G82:N82" si="27">G80+F82</f>
        <v>600.37709445400401</v>
      </c>
      <c r="H82" s="252">
        <f t="shared" si="27"/>
        <v>600.37709445400401</v>
      </c>
      <c r="I82" s="252">
        <f t="shared" si="27"/>
        <v>600.37709445400401</v>
      </c>
      <c r="J82" s="252">
        <f t="shared" si="27"/>
        <v>600.37709445400401</v>
      </c>
      <c r="K82" s="252">
        <f t="shared" si="27"/>
        <v>600.37709445400401</v>
      </c>
      <c r="L82" s="252">
        <f t="shared" si="27"/>
        <v>600.37709445400401</v>
      </c>
      <c r="M82" s="252">
        <f t="shared" si="27"/>
        <v>600.37709445400401</v>
      </c>
      <c r="N82" s="252">
        <f t="shared" si="27"/>
        <v>600.37709445400401</v>
      </c>
      <c r="O82" s="543"/>
    </row>
    <row r="83" spans="1:17" hidden="1" outlineLevel="1">
      <c r="A83" s="250"/>
      <c r="B83" s="250"/>
      <c r="C83" s="250"/>
      <c r="D83" s="251" t="s">
        <v>287</v>
      </c>
      <c r="E83" s="251"/>
      <c r="F83" s="252">
        <f>F77</f>
        <v>0</v>
      </c>
      <c r="G83" s="252">
        <f t="shared" ref="G83:N83" si="28">G77+F83</f>
        <v>7.209134196448133</v>
      </c>
      <c r="H83" s="252">
        <f t="shared" si="28"/>
        <v>7.209134196448133</v>
      </c>
      <c r="I83" s="252">
        <f t="shared" si="28"/>
        <v>7.209134196448133</v>
      </c>
      <c r="J83" s="252">
        <f t="shared" si="28"/>
        <v>7.209134196448133</v>
      </c>
      <c r="K83" s="252">
        <f t="shared" si="28"/>
        <v>7.209134196448133</v>
      </c>
      <c r="L83" s="252">
        <f t="shared" si="28"/>
        <v>7.209134196448133</v>
      </c>
      <c r="M83" s="252">
        <f t="shared" si="28"/>
        <v>7.209134196448133</v>
      </c>
      <c r="N83" s="252">
        <f t="shared" si="28"/>
        <v>7.209134196448133</v>
      </c>
      <c r="O83" s="543"/>
    </row>
    <row r="84" spans="1:17" collapsed="1">
      <c r="A84" s="250"/>
      <c r="B84" s="250"/>
      <c r="C84" s="540" t="s">
        <v>276</v>
      </c>
    </row>
    <row r="85" spans="1:17">
      <c r="B85" s="250"/>
      <c r="C85" s="257" t="s">
        <v>23</v>
      </c>
      <c r="D85" s="353" t="s">
        <v>3</v>
      </c>
      <c r="E85" s="530"/>
      <c r="F85" s="343">
        <f t="shared" ref="F85:N94" si="29">IF($O$74=0,0,F$81/$O$81*$O$74*F17)</f>
        <v>0</v>
      </c>
      <c r="G85" s="344">
        <f t="shared" si="29"/>
        <v>0</v>
      </c>
      <c r="H85" s="344">
        <f t="shared" si="29"/>
        <v>0</v>
      </c>
      <c r="I85" s="415">
        <f t="shared" si="29"/>
        <v>0</v>
      </c>
      <c r="J85" s="380">
        <f t="shared" si="29"/>
        <v>0</v>
      </c>
      <c r="K85" s="380">
        <f t="shared" si="29"/>
        <v>0</v>
      </c>
      <c r="L85" s="380">
        <f t="shared" si="29"/>
        <v>0</v>
      </c>
      <c r="M85" s="380">
        <f t="shared" si="29"/>
        <v>0</v>
      </c>
      <c r="N85" s="345">
        <f t="shared" si="29"/>
        <v>0</v>
      </c>
      <c r="O85" s="532">
        <f>SUM(F85:N85)</f>
        <v>0</v>
      </c>
      <c r="P85" s="430">
        <f t="shared" ref="P85:P94" si="30">SUM(I85:M85)</f>
        <v>0</v>
      </c>
    </row>
    <row r="86" spans="1:17">
      <c r="C86" s="258" t="s">
        <v>24</v>
      </c>
      <c r="D86" s="350" t="s">
        <v>4</v>
      </c>
      <c r="E86" s="313"/>
      <c r="F86" s="294">
        <f t="shared" si="29"/>
        <v>1816.2783245996386</v>
      </c>
      <c r="G86" s="290">
        <f t="shared" si="29"/>
        <v>6999.3321543155471</v>
      </c>
      <c r="H86" s="290">
        <f t="shared" si="29"/>
        <v>0</v>
      </c>
      <c r="I86" s="416">
        <f t="shared" si="29"/>
        <v>0</v>
      </c>
      <c r="J86" s="381">
        <f t="shared" si="29"/>
        <v>0</v>
      </c>
      <c r="K86" s="381">
        <f t="shared" si="29"/>
        <v>0</v>
      </c>
      <c r="L86" s="381">
        <f t="shared" si="29"/>
        <v>0</v>
      </c>
      <c r="M86" s="381">
        <f t="shared" si="29"/>
        <v>0</v>
      </c>
      <c r="N86" s="346">
        <f t="shared" si="29"/>
        <v>0</v>
      </c>
      <c r="O86" s="534">
        <f t="shared" ref="O86:O94" si="31">SUM(F86:N86)</f>
        <v>8815.610478915185</v>
      </c>
      <c r="P86" s="431">
        <f t="shared" si="30"/>
        <v>0</v>
      </c>
    </row>
    <row r="87" spans="1:17">
      <c r="C87" s="258" t="s">
        <v>26</v>
      </c>
      <c r="D87" s="350" t="s">
        <v>5</v>
      </c>
      <c r="E87" s="313"/>
      <c r="F87" s="294">
        <f t="shared" si="29"/>
        <v>0</v>
      </c>
      <c r="G87" s="290">
        <f t="shared" si="29"/>
        <v>0</v>
      </c>
      <c r="H87" s="290">
        <f t="shared" si="29"/>
        <v>0</v>
      </c>
      <c r="I87" s="416">
        <f t="shared" si="29"/>
        <v>0</v>
      </c>
      <c r="J87" s="381">
        <f t="shared" si="29"/>
        <v>0</v>
      </c>
      <c r="K87" s="381">
        <f t="shared" si="29"/>
        <v>0</v>
      </c>
      <c r="L87" s="381">
        <f t="shared" si="29"/>
        <v>0</v>
      </c>
      <c r="M87" s="381">
        <f t="shared" si="29"/>
        <v>0</v>
      </c>
      <c r="N87" s="346">
        <f t="shared" si="29"/>
        <v>0</v>
      </c>
      <c r="O87" s="534">
        <f t="shared" si="31"/>
        <v>0</v>
      </c>
      <c r="P87" s="431">
        <f t="shared" si="30"/>
        <v>0</v>
      </c>
    </row>
    <row r="88" spans="1:17">
      <c r="C88" s="258"/>
      <c r="D88" s="350" t="s">
        <v>6</v>
      </c>
      <c r="E88" s="313"/>
      <c r="F88" s="294">
        <f t="shared" si="29"/>
        <v>0</v>
      </c>
      <c r="G88" s="290">
        <f t="shared" si="29"/>
        <v>0</v>
      </c>
      <c r="H88" s="290">
        <f t="shared" si="29"/>
        <v>0</v>
      </c>
      <c r="I88" s="416">
        <f t="shared" si="29"/>
        <v>0</v>
      </c>
      <c r="J88" s="381">
        <f t="shared" si="29"/>
        <v>0</v>
      </c>
      <c r="K88" s="381">
        <f t="shared" si="29"/>
        <v>0</v>
      </c>
      <c r="L88" s="381">
        <f t="shared" si="29"/>
        <v>0</v>
      </c>
      <c r="M88" s="381">
        <f t="shared" si="29"/>
        <v>0</v>
      </c>
      <c r="N88" s="346">
        <f t="shared" si="29"/>
        <v>0</v>
      </c>
      <c r="O88" s="534">
        <f t="shared" si="31"/>
        <v>0</v>
      </c>
      <c r="P88" s="431">
        <f t="shared" si="30"/>
        <v>0</v>
      </c>
    </row>
    <row r="89" spans="1:17">
      <c r="C89" s="258"/>
      <c r="D89" s="350" t="s">
        <v>7</v>
      </c>
      <c r="E89" s="313"/>
      <c r="F89" s="294">
        <f t="shared" si="29"/>
        <v>0</v>
      </c>
      <c r="G89" s="290">
        <f t="shared" si="29"/>
        <v>0</v>
      </c>
      <c r="H89" s="290">
        <f t="shared" si="29"/>
        <v>0</v>
      </c>
      <c r="I89" s="416">
        <f t="shared" si="29"/>
        <v>0</v>
      </c>
      <c r="J89" s="381">
        <f t="shared" si="29"/>
        <v>0</v>
      </c>
      <c r="K89" s="381">
        <f t="shared" si="29"/>
        <v>0</v>
      </c>
      <c r="L89" s="381">
        <f t="shared" si="29"/>
        <v>0</v>
      </c>
      <c r="M89" s="381">
        <f t="shared" si="29"/>
        <v>0</v>
      </c>
      <c r="N89" s="346">
        <f t="shared" si="29"/>
        <v>0</v>
      </c>
      <c r="O89" s="534">
        <f t="shared" si="31"/>
        <v>0</v>
      </c>
      <c r="P89" s="431">
        <f t="shared" si="30"/>
        <v>0</v>
      </c>
    </row>
    <row r="90" spans="1:17">
      <c r="C90" s="258"/>
      <c r="D90" s="350" t="s">
        <v>8</v>
      </c>
      <c r="E90" s="313"/>
      <c r="F90" s="294">
        <f t="shared" si="29"/>
        <v>0</v>
      </c>
      <c r="G90" s="290">
        <f t="shared" si="29"/>
        <v>0</v>
      </c>
      <c r="H90" s="290">
        <f t="shared" si="29"/>
        <v>0</v>
      </c>
      <c r="I90" s="416">
        <f t="shared" si="29"/>
        <v>0</v>
      </c>
      <c r="J90" s="381">
        <f t="shared" si="29"/>
        <v>0</v>
      </c>
      <c r="K90" s="381">
        <f t="shared" si="29"/>
        <v>0</v>
      </c>
      <c r="L90" s="381">
        <f t="shared" si="29"/>
        <v>0</v>
      </c>
      <c r="M90" s="381">
        <f t="shared" si="29"/>
        <v>0</v>
      </c>
      <c r="N90" s="346">
        <f t="shared" si="29"/>
        <v>0</v>
      </c>
      <c r="O90" s="534">
        <f t="shared" si="31"/>
        <v>0</v>
      </c>
      <c r="P90" s="431">
        <f t="shared" si="30"/>
        <v>0</v>
      </c>
    </row>
    <row r="91" spans="1:17">
      <c r="C91" s="258"/>
      <c r="D91" s="350" t="s">
        <v>9</v>
      </c>
      <c r="E91" s="313"/>
      <c r="F91" s="294">
        <f t="shared" si="29"/>
        <v>0</v>
      </c>
      <c r="G91" s="290">
        <f t="shared" si="29"/>
        <v>0</v>
      </c>
      <c r="H91" s="290">
        <f t="shared" si="29"/>
        <v>0</v>
      </c>
      <c r="I91" s="416">
        <f t="shared" si="29"/>
        <v>0</v>
      </c>
      <c r="J91" s="381">
        <f t="shared" si="29"/>
        <v>0</v>
      </c>
      <c r="K91" s="381">
        <f t="shared" si="29"/>
        <v>0</v>
      </c>
      <c r="L91" s="381">
        <f t="shared" si="29"/>
        <v>0</v>
      </c>
      <c r="M91" s="381">
        <f t="shared" si="29"/>
        <v>0</v>
      </c>
      <c r="N91" s="346">
        <f t="shared" si="29"/>
        <v>0</v>
      </c>
      <c r="O91" s="534">
        <f t="shared" si="31"/>
        <v>0</v>
      </c>
      <c r="P91" s="431">
        <f t="shared" si="30"/>
        <v>0</v>
      </c>
    </row>
    <row r="92" spans="1:17">
      <c r="C92" s="258"/>
      <c r="D92" s="350" t="s">
        <v>10</v>
      </c>
      <c r="E92" s="313"/>
      <c r="F92" s="294">
        <f t="shared" si="29"/>
        <v>0</v>
      </c>
      <c r="G92" s="290">
        <f t="shared" si="29"/>
        <v>0</v>
      </c>
      <c r="H92" s="290">
        <f t="shared" si="29"/>
        <v>0</v>
      </c>
      <c r="I92" s="416">
        <f t="shared" si="29"/>
        <v>0</v>
      </c>
      <c r="J92" s="381">
        <f t="shared" si="29"/>
        <v>0</v>
      </c>
      <c r="K92" s="381">
        <f t="shared" si="29"/>
        <v>0</v>
      </c>
      <c r="L92" s="381">
        <f t="shared" si="29"/>
        <v>0</v>
      </c>
      <c r="M92" s="381">
        <f t="shared" si="29"/>
        <v>0</v>
      </c>
      <c r="N92" s="346">
        <f t="shared" si="29"/>
        <v>0</v>
      </c>
      <c r="O92" s="534">
        <f t="shared" si="31"/>
        <v>0</v>
      </c>
      <c r="P92" s="431">
        <f t="shared" si="30"/>
        <v>0</v>
      </c>
    </row>
    <row r="93" spans="1:17">
      <c r="C93" s="258"/>
      <c r="D93" s="350" t="s">
        <v>11</v>
      </c>
      <c r="E93" s="313"/>
      <c r="F93" s="294">
        <f t="shared" si="29"/>
        <v>0</v>
      </c>
      <c r="G93" s="290">
        <f t="shared" si="29"/>
        <v>0</v>
      </c>
      <c r="H93" s="290">
        <f t="shared" si="29"/>
        <v>0</v>
      </c>
      <c r="I93" s="416">
        <f t="shared" si="29"/>
        <v>0</v>
      </c>
      <c r="J93" s="381">
        <f t="shared" si="29"/>
        <v>0</v>
      </c>
      <c r="K93" s="381">
        <f t="shared" si="29"/>
        <v>0</v>
      </c>
      <c r="L93" s="381">
        <f t="shared" si="29"/>
        <v>0</v>
      </c>
      <c r="M93" s="381">
        <f t="shared" si="29"/>
        <v>0</v>
      </c>
      <c r="N93" s="346">
        <f t="shared" si="29"/>
        <v>0</v>
      </c>
      <c r="O93" s="534">
        <f t="shared" si="31"/>
        <v>0</v>
      </c>
      <c r="P93" s="431">
        <f t="shared" si="30"/>
        <v>0</v>
      </c>
    </row>
    <row r="94" spans="1:17">
      <c r="C94" s="258"/>
      <c r="D94" s="350" t="s">
        <v>12</v>
      </c>
      <c r="E94" s="313"/>
      <c r="F94" s="294">
        <f t="shared" si="29"/>
        <v>0</v>
      </c>
      <c r="G94" s="290">
        <f t="shared" si="29"/>
        <v>0</v>
      </c>
      <c r="H94" s="290">
        <f t="shared" si="29"/>
        <v>0</v>
      </c>
      <c r="I94" s="416">
        <f t="shared" si="29"/>
        <v>0</v>
      </c>
      <c r="J94" s="381">
        <f t="shared" si="29"/>
        <v>0</v>
      </c>
      <c r="K94" s="381">
        <f t="shared" si="29"/>
        <v>0</v>
      </c>
      <c r="L94" s="381">
        <f t="shared" si="29"/>
        <v>0</v>
      </c>
      <c r="M94" s="381">
        <f t="shared" si="29"/>
        <v>0</v>
      </c>
      <c r="N94" s="346">
        <f t="shared" si="29"/>
        <v>0</v>
      </c>
      <c r="O94" s="534">
        <f t="shared" si="31"/>
        <v>0</v>
      </c>
      <c r="P94" s="431">
        <f t="shared" si="30"/>
        <v>0</v>
      </c>
    </row>
    <row r="95" spans="1:17">
      <c r="C95" s="536"/>
      <c r="D95" s="537" t="str">
        <f>"Total incl Overhead - As commissioned "&amp;Assumptions!$C$8</f>
        <v>Total incl Overhead - As commissioned $ Mar 2017</v>
      </c>
      <c r="E95" s="517"/>
      <c r="F95" s="292">
        <f>+SUM(F85:F94)</f>
        <v>1816.2783245996386</v>
      </c>
      <c r="G95" s="253">
        <f t="shared" ref="G95" si="32">+SUM(G85:G94)</f>
        <v>6999.3321543155471</v>
      </c>
      <c r="H95" s="253">
        <f t="shared" ref="H95:N95" si="33">+SUM(H85:H94)</f>
        <v>0</v>
      </c>
      <c r="I95" s="411">
        <f t="shared" si="33"/>
        <v>0</v>
      </c>
      <c r="J95" s="382">
        <f t="shared" si="33"/>
        <v>0</v>
      </c>
      <c r="K95" s="382">
        <f t="shared" si="33"/>
        <v>0</v>
      </c>
      <c r="L95" s="382">
        <f t="shared" si="33"/>
        <v>0</v>
      </c>
      <c r="M95" s="382">
        <f t="shared" si="33"/>
        <v>0</v>
      </c>
      <c r="N95" s="286">
        <f t="shared" si="33"/>
        <v>0</v>
      </c>
      <c r="O95" s="292">
        <f>SUM(O85:O94)</f>
        <v>8815.610478915185</v>
      </c>
      <c r="P95" s="428">
        <f>SUM(P85:P94)</f>
        <v>0</v>
      </c>
      <c r="Q95" s="564"/>
    </row>
    <row r="96" spans="1:17">
      <c r="E96" s="547" t="s">
        <v>50</v>
      </c>
      <c r="F96" s="452">
        <f>F95-F81</f>
        <v>0</v>
      </c>
      <c r="G96" s="452">
        <f t="shared" ref="G96:P96" si="34">G95-G81</f>
        <v>0</v>
      </c>
      <c r="H96" s="452">
        <f t="shared" si="34"/>
        <v>0</v>
      </c>
      <c r="I96" s="452">
        <f t="shared" si="34"/>
        <v>0</v>
      </c>
      <c r="J96" s="452">
        <f t="shared" si="34"/>
        <v>0</v>
      </c>
      <c r="K96" s="452">
        <f t="shared" si="34"/>
        <v>0</v>
      </c>
      <c r="L96" s="452">
        <f t="shared" si="34"/>
        <v>0</v>
      </c>
      <c r="M96" s="452">
        <f t="shared" si="34"/>
        <v>0</v>
      </c>
      <c r="N96" s="452">
        <f t="shared" si="34"/>
        <v>0</v>
      </c>
      <c r="O96" s="452">
        <f t="shared" si="34"/>
        <v>0</v>
      </c>
      <c r="P96" s="452">
        <f t="shared" si="34"/>
        <v>0</v>
      </c>
    </row>
    <row r="97" spans="3:16">
      <c r="C97" s="565"/>
      <c r="D97" s="251"/>
      <c r="F97" s="252"/>
      <c r="G97" s="252"/>
      <c r="H97" s="252"/>
      <c r="I97" s="252"/>
      <c r="J97" s="252"/>
      <c r="K97" s="252"/>
      <c r="L97" s="252"/>
      <c r="M97" s="252"/>
      <c r="N97" s="252"/>
      <c r="O97" s="566">
        <f>O95-O74</f>
        <v>0</v>
      </c>
      <c r="P97" s="565"/>
    </row>
    <row r="98" spans="3:16" hidden="1" outlineLevel="1">
      <c r="C98" s="236" t="s">
        <v>452</v>
      </c>
      <c r="F98" s="452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6" t="s">
        <v>451</v>
      </c>
      <c r="D99" s="236" t="s">
        <v>379</v>
      </c>
      <c r="F99" s="252"/>
      <c r="G99" s="487">
        <f>0.5*G21</f>
        <v>0</v>
      </c>
      <c r="H99" s="487">
        <f t="shared" ref="H99:N99" si="35">0.5*H21</f>
        <v>0</v>
      </c>
      <c r="I99" s="487">
        <f t="shared" si="35"/>
        <v>0</v>
      </c>
      <c r="J99" s="487">
        <f t="shared" si="35"/>
        <v>0</v>
      </c>
      <c r="K99" s="487">
        <f t="shared" si="35"/>
        <v>0</v>
      </c>
      <c r="L99" s="487">
        <f t="shared" si="35"/>
        <v>0</v>
      </c>
      <c r="M99" s="487">
        <f t="shared" si="35"/>
        <v>0</v>
      </c>
      <c r="N99" s="487">
        <f t="shared" si="35"/>
        <v>0</v>
      </c>
    </row>
    <row r="100" spans="3:16" hidden="1" outlineLevel="1">
      <c r="D100" s="236" t="s">
        <v>380</v>
      </c>
      <c r="F100" s="452"/>
      <c r="G100" s="487">
        <v>0</v>
      </c>
      <c r="H100" s="487">
        <v>0</v>
      </c>
      <c r="I100" s="487">
        <v>0</v>
      </c>
      <c r="J100" s="487">
        <v>0</v>
      </c>
      <c r="K100" s="487">
        <v>0</v>
      </c>
      <c r="L100" s="487">
        <v>0</v>
      </c>
      <c r="M100" s="487">
        <v>0</v>
      </c>
      <c r="N100" s="487">
        <v>0</v>
      </c>
    </row>
    <row r="101" spans="3:16" hidden="1" outlineLevel="1">
      <c r="D101" s="236" t="s">
        <v>381</v>
      </c>
      <c r="G101" s="487">
        <f>0.5*G21</f>
        <v>0</v>
      </c>
      <c r="H101" s="487">
        <f t="shared" ref="H101:N101" si="36">0.5*H21</f>
        <v>0</v>
      </c>
      <c r="I101" s="487">
        <f t="shared" si="36"/>
        <v>0</v>
      </c>
      <c r="J101" s="487">
        <f t="shared" si="36"/>
        <v>0</v>
      </c>
      <c r="K101" s="487">
        <f t="shared" si="36"/>
        <v>0</v>
      </c>
      <c r="L101" s="487">
        <f t="shared" si="36"/>
        <v>0</v>
      </c>
      <c r="M101" s="487">
        <f t="shared" si="36"/>
        <v>0</v>
      </c>
      <c r="N101" s="487">
        <f t="shared" si="36"/>
        <v>0</v>
      </c>
    </row>
    <row r="102" spans="3:16" hidden="1" outlineLevel="1">
      <c r="D102" s="236" t="s">
        <v>382</v>
      </c>
      <c r="F102" s="452"/>
      <c r="G102" s="487">
        <v>0</v>
      </c>
      <c r="H102" s="487">
        <v>0</v>
      </c>
      <c r="I102" s="487">
        <v>0</v>
      </c>
      <c r="J102" s="487">
        <v>0</v>
      </c>
      <c r="K102" s="487">
        <v>0</v>
      </c>
      <c r="L102" s="487">
        <v>0</v>
      </c>
      <c r="M102" s="487">
        <v>0</v>
      </c>
      <c r="N102" s="487">
        <v>0</v>
      </c>
    </row>
    <row r="103" spans="3:16" hidden="1" outlineLevel="1">
      <c r="D103" s="236" t="s">
        <v>383</v>
      </c>
      <c r="F103" s="452"/>
      <c r="G103" s="487">
        <f>G18</f>
        <v>1</v>
      </c>
      <c r="H103" s="487">
        <f t="shared" ref="H103:N105" si="37">H18</f>
        <v>1</v>
      </c>
      <c r="I103" s="487">
        <f t="shared" si="37"/>
        <v>1</v>
      </c>
      <c r="J103" s="487">
        <f t="shared" si="37"/>
        <v>1</v>
      </c>
      <c r="K103" s="487">
        <f t="shared" si="37"/>
        <v>1</v>
      </c>
      <c r="L103" s="487">
        <f t="shared" si="37"/>
        <v>1</v>
      </c>
      <c r="M103" s="487">
        <f t="shared" si="37"/>
        <v>1</v>
      </c>
      <c r="N103" s="487">
        <f t="shared" si="37"/>
        <v>1</v>
      </c>
    </row>
    <row r="104" spans="3:16" hidden="1" outlineLevel="1">
      <c r="D104" s="236" t="s">
        <v>384</v>
      </c>
      <c r="G104" s="487">
        <f>G19</f>
        <v>0</v>
      </c>
      <c r="H104" s="487">
        <f t="shared" si="37"/>
        <v>0</v>
      </c>
      <c r="I104" s="487">
        <f t="shared" si="37"/>
        <v>0</v>
      </c>
      <c r="J104" s="487">
        <f t="shared" si="37"/>
        <v>0</v>
      </c>
      <c r="K104" s="487">
        <f t="shared" si="37"/>
        <v>0</v>
      </c>
      <c r="L104" s="487">
        <f t="shared" si="37"/>
        <v>0</v>
      </c>
      <c r="M104" s="487">
        <f t="shared" si="37"/>
        <v>0</v>
      </c>
      <c r="N104" s="487">
        <f t="shared" si="37"/>
        <v>0</v>
      </c>
    </row>
    <row r="105" spans="3:16" hidden="1" outlineLevel="1">
      <c r="D105" s="236" t="s">
        <v>385</v>
      </c>
      <c r="G105" s="487">
        <f>G20</f>
        <v>0</v>
      </c>
      <c r="H105" s="487">
        <f t="shared" si="37"/>
        <v>0</v>
      </c>
      <c r="I105" s="487">
        <f t="shared" si="37"/>
        <v>0</v>
      </c>
      <c r="J105" s="487">
        <f t="shared" si="37"/>
        <v>0</v>
      </c>
      <c r="K105" s="487">
        <f t="shared" si="37"/>
        <v>0</v>
      </c>
      <c r="L105" s="487">
        <f t="shared" si="37"/>
        <v>0</v>
      </c>
      <c r="M105" s="487">
        <f t="shared" si="37"/>
        <v>0</v>
      </c>
      <c r="N105" s="487">
        <f t="shared" si="37"/>
        <v>0</v>
      </c>
    </row>
    <row r="106" spans="3:16" hidden="1" outlineLevel="1">
      <c r="D106" s="236" t="s">
        <v>386</v>
      </c>
      <c r="G106" s="487">
        <f>G17+G23</f>
        <v>0</v>
      </c>
      <c r="H106" s="487">
        <f t="shared" ref="H106:N106" si="38">H17+H23</f>
        <v>0</v>
      </c>
      <c r="I106" s="487">
        <f t="shared" si="38"/>
        <v>0</v>
      </c>
      <c r="J106" s="487">
        <f t="shared" si="38"/>
        <v>0</v>
      </c>
      <c r="K106" s="487">
        <f t="shared" si="38"/>
        <v>0</v>
      </c>
      <c r="L106" s="487">
        <f t="shared" si="38"/>
        <v>0</v>
      </c>
      <c r="M106" s="487">
        <f t="shared" si="38"/>
        <v>0</v>
      </c>
      <c r="N106" s="487">
        <f t="shared" si="38"/>
        <v>0</v>
      </c>
    </row>
    <row r="107" spans="3:16" hidden="1" outlineLevel="1">
      <c r="D107" s="236" t="s">
        <v>387</v>
      </c>
      <c r="G107" s="487">
        <f>G22</f>
        <v>0</v>
      </c>
      <c r="H107" s="487">
        <f t="shared" ref="H107:N107" si="39">H22</f>
        <v>0</v>
      </c>
      <c r="I107" s="487">
        <f t="shared" si="39"/>
        <v>0</v>
      </c>
      <c r="J107" s="487">
        <f t="shared" si="39"/>
        <v>0</v>
      </c>
      <c r="K107" s="487">
        <f t="shared" si="39"/>
        <v>0</v>
      </c>
      <c r="L107" s="487">
        <f t="shared" si="39"/>
        <v>0</v>
      </c>
      <c r="M107" s="487">
        <f t="shared" si="39"/>
        <v>0</v>
      </c>
      <c r="N107" s="487">
        <f t="shared" si="39"/>
        <v>0</v>
      </c>
    </row>
    <row r="108" spans="3:16" hidden="1" outlineLevel="1">
      <c r="D108" s="236" t="s">
        <v>16</v>
      </c>
      <c r="G108" s="487">
        <f>SUM(G99:G107)</f>
        <v>1</v>
      </c>
      <c r="H108" s="487">
        <f t="shared" ref="H108:N108" si="40">SUM(H99:H107)</f>
        <v>1</v>
      </c>
      <c r="I108" s="487">
        <f t="shared" si="40"/>
        <v>1</v>
      </c>
      <c r="J108" s="487">
        <f t="shared" si="40"/>
        <v>1</v>
      </c>
      <c r="K108" s="487">
        <f t="shared" si="40"/>
        <v>1</v>
      </c>
      <c r="L108" s="487">
        <f t="shared" si="40"/>
        <v>1</v>
      </c>
      <c r="M108" s="487">
        <f t="shared" si="40"/>
        <v>1</v>
      </c>
      <c r="N108" s="487">
        <f t="shared" si="40"/>
        <v>1</v>
      </c>
    </row>
    <row r="109" spans="3:16" hidden="1" outlineLevel="1"/>
    <row r="110" spans="3:16" hidden="1" outlineLevel="1">
      <c r="C110" s="236" t="s">
        <v>443</v>
      </c>
      <c r="D110" s="236" t="s">
        <v>445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7" t="s">
        <v>16</v>
      </c>
      <c r="P110" s="807" t="s">
        <v>453</v>
      </c>
    </row>
    <row r="111" spans="3:16" hidden="1" outlineLevel="1">
      <c r="C111" s="236" t="s">
        <v>444</v>
      </c>
      <c r="D111" s="236" t="s">
        <v>379</v>
      </c>
      <c r="G111" s="452">
        <f>G99*G$53</f>
        <v>0</v>
      </c>
      <c r="H111" s="452">
        <f t="shared" ref="H111:N111" si="41">H99*H$53</f>
        <v>0</v>
      </c>
      <c r="I111" s="452">
        <f t="shared" si="41"/>
        <v>0</v>
      </c>
      <c r="J111" s="452">
        <f t="shared" si="41"/>
        <v>0</v>
      </c>
      <c r="K111" s="452">
        <f t="shared" si="41"/>
        <v>0</v>
      </c>
      <c r="L111" s="452">
        <f t="shared" si="41"/>
        <v>0</v>
      </c>
      <c r="M111" s="452">
        <f t="shared" si="41"/>
        <v>0</v>
      </c>
      <c r="N111" s="452">
        <f t="shared" si="41"/>
        <v>0</v>
      </c>
      <c r="O111" s="452">
        <f t="shared" ref="O111:O119" si="42">SUM(F111:N111)</f>
        <v>0</v>
      </c>
      <c r="P111" s="452">
        <f t="shared" ref="P111:P119" si="43">SUM(I111:M111)</f>
        <v>0</v>
      </c>
    </row>
    <row r="112" spans="3:16" hidden="1" outlineLevel="1">
      <c r="D112" s="236" t="s">
        <v>380</v>
      </c>
      <c r="G112" s="452">
        <f t="shared" ref="G112:N119" si="44">G100*G$53</f>
        <v>0</v>
      </c>
      <c r="H112" s="452">
        <f t="shared" si="44"/>
        <v>0</v>
      </c>
      <c r="I112" s="452">
        <f t="shared" si="44"/>
        <v>0</v>
      </c>
      <c r="J112" s="452">
        <f t="shared" si="44"/>
        <v>0</v>
      </c>
      <c r="K112" s="452">
        <f t="shared" si="44"/>
        <v>0</v>
      </c>
      <c r="L112" s="452">
        <f t="shared" si="44"/>
        <v>0</v>
      </c>
      <c r="M112" s="452">
        <f t="shared" si="44"/>
        <v>0</v>
      </c>
      <c r="N112" s="452">
        <f t="shared" si="44"/>
        <v>0</v>
      </c>
      <c r="O112" s="452">
        <f t="shared" si="42"/>
        <v>0</v>
      </c>
      <c r="P112" s="452">
        <f t="shared" si="43"/>
        <v>0</v>
      </c>
    </row>
    <row r="113" spans="4:16" hidden="1" outlineLevel="1">
      <c r="D113" s="236" t="s">
        <v>381</v>
      </c>
      <c r="G113" s="452">
        <f t="shared" si="44"/>
        <v>0</v>
      </c>
      <c r="H113" s="452">
        <f t="shared" si="44"/>
        <v>0</v>
      </c>
      <c r="I113" s="452">
        <f t="shared" si="44"/>
        <v>0</v>
      </c>
      <c r="J113" s="452">
        <f t="shared" si="44"/>
        <v>0</v>
      </c>
      <c r="K113" s="452">
        <f t="shared" si="44"/>
        <v>0</v>
      </c>
      <c r="L113" s="452">
        <f t="shared" si="44"/>
        <v>0</v>
      </c>
      <c r="M113" s="452">
        <f t="shared" si="44"/>
        <v>0</v>
      </c>
      <c r="N113" s="452">
        <f t="shared" si="44"/>
        <v>0</v>
      </c>
      <c r="O113" s="452">
        <f t="shared" si="42"/>
        <v>0</v>
      </c>
      <c r="P113" s="452">
        <f t="shared" si="43"/>
        <v>0</v>
      </c>
    </row>
    <row r="114" spans="4:16" hidden="1" outlineLevel="1">
      <c r="D114" s="236" t="s">
        <v>382</v>
      </c>
      <c r="G114" s="452">
        <f t="shared" si="44"/>
        <v>0</v>
      </c>
      <c r="H114" s="452">
        <f t="shared" si="44"/>
        <v>0</v>
      </c>
      <c r="I114" s="452">
        <f t="shared" si="44"/>
        <v>0</v>
      </c>
      <c r="J114" s="452">
        <f t="shared" si="44"/>
        <v>0</v>
      </c>
      <c r="K114" s="452">
        <f t="shared" si="44"/>
        <v>0</v>
      </c>
      <c r="L114" s="452">
        <f t="shared" si="44"/>
        <v>0</v>
      </c>
      <c r="M114" s="452">
        <f t="shared" si="44"/>
        <v>0</v>
      </c>
      <c r="N114" s="452">
        <f t="shared" si="44"/>
        <v>0</v>
      </c>
      <c r="O114" s="452">
        <f t="shared" si="42"/>
        <v>0</v>
      </c>
      <c r="P114" s="452">
        <f t="shared" si="43"/>
        <v>0</v>
      </c>
    </row>
    <row r="115" spans="4:16" hidden="1" outlineLevel="1">
      <c r="D115" s="236" t="s">
        <v>383</v>
      </c>
      <c r="G115" s="452">
        <f t="shared" si="44"/>
        <v>1111.8245662340976</v>
      </c>
      <c r="H115" s="452">
        <f t="shared" si="44"/>
        <v>0</v>
      </c>
      <c r="I115" s="452">
        <f t="shared" si="44"/>
        <v>0</v>
      </c>
      <c r="J115" s="452">
        <f t="shared" si="44"/>
        <v>0</v>
      </c>
      <c r="K115" s="452">
        <f t="shared" si="44"/>
        <v>0</v>
      </c>
      <c r="L115" s="452">
        <f t="shared" si="44"/>
        <v>0</v>
      </c>
      <c r="M115" s="452">
        <f t="shared" si="44"/>
        <v>0</v>
      </c>
      <c r="N115" s="452">
        <f t="shared" si="44"/>
        <v>0</v>
      </c>
      <c r="O115" s="452">
        <f t="shared" si="42"/>
        <v>1111.8245662340976</v>
      </c>
      <c r="P115" s="452">
        <f t="shared" si="43"/>
        <v>0</v>
      </c>
    </row>
    <row r="116" spans="4:16" hidden="1" outlineLevel="1">
      <c r="D116" s="236" t="s">
        <v>384</v>
      </c>
      <c r="G116" s="452">
        <f t="shared" si="44"/>
        <v>0</v>
      </c>
      <c r="H116" s="452">
        <f t="shared" si="44"/>
        <v>0</v>
      </c>
      <c r="I116" s="452">
        <f t="shared" si="44"/>
        <v>0</v>
      </c>
      <c r="J116" s="452">
        <f t="shared" si="44"/>
        <v>0</v>
      </c>
      <c r="K116" s="452">
        <f t="shared" si="44"/>
        <v>0</v>
      </c>
      <c r="L116" s="452">
        <f t="shared" si="44"/>
        <v>0</v>
      </c>
      <c r="M116" s="452">
        <f t="shared" si="44"/>
        <v>0</v>
      </c>
      <c r="N116" s="452">
        <f t="shared" si="44"/>
        <v>0</v>
      </c>
      <c r="O116" s="452">
        <f t="shared" si="42"/>
        <v>0</v>
      </c>
      <c r="P116" s="452">
        <f t="shared" si="43"/>
        <v>0</v>
      </c>
    </row>
    <row r="117" spans="4:16" hidden="1" outlineLevel="1">
      <c r="D117" s="236" t="s">
        <v>385</v>
      </c>
      <c r="G117" s="452">
        <f t="shared" si="44"/>
        <v>0</v>
      </c>
      <c r="H117" s="452">
        <f t="shared" si="44"/>
        <v>0</v>
      </c>
      <c r="I117" s="452">
        <f t="shared" si="44"/>
        <v>0</v>
      </c>
      <c r="J117" s="452">
        <f t="shared" si="44"/>
        <v>0</v>
      </c>
      <c r="K117" s="452">
        <f t="shared" si="44"/>
        <v>0</v>
      </c>
      <c r="L117" s="452">
        <f t="shared" si="44"/>
        <v>0</v>
      </c>
      <c r="M117" s="452">
        <f t="shared" si="44"/>
        <v>0</v>
      </c>
      <c r="N117" s="452">
        <f t="shared" si="44"/>
        <v>0</v>
      </c>
      <c r="O117" s="452">
        <f t="shared" si="42"/>
        <v>0</v>
      </c>
      <c r="P117" s="452">
        <f t="shared" si="43"/>
        <v>0</v>
      </c>
    </row>
    <row r="118" spans="4:16" hidden="1" outlineLevel="1">
      <c r="D118" s="236" t="s">
        <v>386</v>
      </c>
      <c r="G118" s="452">
        <f t="shared" si="44"/>
        <v>0</v>
      </c>
      <c r="H118" s="452">
        <f t="shared" si="44"/>
        <v>0</v>
      </c>
      <c r="I118" s="452">
        <f t="shared" si="44"/>
        <v>0</v>
      </c>
      <c r="J118" s="452">
        <f t="shared" si="44"/>
        <v>0</v>
      </c>
      <c r="K118" s="452">
        <f t="shared" si="44"/>
        <v>0</v>
      </c>
      <c r="L118" s="452">
        <f t="shared" si="44"/>
        <v>0</v>
      </c>
      <c r="M118" s="452">
        <f t="shared" si="44"/>
        <v>0</v>
      </c>
      <c r="N118" s="452">
        <f t="shared" si="44"/>
        <v>0</v>
      </c>
      <c r="O118" s="452">
        <f t="shared" si="42"/>
        <v>0</v>
      </c>
      <c r="P118" s="452">
        <f t="shared" si="43"/>
        <v>0</v>
      </c>
    </row>
    <row r="119" spans="4:16" hidden="1" outlineLevel="1">
      <c r="D119" s="236" t="s">
        <v>387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6" t="s">
        <v>440</v>
      </c>
      <c r="G120" s="452">
        <f>SUM(G111:G119)</f>
        <v>1111.8245662340976</v>
      </c>
      <c r="H120" s="452">
        <f t="shared" ref="H120:P120" si="45">SUM(H111:H119)</f>
        <v>0</v>
      </c>
      <c r="I120" s="452">
        <f t="shared" si="45"/>
        <v>0</v>
      </c>
      <c r="J120" s="452">
        <f t="shared" si="45"/>
        <v>0</v>
      </c>
      <c r="K120" s="452">
        <f t="shared" si="45"/>
        <v>0</v>
      </c>
      <c r="L120" s="452">
        <f t="shared" si="45"/>
        <v>0</v>
      </c>
      <c r="M120" s="452">
        <f t="shared" si="45"/>
        <v>0</v>
      </c>
      <c r="N120" s="452">
        <f t="shared" si="45"/>
        <v>0</v>
      </c>
      <c r="O120" s="452">
        <f t="shared" si="45"/>
        <v>1111.8245662340976</v>
      </c>
      <c r="P120" s="452">
        <f t="shared" si="45"/>
        <v>0</v>
      </c>
    </row>
    <row r="121" spans="4:16" hidden="1" outlineLevel="1"/>
    <row r="122" spans="4:16" hidden="1" outlineLevel="1">
      <c r="D122" s="236" t="s">
        <v>446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453</v>
      </c>
    </row>
    <row r="123" spans="4:16" hidden="1" outlineLevel="1">
      <c r="D123" s="236" t="s">
        <v>379</v>
      </c>
      <c r="G123" s="452">
        <f>G99*G$51</f>
        <v>0</v>
      </c>
      <c r="H123" s="452">
        <f t="shared" ref="H123:N123" si="46">H99*H$51</f>
        <v>0</v>
      </c>
      <c r="I123" s="452">
        <f t="shared" si="46"/>
        <v>0</v>
      </c>
      <c r="J123" s="452">
        <f t="shared" si="46"/>
        <v>0</v>
      </c>
      <c r="K123" s="452">
        <f t="shared" si="46"/>
        <v>0</v>
      </c>
      <c r="L123" s="452">
        <f t="shared" si="46"/>
        <v>0</v>
      </c>
      <c r="M123" s="452">
        <f t="shared" si="46"/>
        <v>0</v>
      </c>
      <c r="N123" s="452">
        <f t="shared" si="46"/>
        <v>0</v>
      </c>
      <c r="O123" s="452">
        <f t="shared" ref="O123:O131" si="47">SUM(F123:N123)</f>
        <v>0</v>
      </c>
      <c r="P123" s="452">
        <f t="shared" ref="P123:P131" si="48">SUM(I123:M123)</f>
        <v>0</v>
      </c>
    </row>
    <row r="124" spans="4:16" hidden="1" outlineLevel="1">
      <c r="D124" s="236" t="s">
        <v>380</v>
      </c>
      <c r="G124" s="452">
        <f t="shared" ref="G124:N131" si="49">G100*G$51</f>
        <v>0</v>
      </c>
      <c r="H124" s="452">
        <f t="shared" si="49"/>
        <v>0</v>
      </c>
      <c r="I124" s="452">
        <f t="shared" si="49"/>
        <v>0</v>
      </c>
      <c r="J124" s="452">
        <f t="shared" si="49"/>
        <v>0</v>
      </c>
      <c r="K124" s="452">
        <f t="shared" si="49"/>
        <v>0</v>
      </c>
      <c r="L124" s="452">
        <f t="shared" si="49"/>
        <v>0</v>
      </c>
      <c r="M124" s="452">
        <f t="shared" si="49"/>
        <v>0</v>
      </c>
      <c r="N124" s="452">
        <f t="shared" si="49"/>
        <v>0</v>
      </c>
      <c r="O124" s="452">
        <f t="shared" si="47"/>
        <v>0</v>
      </c>
      <c r="P124" s="452">
        <f t="shared" si="48"/>
        <v>0</v>
      </c>
    </row>
    <row r="125" spans="4:16" hidden="1" outlineLevel="1">
      <c r="D125" s="236" t="s">
        <v>381</v>
      </c>
      <c r="G125" s="452">
        <f t="shared" si="49"/>
        <v>0</v>
      </c>
      <c r="H125" s="452">
        <f t="shared" si="49"/>
        <v>0</v>
      </c>
      <c r="I125" s="452">
        <f t="shared" si="49"/>
        <v>0</v>
      </c>
      <c r="J125" s="452">
        <f t="shared" si="49"/>
        <v>0</v>
      </c>
      <c r="K125" s="452">
        <f t="shared" si="49"/>
        <v>0</v>
      </c>
      <c r="L125" s="452">
        <f t="shared" si="49"/>
        <v>0</v>
      </c>
      <c r="M125" s="452">
        <f t="shared" si="49"/>
        <v>0</v>
      </c>
      <c r="N125" s="452">
        <f t="shared" si="49"/>
        <v>0</v>
      </c>
      <c r="O125" s="452">
        <f t="shared" si="47"/>
        <v>0</v>
      </c>
      <c r="P125" s="452">
        <f t="shared" si="48"/>
        <v>0</v>
      </c>
    </row>
    <row r="126" spans="4:16" hidden="1" outlineLevel="1">
      <c r="D126" s="236" t="s">
        <v>382</v>
      </c>
      <c r="G126" s="452">
        <f t="shared" si="49"/>
        <v>0</v>
      </c>
      <c r="H126" s="452">
        <f t="shared" si="49"/>
        <v>0</v>
      </c>
      <c r="I126" s="452">
        <f t="shared" si="49"/>
        <v>0</v>
      </c>
      <c r="J126" s="452">
        <f t="shared" si="49"/>
        <v>0</v>
      </c>
      <c r="K126" s="452">
        <f t="shared" si="49"/>
        <v>0</v>
      </c>
      <c r="L126" s="452">
        <f t="shared" si="49"/>
        <v>0</v>
      </c>
      <c r="M126" s="452">
        <f t="shared" si="49"/>
        <v>0</v>
      </c>
      <c r="N126" s="452">
        <f t="shared" si="49"/>
        <v>0</v>
      </c>
      <c r="O126" s="452">
        <f t="shared" si="47"/>
        <v>0</v>
      </c>
      <c r="P126" s="452">
        <f t="shared" si="48"/>
        <v>0</v>
      </c>
    </row>
    <row r="127" spans="4:16" hidden="1" outlineLevel="1">
      <c r="D127" s="236" t="s">
        <v>383</v>
      </c>
      <c r="G127" s="452">
        <f t="shared" si="49"/>
        <v>279.58913389018073</v>
      </c>
      <c r="H127" s="452">
        <f t="shared" si="49"/>
        <v>0</v>
      </c>
      <c r="I127" s="452">
        <f t="shared" si="49"/>
        <v>0</v>
      </c>
      <c r="J127" s="452">
        <f t="shared" si="49"/>
        <v>0</v>
      </c>
      <c r="K127" s="452">
        <f t="shared" si="49"/>
        <v>0</v>
      </c>
      <c r="L127" s="452">
        <f t="shared" si="49"/>
        <v>0</v>
      </c>
      <c r="M127" s="452">
        <f t="shared" si="49"/>
        <v>0</v>
      </c>
      <c r="N127" s="452">
        <f t="shared" si="49"/>
        <v>0</v>
      </c>
      <c r="O127" s="452">
        <f t="shared" si="47"/>
        <v>279.58913389018073</v>
      </c>
      <c r="P127" s="452">
        <f t="shared" si="48"/>
        <v>0</v>
      </c>
    </row>
    <row r="128" spans="4:16" hidden="1" outlineLevel="1">
      <c r="D128" s="236" t="s">
        <v>384</v>
      </c>
      <c r="G128" s="452">
        <f t="shared" si="49"/>
        <v>0</v>
      </c>
      <c r="H128" s="452">
        <f t="shared" si="49"/>
        <v>0</v>
      </c>
      <c r="I128" s="452">
        <f t="shared" si="49"/>
        <v>0</v>
      </c>
      <c r="J128" s="452">
        <f t="shared" si="49"/>
        <v>0</v>
      </c>
      <c r="K128" s="452">
        <f t="shared" si="49"/>
        <v>0</v>
      </c>
      <c r="L128" s="452">
        <f t="shared" si="49"/>
        <v>0</v>
      </c>
      <c r="M128" s="452">
        <f t="shared" si="49"/>
        <v>0</v>
      </c>
      <c r="N128" s="452">
        <f t="shared" si="49"/>
        <v>0</v>
      </c>
      <c r="O128" s="452">
        <f t="shared" si="47"/>
        <v>0</v>
      </c>
      <c r="P128" s="452">
        <f t="shared" si="48"/>
        <v>0</v>
      </c>
    </row>
    <row r="129" spans="4:16" hidden="1" outlineLevel="1">
      <c r="D129" s="236" t="s">
        <v>385</v>
      </c>
      <c r="G129" s="452">
        <f t="shared" si="49"/>
        <v>0</v>
      </c>
      <c r="H129" s="452">
        <f t="shared" si="49"/>
        <v>0</v>
      </c>
      <c r="I129" s="452">
        <f t="shared" si="49"/>
        <v>0</v>
      </c>
      <c r="J129" s="452">
        <f t="shared" si="49"/>
        <v>0</v>
      </c>
      <c r="K129" s="452">
        <f t="shared" si="49"/>
        <v>0</v>
      </c>
      <c r="L129" s="452">
        <f t="shared" si="49"/>
        <v>0</v>
      </c>
      <c r="M129" s="452">
        <f t="shared" si="49"/>
        <v>0</v>
      </c>
      <c r="N129" s="452">
        <f t="shared" si="49"/>
        <v>0</v>
      </c>
      <c r="O129" s="452">
        <f t="shared" si="47"/>
        <v>0</v>
      </c>
      <c r="P129" s="452">
        <f t="shared" si="48"/>
        <v>0</v>
      </c>
    </row>
    <row r="130" spans="4:16" hidden="1" outlineLevel="1">
      <c r="D130" s="236" t="s">
        <v>386</v>
      </c>
      <c r="G130" s="452">
        <f t="shared" si="49"/>
        <v>0</v>
      </c>
      <c r="H130" s="452">
        <f t="shared" si="49"/>
        <v>0</v>
      </c>
      <c r="I130" s="452">
        <f t="shared" si="49"/>
        <v>0</v>
      </c>
      <c r="J130" s="452">
        <f t="shared" si="49"/>
        <v>0</v>
      </c>
      <c r="K130" s="452">
        <f t="shared" si="49"/>
        <v>0</v>
      </c>
      <c r="L130" s="452">
        <f t="shared" si="49"/>
        <v>0</v>
      </c>
      <c r="M130" s="452">
        <f t="shared" si="49"/>
        <v>0</v>
      </c>
      <c r="N130" s="452">
        <f t="shared" si="49"/>
        <v>0</v>
      </c>
      <c r="O130" s="452">
        <f t="shared" si="47"/>
        <v>0</v>
      </c>
      <c r="P130" s="452">
        <f t="shared" si="48"/>
        <v>0</v>
      </c>
    </row>
    <row r="131" spans="4:16" hidden="1" outlineLevel="1">
      <c r="D131" s="236" t="s">
        <v>387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6" t="s">
        <v>441</v>
      </c>
      <c r="G132" s="452">
        <f>SUM(G123:G131)</f>
        <v>279.58913389018073</v>
      </c>
      <c r="H132" s="452">
        <f t="shared" ref="H132:P132" si="50">SUM(H123:H131)</f>
        <v>0</v>
      </c>
      <c r="I132" s="452">
        <f t="shared" si="50"/>
        <v>0</v>
      </c>
      <c r="J132" s="452">
        <f t="shared" si="50"/>
        <v>0</v>
      </c>
      <c r="K132" s="452">
        <f t="shared" si="50"/>
        <v>0</v>
      </c>
      <c r="L132" s="452">
        <f t="shared" si="50"/>
        <v>0</v>
      </c>
      <c r="M132" s="452">
        <f t="shared" si="50"/>
        <v>0</v>
      </c>
      <c r="N132" s="452">
        <f t="shared" si="50"/>
        <v>0</v>
      </c>
      <c r="O132" s="452">
        <f t="shared" si="50"/>
        <v>279.58913389018073</v>
      </c>
      <c r="P132" s="452">
        <f t="shared" si="50"/>
        <v>0</v>
      </c>
    </row>
    <row r="133" spans="4:16" hidden="1" outlineLevel="1"/>
    <row r="134" spans="4:16" hidden="1" outlineLevel="1">
      <c r="D134" s="236" t="s">
        <v>447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453</v>
      </c>
    </row>
    <row r="135" spans="4:16" hidden="1" outlineLevel="1">
      <c r="D135" s="236" t="s">
        <v>379</v>
      </c>
      <c r="G135" s="452">
        <f>G99*G$52</f>
        <v>0</v>
      </c>
      <c r="H135" s="452">
        <f t="shared" ref="H135:N135" si="51">H99*H$52</f>
        <v>0</v>
      </c>
      <c r="I135" s="452">
        <f t="shared" si="51"/>
        <v>0</v>
      </c>
      <c r="J135" s="452">
        <f t="shared" si="51"/>
        <v>0</v>
      </c>
      <c r="K135" s="452">
        <f t="shared" si="51"/>
        <v>0</v>
      </c>
      <c r="L135" s="452">
        <f t="shared" si="51"/>
        <v>0</v>
      </c>
      <c r="M135" s="452">
        <f t="shared" si="51"/>
        <v>0</v>
      </c>
      <c r="N135" s="452">
        <f t="shared" si="51"/>
        <v>0</v>
      </c>
      <c r="O135" s="452">
        <f t="shared" ref="O135:O143" si="52">SUM(F135:N135)</f>
        <v>0</v>
      </c>
      <c r="P135" s="452">
        <f t="shared" ref="P135:P143" si="53">SUM(I135:M135)</f>
        <v>0</v>
      </c>
    </row>
    <row r="136" spans="4:16" hidden="1" outlineLevel="1">
      <c r="D136" s="236" t="s">
        <v>380</v>
      </c>
      <c r="G136" s="452">
        <f t="shared" ref="G136:N143" si="54">G100*G$52</f>
        <v>0</v>
      </c>
      <c r="H136" s="452">
        <f t="shared" si="54"/>
        <v>0</v>
      </c>
      <c r="I136" s="452">
        <f t="shared" si="54"/>
        <v>0</v>
      </c>
      <c r="J136" s="452">
        <f t="shared" si="54"/>
        <v>0</v>
      </c>
      <c r="K136" s="452">
        <f t="shared" si="54"/>
        <v>0</v>
      </c>
      <c r="L136" s="452">
        <f t="shared" si="54"/>
        <v>0</v>
      </c>
      <c r="M136" s="452">
        <f t="shared" si="54"/>
        <v>0</v>
      </c>
      <c r="N136" s="452">
        <f t="shared" si="54"/>
        <v>0</v>
      </c>
      <c r="O136" s="452">
        <f t="shared" si="52"/>
        <v>0</v>
      </c>
      <c r="P136" s="452">
        <f t="shared" si="53"/>
        <v>0</v>
      </c>
    </row>
    <row r="137" spans="4:16" hidden="1" outlineLevel="1">
      <c r="D137" s="236" t="s">
        <v>381</v>
      </c>
      <c r="G137" s="452">
        <f t="shared" si="54"/>
        <v>0</v>
      </c>
      <c r="H137" s="452">
        <f t="shared" si="54"/>
        <v>0</v>
      </c>
      <c r="I137" s="452">
        <f t="shared" si="54"/>
        <v>0</v>
      </c>
      <c r="J137" s="452">
        <f t="shared" si="54"/>
        <v>0</v>
      </c>
      <c r="K137" s="452">
        <f t="shared" si="54"/>
        <v>0</v>
      </c>
      <c r="L137" s="452">
        <f t="shared" si="54"/>
        <v>0</v>
      </c>
      <c r="M137" s="452">
        <f t="shared" si="54"/>
        <v>0</v>
      </c>
      <c r="N137" s="452">
        <f t="shared" si="54"/>
        <v>0</v>
      </c>
      <c r="O137" s="452">
        <f t="shared" si="52"/>
        <v>0</v>
      </c>
      <c r="P137" s="452">
        <f t="shared" si="53"/>
        <v>0</v>
      </c>
    </row>
    <row r="138" spans="4:16" hidden="1" outlineLevel="1">
      <c r="D138" s="236" t="s">
        <v>382</v>
      </c>
      <c r="G138" s="452">
        <f t="shared" si="54"/>
        <v>0</v>
      </c>
      <c r="H138" s="452">
        <f t="shared" si="54"/>
        <v>0</v>
      </c>
      <c r="I138" s="452">
        <f t="shared" si="54"/>
        <v>0</v>
      </c>
      <c r="J138" s="452">
        <f t="shared" si="54"/>
        <v>0</v>
      </c>
      <c r="K138" s="452">
        <f t="shared" si="54"/>
        <v>0</v>
      </c>
      <c r="L138" s="452">
        <f t="shared" si="54"/>
        <v>0</v>
      </c>
      <c r="M138" s="452">
        <f t="shared" si="54"/>
        <v>0</v>
      </c>
      <c r="N138" s="452">
        <f t="shared" si="54"/>
        <v>0</v>
      </c>
      <c r="O138" s="452">
        <f t="shared" si="52"/>
        <v>0</v>
      </c>
      <c r="P138" s="452">
        <f t="shared" si="53"/>
        <v>0</v>
      </c>
    </row>
    <row r="139" spans="4:16" hidden="1" outlineLevel="1">
      <c r="D139" s="236" t="s">
        <v>383</v>
      </c>
      <c r="G139" s="452">
        <f t="shared" si="54"/>
        <v>1395.4788086945716</v>
      </c>
      <c r="H139" s="452">
        <f t="shared" si="54"/>
        <v>0</v>
      </c>
      <c r="I139" s="452">
        <f t="shared" si="54"/>
        <v>0</v>
      </c>
      <c r="J139" s="452">
        <f t="shared" si="54"/>
        <v>0</v>
      </c>
      <c r="K139" s="452">
        <f t="shared" si="54"/>
        <v>0</v>
      </c>
      <c r="L139" s="452">
        <f t="shared" si="54"/>
        <v>0</v>
      </c>
      <c r="M139" s="452">
        <f t="shared" si="54"/>
        <v>0</v>
      </c>
      <c r="N139" s="452">
        <f t="shared" si="54"/>
        <v>0</v>
      </c>
      <c r="O139" s="452">
        <f t="shared" si="52"/>
        <v>1395.4788086945716</v>
      </c>
      <c r="P139" s="452">
        <f t="shared" si="53"/>
        <v>0</v>
      </c>
    </row>
    <row r="140" spans="4:16" hidden="1" outlineLevel="1">
      <c r="D140" s="236" t="s">
        <v>384</v>
      </c>
      <c r="G140" s="452">
        <f t="shared" si="54"/>
        <v>0</v>
      </c>
      <c r="H140" s="452">
        <f t="shared" si="54"/>
        <v>0</v>
      </c>
      <c r="I140" s="452">
        <f t="shared" si="54"/>
        <v>0</v>
      </c>
      <c r="J140" s="452">
        <f t="shared" si="54"/>
        <v>0</v>
      </c>
      <c r="K140" s="452">
        <f t="shared" si="54"/>
        <v>0</v>
      </c>
      <c r="L140" s="452">
        <f t="shared" si="54"/>
        <v>0</v>
      </c>
      <c r="M140" s="452">
        <f t="shared" si="54"/>
        <v>0</v>
      </c>
      <c r="N140" s="452">
        <f t="shared" si="54"/>
        <v>0</v>
      </c>
      <c r="O140" s="452">
        <f t="shared" si="52"/>
        <v>0</v>
      </c>
      <c r="P140" s="452">
        <f t="shared" si="53"/>
        <v>0</v>
      </c>
    </row>
    <row r="141" spans="4:16" hidden="1" outlineLevel="1">
      <c r="D141" s="236" t="s">
        <v>385</v>
      </c>
      <c r="G141" s="452">
        <f t="shared" si="54"/>
        <v>0</v>
      </c>
      <c r="H141" s="452">
        <f t="shared" si="54"/>
        <v>0</v>
      </c>
      <c r="I141" s="452">
        <f t="shared" si="54"/>
        <v>0</v>
      </c>
      <c r="J141" s="452">
        <f t="shared" si="54"/>
        <v>0</v>
      </c>
      <c r="K141" s="452">
        <f t="shared" si="54"/>
        <v>0</v>
      </c>
      <c r="L141" s="452">
        <f t="shared" si="54"/>
        <v>0</v>
      </c>
      <c r="M141" s="452">
        <f t="shared" si="54"/>
        <v>0</v>
      </c>
      <c r="N141" s="452">
        <f t="shared" si="54"/>
        <v>0</v>
      </c>
      <c r="O141" s="452">
        <f t="shared" si="52"/>
        <v>0</v>
      </c>
      <c r="P141" s="452">
        <f t="shared" si="53"/>
        <v>0</v>
      </c>
    </row>
    <row r="142" spans="4:16" hidden="1" outlineLevel="1">
      <c r="D142" s="236" t="s">
        <v>386</v>
      </c>
      <c r="G142" s="452">
        <f t="shared" si="54"/>
        <v>0</v>
      </c>
      <c r="H142" s="452">
        <f t="shared" si="54"/>
        <v>0</v>
      </c>
      <c r="I142" s="452">
        <f t="shared" si="54"/>
        <v>0</v>
      </c>
      <c r="J142" s="452">
        <f t="shared" si="54"/>
        <v>0</v>
      </c>
      <c r="K142" s="452">
        <f t="shared" si="54"/>
        <v>0</v>
      </c>
      <c r="L142" s="452">
        <f t="shared" si="54"/>
        <v>0</v>
      </c>
      <c r="M142" s="452">
        <f t="shared" si="54"/>
        <v>0</v>
      </c>
      <c r="N142" s="452">
        <f t="shared" si="54"/>
        <v>0</v>
      </c>
      <c r="O142" s="452">
        <f t="shared" si="52"/>
        <v>0</v>
      </c>
      <c r="P142" s="452">
        <f t="shared" si="53"/>
        <v>0</v>
      </c>
    </row>
    <row r="143" spans="4:16" hidden="1" outlineLevel="1">
      <c r="D143" s="236" t="s">
        <v>387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6" t="s">
        <v>442</v>
      </c>
      <c r="G144" s="452">
        <f>SUM(G135:G143)</f>
        <v>1395.4788086945716</v>
      </c>
      <c r="H144" s="452">
        <f t="shared" ref="H144:P144" si="55">SUM(H135:H143)</f>
        <v>0</v>
      </c>
      <c r="I144" s="452">
        <f t="shared" si="55"/>
        <v>0</v>
      </c>
      <c r="J144" s="452">
        <f t="shared" si="55"/>
        <v>0</v>
      </c>
      <c r="K144" s="452">
        <f t="shared" si="55"/>
        <v>0</v>
      </c>
      <c r="L144" s="452">
        <f t="shared" si="55"/>
        <v>0</v>
      </c>
      <c r="M144" s="452">
        <f t="shared" si="55"/>
        <v>0</v>
      </c>
      <c r="N144" s="452">
        <f t="shared" si="55"/>
        <v>0</v>
      </c>
      <c r="O144" s="452">
        <f t="shared" si="55"/>
        <v>1395.4788086945716</v>
      </c>
      <c r="P144" s="452">
        <f t="shared" si="55"/>
        <v>0</v>
      </c>
    </row>
    <row r="145" spans="4:16" hidden="1" outlineLevel="1" collapsed="1"/>
    <row r="146" spans="4:16" hidden="1" outlineLevel="1">
      <c r="D146" s="236" t="s">
        <v>454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453</v>
      </c>
    </row>
    <row r="147" spans="4:16" hidden="1" outlineLevel="1">
      <c r="D147" s="236" t="s">
        <v>379</v>
      </c>
      <c r="G147" s="452">
        <f t="shared" ref="G147:N155" si="56">G111+G123+G135</f>
        <v>0</v>
      </c>
      <c r="H147" s="452">
        <f t="shared" si="56"/>
        <v>0</v>
      </c>
      <c r="I147" s="452">
        <f t="shared" si="56"/>
        <v>0</v>
      </c>
      <c r="J147" s="452">
        <f t="shared" si="56"/>
        <v>0</v>
      </c>
      <c r="K147" s="452">
        <f t="shared" si="56"/>
        <v>0</v>
      </c>
      <c r="L147" s="452">
        <f t="shared" si="56"/>
        <v>0</v>
      </c>
      <c r="M147" s="452">
        <f t="shared" si="56"/>
        <v>0</v>
      </c>
      <c r="N147" s="452">
        <f t="shared" si="56"/>
        <v>0</v>
      </c>
      <c r="O147" s="452">
        <f t="shared" ref="O147:O155" si="57">SUM(F147:N147)</f>
        <v>0</v>
      </c>
      <c r="P147" s="452">
        <f t="shared" ref="P147:P155" si="58">SUM(I147:M147)</f>
        <v>0</v>
      </c>
    </row>
    <row r="148" spans="4:16" hidden="1" outlineLevel="1">
      <c r="D148" s="236" t="s">
        <v>380</v>
      </c>
      <c r="G148" s="452">
        <f t="shared" si="56"/>
        <v>0</v>
      </c>
      <c r="H148" s="452">
        <f t="shared" si="56"/>
        <v>0</v>
      </c>
      <c r="I148" s="452">
        <f t="shared" si="56"/>
        <v>0</v>
      </c>
      <c r="J148" s="452">
        <f t="shared" si="56"/>
        <v>0</v>
      </c>
      <c r="K148" s="452">
        <f t="shared" si="56"/>
        <v>0</v>
      </c>
      <c r="L148" s="452">
        <f t="shared" si="56"/>
        <v>0</v>
      </c>
      <c r="M148" s="452">
        <f t="shared" si="56"/>
        <v>0</v>
      </c>
      <c r="N148" s="452">
        <f t="shared" si="56"/>
        <v>0</v>
      </c>
      <c r="O148" s="452">
        <f t="shared" si="57"/>
        <v>0</v>
      </c>
      <c r="P148" s="452">
        <f t="shared" si="58"/>
        <v>0</v>
      </c>
    </row>
    <row r="149" spans="4:16" hidden="1" outlineLevel="1">
      <c r="D149" s="236" t="s">
        <v>381</v>
      </c>
      <c r="G149" s="452">
        <f t="shared" si="56"/>
        <v>0</v>
      </c>
      <c r="H149" s="452">
        <f t="shared" si="56"/>
        <v>0</v>
      </c>
      <c r="I149" s="452">
        <f t="shared" si="56"/>
        <v>0</v>
      </c>
      <c r="J149" s="452">
        <f t="shared" si="56"/>
        <v>0</v>
      </c>
      <c r="K149" s="452">
        <f t="shared" si="56"/>
        <v>0</v>
      </c>
      <c r="L149" s="452">
        <f t="shared" si="56"/>
        <v>0</v>
      </c>
      <c r="M149" s="452">
        <f t="shared" si="56"/>
        <v>0</v>
      </c>
      <c r="N149" s="452">
        <f t="shared" si="56"/>
        <v>0</v>
      </c>
      <c r="O149" s="452">
        <f t="shared" si="57"/>
        <v>0</v>
      </c>
      <c r="P149" s="452">
        <f t="shared" si="58"/>
        <v>0</v>
      </c>
    </row>
    <row r="150" spans="4:16" hidden="1" outlineLevel="1">
      <c r="D150" s="236" t="s">
        <v>382</v>
      </c>
      <c r="G150" s="452">
        <f t="shared" si="56"/>
        <v>0</v>
      </c>
      <c r="H150" s="452">
        <f t="shared" si="56"/>
        <v>0</v>
      </c>
      <c r="I150" s="452">
        <f t="shared" si="56"/>
        <v>0</v>
      </c>
      <c r="J150" s="452">
        <f t="shared" si="56"/>
        <v>0</v>
      </c>
      <c r="K150" s="452">
        <f t="shared" si="56"/>
        <v>0</v>
      </c>
      <c r="L150" s="452">
        <f t="shared" si="56"/>
        <v>0</v>
      </c>
      <c r="M150" s="452">
        <f t="shared" si="56"/>
        <v>0</v>
      </c>
      <c r="N150" s="452">
        <f t="shared" si="56"/>
        <v>0</v>
      </c>
      <c r="O150" s="452">
        <f t="shared" si="57"/>
        <v>0</v>
      </c>
      <c r="P150" s="452">
        <f t="shared" si="58"/>
        <v>0</v>
      </c>
    </row>
    <row r="151" spans="4:16" hidden="1" outlineLevel="1">
      <c r="D151" s="236" t="s">
        <v>383</v>
      </c>
      <c r="G151" s="452">
        <f t="shared" si="56"/>
        <v>2786.8925088188498</v>
      </c>
      <c r="H151" s="452">
        <f t="shared" si="56"/>
        <v>0</v>
      </c>
      <c r="I151" s="452">
        <f t="shared" si="56"/>
        <v>0</v>
      </c>
      <c r="J151" s="452">
        <f t="shared" si="56"/>
        <v>0</v>
      </c>
      <c r="K151" s="452">
        <f t="shared" si="56"/>
        <v>0</v>
      </c>
      <c r="L151" s="452">
        <f t="shared" si="56"/>
        <v>0</v>
      </c>
      <c r="M151" s="452">
        <f t="shared" si="56"/>
        <v>0</v>
      </c>
      <c r="N151" s="452">
        <f t="shared" si="56"/>
        <v>0</v>
      </c>
      <c r="O151" s="452">
        <f t="shared" si="57"/>
        <v>2786.8925088188498</v>
      </c>
      <c r="P151" s="452">
        <f t="shared" si="58"/>
        <v>0</v>
      </c>
    </row>
    <row r="152" spans="4:16" hidden="1" outlineLevel="1">
      <c r="D152" s="236" t="s">
        <v>384</v>
      </c>
      <c r="G152" s="452">
        <f t="shared" si="56"/>
        <v>0</v>
      </c>
      <c r="H152" s="452">
        <f t="shared" si="56"/>
        <v>0</v>
      </c>
      <c r="I152" s="452">
        <f t="shared" si="56"/>
        <v>0</v>
      </c>
      <c r="J152" s="452">
        <f t="shared" si="56"/>
        <v>0</v>
      </c>
      <c r="K152" s="452">
        <f t="shared" si="56"/>
        <v>0</v>
      </c>
      <c r="L152" s="452">
        <f t="shared" si="56"/>
        <v>0</v>
      </c>
      <c r="M152" s="452">
        <f t="shared" si="56"/>
        <v>0</v>
      </c>
      <c r="N152" s="452">
        <f t="shared" si="56"/>
        <v>0</v>
      </c>
      <c r="O152" s="452">
        <f t="shared" si="57"/>
        <v>0</v>
      </c>
      <c r="P152" s="452">
        <f t="shared" si="58"/>
        <v>0</v>
      </c>
    </row>
    <row r="153" spans="4:16" hidden="1" outlineLevel="1">
      <c r="D153" s="236" t="s">
        <v>385</v>
      </c>
      <c r="G153" s="452">
        <f t="shared" si="56"/>
        <v>0</v>
      </c>
      <c r="H153" s="452">
        <f t="shared" si="56"/>
        <v>0</v>
      </c>
      <c r="I153" s="452">
        <f t="shared" si="56"/>
        <v>0</v>
      </c>
      <c r="J153" s="452">
        <f t="shared" si="56"/>
        <v>0</v>
      </c>
      <c r="K153" s="452">
        <f t="shared" si="56"/>
        <v>0</v>
      </c>
      <c r="L153" s="452">
        <f t="shared" si="56"/>
        <v>0</v>
      </c>
      <c r="M153" s="452">
        <f t="shared" si="56"/>
        <v>0</v>
      </c>
      <c r="N153" s="452">
        <f t="shared" si="56"/>
        <v>0</v>
      </c>
      <c r="O153" s="452">
        <f t="shared" si="57"/>
        <v>0</v>
      </c>
      <c r="P153" s="452">
        <f t="shared" si="58"/>
        <v>0</v>
      </c>
    </row>
    <row r="154" spans="4:16" hidden="1" outlineLevel="1">
      <c r="D154" s="236" t="s">
        <v>386</v>
      </c>
      <c r="G154" s="452">
        <f t="shared" si="56"/>
        <v>0</v>
      </c>
      <c r="H154" s="452">
        <f t="shared" si="56"/>
        <v>0</v>
      </c>
      <c r="I154" s="452">
        <f t="shared" si="56"/>
        <v>0</v>
      </c>
      <c r="J154" s="452">
        <f t="shared" si="56"/>
        <v>0</v>
      </c>
      <c r="K154" s="452">
        <f t="shared" si="56"/>
        <v>0</v>
      </c>
      <c r="L154" s="452">
        <f t="shared" si="56"/>
        <v>0</v>
      </c>
      <c r="M154" s="452">
        <f t="shared" si="56"/>
        <v>0</v>
      </c>
      <c r="N154" s="452">
        <f t="shared" si="56"/>
        <v>0</v>
      </c>
      <c r="O154" s="452">
        <f t="shared" si="57"/>
        <v>0</v>
      </c>
      <c r="P154" s="452">
        <f t="shared" si="58"/>
        <v>0</v>
      </c>
    </row>
    <row r="155" spans="4:16" hidden="1" outlineLevel="1">
      <c r="D155" s="236" t="s">
        <v>387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6" t="s">
        <v>454</v>
      </c>
      <c r="G156" s="452">
        <f>SUM(G147:G155)</f>
        <v>2786.8925088188498</v>
      </c>
      <c r="H156" s="452">
        <f t="shared" ref="H156:N156" si="59">SUM(H147:H155)</f>
        <v>0</v>
      </c>
      <c r="I156" s="452">
        <f t="shared" si="59"/>
        <v>0</v>
      </c>
      <c r="J156" s="452">
        <f t="shared" si="59"/>
        <v>0</v>
      </c>
      <c r="K156" s="452">
        <f t="shared" si="59"/>
        <v>0</v>
      </c>
      <c r="L156" s="452">
        <f t="shared" si="59"/>
        <v>0</v>
      </c>
      <c r="M156" s="452">
        <f t="shared" si="59"/>
        <v>0</v>
      </c>
      <c r="N156" s="452">
        <f t="shared" si="59"/>
        <v>0</v>
      </c>
      <c r="O156" s="452">
        <f t="shared" ref="O156:P156" si="60">SUM(O147:O155)</f>
        <v>2786.8925088188498</v>
      </c>
      <c r="P156" s="452">
        <f t="shared" si="60"/>
        <v>0</v>
      </c>
    </row>
    <row r="157" spans="4:16" collapsed="1"/>
  </sheetData>
  <mergeCells count="1">
    <mergeCell ref="C13:C14"/>
  </mergeCells>
  <conditionalFormatting sqref="R14">
    <cfRule type="cellIs" dxfId="96" priority="4" operator="equal">
      <formula>"Error"</formula>
    </cfRule>
  </conditionalFormatting>
  <conditionalFormatting sqref="R11">
    <cfRule type="cellIs" dxfId="95" priority="3" operator="equal">
      <formula>"Error"</formula>
    </cfRule>
  </conditionalFormatting>
  <conditionalFormatting sqref="R54">
    <cfRule type="cellIs" dxfId="9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3:AS148"/>
  <sheetViews>
    <sheetView zoomScaleNormal="100" workbookViewId="0">
      <selection activeCell="U24" sqref="U24"/>
    </sheetView>
  </sheetViews>
  <sheetFormatPr defaultRowHeight="15" outlineLevelRow="1" outlineLevelCol="1"/>
  <cols>
    <col min="1" max="1" width="6.5703125" style="37" customWidth="1"/>
    <col min="2" max="2" width="37.42578125" style="37" customWidth="1"/>
    <col min="3" max="3" width="19" style="37" customWidth="1"/>
    <col min="4" max="4" width="9.5703125" style="37" hidden="1" customWidth="1" outlineLevel="1"/>
    <col min="5" max="5" width="9.28515625" style="37" hidden="1" customWidth="1" outlineLevel="1"/>
    <col min="6" max="6" width="9" style="37" hidden="1" customWidth="1" outlineLevel="1"/>
    <col min="7" max="7" width="9" style="37" customWidth="1" collapsed="1"/>
    <col min="8" max="8" width="8.7109375" style="37" bestFit="1" customWidth="1"/>
    <col min="9" max="9" width="9.28515625" style="37" customWidth="1"/>
    <col min="10" max="10" width="8.7109375" style="37" customWidth="1"/>
    <col min="11" max="13" width="9.5703125" style="37" bestFit="1" customWidth="1"/>
    <col min="14" max="14" width="8.7109375" style="37" bestFit="1" customWidth="1"/>
    <col min="15" max="21" width="9.140625" style="37"/>
    <col min="22" max="22" width="10.28515625" style="37" bestFit="1" customWidth="1"/>
    <col min="23" max="16384" width="9.140625" style="37"/>
  </cols>
  <sheetData>
    <row r="3" spans="1:15" ht="18.75">
      <c r="A3" s="38"/>
      <c r="B3" s="57" t="s">
        <v>198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5" spans="1:15">
      <c r="B5" s="37" t="s">
        <v>173</v>
      </c>
      <c r="C5" s="105" t="s">
        <v>174</v>
      </c>
      <c r="D5" s="231"/>
    </row>
    <row r="6" spans="1:15">
      <c r="B6" s="37" t="s">
        <v>175</v>
      </c>
      <c r="C6" s="105" t="s">
        <v>28</v>
      </c>
      <c r="D6" s="231"/>
      <c r="E6" s="39"/>
    </row>
    <row r="7" spans="1:15">
      <c r="B7" s="37" t="s">
        <v>69</v>
      </c>
      <c r="C7" s="105" t="s">
        <v>227</v>
      </c>
      <c r="D7" s="231"/>
      <c r="E7" s="39"/>
      <c r="F7" s="40"/>
      <c r="G7" s="40"/>
    </row>
    <row r="8" spans="1:15">
      <c r="B8" s="37" t="s">
        <v>70</v>
      </c>
      <c r="C8" s="105" t="s">
        <v>228</v>
      </c>
      <c r="D8" s="231"/>
    </row>
    <row r="9" spans="1:15">
      <c r="J9" s="997"/>
    </row>
    <row r="10" spans="1:1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</row>
    <row r="11" spans="1:15" ht="18.75">
      <c r="A11" s="38"/>
      <c r="B11" s="57" t="s">
        <v>197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</row>
    <row r="12" spans="1:1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</row>
    <row r="13" spans="1:15">
      <c r="A13" s="41"/>
      <c r="B13" s="95" t="s">
        <v>30</v>
      </c>
    </row>
    <row r="14" spans="1:15">
      <c r="A14" s="41"/>
      <c r="B14" s="95"/>
    </row>
    <row r="15" spans="1:15">
      <c r="A15" s="41"/>
      <c r="B15" s="95"/>
      <c r="D15" s="207">
        <v>40816</v>
      </c>
      <c r="E15" s="207">
        <v>41182</v>
      </c>
      <c r="F15" s="207">
        <v>41547</v>
      </c>
      <c r="G15" s="207">
        <v>41912</v>
      </c>
      <c r="H15" s="207">
        <v>42277</v>
      </c>
      <c r="I15" s="207">
        <v>42460</v>
      </c>
      <c r="J15" s="207">
        <v>43008</v>
      </c>
      <c r="K15" s="207">
        <v>43373</v>
      </c>
      <c r="L15" s="207">
        <v>43738</v>
      </c>
      <c r="M15" s="207">
        <v>44104</v>
      </c>
      <c r="N15" s="207">
        <v>44469</v>
      </c>
      <c r="O15" s="207">
        <v>44834</v>
      </c>
    </row>
    <row r="16" spans="1:15">
      <c r="D16" s="59" t="s">
        <v>161</v>
      </c>
      <c r="E16" s="59" t="s">
        <v>161</v>
      </c>
      <c r="F16" s="59" t="s">
        <v>161</v>
      </c>
      <c r="G16" s="59" t="s">
        <v>161</v>
      </c>
      <c r="H16" s="60" t="s">
        <v>162</v>
      </c>
      <c r="I16" s="60" t="s">
        <v>162</v>
      </c>
      <c r="J16" s="60" t="s">
        <v>162</v>
      </c>
      <c r="K16" s="59" t="s">
        <v>162</v>
      </c>
      <c r="L16" s="59" t="s">
        <v>162</v>
      </c>
      <c r="M16" s="59" t="s">
        <v>162</v>
      </c>
      <c r="N16" s="59" t="s">
        <v>162</v>
      </c>
      <c r="O16" s="59" t="s">
        <v>162</v>
      </c>
    </row>
    <row r="17" spans="1:42" s="43" customFormat="1">
      <c r="A17" s="37"/>
      <c r="B17" s="62" t="s">
        <v>233</v>
      </c>
      <c r="C17" s="63"/>
      <c r="D17" s="205" t="s">
        <v>31</v>
      </c>
      <c r="E17" s="59" t="s">
        <v>32</v>
      </c>
      <c r="F17" s="59" t="s">
        <v>27</v>
      </c>
      <c r="G17" s="59" t="s">
        <v>28</v>
      </c>
      <c r="H17" s="208" t="s">
        <v>29</v>
      </c>
      <c r="I17" s="220" t="s">
        <v>234</v>
      </c>
      <c r="J17" s="60" t="s">
        <v>89</v>
      </c>
      <c r="K17" s="60" t="s">
        <v>90</v>
      </c>
      <c r="L17" s="60" t="s">
        <v>91</v>
      </c>
      <c r="M17" s="60" t="s">
        <v>92</v>
      </c>
      <c r="N17" s="60" t="s">
        <v>93</v>
      </c>
      <c r="O17" s="60" t="s">
        <v>94</v>
      </c>
    </row>
    <row r="18" spans="1:42">
      <c r="B18" s="62" t="s">
        <v>169</v>
      </c>
      <c r="C18" s="63"/>
      <c r="D18" s="230">
        <v>99.8</v>
      </c>
      <c r="E18" s="81">
        <v>101.8</v>
      </c>
      <c r="F18" s="81">
        <v>104</v>
      </c>
      <c r="G18" s="970">
        <v>106.4</v>
      </c>
      <c r="H18" s="993">
        <f>'[1]AER Ohds &amp; Escalation Rates'!E$67</f>
        <v>108</v>
      </c>
      <c r="I18" s="993">
        <f>'[1]AER Ohds &amp; Escalation Rates'!F$67</f>
        <v>108.2</v>
      </c>
      <c r="J18" s="971">
        <f>H18*(1+J19)</f>
        <v>110.53800000000001</v>
      </c>
      <c r="K18" s="971">
        <f>J18*(1+K19)</f>
        <v>113.13564300000002</v>
      </c>
      <c r="L18" s="971">
        <f>K18*(1+L19)</f>
        <v>115.79433061050003</v>
      </c>
      <c r="M18" s="971">
        <f>L18*(1+M19)</f>
        <v>118.51549737984679</v>
      </c>
      <c r="N18" s="971">
        <f>M18*(1+N19)</f>
        <v>121.3006115682732</v>
      </c>
      <c r="O18" s="971">
        <f>N18*(1+O19)</f>
        <v>124.15117594012763</v>
      </c>
    </row>
    <row r="19" spans="1:42">
      <c r="B19" s="62" t="s">
        <v>163</v>
      </c>
      <c r="C19" s="63"/>
      <c r="D19" s="61">
        <v>3.5199076745527913E-2</v>
      </c>
      <c r="E19" s="61">
        <f t="shared" ref="E19:F19" si="0">+E18/D18-1</f>
        <v>2.0040080160320661E-2</v>
      </c>
      <c r="F19" s="61">
        <f t="shared" si="0"/>
        <v>2.16110019646365E-2</v>
      </c>
      <c r="G19" s="972">
        <f>+G18/F18-1</f>
        <v>2.3076923076923217E-2</v>
      </c>
      <c r="H19" s="994">
        <f>+H18/G18-1</f>
        <v>1.5037593984962294E-2</v>
      </c>
      <c r="I19" s="972">
        <f>(I18-H18)/H18</f>
        <v>1.8518518518518782E-3</v>
      </c>
      <c r="J19" s="994">
        <f>'[1]AER Ohds &amp; Escalation Rates'!$G$68</f>
        <v>2.35E-2</v>
      </c>
      <c r="K19" s="994">
        <f>$J$19</f>
        <v>2.35E-2</v>
      </c>
      <c r="L19" s="994">
        <f t="shared" ref="L19:O19" si="1">$J$19</f>
        <v>2.35E-2</v>
      </c>
      <c r="M19" s="994">
        <f t="shared" si="1"/>
        <v>2.35E-2</v>
      </c>
      <c r="N19" s="994">
        <f t="shared" si="1"/>
        <v>2.35E-2</v>
      </c>
      <c r="O19" s="994">
        <f t="shared" si="1"/>
        <v>2.35E-2</v>
      </c>
    </row>
    <row r="20" spans="1:42">
      <c r="B20" s="62"/>
      <c r="C20" s="63"/>
      <c r="D20" s="226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</row>
    <row r="21" spans="1:42">
      <c r="B21" s="62" t="s">
        <v>242</v>
      </c>
      <c r="C21" s="63"/>
      <c r="D21" s="87">
        <f t="shared" ref="D21" si="2">$I$18/D18</f>
        <v>1.0841683366733468</v>
      </c>
      <c r="E21" s="87">
        <f t="shared" ref="E21:G21" si="3">$I$18/E18</f>
        <v>1.0628683693516701</v>
      </c>
      <c r="F21" s="85">
        <f t="shared" si="3"/>
        <v>1.0403846153846155</v>
      </c>
      <c r="G21" s="85">
        <f t="shared" si="3"/>
        <v>1.0169172932330828</v>
      </c>
      <c r="H21" s="996">
        <f>$I$18/H18</f>
        <v>1.0018518518518518</v>
      </c>
      <c r="I21" s="85">
        <f t="shared" ref="I21:O21" si="4">$I$18/I18</f>
        <v>1</v>
      </c>
      <c r="J21" s="85">
        <f t="shared" si="4"/>
        <v>0.97884890263981605</v>
      </c>
      <c r="K21" s="85">
        <f t="shared" si="4"/>
        <v>0.956374111030597</v>
      </c>
      <c r="L21" s="85">
        <f t="shared" si="4"/>
        <v>0.93441535029858036</v>
      </c>
      <c r="M21" s="85">
        <f t="shared" si="4"/>
        <v>0.91296077215298499</v>
      </c>
      <c r="N21" s="85">
        <f t="shared" si="4"/>
        <v>0.89199880034488033</v>
      </c>
      <c r="O21" s="85">
        <f t="shared" si="4"/>
        <v>0.87151812442098708</v>
      </c>
      <c r="P21" s="45"/>
      <c r="Q21" s="605"/>
      <c r="R21" s="46"/>
      <c r="S21" s="46"/>
    </row>
    <row r="22" spans="1:42">
      <c r="B22" s="62" t="s">
        <v>243</v>
      </c>
      <c r="C22" s="63"/>
      <c r="D22" s="88">
        <f t="shared" ref="D22" si="5">$G$18/D18</f>
        <v>1.0661322645290583</v>
      </c>
      <c r="E22" s="88">
        <f t="shared" ref="E22:I22" si="6">$G$18/E18</f>
        <v>1.0451866404715129</v>
      </c>
      <c r="F22" s="85">
        <f t="shared" si="6"/>
        <v>1.0230769230769232</v>
      </c>
      <c r="G22" s="85">
        <f t="shared" si="6"/>
        <v>1</v>
      </c>
      <c r="H22" s="85">
        <f t="shared" si="6"/>
        <v>0.98518518518518527</v>
      </c>
      <c r="I22" s="85">
        <f t="shared" si="6"/>
        <v>0.98336414048059151</v>
      </c>
      <c r="J22" s="85">
        <f t="shared" ref="J22:O22" si="7">$G$18/J18</f>
        <v>0.96256490980477294</v>
      </c>
      <c r="K22" s="85">
        <f t="shared" si="7"/>
        <v>0.9404640056714928</v>
      </c>
      <c r="L22" s="85">
        <f t="shared" si="7"/>
        <v>0.91887054779823429</v>
      </c>
      <c r="M22" s="85">
        <f t="shared" si="7"/>
        <v>0.89777288500071728</v>
      </c>
      <c r="N22" s="85">
        <f t="shared" si="7"/>
        <v>0.87715963361086202</v>
      </c>
      <c r="O22" s="85">
        <f t="shared" si="7"/>
        <v>0.85701967133450119</v>
      </c>
      <c r="Q22" s="606"/>
    </row>
    <row r="23" spans="1:42">
      <c r="B23" s="62" t="s">
        <v>241</v>
      </c>
      <c r="C23" s="63"/>
      <c r="D23" s="88"/>
      <c r="E23" s="88"/>
      <c r="F23" s="85"/>
      <c r="G23" s="85">
        <v>1</v>
      </c>
      <c r="H23" s="85">
        <f t="shared" ref="H23:O23" si="8">G23*(1+H19)</f>
        <v>1.0150375939849623</v>
      </c>
      <c r="I23" s="85">
        <f t="shared" si="8"/>
        <v>1.0169172932330826</v>
      </c>
      <c r="J23" s="85">
        <f>H23*(1+J19)</f>
        <v>1.038890977443609</v>
      </c>
      <c r="K23" s="85">
        <f t="shared" si="8"/>
        <v>1.0633049154135339</v>
      </c>
      <c r="L23" s="85">
        <f t="shared" si="8"/>
        <v>1.088292580925752</v>
      </c>
      <c r="M23" s="85">
        <f t="shared" si="8"/>
        <v>1.1138674565775073</v>
      </c>
      <c r="N23" s="85">
        <f t="shared" si="8"/>
        <v>1.1400433418070788</v>
      </c>
      <c r="O23" s="85">
        <f t="shared" si="8"/>
        <v>1.1668343603395452</v>
      </c>
    </row>
    <row r="24" spans="1:42"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</row>
    <row r="25" spans="1:42">
      <c r="B25" s="95" t="s">
        <v>165</v>
      </c>
      <c r="F25" s="43"/>
      <c r="G25" s="43" t="s">
        <v>171</v>
      </c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>
      <c r="D26" s="205" t="s">
        <v>31</v>
      </c>
      <c r="E26" s="59" t="s">
        <v>32</v>
      </c>
      <c r="F26" s="64" t="s">
        <v>27</v>
      </c>
      <c r="G26" s="64" t="s">
        <v>28</v>
      </c>
      <c r="H26" s="59" t="s">
        <v>29</v>
      </c>
      <c r="I26" s="65" t="s">
        <v>89</v>
      </c>
      <c r="J26" s="60" t="s">
        <v>90</v>
      </c>
      <c r="K26" s="60" t="s">
        <v>91</v>
      </c>
      <c r="L26" s="60" t="s">
        <v>92</v>
      </c>
      <c r="M26" s="60" t="s">
        <v>93</v>
      </c>
      <c r="N26" s="60" t="s">
        <v>94</v>
      </c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>
      <c r="B27" s="70" t="s">
        <v>324</v>
      </c>
      <c r="C27" s="71"/>
      <c r="D27" s="227"/>
      <c r="E27" s="58"/>
      <c r="F27" s="66"/>
      <c r="G27" s="66">
        <v>5.875E-3</v>
      </c>
      <c r="H27" s="66">
        <v>6.6E-3</v>
      </c>
      <c r="I27" s="66">
        <v>8.0499999999999999E-3</v>
      </c>
      <c r="J27" s="66">
        <v>8.0999999999999996E-3</v>
      </c>
      <c r="K27" s="66">
        <v>8.2750000000000011E-3</v>
      </c>
      <c r="L27" s="66">
        <v>8.9499999999999996E-3</v>
      </c>
      <c r="M27" s="66">
        <v>9.1000000000000004E-3</v>
      </c>
      <c r="N27" s="66">
        <f>M27</f>
        <v>9.1000000000000004E-3</v>
      </c>
      <c r="T27" s="47"/>
      <c r="U27" s="47"/>
      <c r="V27" s="47"/>
      <c r="W27" s="50"/>
      <c r="X27" s="50"/>
      <c r="Y27" s="50"/>
      <c r="Z27" s="50"/>
      <c r="AA27" s="47"/>
      <c r="AB27" s="47"/>
      <c r="AC27" s="47"/>
      <c r="AD27" s="51"/>
      <c r="AE27" s="51"/>
      <c r="AF27" s="51"/>
      <c r="AG27" s="51"/>
      <c r="AH27" s="47"/>
      <c r="AI27" s="47"/>
      <c r="AJ27" s="47"/>
      <c r="AK27" s="52"/>
      <c r="AL27" s="52"/>
      <c r="AM27" s="52"/>
      <c r="AN27" s="52"/>
      <c r="AO27" s="47"/>
      <c r="AP27" s="47"/>
    </row>
    <row r="28" spans="1:42">
      <c r="B28" s="74" t="s">
        <v>33</v>
      </c>
      <c r="C28" s="75"/>
      <c r="D28" s="228"/>
      <c r="E28" s="67"/>
      <c r="F28" s="69">
        <v>1</v>
      </c>
      <c r="G28" s="69">
        <f t="shared" ref="G28:N28" si="9">F28*(1+G27)</f>
        <v>1.0058750000000001</v>
      </c>
      <c r="H28" s="69">
        <f t="shared" si="9"/>
        <v>1.0125137749999999</v>
      </c>
      <c r="I28" s="69">
        <f t="shared" si="9"/>
        <v>1.0206645108887498</v>
      </c>
      <c r="J28" s="69">
        <f t="shared" si="9"/>
        <v>1.0289318934269487</v>
      </c>
      <c r="K28" s="69">
        <f t="shared" si="9"/>
        <v>1.0374463048450566</v>
      </c>
      <c r="L28" s="69">
        <f t="shared" si="9"/>
        <v>1.0467314492734199</v>
      </c>
      <c r="M28" s="69">
        <f t="shared" si="9"/>
        <v>1.0562567054618082</v>
      </c>
      <c r="N28" s="69">
        <f t="shared" si="9"/>
        <v>1.0658686414815108</v>
      </c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>
      <c r="B29" s="74" t="s">
        <v>325</v>
      </c>
      <c r="C29" s="63"/>
      <c r="D29" s="226"/>
      <c r="E29" s="58"/>
      <c r="F29" s="68"/>
      <c r="G29" s="68">
        <v>4.1000000000000003E-3</v>
      </c>
      <c r="H29" s="68">
        <v>6.6249999999999998E-3</v>
      </c>
      <c r="I29" s="68">
        <v>1.0375000000000001E-2</v>
      </c>
      <c r="J29" s="68">
        <v>1.0425E-2</v>
      </c>
      <c r="K29" s="68">
        <v>1.0075000000000001E-2</v>
      </c>
      <c r="L29" s="68">
        <v>1.09E-2</v>
      </c>
      <c r="M29" s="68">
        <v>1.115E-2</v>
      </c>
      <c r="N29" s="68">
        <f>M29</f>
        <v>1.115E-2</v>
      </c>
      <c r="T29" s="47"/>
      <c r="U29" s="47"/>
      <c r="V29" s="47"/>
      <c r="W29" s="50"/>
      <c r="X29" s="50"/>
      <c r="Y29" s="50"/>
      <c r="Z29" s="50"/>
      <c r="AA29" s="47"/>
      <c r="AB29" s="47"/>
      <c r="AC29" s="47"/>
      <c r="AD29" s="51"/>
      <c r="AE29" s="51"/>
      <c r="AF29" s="51"/>
      <c r="AG29" s="51"/>
      <c r="AH29" s="47"/>
      <c r="AI29" s="47"/>
      <c r="AJ29" s="47"/>
      <c r="AK29" s="52"/>
      <c r="AL29" s="52"/>
      <c r="AM29" s="52"/>
      <c r="AN29" s="52"/>
      <c r="AO29" s="47"/>
      <c r="AP29" s="47"/>
    </row>
    <row r="30" spans="1:42">
      <c r="B30" s="72" t="s">
        <v>34</v>
      </c>
      <c r="C30" s="73"/>
      <c r="D30" s="73"/>
      <c r="E30" s="67"/>
      <c r="F30" s="69">
        <v>1</v>
      </c>
      <c r="G30" s="69">
        <f t="shared" ref="G30:N30" si="10">F30*(1+G29)</f>
        <v>1.0041</v>
      </c>
      <c r="H30" s="69">
        <f t="shared" si="10"/>
        <v>1.0107521625</v>
      </c>
      <c r="I30" s="69">
        <f t="shared" si="10"/>
        <v>1.0212387161859375</v>
      </c>
      <c r="J30" s="69">
        <f t="shared" si="10"/>
        <v>1.0318851298021758</v>
      </c>
      <c r="K30" s="69">
        <f t="shared" si="10"/>
        <v>1.0422813724849329</v>
      </c>
      <c r="L30" s="69">
        <f t="shared" si="10"/>
        <v>1.0536422394450187</v>
      </c>
      <c r="M30" s="69">
        <f t="shared" si="10"/>
        <v>1.0653903504148305</v>
      </c>
      <c r="N30" s="69">
        <f t="shared" si="10"/>
        <v>1.077269452821956</v>
      </c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</row>
    <row r="31" spans="1:42"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>
      <c r="I32" s="959"/>
      <c r="L32" s="53"/>
      <c r="M32" s="44"/>
      <c r="N32" s="44"/>
      <c r="O32" s="44"/>
      <c r="P32" s="44"/>
      <c r="Q32" s="44"/>
      <c r="R32" s="44"/>
      <c r="S32" s="44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</row>
    <row r="33" spans="2:42">
      <c r="B33" s="95" t="s">
        <v>166</v>
      </c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</row>
    <row r="34" spans="2:42" hidden="1" outlineLevel="1">
      <c r="B34" s="47" t="s">
        <v>326</v>
      </c>
      <c r="K34" s="48"/>
      <c r="L34" s="48"/>
      <c r="M34" s="43"/>
      <c r="T34" s="47"/>
      <c r="U34" s="47"/>
      <c r="V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</row>
    <row r="35" spans="2:42" hidden="1" outlineLevel="1">
      <c r="B35" s="47"/>
      <c r="K35" s="48"/>
      <c r="L35" s="48"/>
      <c r="M35" s="43"/>
      <c r="T35" s="47"/>
      <c r="U35" s="47"/>
      <c r="V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</row>
    <row r="36" spans="2:42" hidden="1" outlineLevel="1">
      <c r="B36" s="82" t="s">
        <v>170</v>
      </c>
      <c r="C36" s="63"/>
      <c r="D36" s="226"/>
      <c r="E36" s="58"/>
      <c r="F36" s="58"/>
      <c r="G36" s="59">
        <v>2016</v>
      </c>
      <c r="H36" s="60">
        <v>2017</v>
      </c>
      <c r="I36" s="59">
        <v>2018</v>
      </c>
      <c r="J36" s="59">
        <v>2019</v>
      </c>
      <c r="K36" s="59">
        <v>2020</v>
      </c>
      <c r="L36" s="59">
        <v>2021</v>
      </c>
      <c r="M36" s="59">
        <v>2022</v>
      </c>
      <c r="N36" s="58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2:42" hidden="1" outlineLevel="1">
      <c r="B37" s="62" t="s">
        <v>3</v>
      </c>
      <c r="C37" s="63"/>
      <c r="D37" s="226"/>
      <c r="E37" s="58"/>
      <c r="F37" s="58"/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58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</row>
    <row r="38" spans="2:42" hidden="1" outlineLevel="1">
      <c r="B38" s="62" t="s">
        <v>4</v>
      </c>
      <c r="C38" s="63"/>
      <c r="D38" s="226"/>
      <c r="E38" s="58"/>
      <c r="F38" s="58"/>
      <c r="G38" s="61">
        <v>0</v>
      </c>
      <c r="H38" s="61">
        <v>0</v>
      </c>
      <c r="I38" s="61">
        <v>0</v>
      </c>
      <c r="J38" s="61">
        <v>0</v>
      </c>
      <c r="K38" s="61">
        <v>0</v>
      </c>
      <c r="L38" s="61">
        <v>0</v>
      </c>
      <c r="M38" s="61">
        <v>0</v>
      </c>
      <c r="N38" s="58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</row>
    <row r="39" spans="2:42" hidden="1" outlineLevel="1">
      <c r="B39" s="62" t="s">
        <v>5</v>
      </c>
      <c r="C39" s="63"/>
      <c r="D39" s="226"/>
      <c r="E39" s="58"/>
      <c r="F39" s="58"/>
      <c r="G39" s="61">
        <v>0</v>
      </c>
      <c r="H39" s="61">
        <v>0</v>
      </c>
      <c r="I39" s="61">
        <v>0</v>
      </c>
      <c r="J39" s="61">
        <v>0</v>
      </c>
      <c r="K39" s="61">
        <v>0</v>
      </c>
      <c r="L39" s="61">
        <v>0</v>
      </c>
      <c r="M39" s="61">
        <v>0</v>
      </c>
      <c r="N39" s="58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</row>
    <row r="40" spans="2:42" hidden="1" outlineLevel="1">
      <c r="B40" s="62" t="s">
        <v>6</v>
      </c>
      <c r="C40" s="63"/>
      <c r="D40" s="226"/>
      <c r="E40" s="58"/>
      <c r="F40" s="58"/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1">
        <v>0</v>
      </c>
      <c r="M40" s="61">
        <v>0</v>
      </c>
      <c r="N40" s="58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</row>
    <row r="41" spans="2:42" hidden="1" outlineLevel="1">
      <c r="B41" s="62" t="s">
        <v>7</v>
      </c>
      <c r="C41" s="63"/>
      <c r="D41" s="226"/>
      <c r="E41" s="58"/>
      <c r="F41" s="58"/>
      <c r="G41" s="61">
        <v>0</v>
      </c>
      <c r="H41" s="61">
        <v>0</v>
      </c>
      <c r="I41" s="61">
        <v>0</v>
      </c>
      <c r="J41" s="61">
        <v>0</v>
      </c>
      <c r="K41" s="61">
        <v>0</v>
      </c>
      <c r="L41" s="61">
        <v>0</v>
      </c>
      <c r="M41" s="61">
        <v>0</v>
      </c>
      <c r="N41" s="58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</row>
    <row r="42" spans="2:42" hidden="1" outlineLevel="1">
      <c r="B42" s="62" t="s">
        <v>8</v>
      </c>
      <c r="C42" s="63"/>
      <c r="D42" s="226"/>
      <c r="E42" s="58"/>
      <c r="F42" s="58"/>
      <c r="G42" s="61">
        <v>0</v>
      </c>
      <c r="H42" s="61">
        <v>0</v>
      </c>
      <c r="I42" s="61">
        <v>0</v>
      </c>
      <c r="J42" s="61">
        <v>0</v>
      </c>
      <c r="K42" s="61">
        <v>0</v>
      </c>
      <c r="L42" s="61">
        <v>0</v>
      </c>
      <c r="M42" s="61">
        <v>0</v>
      </c>
      <c r="N42" s="58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2:42" hidden="1" outlineLevel="1">
      <c r="B43" s="62" t="s">
        <v>9</v>
      </c>
      <c r="C43" s="63"/>
      <c r="D43" s="226"/>
      <c r="E43" s="58"/>
      <c r="F43" s="58"/>
      <c r="G43" s="61">
        <v>0</v>
      </c>
      <c r="H43" s="61">
        <v>0</v>
      </c>
      <c r="I43" s="61">
        <v>0</v>
      </c>
      <c r="J43" s="61">
        <v>0</v>
      </c>
      <c r="K43" s="61">
        <v>0</v>
      </c>
      <c r="L43" s="61">
        <v>0</v>
      </c>
      <c r="M43" s="61">
        <v>0</v>
      </c>
      <c r="N43" s="58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2:42" hidden="1" outlineLevel="1">
      <c r="B44" s="62" t="s">
        <v>71</v>
      </c>
      <c r="C44" s="63"/>
      <c r="D44" s="226"/>
      <c r="E44" s="58"/>
      <c r="F44" s="58"/>
      <c r="G44" s="61">
        <v>0</v>
      </c>
      <c r="H44" s="61">
        <v>0</v>
      </c>
      <c r="I44" s="61">
        <v>0</v>
      </c>
      <c r="J44" s="61">
        <v>0</v>
      </c>
      <c r="K44" s="61">
        <v>0</v>
      </c>
      <c r="L44" s="61">
        <v>0</v>
      </c>
      <c r="M44" s="61">
        <v>0</v>
      </c>
      <c r="N44" s="58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2:42" hidden="1" outlineLevel="1">
      <c r="B45" s="62" t="s">
        <v>11</v>
      </c>
      <c r="C45" s="63"/>
      <c r="D45" s="226"/>
      <c r="E45" s="58"/>
      <c r="F45" s="58"/>
      <c r="G45" s="61">
        <v>0</v>
      </c>
      <c r="H45" s="61">
        <v>0</v>
      </c>
      <c r="I45" s="61">
        <v>0</v>
      </c>
      <c r="J45" s="61">
        <v>0</v>
      </c>
      <c r="K45" s="61">
        <v>0</v>
      </c>
      <c r="L45" s="61">
        <v>0</v>
      </c>
      <c r="M45" s="61">
        <v>0</v>
      </c>
      <c r="N45" s="58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</row>
    <row r="46" spans="2:42" hidden="1" outlineLevel="1">
      <c r="B46" s="62" t="s">
        <v>12</v>
      </c>
      <c r="C46" s="63"/>
      <c r="D46" s="226"/>
      <c r="E46" s="58"/>
      <c r="F46" s="58"/>
      <c r="G46" s="61">
        <v>0</v>
      </c>
      <c r="H46" s="61">
        <v>0</v>
      </c>
      <c r="I46" s="61">
        <v>0</v>
      </c>
      <c r="J46" s="61">
        <v>0</v>
      </c>
      <c r="K46" s="61">
        <v>0</v>
      </c>
      <c r="L46" s="61">
        <v>0</v>
      </c>
      <c r="M46" s="61">
        <v>0</v>
      </c>
      <c r="N46" s="58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</row>
    <row r="47" spans="2:42" hidden="1" outlineLevel="1">
      <c r="B47" s="62" t="s">
        <v>52</v>
      </c>
      <c r="C47" s="63"/>
      <c r="D47" s="226"/>
      <c r="E47" s="58"/>
      <c r="F47" s="58"/>
      <c r="G47" s="61">
        <v>0</v>
      </c>
      <c r="H47" s="61">
        <v>0</v>
      </c>
      <c r="I47" s="61">
        <v>0</v>
      </c>
      <c r="J47" s="61">
        <v>0</v>
      </c>
      <c r="K47" s="61">
        <v>0</v>
      </c>
      <c r="L47" s="61">
        <v>0</v>
      </c>
      <c r="M47" s="61">
        <v>0</v>
      </c>
      <c r="N47" s="58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2:42" hidden="1" outlineLevel="1">
      <c r="B48" s="62" t="s">
        <v>53</v>
      </c>
      <c r="C48" s="63"/>
      <c r="D48" s="226"/>
      <c r="E48" s="58"/>
      <c r="F48" s="58"/>
      <c r="G48" s="61">
        <v>0</v>
      </c>
      <c r="H48" s="61">
        <v>0</v>
      </c>
      <c r="I48" s="61">
        <v>0</v>
      </c>
      <c r="J48" s="61">
        <v>0</v>
      </c>
      <c r="K48" s="61">
        <v>0</v>
      </c>
      <c r="L48" s="61">
        <v>0</v>
      </c>
      <c r="M48" s="61">
        <v>0</v>
      </c>
      <c r="N48" s="58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</row>
    <row r="49" spans="2:42" hidden="1" outlineLevel="1">
      <c r="B49" s="80" t="s">
        <v>36</v>
      </c>
      <c r="C49" s="63"/>
      <c r="D49" s="226"/>
      <c r="E49" s="58"/>
      <c r="F49" s="58"/>
      <c r="G49" s="61">
        <v>0</v>
      </c>
      <c r="H49" s="61">
        <v>0</v>
      </c>
      <c r="I49" s="61">
        <v>0</v>
      </c>
      <c r="J49" s="61">
        <v>0</v>
      </c>
      <c r="K49" s="61">
        <v>0</v>
      </c>
      <c r="L49" s="61">
        <v>0</v>
      </c>
      <c r="M49" s="61">
        <v>0</v>
      </c>
      <c r="N49" s="58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spans="2:42" hidden="1" outlineLevel="1">
      <c r="B50" s="43"/>
      <c r="C50" s="55"/>
      <c r="D50" s="55"/>
      <c r="E50" s="55"/>
      <c r="F50" s="55"/>
      <c r="G50" s="83"/>
      <c r="H50" s="83"/>
      <c r="I50" s="83"/>
      <c r="J50" s="83"/>
      <c r="K50" s="83"/>
      <c r="L50" s="83"/>
      <c r="M50" s="83"/>
      <c r="N50" s="55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spans="2:42" collapsed="1">
      <c r="B51" s="43" t="s">
        <v>164</v>
      </c>
      <c r="C51" s="55"/>
      <c r="D51" s="55"/>
      <c r="E51" s="55"/>
      <c r="F51" s="55"/>
      <c r="G51" s="83"/>
      <c r="H51" s="83"/>
      <c r="I51" s="83"/>
      <c r="J51" s="83"/>
      <c r="K51" s="83"/>
      <c r="L51" s="83"/>
      <c r="M51" s="83"/>
      <c r="N51" s="55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</row>
    <row r="52" spans="2:42">
      <c r="B52" s="43"/>
      <c r="G52" s="47" t="s">
        <v>171</v>
      </c>
      <c r="K52" s="48"/>
      <c r="L52" s="48"/>
      <c r="M52" s="43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spans="2:42">
      <c r="B53" s="82" t="s">
        <v>170</v>
      </c>
      <c r="C53" s="63"/>
      <c r="D53" s="205" t="s">
        <v>31</v>
      </c>
      <c r="E53" s="60" t="s">
        <v>32</v>
      </c>
      <c r="F53" s="77" t="s">
        <v>27</v>
      </c>
      <c r="G53" s="60" t="s">
        <v>28</v>
      </c>
      <c r="H53" s="60" t="s">
        <v>29</v>
      </c>
      <c r="I53" s="60" t="s">
        <v>89</v>
      </c>
      <c r="J53" s="76" t="s">
        <v>90</v>
      </c>
      <c r="K53" s="60" t="s">
        <v>91</v>
      </c>
      <c r="L53" s="60" t="s">
        <v>92</v>
      </c>
      <c r="M53" s="65" t="s">
        <v>93</v>
      </c>
      <c r="N53" s="65" t="s">
        <v>94</v>
      </c>
      <c r="O53" s="49"/>
      <c r="P53" s="42"/>
      <c r="Q53" s="42"/>
      <c r="R53" s="42"/>
      <c r="S53" s="42"/>
      <c r="T53" s="42"/>
      <c r="U53" s="42"/>
    </row>
    <row r="54" spans="2:42">
      <c r="B54" s="62" t="s">
        <v>3</v>
      </c>
      <c r="C54" s="63"/>
      <c r="D54" s="226"/>
      <c r="E54" s="77"/>
      <c r="F54" s="69">
        <v>1</v>
      </c>
      <c r="G54" s="69">
        <f t="shared" ref="G54:M66" si="11">F54*(1+G37)</f>
        <v>1</v>
      </c>
      <c r="H54" s="69">
        <f t="shared" si="11"/>
        <v>1</v>
      </c>
      <c r="I54" s="69">
        <f t="shared" si="11"/>
        <v>1</v>
      </c>
      <c r="J54" s="69">
        <f t="shared" si="11"/>
        <v>1</v>
      </c>
      <c r="K54" s="69">
        <f t="shared" si="11"/>
        <v>1</v>
      </c>
      <c r="L54" s="69">
        <f t="shared" si="11"/>
        <v>1</v>
      </c>
      <c r="M54" s="69">
        <f t="shared" si="11"/>
        <v>1</v>
      </c>
      <c r="N54" s="69"/>
      <c r="P54" s="44"/>
      <c r="Q54" s="54"/>
      <c r="R54" s="54"/>
      <c r="S54" s="54"/>
      <c r="T54" s="54"/>
      <c r="U54" s="54"/>
      <c r="AD54" s="44"/>
      <c r="AE54" s="44"/>
      <c r="AF54" s="44"/>
      <c r="AG54" s="44"/>
      <c r="AH54" s="44"/>
      <c r="AI54" s="44"/>
      <c r="AJ54" s="44"/>
    </row>
    <row r="55" spans="2:42">
      <c r="B55" s="62" t="s">
        <v>4</v>
      </c>
      <c r="C55" s="63"/>
      <c r="D55" s="226"/>
      <c r="E55" s="77"/>
      <c r="F55" s="69">
        <v>1</v>
      </c>
      <c r="G55" s="69">
        <f t="shared" si="11"/>
        <v>1</v>
      </c>
      <c r="H55" s="69">
        <f t="shared" si="11"/>
        <v>1</v>
      </c>
      <c r="I55" s="69">
        <f t="shared" si="11"/>
        <v>1</v>
      </c>
      <c r="J55" s="69">
        <f t="shared" si="11"/>
        <v>1</v>
      </c>
      <c r="K55" s="69">
        <f t="shared" si="11"/>
        <v>1</v>
      </c>
      <c r="L55" s="69">
        <f t="shared" si="11"/>
        <v>1</v>
      </c>
      <c r="M55" s="69">
        <f t="shared" si="11"/>
        <v>1</v>
      </c>
      <c r="N55" s="69"/>
      <c r="P55" s="44"/>
      <c r="Q55" s="54"/>
      <c r="R55" s="54"/>
      <c r="S55" s="54"/>
      <c r="T55" s="54"/>
      <c r="U55" s="54"/>
      <c r="AD55" s="44"/>
      <c r="AE55" s="44"/>
      <c r="AF55" s="44"/>
      <c r="AG55" s="44"/>
      <c r="AH55" s="44"/>
      <c r="AI55" s="44"/>
      <c r="AJ55" s="44"/>
    </row>
    <row r="56" spans="2:42">
      <c r="B56" s="62" t="s">
        <v>5</v>
      </c>
      <c r="C56" s="63"/>
      <c r="D56" s="226"/>
      <c r="E56" s="77"/>
      <c r="F56" s="69">
        <v>1</v>
      </c>
      <c r="G56" s="69">
        <f t="shared" si="11"/>
        <v>1</v>
      </c>
      <c r="H56" s="69">
        <f t="shared" si="11"/>
        <v>1</v>
      </c>
      <c r="I56" s="69">
        <f t="shared" si="11"/>
        <v>1</v>
      </c>
      <c r="J56" s="69">
        <f t="shared" si="11"/>
        <v>1</v>
      </c>
      <c r="K56" s="69">
        <f t="shared" si="11"/>
        <v>1</v>
      </c>
      <c r="L56" s="69">
        <f t="shared" si="11"/>
        <v>1</v>
      </c>
      <c r="M56" s="69">
        <f t="shared" si="11"/>
        <v>1</v>
      </c>
      <c r="N56" s="69"/>
      <c r="P56" s="44"/>
      <c r="Q56" s="54"/>
      <c r="R56" s="54"/>
      <c r="S56" s="54"/>
      <c r="T56" s="54"/>
      <c r="U56" s="54"/>
      <c r="AD56" s="44"/>
      <c r="AE56" s="44"/>
      <c r="AF56" s="44"/>
      <c r="AG56" s="44"/>
      <c r="AH56" s="44"/>
      <c r="AI56" s="44"/>
      <c r="AJ56" s="44"/>
    </row>
    <row r="57" spans="2:42">
      <c r="B57" s="62" t="s">
        <v>6</v>
      </c>
      <c r="C57" s="63"/>
      <c r="D57" s="226"/>
      <c r="E57" s="77"/>
      <c r="F57" s="69">
        <v>1</v>
      </c>
      <c r="G57" s="69">
        <f t="shared" si="11"/>
        <v>1</v>
      </c>
      <c r="H57" s="69">
        <f t="shared" si="11"/>
        <v>1</v>
      </c>
      <c r="I57" s="69">
        <f t="shared" si="11"/>
        <v>1</v>
      </c>
      <c r="J57" s="69">
        <f t="shared" si="11"/>
        <v>1</v>
      </c>
      <c r="K57" s="69">
        <f t="shared" si="11"/>
        <v>1</v>
      </c>
      <c r="L57" s="69">
        <f t="shared" si="11"/>
        <v>1</v>
      </c>
      <c r="M57" s="69">
        <f t="shared" si="11"/>
        <v>1</v>
      </c>
      <c r="N57" s="69"/>
      <c r="P57" s="44"/>
      <c r="Q57" s="54"/>
      <c r="R57" s="54"/>
      <c r="S57" s="54"/>
      <c r="T57" s="54"/>
      <c r="U57" s="54"/>
      <c r="AD57" s="44"/>
      <c r="AE57" s="44"/>
      <c r="AF57" s="44"/>
      <c r="AG57" s="44"/>
      <c r="AH57" s="44"/>
      <c r="AI57" s="44"/>
      <c r="AJ57" s="44"/>
    </row>
    <row r="58" spans="2:42">
      <c r="B58" s="62" t="s">
        <v>7</v>
      </c>
      <c r="C58" s="63"/>
      <c r="D58" s="226"/>
      <c r="E58" s="77"/>
      <c r="F58" s="69">
        <v>1</v>
      </c>
      <c r="G58" s="69">
        <f t="shared" si="11"/>
        <v>1</v>
      </c>
      <c r="H58" s="69">
        <f t="shared" si="11"/>
        <v>1</v>
      </c>
      <c r="I58" s="69">
        <f t="shared" si="11"/>
        <v>1</v>
      </c>
      <c r="J58" s="69">
        <f t="shared" si="11"/>
        <v>1</v>
      </c>
      <c r="K58" s="69">
        <f t="shared" si="11"/>
        <v>1</v>
      </c>
      <c r="L58" s="69">
        <f t="shared" si="11"/>
        <v>1</v>
      </c>
      <c r="M58" s="69">
        <f t="shared" si="11"/>
        <v>1</v>
      </c>
      <c r="N58" s="69"/>
      <c r="P58" s="44"/>
      <c r="Q58" s="54"/>
      <c r="R58" s="54"/>
      <c r="S58" s="54"/>
      <c r="T58" s="54"/>
      <c r="U58" s="54"/>
      <c r="AD58" s="44"/>
      <c r="AE58" s="44"/>
      <c r="AF58" s="44"/>
      <c r="AG58" s="44"/>
      <c r="AH58" s="44"/>
      <c r="AI58" s="44"/>
      <c r="AJ58" s="44"/>
    </row>
    <row r="59" spans="2:42">
      <c r="B59" s="62" t="s">
        <v>8</v>
      </c>
      <c r="C59" s="63"/>
      <c r="D59" s="226"/>
      <c r="E59" s="77"/>
      <c r="F59" s="69">
        <v>1</v>
      </c>
      <c r="G59" s="69">
        <f t="shared" si="11"/>
        <v>1</v>
      </c>
      <c r="H59" s="69">
        <f t="shared" si="11"/>
        <v>1</v>
      </c>
      <c r="I59" s="69">
        <f t="shared" si="11"/>
        <v>1</v>
      </c>
      <c r="J59" s="69">
        <f t="shared" si="11"/>
        <v>1</v>
      </c>
      <c r="K59" s="69">
        <f t="shared" si="11"/>
        <v>1</v>
      </c>
      <c r="L59" s="69">
        <f t="shared" si="11"/>
        <v>1</v>
      </c>
      <c r="M59" s="69">
        <f t="shared" si="11"/>
        <v>1</v>
      </c>
      <c r="N59" s="69"/>
      <c r="P59" s="44"/>
      <c r="Q59" s="54"/>
      <c r="R59" s="54"/>
      <c r="S59" s="54"/>
      <c r="T59" s="54"/>
      <c r="U59" s="54"/>
      <c r="AD59" s="44"/>
      <c r="AE59" s="44"/>
      <c r="AF59" s="44"/>
      <c r="AG59" s="44"/>
      <c r="AH59" s="44"/>
      <c r="AI59" s="44"/>
      <c r="AJ59" s="44"/>
    </row>
    <row r="60" spans="2:42">
      <c r="B60" s="62" t="s">
        <v>9</v>
      </c>
      <c r="C60" s="63"/>
      <c r="D60" s="226"/>
      <c r="E60" s="77"/>
      <c r="F60" s="69">
        <v>1</v>
      </c>
      <c r="G60" s="69">
        <f t="shared" si="11"/>
        <v>1</v>
      </c>
      <c r="H60" s="69">
        <f t="shared" si="11"/>
        <v>1</v>
      </c>
      <c r="I60" s="69">
        <f t="shared" si="11"/>
        <v>1</v>
      </c>
      <c r="J60" s="69">
        <f t="shared" si="11"/>
        <v>1</v>
      </c>
      <c r="K60" s="69">
        <f t="shared" si="11"/>
        <v>1</v>
      </c>
      <c r="L60" s="69">
        <f t="shared" si="11"/>
        <v>1</v>
      </c>
      <c r="M60" s="69">
        <f t="shared" si="11"/>
        <v>1</v>
      </c>
      <c r="N60" s="69"/>
      <c r="P60" s="44"/>
      <c r="Q60" s="54"/>
      <c r="R60" s="54"/>
      <c r="S60" s="54"/>
      <c r="T60" s="54"/>
      <c r="U60" s="54"/>
      <c r="AD60" s="44"/>
      <c r="AE60" s="44"/>
      <c r="AF60" s="44"/>
      <c r="AG60" s="44"/>
      <c r="AH60" s="44"/>
      <c r="AI60" s="44"/>
      <c r="AJ60" s="44"/>
    </row>
    <row r="61" spans="2:42">
      <c r="B61" s="62" t="s">
        <v>71</v>
      </c>
      <c r="C61" s="63"/>
      <c r="D61" s="226"/>
      <c r="E61" s="77"/>
      <c r="F61" s="69">
        <v>1</v>
      </c>
      <c r="G61" s="69">
        <f t="shared" si="11"/>
        <v>1</v>
      </c>
      <c r="H61" s="69">
        <f t="shared" si="11"/>
        <v>1</v>
      </c>
      <c r="I61" s="69">
        <f t="shared" si="11"/>
        <v>1</v>
      </c>
      <c r="J61" s="69">
        <f t="shared" si="11"/>
        <v>1</v>
      </c>
      <c r="K61" s="69">
        <f t="shared" si="11"/>
        <v>1</v>
      </c>
      <c r="L61" s="69">
        <f t="shared" si="11"/>
        <v>1</v>
      </c>
      <c r="M61" s="69">
        <f t="shared" si="11"/>
        <v>1</v>
      </c>
      <c r="N61" s="69"/>
      <c r="P61" s="44"/>
      <c r="Q61" s="54"/>
      <c r="R61" s="54"/>
      <c r="S61" s="54"/>
      <c r="T61" s="54"/>
      <c r="U61" s="54"/>
    </row>
    <row r="62" spans="2:42">
      <c r="B62" s="62" t="s">
        <v>11</v>
      </c>
      <c r="C62" s="63"/>
      <c r="D62" s="226"/>
      <c r="E62" s="77"/>
      <c r="F62" s="69">
        <v>1</v>
      </c>
      <c r="G62" s="69">
        <f t="shared" si="11"/>
        <v>1</v>
      </c>
      <c r="H62" s="69">
        <f t="shared" si="11"/>
        <v>1</v>
      </c>
      <c r="I62" s="69">
        <f t="shared" si="11"/>
        <v>1</v>
      </c>
      <c r="J62" s="69">
        <f t="shared" si="11"/>
        <v>1</v>
      </c>
      <c r="K62" s="69">
        <f t="shared" si="11"/>
        <v>1</v>
      </c>
      <c r="L62" s="69">
        <f t="shared" si="11"/>
        <v>1</v>
      </c>
      <c r="M62" s="69">
        <f t="shared" si="11"/>
        <v>1</v>
      </c>
      <c r="N62" s="69"/>
      <c r="P62" s="47"/>
      <c r="Q62" s="55"/>
      <c r="R62" s="55"/>
      <c r="S62" s="55"/>
      <c r="T62" s="55"/>
      <c r="U62" s="55"/>
    </row>
    <row r="63" spans="2:42">
      <c r="B63" s="62" t="s">
        <v>12</v>
      </c>
      <c r="C63" s="63"/>
      <c r="D63" s="226"/>
      <c r="E63" s="77"/>
      <c r="F63" s="69">
        <v>1</v>
      </c>
      <c r="G63" s="69">
        <f t="shared" si="11"/>
        <v>1</v>
      </c>
      <c r="H63" s="69">
        <f t="shared" si="11"/>
        <v>1</v>
      </c>
      <c r="I63" s="69">
        <f t="shared" si="11"/>
        <v>1</v>
      </c>
      <c r="J63" s="69">
        <f t="shared" si="11"/>
        <v>1</v>
      </c>
      <c r="K63" s="69">
        <f t="shared" si="11"/>
        <v>1</v>
      </c>
      <c r="L63" s="69">
        <f t="shared" si="11"/>
        <v>1</v>
      </c>
      <c r="M63" s="69">
        <f t="shared" si="11"/>
        <v>1</v>
      </c>
      <c r="N63" s="69"/>
      <c r="P63" s="47"/>
      <c r="Q63" s="55"/>
      <c r="R63" s="55"/>
      <c r="S63" s="55"/>
      <c r="T63" s="55"/>
      <c r="U63" s="55"/>
    </row>
    <row r="64" spans="2:42">
      <c r="B64" s="62" t="s">
        <v>52</v>
      </c>
      <c r="C64" s="63"/>
      <c r="D64" s="226"/>
      <c r="E64" s="77"/>
      <c r="F64" s="69">
        <v>1</v>
      </c>
      <c r="G64" s="69">
        <f t="shared" si="11"/>
        <v>1</v>
      </c>
      <c r="H64" s="69">
        <f t="shared" si="11"/>
        <v>1</v>
      </c>
      <c r="I64" s="69">
        <f t="shared" si="11"/>
        <v>1</v>
      </c>
      <c r="J64" s="69">
        <f t="shared" si="11"/>
        <v>1</v>
      </c>
      <c r="K64" s="69">
        <f t="shared" si="11"/>
        <v>1</v>
      </c>
      <c r="L64" s="69">
        <f t="shared" si="11"/>
        <v>1</v>
      </c>
      <c r="M64" s="69">
        <f t="shared" si="11"/>
        <v>1</v>
      </c>
      <c r="N64" s="69"/>
      <c r="P64" s="49"/>
      <c r="Q64" s="54"/>
      <c r="R64" s="54"/>
      <c r="S64" s="54"/>
      <c r="T64" s="54"/>
      <c r="U64" s="54"/>
    </row>
    <row r="65" spans="1:22">
      <c r="B65" s="62" t="s">
        <v>53</v>
      </c>
      <c r="C65" s="63"/>
      <c r="D65" s="226"/>
      <c r="E65" s="77"/>
      <c r="F65" s="69">
        <v>1</v>
      </c>
      <c r="G65" s="69">
        <f t="shared" si="11"/>
        <v>1</v>
      </c>
      <c r="H65" s="69">
        <f t="shared" si="11"/>
        <v>1</v>
      </c>
      <c r="I65" s="69">
        <f t="shared" si="11"/>
        <v>1</v>
      </c>
      <c r="J65" s="69">
        <f t="shared" si="11"/>
        <v>1</v>
      </c>
      <c r="K65" s="69">
        <f t="shared" si="11"/>
        <v>1</v>
      </c>
      <c r="L65" s="69">
        <f t="shared" si="11"/>
        <v>1</v>
      </c>
      <c r="M65" s="69">
        <f t="shared" si="11"/>
        <v>1</v>
      </c>
      <c r="N65" s="69"/>
      <c r="P65" s="47"/>
      <c r="Q65" s="56"/>
      <c r="R65" s="56"/>
      <c r="S65" s="56"/>
      <c r="T65" s="55"/>
      <c r="U65" s="55"/>
    </row>
    <row r="66" spans="1:22">
      <c r="B66" s="80" t="s">
        <v>36</v>
      </c>
      <c r="C66" s="63"/>
      <c r="D66" s="226"/>
      <c r="E66" s="77"/>
      <c r="F66" s="69">
        <v>1</v>
      </c>
      <c r="G66" s="69">
        <f t="shared" si="11"/>
        <v>1</v>
      </c>
      <c r="H66" s="69">
        <f t="shared" si="11"/>
        <v>1</v>
      </c>
      <c r="I66" s="69">
        <f t="shared" si="11"/>
        <v>1</v>
      </c>
      <c r="J66" s="69">
        <f t="shared" si="11"/>
        <v>1</v>
      </c>
      <c r="K66" s="69">
        <f t="shared" si="11"/>
        <v>1</v>
      </c>
      <c r="L66" s="69">
        <f t="shared" si="11"/>
        <v>1</v>
      </c>
      <c r="M66" s="69">
        <f t="shared" si="11"/>
        <v>1</v>
      </c>
      <c r="N66" s="69"/>
      <c r="P66" s="49"/>
      <c r="Q66" s="54"/>
      <c r="R66" s="54"/>
      <c r="S66" s="54"/>
      <c r="T66" s="54"/>
      <c r="U66" s="54"/>
    </row>
    <row r="67" spans="1:22">
      <c r="B67" s="84"/>
      <c r="E67" s="43"/>
      <c r="F67" s="43"/>
      <c r="G67" s="79"/>
      <c r="H67" s="79"/>
      <c r="I67" s="79"/>
      <c r="J67" s="79"/>
      <c r="K67" s="79"/>
      <c r="L67" s="79"/>
      <c r="M67" s="79"/>
      <c r="N67" s="79"/>
      <c r="P67" s="49"/>
      <c r="Q67" s="54"/>
      <c r="R67" s="54"/>
      <c r="S67" s="54"/>
      <c r="T67" s="54"/>
      <c r="U67" s="54"/>
    </row>
    <row r="68" spans="1:22">
      <c r="B68" s="86"/>
      <c r="E68" s="43"/>
      <c r="F68" s="43"/>
      <c r="G68" s="79"/>
      <c r="H68" s="79"/>
      <c r="I68" s="79"/>
      <c r="J68" s="79"/>
      <c r="K68" s="79"/>
      <c r="L68" s="79"/>
      <c r="M68" s="79"/>
      <c r="N68" s="79"/>
      <c r="P68" s="49"/>
      <c r="Q68" s="54"/>
      <c r="R68" s="54"/>
      <c r="S68" s="54"/>
      <c r="T68" s="54"/>
      <c r="U68" s="54"/>
    </row>
    <row r="69" spans="1:22" ht="18.75">
      <c r="A69" s="38"/>
      <c r="B69" s="57" t="s">
        <v>490</v>
      </c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49"/>
      <c r="Q69" s="54"/>
      <c r="R69" s="54"/>
      <c r="S69" s="54"/>
    </row>
    <row r="70" spans="1:22">
      <c r="B70" s="47"/>
      <c r="E70" s="43"/>
      <c r="F70" s="43"/>
      <c r="G70" s="79"/>
      <c r="H70" s="79"/>
      <c r="I70" s="79"/>
      <c r="J70" s="79"/>
      <c r="K70" s="79"/>
      <c r="L70" s="79"/>
      <c r="M70" s="79"/>
      <c r="N70" s="79"/>
      <c r="P70" s="49"/>
      <c r="Q70" s="54"/>
      <c r="R70" s="54"/>
      <c r="S70" s="54"/>
      <c r="T70" s="54"/>
      <c r="U70" s="54"/>
    </row>
    <row r="71" spans="1:22">
      <c r="B71" s="47" t="s">
        <v>489</v>
      </c>
      <c r="E71" s="43"/>
      <c r="F71" s="43"/>
      <c r="G71" s="79"/>
      <c r="H71" s="79"/>
      <c r="I71" s="944">
        <f>'[1]AER Ohds &amp; Escalation Rates'!$B$98</f>
        <v>0</v>
      </c>
      <c r="J71" s="942" t="s">
        <v>193</v>
      </c>
      <c r="K71" s="79"/>
      <c r="L71" s="79"/>
      <c r="M71" s="79"/>
      <c r="N71" s="79"/>
      <c r="P71" s="49"/>
      <c r="Q71" s="54"/>
      <c r="R71" s="54"/>
      <c r="S71" s="54"/>
      <c r="T71" s="54"/>
      <c r="U71" s="54"/>
    </row>
    <row r="72" spans="1:22">
      <c r="B72" s="47"/>
      <c r="E72" s="43"/>
      <c r="F72" s="43"/>
      <c r="G72" s="79"/>
      <c r="H72" s="79"/>
      <c r="I72" s="79"/>
      <c r="J72" s="79"/>
      <c r="K72" s="79"/>
      <c r="L72" s="79"/>
      <c r="M72" s="79"/>
      <c r="N72" s="79"/>
      <c r="P72" s="49"/>
      <c r="Q72" s="54"/>
      <c r="R72" s="54"/>
      <c r="S72" s="54"/>
      <c r="T72" s="54"/>
      <c r="U72" s="54"/>
    </row>
    <row r="73" spans="1:22" ht="18.75">
      <c r="A73" s="38"/>
      <c r="B73" s="57" t="s">
        <v>199</v>
      </c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49"/>
      <c r="Q73" s="54"/>
      <c r="R73" s="54"/>
      <c r="S73" s="54"/>
    </row>
    <row r="74" spans="1:22">
      <c r="P74" s="49"/>
      <c r="Q74" s="54"/>
      <c r="R74" s="54"/>
      <c r="S74" s="54"/>
    </row>
    <row r="75" spans="1:22">
      <c r="D75" s="205" t="s">
        <v>31</v>
      </c>
      <c r="E75" s="60" t="s">
        <v>32</v>
      </c>
      <c r="F75" s="60" t="s">
        <v>27</v>
      </c>
      <c r="G75" s="59" t="s">
        <v>28</v>
      </c>
      <c r="H75" s="59" t="s">
        <v>29</v>
      </c>
      <c r="I75" s="60" t="s">
        <v>89</v>
      </c>
      <c r="J75" s="60" t="s">
        <v>90</v>
      </c>
      <c r="K75" s="60" t="s">
        <v>91</v>
      </c>
      <c r="L75" s="60" t="s">
        <v>92</v>
      </c>
      <c r="M75" s="60" t="s">
        <v>93</v>
      </c>
      <c r="N75" s="60" t="s">
        <v>94</v>
      </c>
      <c r="P75" s="49"/>
      <c r="Q75" s="54"/>
      <c r="R75" s="54"/>
      <c r="S75" s="54"/>
    </row>
    <row r="76" spans="1:22">
      <c r="D76" s="206" t="s">
        <v>161</v>
      </c>
      <c r="E76" s="206" t="s">
        <v>161</v>
      </c>
      <c r="F76" s="206" t="s">
        <v>161</v>
      </c>
      <c r="G76" s="205" t="s">
        <v>162</v>
      </c>
      <c r="H76" s="205" t="s">
        <v>162</v>
      </c>
      <c r="I76" s="205" t="s">
        <v>162</v>
      </c>
      <c r="J76" s="205" t="s">
        <v>162</v>
      </c>
      <c r="K76" s="205" t="s">
        <v>162</v>
      </c>
      <c r="L76" s="205" t="s">
        <v>162</v>
      </c>
      <c r="M76" s="205" t="s">
        <v>162</v>
      </c>
      <c r="N76" s="205" t="s">
        <v>162</v>
      </c>
      <c r="P76" s="49"/>
      <c r="Q76" s="54"/>
      <c r="R76" s="54"/>
      <c r="S76" s="54"/>
    </row>
    <row r="77" spans="1:22">
      <c r="B77" s="62" t="s">
        <v>240</v>
      </c>
      <c r="C77" s="210"/>
      <c r="D77" s="221"/>
      <c r="E77" s="206"/>
      <c r="F77" s="206"/>
      <c r="G77" s="205"/>
      <c r="H77" s="205"/>
      <c r="I77" s="205"/>
      <c r="J77" s="205"/>
      <c r="K77" s="205"/>
      <c r="L77" s="205"/>
      <c r="M77" s="205"/>
      <c r="N77" s="205"/>
      <c r="P77" s="49"/>
      <c r="Q77" s="54"/>
      <c r="R77" s="54"/>
      <c r="S77" s="54"/>
    </row>
    <row r="78" spans="1:22">
      <c r="B78" s="209" t="s">
        <v>238</v>
      </c>
      <c r="C78" s="210"/>
      <c r="D78" s="223">
        <v>11.581172631165398</v>
      </c>
      <c r="E78" s="223">
        <v>8.7599168664593918</v>
      </c>
      <c r="F78" s="223">
        <v>9.6607771470403954</v>
      </c>
      <c r="G78" s="212">
        <f>G79*G$23</f>
        <v>7.3529185374584003</v>
      </c>
      <c r="H78" s="212">
        <f>H79*H$23</f>
        <v>10.292022804414286</v>
      </c>
      <c r="I78" s="212">
        <f>I79*J$23</f>
        <v>10.568591385175033</v>
      </c>
      <c r="J78" s="212">
        <f t="shared" ref="J78:M78" si="12">J79*K$23</f>
        <v>10.6947876894993</v>
      </c>
      <c r="K78" s="212">
        <f t="shared" si="12"/>
        <v>10.859661400560784</v>
      </c>
      <c r="L78" s="212">
        <f t="shared" si="12"/>
        <v>9.6026838232346812</v>
      </c>
      <c r="M78" s="212">
        <f t="shared" si="12"/>
        <v>8.3262604292844244</v>
      </c>
      <c r="N78" s="205"/>
    </row>
    <row r="79" spans="1:22">
      <c r="B79" s="62" t="s">
        <v>251</v>
      </c>
      <c r="C79" s="89"/>
      <c r="D79" s="212">
        <f>D78*D22</f>
        <v>12.347061803166318</v>
      </c>
      <c r="E79" s="212">
        <f>E78*E22</f>
        <v>9.1557480804644342</v>
      </c>
      <c r="F79" s="212">
        <f>F78*F22</f>
        <v>9.8837181581259443</v>
      </c>
      <c r="G79" s="223">
        <v>7.3529185374584003</v>
      </c>
      <c r="H79" s="223">
        <v>10.139548392497039</v>
      </c>
      <c r="I79" s="945">
        <f>I138</f>
        <v>10.172955213434507</v>
      </c>
      <c r="J79" s="945">
        <f t="shared" ref="J79:M79" si="13">J138</f>
        <v>10.058062870272682</v>
      </c>
      <c r="K79" s="945">
        <f t="shared" si="13"/>
        <v>9.9786230200366273</v>
      </c>
      <c r="L79" s="945">
        <f t="shared" si="13"/>
        <v>8.6210291597351176</v>
      </c>
      <c r="M79" s="945">
        <f t="shared" si="13"/>
        <v>7.3034595474997444</v>
      </c>
      <c r="N79" s="206"/>
      <c r="P79" s="233"/>
      <c r="Q79" s="233"/>
      <c r="R79" s="233"/>
      <c r="S79" s="233"/>
      <c r="T79" s="233"/>
      <c r="U79" s="233"/>
      <c r="V79" s="233"/>
    </row>
    <row r="80" spans="1:22">
      <c r="B80" s="62" t="s">
        <v>252</v>
      </c>
      <c r="C80" s="89"/>
      <c r="D80" s="935">
        <v>151.0588978941885</v>
      </c>
      <c r="E80" s="223">
        <v>116.30450816047154</v>
      </c>
      <c r="F80" s="223">
        <v>121.36013426900874</v>
      </c>
      <c r="G80" s="212">
        <f>'5.1(a)_Direct_Fcast'!C31/Thousands</f>
        <v>123.69324763235738</v>
      </c>
      <c r="H80" s="212">
        <f>'5.1(a)_Direct_Fcast'!D31/Thousands</f>
        <v>139.67534704719688</v>
      </c>
      <c r="I80" s="212">
        <f>'5.1(a)_Direct_Fcast'!E31/Thousands</f>
        <v>115.35711181088308</v>
      </c>
      <c r="J80" s="212">
        <f>'5.1(a)_Direct_Fcast'!F31/Thousands</f>
        <v>83.608422025497589</v>
      </c>
      <c r="K80" s="212">
        <f>'5.1(a)_Direct_Fcast'!G31/Thousands</f>
        <v>76.475642064011438</v>
      </c>
      <c r="L80" s="212">
        <f>'5.1(a)_Direct_Fcast'!H31/Thousands</f>
        <v>73.115082953920364</v>
      </c>
      <c r="M80" s="212">
        <f>'5.1(a)_Direct_Fcast'!I31/Thousands</f>
        <v>65.774529483407065</v>
      </c>
      <c r="N80" s="206"/>
      <c r="P80" s="49"/>
      <c r="Q80" s="54"/>
      <c r="R80" s="54"/>
      <c r="S80" s="54"/>
    </row>
    <row r="81" spans="2:45">
      <c r="B81" s="62" t="s">
        <v>239</v>
      </c>
      <c r="C81" s="89"/>
      <c r="D81" s="211">
        <f>D79/D80</f>
        <v>8.1736739611426287E-2</v>
      </c>
      <c r="E81" s="78">
        <f>E79/E80</f>
        <v>7.8722211419627514E-2</v>
      </c>
      <c r="F81" s="78">
        <f>F79/F80</f>
        <v>8.1441226294439839E-2</v>
      </c>
      <c r="G81" s="78">
        <f t="shared" ref="G81:H81" si="14">G79/G80</f>
        <v>5.9444785210206755E-2</v>
      </c>
      <c r="H81" s="78">
        <f t="shared" si="14"/>
        <v>7.2593686766146664E-2</v>
      </c>
      <c r="I81" s="78">
        <f>I79/I80</f>
        <v>8.8186632395166858E-2</v>
      </c>
      <c r="J81" s="78">
        <f t="shared" ref="J81:M81" si="15">J79/J80</f>
        <v>0.12029963760355783</v>
      </c>
      <c r="K81" s="78">
        <f t="shared" si="15"/>
        <v>0.13048106234511045</v>
      </c>
      <c r="L81" s="946">
        <f t="shared" si="15"/>
        <v>0.1179104066006242</v>
      </c>
      <c r="M81" s="946">
        <f t="shared" si="15"/>
        <v>0.11103780756565028</v>
      </c>
      <c r="N81" s="78">
        <f>AVERAGE(I81:M81)</f>
        <v>0.11358310930202191</v>
      </c>
    </row>
    <row r="82" spans="2:45">
      <c r="B82" s="209"/>
      <c r="C82" s="210"/>
      <c r="D82" s="221"/>
      <c r="E82" s="221"/>
      <c r="F82" s="211"/>
      <c r="G82" s="211"/>
      <c r="H82" s="211"/>
      <c r="I82" s="211"/>
      <c r="J82" s="211"/>
      <c r="K82" s="211"/>
      <c r="L82" s="211"/>
      <c r="M82" s="211"/>
      <c r="N82" s="211"/>
    </row>
    <row r="83" spans="2:45">
      <c r="B83" s="62" t="s">
        <v>167</v>
      </c>
      <c r="C83" s="89"/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8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</row>
    <row r="84" spans="2:45">
      <c r="B84" s="209"/>
      <c r="C84" s="210"/>
      <c r="D84" s="221"/>
      <c r="E84" s="221"/>
      <c r="F84" s="211"/>
      <c r="G84" s="211"/>
      <c r="H84" s="211"/>
      <c r="I84" s="211"/>
      <c r="J84" s="211"/>
      <c r="K84" s="211"/>
      <c r="L84" s="211"/>
      <c r="M84" s="211"/>
      <c r="N84" s="211"/>
    </row>
    <row r="85" spans="2:45">
      <c r="B85" s="209" t="s">
        <v>168</v>
      </c>
      <c r="C85" s="210"/>
      <c r="D85" s="221"/>
      <c r="E85" s="221"/>
      <c r="F85" s="211"/>
      <c r="G85" s="211"/>
      <c r="H85" s="211"/>
      <c r="I85" s="211"/>
      <c r="J85" s="211"/>
      <c r="K85" s="211"/>
      <c r="L85" s="211"/>
      <c r="M85" s="211"/>
      <c r="N85" s="211"/>
    </row>
    <row r="86" spans="2:45">
      <c r="B86" s="62" t="s">
        <v>237</v>
      </c>
      <c r="C86" s="210"/>
      <c r="D86" s="934">
        <v>0.56064939000000436</v>
      </c>
      <c r="E86" s="934">
        <v>0.86737089000000434</v>
      </c>
      <c r="F86" s="934">
        <v>0.85461205226829651</v>
      </c>
      <c r="G86" s="212">
        <f>G87*G$23</f>
        <v>0.55162977289269499</v>
      </c>
      <c r="H86" s="212">
        <f>H87*H$23</f>
        <v>1.568337610944071</v>
      </c>
      <c r="I86" s="212">
        <f>I87*J$23</f>
        <v>1.5320460968551681</v>
      </c>
      <c r="J86" s="212">
        <f t="shared" ref="J86" si="16">J87*K$23</f>
        <v>1.3809473672083294</v>
      </c>
      <c r="K86" s="212">
        <f t="shared" ref="K86" si="17">K87*L$23</f>
        <v>1.2383453738081449</v>
      </c>
      <c r="L86" s="234">
        <f t="shared" ref="L86" si="18">L87*M$23</f>
        <v>0.88678128349770868</v>
      </c>
      <c r="M86" s="234">
        <f t="shared" ref="M86" si="19">M87*N$23</f>
        <v>0.77301464733979131</v>
      </c>
      <c r="N86" s="211"/>
    </row>
    <row r="87" spans="2:45">
      <c r="B87" s="62" t="s">
        <v>253</v>
      </c>
      <c r="C87" s="210"/>
      <c r="D87" s="212">
        <f t="shared" ref="D87" si="20">D86*D22</f>
        <v>0.59772640376753983</v>
      </c>
      <c r="E87" s="212">
        <f>E86*E22</f>
        <v>0.90656446656189071</v>
      </c>
      <c r="F87" s="212">
        <f>F86*F22</f>
        <v>0.87433386885910347</v>
      </c>
      <c r="G87" s="223">
        <v>0.55162977289269499</v>
      </c>
      <c r="H87" s="223">
        <v>1.5451029796708255</v>
      </c>
      <c r="I87" s="945">
        <f>I145</f>
        <v>1.4746938130361495</v>
      </c>
      <c r="J87" s="945">
        <f t="shared" ref="J87:M87" si="21">J145</f>
        <v>1.2987312925862475</v>
      </c>
      <c r="K87" s="945">
        <f t="shared" si="21"/>
        <v>1.1378790919944994</v>
      </c>
      <c r="L87" s="945">
        <f t="shared" si="21"/>
        <v>0.79612819125037693</v>
      </c>
      <c r="M87" s="945">
        <f t="shared" si="21"/>
        <v>0.67805724483640106</v>
      </c>
      <c r="N87" s="212"/>
      <c r="P87" s="233"/>
      <c r="Q87" s="233"/>
      <c r="R87" s="233"/>
      <c r="S87" s="233"/>
      <c r="T87" s="233"/>
      <c r="U87" s="233"/>
      <c r="V87" s="233"/>
    </row>
    <row r="88" spans="2:45">
      <c r="B88" s="62" t="s">
        <v>254</v>
      </c>
      <c r="C88" s="210"/>
      <c r="D88" s="223">
        <v>13.361452079909073</v>
      </c>
      <c r="E88" s="223">
        <v>17.700268094459727</v>
      </c>
      <c r="F88" s="223">
        <v>18.851876138843775</v>
      </c>
      <c r="G88" s="212">
        <f>(Proj_45!G54+Proj_42!G54)/Thousands*$I$22</f>
        <v>7.3401903454321156</v>
      </c>
      <c r="H88" s="212">
        <f>(Proj_45!H54+Proj_42!H54)/Thousands*$I$22</f>
        <v>17.654435638622431</v>
      </c>
      <c r="I88" s="212">
        <f>(Proj_45!I54+Proj_42!I54)/Thousands*$I$22</f>
        <v>21.924707203317062</v>
      </c>
      <c r="J88" s="212">
        <f>(Proj_45!J54+Proj_42!J54)/Thousands*$I$22</f>
        <v>19.901855118078675</v>
      </c>
      <c r="K88" s="212">
        <f>(Proj_45!K54+Proj_42!K54)/Thousands*$I$22</f>
        <v>11.868995575787713</v>
      </c>
      <c r="L88" s="212">
        <f>(Proj_45!L54+Proj_42!L54)/Thousands*$I$22</f>
        <v>9.9252924491350409</v>
      </c>
      <c r="M88" s="212">
        <f>(Proj_45!M54+Proj_42!M54)/Thousands*$I$22</f>
        <v>8.4533075530037696</v>
      </c>
      <c r="N88" s="212"/>
    </row>
    <row r="89" spans="2:45">
      <c r="B89" s="62" t="s">
        <v>255</v>
      </c>
      <c r="C89" s="89"/>
      <c r="D89" s="222">
        <f t="shared" ref="D89" si="22">D87/D88</f>
        <v>4.4735138081759107E-2</v>
      </c>
      <c r="E89" s="222">
        <f>E87/E88</f>
        <v>5.1217555673388357E-2</v>
      </c>
      <c r="F89" s="78">
        <f t="shared" ref="F89:M89" si="23">F87/F88</f>
        <v>4.6379143509094167E-2</v>
      </c>
      <c r="G89" s="78">
        <f t="shared" si="23"/>
        <v>7.515197112510584E-2</v>
      </c>
      <c r="H89" s="78">
        <f t="shared" si="23"/>
        <v>8.7519250759317352E-2</v>
      </c>
      <c r="I89" s="78">
        <f t="shared" si="23"/>
        <v>6.7261733502787122E-2</v>
      </c>
      <c r="J89" s="78">
        <f t="shared" si="23"/>
        <v>6.5256795654516198E-2</v>
      </c>
      <c r="K89" s="78">
        <f t="shared" si="23"/>
        <v>9.5869872452874469E-2</v>
      </c>
      <c r="L89" s="946">
        <f t="shared" si="23"/>
        <v>8.0212063808735135E-2</v>
      </c>
      <c r="M89" s="946">
        <f t="shared" si="23"/>
        <v>8.0212063808735135E-2</v>
      </c>
      <c r="N89" s="78">
        <f>AVERAGE(I89:M89)</f>
        <v>7.7762505845529614E-2</v>
      </c>
    </row>
    <row r="90" spans="2:45">
      <c r="B90" s="936"/>
      <c r="C90" s="47"/>
      <c r="D90" s="936" t="s">
        <v>491</v>
      </c>
      <c r="E90" s="47"/>
      <c r="F90" s="47"/>
      <c r="G90" s="149"/>
      <c r="H90" s="149"/>
      <c r="I90" s="149"/>
      <c r="J90" s="149"/>
      <c r="K90" s="149"/>
      <c r="L90" s="149"/>
      <c r="M90" s="149"/>
      <c r="N90" s="47"/>
    </row>
    <row r="91" spans="2:45">
      <c r="B91" s="43" t="s">
        <v>235</v>
      </c>
      <c r="D91" s="224">
        <f t="shared" ref="D91:E91" si="24">D79+D87</f>
        <v>12.944788206933858</v>
      </c>
      <c r="E91" s="224">
        <f t="shared" si="24"/>
        <v>10.062312547026325</v>
      </c>
      <c r="F91" s="224">
        <f>F79+F87</f>
        <v>10.758052026985048</v>
      </c>
      <c r="G91" s="224">
        <f t="shared" ref="G91:M91" si="25">G79+G87</f>
        <v>7.9045483103510952</v>
      </c>
      <c r="H91" s="224">
        <f t="shared" si="25"/>
        <v>11.684651372167865</v>
      </c>
      <c r="I91" s="224">
        <f t="shared" si="25"/>
        <v>11.647649026470656</v>
      </c>
      <c r="J91" s="224">
        <f t="shared" si="25"/>
        <v>11.356794162858929</v>
      </c>
      <c r="K91" s="224">
        <f t="shared" si="25"/>
        <v>11.116502112031126</v>
      </c>
      <c r="L91" s="224">
        <f t="shared" si="25"/>
        <v>9.4171573509854944</v>
      </c>
      <c r="M91" s="224">
        <f t="shared" si="25"/>
        <v>7.9815167923361452</v>
      </c>
    </row>
    <row r="92" spans="2:45">
      <c r="B92" s="43" t="s">
        <v>236</v>
      </c>
      <c r="D92" s="224">
        <f>D91/D22</f>
        <v>12.141822021165401</v>
      </c>
      <c r="E92" s="224">
        <f>E91/E22</f>
        <v>9.6272877564593973</v>
      </c>
      <c r="F92" s="224">
        <f>F91/F22</f>
        <v>10.515389199308693</v>
      </c>
      <c r="G92" s="224">
        <f t="shared" ref="G92:H92" si="26">G91/G22</f>
        <v>7.9045483103510952</v>
      </c>
      <c r="H92" s="224">
        <f t="shared" si="26"/>
        <v>11.860360415358357</v>
      </c>
      <c r="I92" s="224">
        <f>I91/J22</f>
        <v>12.100637482030201</v>
      </c>
      <c r="J92" s="224">
        <f t="shared" ref="J92:M92" si="27">J91/K22</f>
        <v>12.07573505670763</v>
      </c>
      <c r="K92" s="224">
        <f t="shared" si="27"/>
        <v>12.098006774368928</v>
      </c>
      <c r="L92" s="224">
        <f t="shared" si="27"/>
        <v>10.489465106732389</v>
      </c>
      <c r="M92" s="224">
        <f t="shared" si="27"/>
        <v>9.099275076624215</v>
      </c>
    </row>
    <row r="94" spans="2:45" s="47" customFormat="1" hidden="1" outlineLevel="1">
      <c r="B94" s="43"/>
      <c r="C94" s="221" t="s">
        <v>282</v>
      </c>
      <c r="D94" s="221"/>
      <c r="E94" s="229"/>
      <c r="F94" s="438" t="s">
        <v>64</v>
      </c>
      <c r="G94" s="438" t="s">
        <v>72</v>
      </c>
      <c r="H94" s="438" t="s">
        <v>73</v>
      </c>
      <c r="I94" s="438" t="s">
        <v>74</v>
      </c>
      <c r="J94" s="438" t="s">
        <v>75</v>
      </c>
      <c r="K94" s="438" t="s">
        <v>76</v>
      </c>
      <c r="L94" s="206" t="s">
        <v>77</v>
      </c>
      <c r="M94" s="206" t="s">
        <v>78</v>
      </c>
      <c r="N94" s="206" t="s">
        <v>79</v>
      </c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2:45" s="47" customFormat="1" hidden="1" outlineLevel="1">
      <c r="B95" s="43"/>
      <c r="C95" s="229" t="s">
        <v>281</v>
      </c>
      <c r="D95" s="437"/>
      <c r="E95" s="221"/>
      <c r="F95" s="437">
        <f>AVERAGE(E81:F81)</f>
        <v>8.0081718857033676E-2</v>
      </c>
      <c r="G95" s="437">
        <f>G81</f>
        <v>5.9444785210206755E-2</v>
      </c>
      <c r="H95" s="437">
        <f t="shared" ref="H95:N95" si="28">H81</f>
        <v>7.2593686766146664E-2</v>
      </c>
      <c r="I95" s="437">
        <f t="shared" si="28"/>
        <v>8.8186632395166858E-2</v>
      </c>
      <c r="J95" s="437">
        <f t="shared" si="28"/>
        <v>0.12029963760355783</v>
      </c>
      <c r="K95" s="437">
        <f t="shared" si="28"/>
        <v>0.13048106234511045</v>
      </c>
      <c r="L95" s="437">
        <f t="shared" si="28"/>
        <v>0.1179104066006242</v>
      </c>
      <c r="M95" s="437">
        <f t="shared" si="28"/>
        <v>0.11103780756565028</v>
      </c>
      <c r="N95" s="437">
        <f t="shared" si="28"/>
        <v>0.11358310930202191</v>
      </c>
    </row>
    <row r="96" spans="2:45" s="47" customFormat="1" hidden="1" outlineLevel="1">
      <c r="B96" s="43"/>
      <c r="C96" s="229" t="s">
        <v>280</v>
      </c>
      <c r="D96" s="437"/>
      <c r="E96" s="221"/>
      <c r="F96" s="437">
        <f>AVERAGE(E83:F83)</f>
        <v>0</v>
      </c>
      <c r="G96" s="437">
        <f>G83</f>
        <v>0</v>
      </c>
      <c r="H96" s="437">
        <f t="shared" ref="H96:N96" si="29">H83</f>
        <v>0</v>
      </c>
      <c r="I96" s="437">
        <f t="shared" si="29"/>
        <v>0</v>
      </c>
      <c r="J96" s="437">
        <f t="shared" si="29"/>
        <v>0</v>
      </c>
      <c r="K96" s="437">
        <f t="shared" si="29"/>
        <v>0</v>
      </c>
      <c r="L96" s="437">
        <f t="shared" si="29"/>
        <v>0</v>
      </c>
      <c r="M96" s="437">
        <f t="shared" si="29"/>
        <v>0</v>
      </c>
      <c r="N96" s="437">
        <f t="shared" si="29"/>
        <v>0</v>
      </c>
    </row>
    <row r="97" spans="2:14" s="47" customFormat="1" hidden="1" outlineLevel="1">
      <c r="B97" s="43"/>
      <c r="C97" s="229" t="s">
        <v>279</v>
      </c>
      <c r="D97" s="437"/>
      <c r="E97" s="221"/>
      <c r="F97" s="437">
        <f>AVERAGE(E89:F89)</f>
        <v>4.8798349591241262E-2</v>
      </c>
      <c r="G97" s="437">
        <f>G89</f>
        <v>7.515197112510584E-2</v>
      </c>
      <c r="H97" s="437">
        <f t="shared" ref="H97:N97" si="30">H89</f>
        <v>8.7519250759317352E-2</v>
      </c>
      <c r="I97" s="437">
        <f t="shared" si="30"/>
        <v>6.7261733502787122E-2</v>
      </c>
      <c r="J97" s="437">
        <f t="shared" si="30"/>
        <v>6.5256795654516198E-2</v>
      </c>
      <c r="K97" s="437">
        <f t="shared" si="30"/>
        <v>9.5869872452874469E-2</v>
      </c>
      <c r="L97" s="437">
        <f t="shared" si="30"/>
        <v>8.0212063808735135E-2</v>
      </c>
      <c r="M97" s="437">
        <f t="shared" si="30"/>
        <v>8.0212063808735135E-2</v>
      </c>
      <c r="N97" s="437">
        <f t="shared" si="30"/>
        <v>7.7762505845529614E-2</v>
      </c>
    </row>
    <row r="98" spans="2:14" s="47" customFormat="1" collapsed="1">
      <c r="B98" s="43"/>
      <c r="E98" s="225"/>
      <c r="F98" s="225"/>
      <c r="H98" s="149"/>
      <c r="I98" s="124"/>
      <c r="J98" s="124"/>
      <c r="K98" s="124"/>
      <c r="L98" s="124"/>
      <c r="M98" s="124"/>
    </row>
    <row r="99" spans="2:14" s="47" customFormat="1">
      <c r="B99" s="43"/>
      <c r="E99" s="225"/>
      <c r="F99" s="225"/>
      <c r="H99" s="149"/>
      <c r="I99" s="124"/>
      <c r="J99" s="124"/>
      <c r="K99" s="124"/>
      <c r="L99" s="124"/>
      <c r="M99" s="124"/>
    </row>
    <row r="100" spans="2:14" s="47" customFormat="1">
      <c r="B100" s="43"/>
      <c r="E100" s="225"/>
      <c r="F100" s="225"/>
      <c r="H100" s="149"/>
      <c r="I100" s="124"/>
      <c r="J100" s="124"/>
      <c r="K100" s="124"/>
      <c r="L100" s="124"/>
      <c r="M100" s="124"/>
    </row>
    <row r="101" spans="2:14" s="47" customFormat="1">
      <c r="E101" s="225"/>
      <c r="F101" s="225"/>
      <c r="H101" s="149"/>
    </row>
    <row r="102" spans="2:14" s="47" customFormat="1">
      <c r="E102" s="225"/>
      <c r="F102" s="225"/>
      <c r="H102" s="149"/>
    </row>
    <row r="103" spans="2:14" s="47" customFormat="1">
      <c r="E103" s="225"/>
      <c r="F103" s="225"/>
      <c r="H103" s="149"/>
    </row>
    <row r="104" spans="2:14" s="47" customFormat="1">
      <c r="E104" s="225"/>
      <c r="F104" s="225"/>
      <c r="H104" s="149"/>
    </row>
    <row r="105" spans="2:14" s="47" customFormat="1">
      <c r="B105" s="973" t="s">
        <v>494</v>
      </c>
      <c r="E105" s="225"/>
      <c r="F105" s="225"/>
      <c r="H105" s="149"/>
    </row>
    <row r="106" spans="2:14" s="47" customFormat="1">
      <c r="B106" s="248"/>
      <c r="I106" s="974" t="s">
        <v>495</v>
      </c>
      <c r="J106" s="248"/>
      <c r="K106" s="248"/>
      <c r="L106" s="248"/>
      <c r="M106" s="248"/>
      <c r="N106" s="248"/>
    </row>
    <row r="107" spans="2:14" s="47" customFormat="1">
      <c r="B107" s="975" t="s">
        <v>496</v>
      </c>
      <c r="F107" s="232"/>
      <c r="G107" s="149"/>
      <c r="H107" s="149"/>
      <c r="I107" s="976" t="s">
        <v>89</v>
      </c>
      <c r="J107" s="976" t="s">
        <v>90</v>
      </c>
      <c r="K107" s="976" t="s">
        <v>91</v>
      </c>
      <c r="L107" s="976" t="s">
        <v>92</v>
      </c>
      <c r="M107" s="976" t="s">
        <v>93</v>
      </c>
      <c r="N107" s="976" t="s">
        <v>16</v>
      </c>
    </row>
    <row r="108" spans="2:14" s="47" customFormat="1">
      <c r="B108" s="979" t="s">
        <v>497</v>
      </c>
      <c r="I108" s="985">
        <v>10.535390968679303</v>
      </c>
      <c r="J108" s="985">
        <v>10.755754829734446</v>
      </c>
      <c r="K108" s="985">
        <v>10.938129465698454</v>
      </c>
      <c r="L108" s="985">
        <v>9.4263926688237536</v>
      </c>
      <c r="M108" s="985">
        <v>7.877286116778631</v>
      </c>
      <c r="N108" s="984">
        <f>SUM(I108:M108)</f>
        <v>49.53295404971459</v>
      </c>
    </row>
    <row r="109" spans="2:14" s="47" customFormat="1">
      <c r="B109" s="248" t="s">
        <v>498</v>
      </c>
      <c r="I109" s="985">
        <v>133.76396278406844</v>
      </c>
      <c r="J109" s="985">
        <v>112.90309575184004</v>
      </c>
      <c r="K109" s="985">
        <v>117.81524766538347</v>
      </c>
      <c r="L109" s="985">
        <v>111.07466532074451</v>
      </c>
      <c r="M109" s="985">
        <v>92.82097084187285</v>
      </c>
      <c r="N109" s="984">
        <f>SUM(I109:M109)</f>
        <v>568.37794236390937</v>
      </c>
    </row>
    <row r="110" spans="2:14" s="47" customFormat="1">
      <c r="B110" s="248" t="s">
        <v>239</v>
      </c>
      <c r="I110" s="978">
        <f>I108/I109</f>
        <v>7.876105603783809E-2</v>
      </c>
      <c r="J110" s="978">
        <f t="shared" ref="J110:M110" si="31">J108/J109</f>
        <v>9.5265366800707532E-2</v>
      </c>
      <c r="K110" s="978">
        <f t="shared" si="31"/>
        <v>9.2841373951567899E-2</v>
      </c>
      <c r="L110" s="978">
        <f t="shared" si="31"/>
        <v>8.4865370889065039E-2</v>
      </c>
      <c r="M110" s="978">
        <f t="shared" si="31"/>
        <v>8.4865370889065039E-2</v>
      </c>
    </row>
    <row r="111" spans="2:14" s="47" customFormat="1">
      <c r="B111" s="248"/>
    </row>
    <row r="112" spans="2:14" s="47" customFormat="1">
      <c r="B112" s="979" t="s">
        <v>499</v>
      </c>
      <c r="I112" s="985">
        <v>1.5009606239553683</v>
      </c>
      <c r="J112" s="985">
        <v>1.3218639110292596</v>
      </c>
      <c r="K112" s="985">
        <v>1.1581466585185745</v>
      </c>
      <c r="L112" s="985">
        <v>0.81030859160343705</v>
      </c>
      <c r="M112" s="985">
        <v>0.69013460034239305</v>
      </c>
      <c r="N112" s="984">
        <f t="shared" ref="N112:N113" si="32">SUM(I112:M112)</f>
        <v>5.4814143854490327</v>
      </c>
    </row>
    <row r="113" spans="2:14" s="47" customFormat="1">
      <c r="B113" s="248" t="s">
        <v>500</v>
      </c>
      <c r="I113" s="985">
        <v>23.574953982061349</v>
      </c>
      <c r="J113" s="985">
        <v>21.399844212987823</v>
      </c>
      <c r="K113" s="985">
        <v>12.762360834180335</v>
      </c>
      <c r="L113" s="985">
        <v>10.672357472188216</v>
      </c>
      <c r="M113" s="985">
        <v>9.0895780139825497</v>
      </c>
      <c r="N113" s="984">
        <f t="shared" si="32"/>
        <v>77.499094515400273</v>
      </c>
    </row>
    <row r="114" spans="2:14" s="47" customFormat="1">
      <c r="B114" s="248" t="s">
        <v>255</v>
      </c>
      <c r="I114" s="978">
        <f>I112/I113</f>
        <v>6.366759507134051E-2</v>
      </c>
      <c r="J114" s="978">
        <f t="shared" ref="J114" si="33">J112/J113</f>
        <v>6.1769791306564958E-2</v>
      </c>
      <c r="K114" s="978">
        <f t="shared" ref="K114" si="34">K112/K113</f>
        <v>9.0747054840888824E-2</v>
      </c>
      <c r="L114" s="978">
        <f t="shared" ref="L114" si="35">L112/L113</f>
        <v>7.5925922994527911E-2</v>
      </c>
      <c r="M114" s="978">
        <f t="shared" ref="M114" si="36">M112/M113</f>
        <v>7.5925922994527911E-2</v>
      </c>
    </row>
    <row r="115" spans="2:14" s="47" customFormat="1">
      <c r="B115" s="248"/>
    </row>
    <row r="116" spans="2:14" s="47" customFormat="1" ht="15.75" thickBot="1">
      <c r="B116" s="35" t="s">
        <v>397</v>
      </c>
      <c r="I116" s="992">
        <f>SUM(I108,I112)</f>
        <v>12.036351592634672</v>
      </c>
      <c r="J116" s="992">
        <f>SUM(J108,J112)</f>
        <v>12.077618740763706</v>
      </c>
      <c r="K116" s="992">
        <f>SUM(K108,K112)</f>
        <v>12.096276124217029</v>
      </c>
      <c r="L116" s="992">
        <f>SUM(L108,L112)</f>
        <v>10.236701260427191</v>
      </c>
      <c r="M116" s="992">
        <f>SUM(M108,M112)</f>
        <v>8.5674207171210242</v>
      </c>
      <c r="N116" s="992">
        <f>SUM(I116:M116)</f>
        <v>55.014368435163618</v>
      </c>
    </row>
    <row r="117" spans="2:14" s="47" customFormat="1" ht="15.75" thickTop="1">
      <c r="B117" s="248"/>
    </row>
    <row r="118" spans="2:14" s="47" customFormat="1">
      <c r="B118" s="248" t="s">
        <v>501</v>
      </c>
      <c r="I118" s="987">
        <f>'[1]AER Ohds &amp; Escalation Rates'!B18</f>
        <v>0.75</v>
      </c>
    </row>
    <row r="119" spans="2:14" s="47" customFormat="1">
      <c r="B119" s="248" t="s">
        <v>502</v>
      </c>
      <c r="I119" s="987">
        <f>'[1]AER Ohds &amp; Escalation Rates'!B19</f>
        <v>0.25</v>
      </c>
    </row>
    <row r="120" spans="2:14" s="47" customFormat="1">
      <c r="B120" s="248"/>
    </row>
    <row r="121" spans="2:14" s="47" customFormat="1">
      <c r="B121" s="979" t="s">
        <v>501</v>
      </c>
    </row>
    <row r="122" spans="2:14" s="47" customFormat="1">
      <c r="B122" s="248" t="s">
        <v>497</v>
      </c>
      <c r="I122" s="26">
        <f>$I$118*I$108</f>
        <v>7.901543226509478</v>
      </c>
      <c r="J122" s="26">
        <f>$I$118*J$108</f>
        <v>8.0668161223008354</v>
      </c>
      <c r="K122" s="26">
        <f>$I$118*K$108</f>
        <v>8.203597099273841</v>
      </c>
      <c r="L122" s="26">
        <f>$I$118*L$108</f>
        <v>7.0697945016178156</v>
      </c>
      <c r="M122" s="26">
        <f>$I$118*M$108</f>
        <v>5.9079645875839732</v>
      </c>
      <c r="N122" s="984">
        <f t="shared" ref="N122:N123" si="37">SUM(I122:M122)</f>
        <v>37.149715537285942</v>
      </c>
    </row>
    <row r="123" spans="2:14" s="47" customFormat="1">
      <c r="B123" s="248" t="s">
        <v>499</v>
      </c>
      <c r="I123" s="26">
        <f>$I$118*I$112</f>
        <v>1.1257204679665263</v>
      </c>
      <c r="J123" s="26">
        <f>$I$118*J$112</f>
        <v>0.9913979332719447</v>
      </c>
      <c r="K123" s="26">
        <f>$I$118*K$112</f>
        <v>0.8686099938889309</v>
      </c>
      <c r="L123" s="26">
        <f>$I$118*L$112</f>
        <v>0.60773144370257781</v>
      </c>
      <c r="M123" s="26">
        <f>$I$118*M$112</f>
        <v>0.51760095025679476</v>
      </c>
      <c r="N123" s="984">
        <f t="shared" si="37"/>
        <v>4.1110607890867747</v>
      </c>
    </row>
    <row r="124" spans="2:14" s="47" customFormat="1">
      <c r="B124" s="248"/>
      <c r="I124" s="980">
        <f t="shared" ref="I124:N124" si="38">SUM(I122:I123)</f>
        <v>9.0272636944760052</v>
      </c>
      <c r="J124" s="980">
        <f t="shared" si="38"/>
        <v>9.0582140555727797</v>
      </c>
      <c r="K124" s="980">
        <f t="shared" si="38"/>
        <v>9.0722070931627723</v>
      </c>
      <c r="L124" s="980">
        <f t="shared" si="38"/>
        <v>7.6775259453203937</v>
      </c>
      <c r="M124" s="980">
        <f t="shared" si="38"/>
        <v>6.4255655378407681</v>
      </c>
      <c r="N124" s="980">
        <f t="shared" si="38"/>
        <v>41.260776326372721</v>
      </c>
    </row>
    <row r="125" spans="2:14" s="47" customFormat="1">
      <c r="B125" s="977" t="s">
        <v>502</v>
      </c>
      <c r="I125" s="248"/>
      <c r="J125" s="981"/>
      <c r="K125" s="981"/>
      <c r="L125" s="981"/>
      <c r="M125" s="981"/>
      <c r="N125" s="248"/>
    </row>
    <row r="126" spans="2:14" s="47" customFormat="1">
      <c r="B126" s="248" t="s">
        <v>497</v>
      </c>
      <c r="I126" s="26">
        <f>$I$119*I$108</f>
        <v>2.6338477421698259</v>
      </c>
      <c r="J126" s="26">
        <f>$I$119*J$108</f>
        <v>2.6889387074336115</v>
      </c>
      <c r="K126" s="26">
        <f>$I$119*K$108</f>
        <v>2.7345323664246135</v>
      </c>
      <c r="L126" s="26">
        <f>$I$119*L$108</f>
        <v>2.3565981672059384</v>
      </c>
      <c r="M126" s="26">
        <f>$I$119*M$108</f>
        <v>1.9693215291946577</v>
      </c>
      <c r="N126" s="984">
        <f t="shared" ref="N126:N127" si="39">SUM(I126:M126)</f>
        <v>12.383238512428647</v>
      </c>
    </row>
    <row r="127" spans="2:14" s="47" customFormat="1">
      <c r="B127" s="248" t="s">
        <v>499</v>
      </c>
      <c r="I127" s="26">
        <f>$I$119*I$112</f>
        <v>0.37524015598884208</v>
      </c>
      <c r="J127" s="26">
        <f>$I$119*J$112</f>
        <v>0.3304659777573149</v>
      </c>
      <c r="K127" s="26">
        <f>$I$119*K$112</f>
        <v>0.28953666462964361</v>
      </c>
      <c r="L127" s="26">
        <f>$I$119*L$112</f>
        <v>0.20257714790085926</v>
      </c>
      <c r="M127" s="26">
        <f>$I$119*M$112</f>
        <v>0.17253365008559826</v>
      </c>
      <c r="N127" s="984">
        <f t="shared" si="39"/>
        <v>1.3703535963622582</v>
      </c>
    </row>
    <row r="128" spans="2:14" s="47" customFormat="1">
      <c r="B128" s="248"/>
      <c r="I128" s="980">
        <f t="shared" ref="I128:N128" si="40">SUM(I126:I127)</f>
        <v>3.009087898158668</v>
      </c>
      <c r="J128" s="980">
        <f t="shared" si="40"/>
        <v>3.0194046851909264</v>
      </c>
      <c r="K128" s="980">
        <f t="shared" si="40"/>
        <v>3.0240690310542573</v>
      </c>
      <c r="L128" s="980">
        <f t="shared" si="40"/>
        <v>2.5591753151067977</v>
      </c>
      <c r="M128" s="980">
        <f t="shared" si="40"/>
        <v>2.141855179280256</v>
      </c>
      <c r="N128" s="980">
        <f t="shared" si="40"/>
        <v>13.753592108790906</v>
      </c>
    </row>
    <row r="129" spans="2:14" s="47" customFormat="1">
      <c r="B129" s="982" t="s">
        <v>50</v>
      </c>
      <c r="I129" s="983">
        <f t="shared" ref="I129:N129" si="41">I116-SUM(I124,I128)</f>
        <v>0</v>
      </c>
      <c r="J129" s="983">
        <f t="shared" si="41"/>
        <v>0</v>
      </c>
      <c r="K129" s="983">
        <f t="shared" si="41"/>
        <v>0</v>
      </c>
      <c r="L129" s="983">
        <f t="shared" si="41"/>
        <v>0</v>
      </c>
      <c r="M129" s="983">
        <f t="shared" si="41"/>
        <v>0</v>
      </c>
      <c r="N129" s="983">
        <f t="shared" si="41"/>
        <v>0</v>
      </c>
    </row>
    <row r="130" spans="2:14" s="47" customFormat="1"/>
    <row r="131" spans="2:14" s="47" customFormat="1">
      <c r="I131" s="974" t="s">
        <v>495</v>
      </c>
      <c r="J131" s="248"/>
      <c r="K131" s="248"/>
      <c r="L131" s="248"/>
      <c r="M131" s="248"/>
      <c r="N131" s="248"/>
    </row>
    <row r="132" spans="2:14">
      <c r="B132" s="988" t="s">
        <v>503</v>
      </c>
      <c r="I132" s="976" t="s">
        <v>89</v>
      </c>
      <c r="J132" s="976" t="s">
        <v>90</v>
      </c>
      <c r="K132" s="976" t="s">
        <v>91</v>
      </c>
      <c r="L132" s="976" t="s">
        <v>92</v>
      </c>
      <c r="M132" s="976" t="s">
        <v>93</v>
      </c>
      <c r="N132" s="976" t="s">
        <v>16</v>
      </c>
    </row>
    <row r="133" spans="2:14">
      <c r="B133" s="977" t="s">
        <v>497</v>
      </c>
    </row>
    <row r="134" spans="2:14">
      <c r="B134" s="248" t="s">
        <v>498</v>
      </c>
      <c r="I134" s="26">
        <f>I80</f>
        <v>115.35711181088308</v>
      </c>
      <c r="J134" s="26">
        <f>J80</f>
        <v>83.608422025497589</v>
      </c>
      <c r="K134" s="26">
        <f>K80</f>
        <v>76.475642064011438</v>
      </c>
      <c r="L134" s="26">
        <f>L80</f>
        <v>73.115082953920364</v>
      </c>
      <c r="M134" s="26">
        <f>M80</f>
        <v>65.774529483407065</v>
      </c>
      <c r="N134" s="984">
        <f t="shared" ref="N134:N137" si="42">SUM(I134:M134)</f>
        <v>414.33078833771958</v>
      </c>
    </row>
    <row r="135" spans="2:14">
      <c r="B135" s="248" t="s">
        <v>504</v>
      </c>
      <c r="I135" s="989">
        <f>I109-I134</f>
        <v>18.406850973185357</v>
      </c>
      <c r="J135" s="989">
        <f>J109-J134</f>
        <v>29.294673726342452</v>
      </c>
      <c r="K135" s="989">
        <f>K109-K134</f>
        <v>41.339605601372028</v>
      </c>
      <c r="L135" s="989">
        <f>L109-L134</f>
        <v>37.959582366824151</v>
      </c>
      <c r="M135" s="989">
        <f>M109-M134</f>
        <v>27.046441358465785</v>
      </c>
      <c r="N135" s="984">
        <f t="shared" si="42"/>
        <v>154.04715402618979</v>
      </c>
    </row>
    <row r="136" spans="2:14">
      <c r="B136" s="248" t="s">
        <v>501</v>
      </c>
      <c r="I136" s="989">
        <f>I122</f>
        <v>7.901543226509478</v>
      </c>
      <c r="J136" s="989">
        <f t="shared" ref="J136:M136" si="43">J122</f>
        <v>8.0668161223008354</v>
      </c>
      <c r="K136" s="989">
        <f t="shared" si="43"/>
        <v>8.203597099273841</v>
      </c>
      <c r="L136" s="989">
        <f t="shared" si="43"/>
        <v>7.0697945016178156</v>
      </c>
      <c r="M136" s="989">
        <f t="shared" si="43"/>
        <v>5.9079645875839732</v>
      </c>
      <c r="N136" s="984">
        <f t="shared" si="42"/>
        <v>37.149715537285942</v>
      </c>
    </row>
    <row r="137" spans="2:14">
      <c r="B137" s="248" t="s">
        <v>502</v>
      </c>
      <c r="I137" s="26">
        <f>I126*(1-I135/I109)</f>
        <v>2.2714119869250293</v>
      </c>
      <c r="J137" s="26">
        <f>J126*(1-J135/J109)</f>
        <v>1.9912467479718456</v>
      </c>
      <c r="K137" s="26">
        <f>K126*(1-K135/K109)</f>
        <v>1.7750259207627856</v>
      </c>
      <c r="L137" s="26">
        <f>L126*(1-L135/L109)</f>
        <v>1.5512346581173024</v>
      </c>
      <c r="M137" s="26">
        <f>M126*(1-M135/M109)</f>
        <v>1.3954949599157711</v>
      </c>
      <c r="N137" s="984">
        <f t="shared" si="42"/>
        <v>8.9844142736927335</v>
      </c>
    </row>
    <row r="138" spans="2:14">
      <c r="B138" s="248" t="s">
        <v>505</v>
      </c>
      <c r="I138" s="990">
        <f>SUM(I136:I137)</f>
        <v>10.172955213434507</v>
      </c>
      <c r="J138" s="990">
        <f t="shared" ref="J138:N138" si="44">SUM(J136:J137)</f>
        <v>10.058062870272682</v>
      </c>
      <c r="K138" s="990">
        <f t="shared" si="44"/>
        <v>9.9786230200366273</v>
      </c>
      <c r="L138" s="990">
        <f t="shared" si="44"/>
        <v>8.6210291597351176</v>
      </c>
      <c r="M138" s="990">
        <f t="shared" si="44"/>
        <v>7.3034595474997444</v>
      </c>
      <c r="N138" s="990">
        <f t="shared" si="44"/>
        <v>46.134129810978678</v>
      </c>
    </row>
    <row r="139" spans="2:14">
      <c r="B139" s="248"/>
    </row>
    <row r="140" spans="2:14">
      <c r="B140" s="986" t="s">
        <v>499</v>
      </c>
    </row>
    <row r="141" spans="2:14">
      <c r="B141" s="248" t="s">
        <v>498</v>
      </c>
      <c r="I141" s="26">
        <f>I88</f>
        <v>21.924707203317062</v>
      </c>
      <c r="J141" s="26">
        <f>J88</f>
        <v>19.901855118078675</v>
      </c>
      <c r="K141" s="26">
        <f>K88</f>
        <v>11.868995575787713</v>
      </c>
      <c r="L141" s="26">
        <f>L88</f>
        <v>9.9252924491350409</v>
      </c>
      <c r="M141" s="26">
        <f>M88</f>
        <v>8.4533075530037696</v>
      </c>
      <c r="N141" s="984">
        <f t="shared" ref="N141:N144" si="45">SUM(I141:M141)</f>
        <v>72.074157899322273</v>
      </c>
    </row>
    <row r="142" spans="2:14">
      <c r="B142" s="248" t="s">
        <v>504</v>
      </c>
      <c r="I142" s="989">
        <f>I113-I141</f>
        <v>1.650246778744286</v>
      </c>
      <c r="J142" s="989">
        <f>J113-J141</f>
        <v>1.4979890949091477</v>
      </c>
      <c r="K142" s="989">
        <f>K113-K141</f>
        <v>0.89336525839262215</v>
      </c>
      <c r="L142" s="989">
        <f>L113-L141</f>
        <v>0.74706502305317457</v>
      </c>
      <c r="M142" s="989">
        <f>M113-M141</f>
        <v>0.63627046097878015</v>
      </c>
      <c r="N142" s="984">
        <f t="shared" si="45"/>
        <v>5.4249366160780106</v>
      </c>
    </row>
    <row r="143" spans="2:14">
      <c r="B143" s="248" t="s">
        <v>501</v>
      </c>
      <c r="I143" s="989">
        <f>I123</f>
        <v>1.1257204679665263</v>
      </c>
      <c r="J143" s="989">
        <f t="shared" ref="J143:M143" si="46">J123</f>
        <v>0.9913979332719447</v>
      </c>
      <c r="K143" s="989">
        <f t="shared" si="46"/>
        <v>0.8686099938889309</v>
      </c>
      <c r="L143" s="989">
        <f t="shared" si="46"/>
        <v>0.60773144370257781</v>
      </c>
      <c r="M143" s="989">
        <f t="shared" si="46"/>
        <v>0.51760095025679476</v>
      </c>
      <c r="N143" s="984">
        <f t="shared" si="45"/>
        <v>4.1110607890867747</v>
      </c>
    </row>
    <row r="144" spans="2:14">
      <c r="B144" s="248" t="s">
        <v>502</v>
      </c>
      <c r="I144" s="26">
        <f>I127*(1-I142/I113)</f>
        <v>0.3489733450696233</v>
      </c>
      <c r="J144" s="26">
        <f>J127*(1-J142/J113)</f>
        <v>0.30733335931430283</v>
      </c>
      <c r="K144" s="26">
        <f>K127*(1-K142/K113)</f>
        <v>0.26926909810556859</v>
      </c>
      <c r="L144" s="26">
        <f>L127*(1-L142/L113)</f>
        <v>0.18839674754779911</v>
      </c>
      <c r="M144" s="26">
        <f>M127*(1-M142/M113)</f>
        <v>0.16045629457960636</v>
      </c>
      <c r="N144" s="984">
        <f t="shared" si="45"/>
        <v>1.2744288446169003</v>
      </c>
    </row>
    <row r="145" spans="2:14">
      <c r="B145" s="37" t="s">
        <v>506</v>
      </c>
      <c r="I145" s="990">
        <f>SUM(I143:I144)</f>
        <v>1.4746938130361495</v>
      </c>
      <c r="J145" s="990">
        <f t="shared" ref="J145" si="47">SUM(J143:J144)</f>
        <v>1.2987312925862475</v>
      </c>
      <c r="K145" s="990">
        <f t="shared" ref="K145" si="48">SUM(K143:K144)</f>
        <v>1.1378790919944994</v>
      </c>
      <c r="L145" s="990">
        <f t="shared" ref="L145" si="49">SUM(L143:L144)</f>
        <v>0.79612819125037693</v>
      </c>
      <c r="M145" s="990">
        <f t="shared" ref="M145" si="50">SUM(M143:M144)</f>
        <v>0.67805724483640106</v>
      </c>
      <c r="N145" s="990">
        <f t="shared" ref="N145" si="51">SUM(N143:N144)</f>
        <v>5.3854896337036751</v>
      </c>
    </row>
    <row r="147" spans="2:14" ht="15.75" thickBot="1">
      <c r="B147" s="35" t="s">
        <v>397</v>
      </c>
      <c r="I147" s="991">
        <f>SUM(I138,I145)</f>
        <v>11.647649026470656</v>
      </c>
      <c r="J147" s="991">
        <f t="shared" ref="J147:N147" si="52">SUM(J138,J145)</f>
        <v>11.356794162858929</v>
      </c>
      <c r="K147" s="991">
        <f t="shared" si="52"/>
        <v>11.116502112031126</v>
      </c>
      <c r="L147" s="991">
        <f t="shared" si="52"/>
        <v>9.4171573509854944</v>
      </c>
      <c r="M147" s="991">
        <f t="shared" si="52"/>
        <v>7.9815167923361452</v>
      </c>
      <c r="N147" s="991">
        <f t="shared" si="52"/>
        <v>51.519619444682355</v>
      </c>
    </row>
    <row r="148" spans="2:14" ht="15.75" thickTop="1"/>
  </sheetData>
  <phoneticPr fontId="6" type="noConversion"/>
  <conditionalFormatting sqref="G26 L34:L35 L52">
    <cfRule type="cellIs" dxfId="141" priority="10" stopIfTrue="1" operator="equal">
      <formula>"CPI"</formula>
    </cfRule>
    <cfRule type="cellIs" dxfId="140" priority="11" stopIfTrue="1" operator="equal">
      <formula>"AER"</formula>
    </cfRule>
    <cfRule type="cellIs" dxfId="139" priority="12" stopIfTrue="1" operator="equal">
      <formula>"SPA"</formula>
    </cfRule>
  </conditionalFormatting>
  <pageMargins left="0.70866141732283472" right="0.70866141732283472" top="0.74803149606299213" bottom="0.74803149606299213" header="0.31496062992125984" footer="0.31496062992125984"/>
  <pageSetup paperSize="8" scale="96" fitToWidth="2" fitToHeight="2" orientation="landscape" r:id="rId1"/>
  <headerFooter>
    <oddFooter>&amp;L&amp;D&amp;R&amp;F</oddFooter>
  </headerFooter>
  <ignoredErrors>
    <ignoredError sqref="N28:N29 J2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A11" sqref="A11:XFD11"/>
    </sheetView>
  </sheetViews>
  <sheetFormatPr defaultRowHeight="15" outlineLevelRow="1"/>
  <cols>
    <col min="1" max="1" width="4" style="236" customWidth="1"/>
    <col min="2" max="2" width="6.5703125" style="236" customWidth="1"/>
    <col min="3" max="3" width="26.42578125" style="236" customWidth="1"/>
    <col min="4" max="4" width="25.5703125" style="236" customWidth="1"/>
    <col min="5" max="5" width="21.42578125" style="236" customWidth="1"/>
    <col min="6" max="6" width="14.7109375" style="236" customWidth="1"/>
    <col min="7" max="9" width="12.140625" style="236" customWidth="1"/>
    <col min="10" max="10" width="11.28515625" style="236" customWidth="1"/>
    <col min="11" max="11" width="12.7109375" style="236" customWidth="1"/>
    <col min="12" max="14" width="11.28515625" style="236" customWidth="1"/>
    <col min="15" max="15" width="12.28515625" style="236" customWidth="1"/>
    <col min="16" max="16" width="12.5703125" style="236" customWidth="1"/>
    <col min="17" max="19" width="9.140625" style="236"/>
    <col min="20" max="20" width="11.85546875" style="236" customWidth="1"/>
    <col min="21" max="16384" width="9.140625" style="236"/>
  </cols>
  <sheetData>
    <row r="1" spans="1:21">
      <c r="B1" s="574" t="s">
        <v>294</v>
      </c>
      <c r="C1" s="484" t="s">
        <v>290</v>
      </c>
    </row>
    <row r="2" spans="1:21">
      <c r="A2" s="250"/>
      <c r="B2" s="250"/>
      <c r="C2" s="572" t="s">
        <v>293</v>
      </c>
    </row>
    <row r="3" spans="1:21" ht="18.75">
      <c r="A3" s="250"/>
      <c r="B3" s="250"/>
      <c r="D3" s="339" t="str">
        <f>Project_Inputs!B20</f>
        <v>XB64</v>
      </c>
      <c r="E3" s="248"/>
      <c r="F3" s="249" t="s">
        <v>63</v>
      </c>
      <c r="G3" s="249" t="str">
        <f>Project_Inputs!F20</f>
        <v>Yes</v>
      </c>
      <c r="H3" s="248"/>
    </row>
    <row r="4" spans="1:21" ht="18.75">
      <c r="A4" s="250"/>
      <c r="B4" s="250"/>
      <c r="C4" s="485" t="s">
        <v>15</v>
      </c>
      <c r="D4" s="339" t="str">
        <f>Project_Inputs!D20</f>
        <v>MWTS B2 Transformer Replacement</v>
      </c>
      <c r="E4" s="486"/>
      <c r="F4" s="486"/>
      <c r="G4" s="486"/>
    </row>
    <row r="5" spans="1:21">
      <c r="A5" s="250"/>
      <c r="B5" s="250"/>
      <c r="D5" s="248"/>
    </row>
    <row r="6" spans="1:21">
      <c r="A6" s="250"/>
      <c r="B6" s="250"/>
      <c r="C6" s="236" t="s">
        <v>20</v>
      </c>
      <c r="D6" s="338" t="str">
        <f>Project_Inputs!H20</f>
        <v>Network</v>
      </c>
      <c r="E6" s="486"/>
      <c r="F6" s="10"/>
      <c r="G6" s="9" t="s">
        <v>269</v>
      </c>
      <c r="H6" s="248"/>
      <c r="I6" s="487"/>
      <c r="J6" s="487"/>
      <c r="K6" s="487"/>
      <c r="L6" s="487"/>
      <c r="M6" s="487"/>
      <c r="N6" s="487"/>
    </row>
    <row r="7" spans="1:21">
      <c r="A7" s="250"/>
      <c r="B7" s="250"/>
      <c r="C7" s="236" t="s">
        <v>21</v>
      </c>
      <c r="D7" s="338" t="str">
        <f>Project_Inputs!I20</f>
        <v>Replacement - Major Station</v>
      </c>
      <c r="E7" s="486"/>
      <c r="F7" s="486"/>
      <c r="G7" s="486"/>
      <c r="I7" s="487"/>
      <c r="J7" s="487"/>
      <c r="K7" s="487"/>
      <c r="L7" s="487"/>
      <c r="M7" s="487"/>
      <c r="N7" s="487"/>
    </row>
    <row r="8" spans="1:21">
      <c r="A8" s="250"/>
      <c r="B8" s="250"/>
      <c r="C8" s="236" t="s">
        <v>13</v>
      </c>
      <c r="D8" s="338" t="s">
        <v>14</v>
      </c>
      <c r="E8" s="486"/>
      <c r="F8" s="486"/>
      <c r="G8" s="486"/>
      <c r="I8" s="488"/>
      <c r="J8" s="488"/>
      <c r="K8" s="488"/>
      <c r="L8" s="488"/>
      <c r="M8" s="487"/>
      <c r="N8" s="487"/>
    </row>
    <row r="9" spans="1:21">
      <c r="A9" s="250"/>
      <c r="B9" s="250"/>
      <c r="C9" s="236" t="s">
        <v>278</v>
      </c>
      <c r="D9" s="338" t="str">
        <f>Project_Inputs!J20</f>
        <v>Repex_OHD</v>
      </c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489" t="s">
        <v>265</v>
      </c>
      <c r="P9" s="490" t="s">
        <v>231</v>
      </c>
    </row>
    <row r="10" spans="1:21">
      <c r="A10" s="250"/>
      <c r="B10" s="250"/>
      <c r="E10" s="491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492" t="s">
        <v>16</v>
      </c>
      <c r="P10" s="493" t="s">
        <v>16</v>
      </c>
      <c r="R10" s="495" t="s">
        <v>50</v>
      </c>
      <c r="T10" s="495"/>
      <c r="U10" s="250"/>
    </row>
    <row r="11" spans="1:21">
      <c r="A11" s="250"/>
      <c r="B11" s="250"/>
      <c r="C11" s="257" t="s">
        <v>22</v>
      </c>
      <c r="D11" s="353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2535.5117027453748</v>
      </c>
      <c r="G11" s="319">
        <f>IF(G$10="Prior",SUMIFS(Project_Inputs!$W$5:$W$50,Project_Inputs!$D$5:$D$50,$D$4),SUMIFS(Project_Inputs!M$5:M$50,Project_Inputs!$D$5:$D$50,$D$4))</f>
        <v>3367.1999999999985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496">
        <f>SUM(F11:N11)</f>
        <v>5902.7117027453733</v>
      </c>
      <c r="P11" s="497">
        <f t="shared" ref="P11" si="0">SUM(I11:M11)</f>
        <v>0</v>
      </c>
      <c r="R11" s="608" t="str">
        <f>IF(O11=Project_Inputs!V20,"ok","error")</f>
        <v>ok</v>
      </c>
      <c r="T11" s="250"/>
      <c r="U11" s="250"/>
    </row>
    <row r="12" spans="1:21" ht="15" hidden="1" customHeight="1">
      <c r="A12" s="250"/>
      <c r="B12" s="250"/>
      <c r="C12" s="482"/>
      <c r="D12" s="350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496"/>
      <c r="P12" s="497"/>
    </row>
    <row r="13" spans="1:21">
      <c r="A13" s="250"/>
      <c r="B13" s="250"/>
      <c r="C13" s="1006" t="s">
        <v>284</v>
      </c>
      <c r="D13" s="350" t="s">
        <v>65</v>
      </c>
      <c r="E13" s="313"/>
      <c r="F13" s="336"/>
      <c r="G13" s="10"/>
      <c r="H13" s="391"/>
      <c r="I13" s="401"/>
      <c r="J13" s="10"/>
      <c r="K13" s="10"/>
      <c r="L13" s="10"/>
      <c r="M13" s="10"/>
      <c r="N13" s="337"/>
      <c r="O13" s="498"/>
      <c r="P13" s="258"/>
    </row>
    <row r="14" spans="1:21">
      <c r="A14" s="250"/>
      <c r="B14" s="250"/>
      <c r="C14" s="1006"/>
      <c r="D14" s="350" t="str">
        <f>"Direct Expenditure (As Commissioned) - "&amp;Assumptions!C7</f>
        <v>Direct Expenditure (As Commissioned) - $ 2015/16</v>
      </c>
      <c r="E14" s="313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5902.7117027453733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99">
        <f>SUM(F14:N14)</f>
        <v>5902.7117027453733</v>
      </c>
      <c r="P14" s="500">
        <f>SUM(I14:M14)</f>
        <v>0</v>
      </c>
      <c r="R14" s="607" t="str">
        <f>IF(AND(O$11&lt;&gt;0,O$14=0),"Error","ok")</f>
        <v>ok</v>
      </c>
    </row>
    <row r="15" spans="1:21">
      <c r="A15" s="250"/>
      <c r="B15" s="250"/>
      <c r="C15" s="259"/>
      <c r="D15" s="354"/>
      <c r="E15" s="501"/>
      <c r="F15" s="327"/>
      <c r="G15" s="328"/>
      <c r="H15" s="328"/>
      <c r="I15" s="402"/>
      <c r="J15" s="328"/>
      <c r="K15" s="328"/>
      <c r="L15" s="328"/>
      <c r="M15" s="328"/>
      <c r="N15" s="329"/>
      <c r="O15" s="502"/>
      <c r="P15" s="503"/>
    </row>
    <row r="16" spans="1:21">
      <c r="A16" s="250"/>
      <c r="B16" s="250"/>
      <c r="C16" s="258"/>
      <c r="D16" s="504"/>
      <c r="E16" s="313"/>
      <c r="F16" s="325"/>
      <c r="G16" s="326"/>
      <c r="H16" s="330"/>
      <c r="I16" s="403"/>
      <c r="J16" s="330"/>
      <c r="K16" s="330"/>
      <c r="L16" s="330"/>
      <c r="M16" s="330"/>
      <c r="N16" s="331"/>
      <c r="O16" s="505"/>
      <c r="P16" s="258"/>
    </row>
    <row r="17" spans="1:27">
      <c r="A17" s="250"/>
      <c r="B17" s="250"/>
      <c r="C17" s="258" t="s">
        <v>2</v>
      </c>
      <c r="D17" s="350" t="s">
        <v>3</v>
      </c>
      <c r="E17" s="506"/>
      <c r="F17" s="340"/>
      <c r="G17" s="341"/>
      <c r="H17" s="392"/>
      <c r="I17" s="404"/>
      <c r="J17" s="341"/>
      <c r="K17" s="341"/>
      <c r="L17" s="341"/>
      <c r="M17" s="341"/>
      <c r="N17" s="342"/>
      <c r="O17" s="505"/>
      <c r="P17" s="258"/>
    </row>
    <row r="18" spans="1:27">
      <c r="A18" s="250"/>
      <c r="B18" s="250"/>
      <c r="C18" s="258"/>
      <c r="D18" s="350" t="s">
        <v>4</v>
      </c>
      <c r="E18" s="506"/>
      <c r="F18" s="340"/>
      <c r="G18" s="341"/>
      <c r="H18" s="392"/>
      <c r="I18" s="404"/>
      <c r="J18" s="341"/>
      <c r="K18" s="341"/>
      <c r="L18" s="341"/>
      <c r="M18" s="341"/>
      <c r="N18" s="342"/>
      <c r="O18" s="505"/>
      <c r="P18" s="258"/>
    </row>
    <row r="19" spans="1:27">
      <c r="A19" s="250"/>
      <c r="B19" s="250"/>
      <c r="C19" s="258"/>
      <c r="D19" s="350" t="s">
        <v>5</v>
      </c>
      <c r="E19" s="506"/>
      <c r="F19" s="340">
        <v>1</v>
      </c>
      <c r="G19" s="341">
        <v>1</v>
      </c>
      <c r="H19" s="392">
        <v>1</v>
      </c>
      <c r="I19" s="404">
        <v>1</v>
      </c>
      <c r="J19" s="341">
        <v>1</v>
      </c>
      <c r="K19" s="341">
        <v>1</v>
      </c>
      <c r="L19" s="341">
        <v>1</v>
      </c>
      <c r="M19" s="341">
        <v>1</v>
      </c>
      <c r="N19" s="342">
        <v>1</v>
      </c>
      <c r="O19" s="505"/>
      <c r="P19" s="258"/>
    </row>
    <row r="20" spans="1:27">
      <c r="A20" s="250"/>
      <c r="B20" s="250"/>
      <c r="C20" s="258"/>
      <c r="D20" s="350" t="s">
        <v>6</v>
      </c>
      <c r="E20" s="506"/>
      <c r="F20" s="340"/>
      <c r="G20" s="341"/>
      <c r="H20" s="392"/>
      <c r="I20" s="404"/>
      <c r="J20" s="341"/>
      <c r="K20" s="341"/>
      <c r="L20" s="341"/>
      <c r="M20" s="341"/>
      <c r="N20" s="342"/>
      <c r="O20" s="505"/>
      <c r="P20" s="258"/>
    </row>
    <row r="21" spans="1:27">
      <c r="A21" s="250"/>
      <c r="B21" s="250"/>
      <c r="C21" s="258"/>
      <c r="D21" s="350" t="s">
        <v>7</v>
      </c>
      <c r="E21" s="506"/>
      <c r="F21" s="340"/>
      <c r="G21" s="341"/>
      <c r="H21" s="392"/>
      <c r="I21" s="404"/>
      <c r="J21" s="341"/>
      <c r="K21" s="341"/>
      <c r="L21" s="341"/>
      <c r="M21" s="341"/>
      <c r="N21" s="342"/>
      <c r="O21" s="505"/>
      <c r="P21" s="258"/>
      <c r="U21" s="507"/>
      <c r="V21" s="507"/>
      <c r="W21" s="507"/>
      <c r="X21" s="507"/>
      <c r="Y21" s="507"/>
      <c r="Z21" s="507"/>
      <c r="AA21" s="507"/>
    </row>
    <row r="22" spans="1:27">
      <c r="A22" s="250"/>
      <c r="B22" s="250"/>
      <c r="C22" s="258"/>
      <c r="D22" s="350" t="s">
        <v>8</v>
      </c>
      <c r="E22" s="506"/>
      <c r="F22" s="340"/>
      <c r="G22" s="341"/>
      <c r="H22" s="392"/>
      <c r="I22" s="404"/>
      <c r="J22" s="341"/>
      <c r="K22" s="341"/>
      <c r="L22" s="341"/>
      <c r="M22" s="341"/>
      <c r="N22" s="342"/>
      <c r="O22" s="505"/>
      <c r="P22" s="258"/>
    </row>
    <row r="23" spans="1:27">
      <c r="A23" s="250"/>
      <c r="B23" s="250"/>
      <c r="C23" s="258"/>
      <c r="D23" s="350" t="s">
        <v>9</v>
      </c>
      <c r="E23" s="506"/>
      <c r="F23" s="340"/>
      <c r="G23" s="341"/>
      <c r="H23" s="392"/>
      <c r="I23" s="404"/>
      <c r="J23" s="341"/>
      <c r="K23" s="341"/>
      <c r="L23" s="341"/>
      <c r="M23" s="341"/>
      <c r="N23" s="342"/>
      <c r="O23" s="505"/>
      <c r="P23" s="258"/>
    </row>
    <row r="24" spans="1:27">
      <c r="A24" s="250"/>
      <c r="B24" s="250"/>
      <c r="C24" s="258"/>
      <c r="D24" s="350" t="s">
        <v>10</v>
      </c>
      <c r="E24" s="506"/>
      <c r="F24" s="340"/>
      <c r="G24" s="341"/>
      <c r="H24" s="392"/>
      <c r="I24" s="404"/>
      <c r="J24" s="341"/>
      <c r="K24" s="341"/>
      <c r="L24" s="341"/>
      <c r="M24" s="341"/>
      <c r="N24" s="342"/>
      <c r="O24" s="505"/>
      <c r="P24" s="258"/>
    </row>
    <row r="25" spans="1:27">
      <c r="A25" s="250"/>
      <c r="B25" s="250"/>
      <c r="C25" s="258"/>
      <c r="D25" s="350" t="s">
        <v>11</v>
      </c>
      <c r="E25" s="506"/>
      <c r="F25" s="340"/>
      <c r="G25" s="341"/>
      <c r="H25" s="392"/>
      <c r="I25" s="404"/>
      <c r="J25" s="341"/>
      <c r="K25" s="341"/>
      <c r="L25" s="341"/>
      <c r="M25" s="341"/>
      <c r="N25" s="342"/>
      <c r="O25" s="505"/>
      <c r="P25" s="258"/>
      <c r="T25" s="507"/>
    </row>
    <row r="26" spans="1:27">
      <c r="A26" s="250"/>
      <c r="B26" s="250"/>
      <c r="C26" s="258"/>
      <c r="D26" s="350" t="s">
        <v>12</v>
      </c>
      <c r="E26" s="506"/>
      <c r="F26" s="340"/>
      <c r="G26" s="341"/>
      <c r="H26" s="392"/>
      <c r="I26" s="404"/>
      <c r="J26" s="341"/>
      <c r="K26" s="341"/>
      <c r="L26" s="341"/>
      <c r="M26" s="341"/>
      <c r="N26" s="342"/>
      <c r="O26" s="505"/>
      <c r="P26" s="258"/>
      <c r="T26" s="507"/>
    </row>
    <row r="27" spans="1:27">
      <c r="A27" s="250"/>
      <c r="B27" s="250"/>
      <c r="C27" s="259"/>
      <c r="D27" s="464"/>
      <c r="E27" s="508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509"/>
      <c r="P27" s="259"/>
      <c r="T27" s="507"/>
    </row>
    <row r="28" spans="1:27">
      <c r="A28" s="250"/>
      <c r="B28" s="250"/>
      <c r="C28" s="257"/>
      <c r="D28" s="302"/>
      <c r="E28" s="510"/>
      <c r="F28" s="333"/>
      <c r="G28" s="334"/>
      <c r="H28" s="394"/>
      <c r="I28" s="406"/>
      <c r="J28" s="334"/>
      <c r="K28" s="334"/>
      <c r="L28" s="334"/>
      <c r="M28" s="334"/>
      <c r="N28" s="335"/>
      <c r="O28" s="505"/>
      <c r="P28" s="258"/>
      <c r="T28" s="507"/>
    </row>
    <row r="29" spans="1:27">
      <c r="A29" s="250"/>
      <c r="B29" s="250"/>
      <c r="C29" s="258" t="s">
        <v>58</v>
      </c>
      <c r="D29" s="350" t="s">
        <v>0</v>
      </c>
      <c r="E29" s="506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505"/>
      <c r="P29" s="258"/>
      <c r="T29" s="507"/>
    </row>
    <row r="30" spans="1:27">
      <c r="A30" s="250"/>
      <c r="B30" s="250"/>
      <c r="C30" s="258"/>
      <c r="D30" s="350" t="s">
        <v>1</v>
      </c>
      <c r="E30" s="506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505"/>
      <c r="P30" s="258"/>
      <c r="T30" s="507"/>
    </row>
    <row r="31" spans="1:27">
      <c r="A31" s="250"/>
      <c r="B31" s="250"/>
      <c r="C31" s="258"/>
      <c r="D31" s="350" t="s">
        <v>57</v>
      </c>
      <c r="E31" s="506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1"/>
      <c r="P31" s="258"/>
      <c r="T31" s="507"/>
    </row>
    <row r="32" spans="1:27">
      <c r="A32" s="250"/>
      <c r="B32" s="250"/>
      <c r="C32" s="259"/>
      <c r="D32" s="464"/>
      <c r="E32" s="508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5"/>
      <c r="P32" s="259"/>
    </row>
    <row r="33" spans="1:21">
      <c r="A33" s="250"/>
      <c r="B33" s="250"/>
      <c r="C33" s="258" t="s">
        <v>59</v>
      </c>
      <c r="D33" s="271"/>
      <c r="E33" s="313"/>
      <c r="F33" s="511"/>
      <c r="G33" s="250"/>
      <c r="H33" s="250"/>
      <c r="I33" s="512"/>
      <c r="J33" s="290"/>
      <c r="K33" s="290"/>
      <c r="L33" s="290"/>
      <c r="M33" s="290"/>
      <c r="N33" s="346"/>
      <c r="O33" s="511"/>
      <c r="P33" s="258"/>
      <c r="Q33" s="250"/>
      <c r="R33" s="250"/>
      <c r="S33" s="250"/>
      <c r="T33" s="250"/>
      <c r="U33" s="250"/>
    </row>
    <row r="34" spans="1:21">
      <c r="A34" s="250"/>
      <c r="B34" s="250"/>
      <c r="C34" s="258" t="s">
        <v>266</v>
      </c>
      <c r="D34" s="350" t="s">
        <v>3</v>
      </c>
      <c r="E34" s="313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512">
        <f>IF(I$10="Prior",0,(I$11*I$31*I17)*(Assumptions!I54-1))</f>
        <v>0</v>
      </c>
      <c r="J34" s="290">
        <f>IF(J$10="Prior",0,(J$11*J$31*J17)*(Assumptions!J54-1))</f>
        <v>0</v>
      </c>
      <c r="K34" s="290">
        <f>IF(K$10="Prior",0,(K$11*K$31*K17)*(Assumptions!K54-1))</f>
        <v>0</v>
      </c>
      <c r="L34" s="290">
        <f>IF(L$10="Prior",0,(L$11*L$31*L17)*(Assumptions!L54-1))</f>
        <v>0</v>
      </c>
      <c r="M34" s="290">
        <f>IF(M$10="Prior",0,(M$11*M$31*M17)*(Assumptions!M54-1))</f>
        <v>0</v>
      </c>
      <c r="N34" s="346">
        <f>IF(N$10="Prior",0,(N$11*N$31*N17)*(Assumptions!N54-1))</f>
        <v>0</v>
      </c>
      <c r="O34" s="513">
        <f t="shared" ref="O34:O43" si="3">SUM(F34:N34)</f>
        <v>0</v>
      </c>
      <c r="P34" s="514">
        <f t="shared" ref="P34:P43" si="4">SUM(I34:M34)</f>
        <v>0</v>
      </c>
      <c r="Q34" s="250"/>
      <c r="R34" s="250"/>
      <c r="S34" s="250"/>
      <c r="T34" s="250"/>
      <c r="U34" s="250"/>
    </row>
    <row r="35" spans="1:21">
      <c r="A35" s="250"/>
      <c r="B35" s="250"/>
      <c r="C35" s="258"/>
      <c r="D35" s="350" t="s">
        <v>4</v>
      </c>
      <c r="E35" s="313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512">
        <f>IF(I$10="Prior",0,(I$11*I$31*I18)*(Assumptions!I55-1))</f>
        <v>0</v>
      </c>
      <c r="J35" s="290">
        <f>IF(J$10="Prior",0,(J$11*J$31*J18)*(Assumptions!J55-1))</f>
        <v>0</v>
      </c>
      <c r="K35" s="290">
        <f>IF(K$10="Prior",0,(K$11*K$31*K18)*(Assumptions!K55-1))</f>
        <v>0</v>
      </c>
      <c r="L35" s="290">
        <f>IF(L$10="Prior",0,(L$11*L$31*L18)*(Assumptions!L55-1))</f>
        <v>0</v>
      </c>
      <c r="M35" s="290">
        <f>IF(M$10="Prior",0,(M$11*M$31*M18)*(Assumptions!M55-1))</f>
        <v>0</v>
      </c>
      <c r="N35" s="346">
        <f>IF(N$10="Prior",0,(N$11*N$31*N18)*(Assumptions!N55-1))</f>
        <v>0</v>
      </c>
      <c r="O35" s="513">
        <f t="shared" si="3"/>
        <v>0</v>
      </c>
      <c r="P35" s="514">
        <f t="shared" si="4"/>
        <v>0</v>
      </c>
      <c r="Q35" s="515"/>
      <c r="R35" s="515"/>
      <c r="S35" s="515"/>
      <c r="T35" s="515"/>
    </row>
    <row r="36" spans="1:21">
      <c r="A36" s="250"/>
      <c r="B36" s="250"/>
      <c r="C36" s="258"/>
      <c r="D36" s="350" t="s">
        <v>5</v>
      </c>
      <c r="E36" s="313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512">
        <f>IF(I$10="Prior",0,(I$11*I$31*I19)*(Assumptions!I56-1))</f>
        <v>0</v>
      </c>
      <c r="J36" s="290">
        <f>IF(J$10="Prior",0,(J$11*J$31*J19)*(Assumptions!J56-1))</f>
        <v>0</v>
      </c>
      <c r="K36" s="290">
        <f>IF(K$10="Prior",0,(K$11*K$31*K19)*(Assumptions!K56-1))</f>
        <v>0</v>
      </c>
      <c r="L36" s="290">
        <f>IF(L$10="Prior",0,(L$11*L$31*L19)*(Assumptions!L56-1))</f>
        <v>0</v>
      </c>
      <c r="M36" s="290">
        <f>IF(M$10="Prior",0,(M$11*M$31*M19)*(Assumptions!M56-1))</f>
        <v>0</v>
      </c>
      <c r="N36" s="346">
        <f>IF(N$10="Prior",0,(N$11*N$31*N19)*(Assumptions!N56-1))</f>
        <v>0</v>
      </c>
      <c r="O36" s="513">
        <f t="shared" si="3"/>
        <v>0</v>
      </c>
      <c r="P36" s="514">
        <f t="shared" si="4"/>
        <v>0</v>
      </c>
    </row>
    <row r="37" spans="1:21">
      <c r="A37" s="250"/>
      <c r="B37" s="250"/>
      <c r="C37" s="258"/>
      <c r="D37" s="350" t="s">
        <v>6</v>
      </c>
      <c r="E37" s="313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512">
        <f>IF(I$10="Prior",0,(I$11*I$31*I20)*(Assumptions!I57-1))</f>
        <v>0</v>
      </c>
      <c r="J37" s="290">
        <f>IF(J$10="Prior",0,(J$11*J$31*J20)*(Assumptions!J57-1))</f>
        <v>0</v>
      </c>
      <c r="K37" s="290">
        <f>IF(K$10="Prior",0,(K$11*K$31*K20)*(Assumptions!K57-1))</f>
        <v>0</v>
      </c>
      <c r="L37" s="290">
        <f>IF(L$10="Prior",0,(L$11*L$31*L20)*(Assumptions!L57-1))</f>
        <v>0</v>
      </c>
      <c r="M37" s="290">
        <f>IF(M$10="Prior",0,(M$11*M$31*M20)*(Assumptions!M57-1))</f>
        <v>0</v>
      </c>
      <c r="N37" s="346">
        <f>IF(N$10="Prior",0,(N$11*N$31*N20)*(Assumptions!N57-1))</f>
        <v>0</v>
      </c>
      <c r="O37" s="513">
        <f t="shared" si="3"/>
        <v>0</v>
      </c>
      <c r="P37" s="514">
        <f t="shared" si="4"/>
        <v>0</v>
      </c>
    </row>
    <row r="38" spans="1:21">
      <c r="A38" s="250"/>
      <c r="B38" s="250"/>
      <c r="C38" s="258"/>
      <c r="D38" s="350" t="s">
        <v>7</v>
      </c>
      <c r="E38" s="313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512">
        <f>IF(I$10="Prior",0,(I$11*I$31*I21)*(Assumptions!I58-1))</f>
        <v>0</v>
      </c>
      <c r="J38" s="290">
        <f>IF(J$10="Prior",0,(J$11*J$31*J21)*(Assumptions!J58-1))</f>
        <v>0</v>
      </c>
      <c r="K38" s="290">
        <f>IF(K$10="Prior",0,(K$11*K$31*K21)*(Assumptions!K58-1))</f>
        <v>0</v>
      </c>
      <c r="L38" s="290">
        <f>IF(L$10="Prior",0,(L$11*L$31*L21)*(Assumptions!L58-1))</f>
        <v>0</v>
      </c>
      <c r="M38" s="290">
        <f>IF(M$10="Prior",0,(M$11*M$31*M21)*(Assumptions!M58-1))</f>
        <v>0</v>
      </c>
      <c r="N38" s="346">
        <f>IF(N$10="Prior",0,(N$11*N$31*N21)*(Assumptions!N58-1))</f>
        <v>0</v>
      </c>
      <c r="O38" s="513">
        <f t="shared" si="3"/>
        <v>0</v>
      </c>
      <c r="P38" s="514">
        <f t="shared" si="4"/>
        <v>0</v>
      </c>
      <c r="Q38" s="516"/>
      <c r="R38" s="516"/>
      <c r="S38" s="516"/>
      <c r="T38" s="516"/>
    </row>
    <row r="39" spans="1:21">
      <c r="A39" s="250"/>
      <c r="B39" s="250"/>
      <c r="C39" s="258"/>
      <c r="D39" s="350" t="s">
        <v>8</v>
      </c>
      <c r="E39" s="313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512">
        <f>IF(I$10="Prior",0,(I$11*I$31*I22)*(Assumptions!I59-1))</f>
        <v>0</v>
      </c>
      <c r="J39" s="290">
        <f>IF(J$10="Prior",0,(J$11*J$31*J22)*(Assumptions!J59-1))</f>
        <v>0</v>
      </c>
      <c r="K39" s="290">
        <f>IF(K$10="Prior",0,(K$11*K$31*K22)*(Assumptions!K59-1))</f>
        <v>0</v>
      </c>
      <c r="L39" s="290">
        <f>IF(L$10="Prior",0,(L$11*L$31*L22)*(Assumptions!L59-1))</f>
        <v>0</v>
      </c>
      <c r="M39" s="290">
        <f>IF(M$10="Prior",0,(M$11*M$31*M22)*(Assumptions!M59-1))</f>
        <v>0</v>
      </c>
      <c r="N39" s="346">
        <f>IF(N$10="Prior",0,(N$11*N$31*N22)*(Assumptions!N59-1))</f>
        <v>0</v>
      </c>
      <c r="O39" s="513">
        <f t="shared" si="3"/>
        <v>0</v>
      </c>
      <c r="P39" s="514">
        <f t="shared" si="4"/>
        <v>0</v>
      </c>
    </row>
    <row r="40" spans="1:21">
      <c r="A40" s="250"/>
      <c r="B40" s="250"/>
      <c r="C40" s="258"/>
      <c r="D40" s="350" t="s">
        <v>9</v>
      </c>
      <c r="E40" s="313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512">
        <f>IF(I$10="Prior",0,(I$11*I$31*I23)*(Assumptions!I60-1))</f>
        <v>0</v>
      </c>
      <c r="J40" s="290">
        <f>IF(J$10="Prior",0,(J$11*J$31*J23)*(Assumptions!J60-1))</f>
        <v>0</v>
      </c>
      <c r="K40" s="290">
        <f>IF(K$10="Prior",0,(K$11*K$31*K23)*(Assumptions!K60-1))</f>
        <v>0</v>
      </c>
      <c r="L40" s="290">
        <f>IF(L$10="Prior",0,(L$11*L$31*L23)*(Assumptions!L60-1))</f>
        <v>0</v>
      </c>
      <c r="M40" s="290">
        <f>IF(M$10="Prior",0,(M$11*M$31*M23)*(Assumptions!M60-1))</f>
        <v>0</v>
      </c>
      <c r="N40" s="346">
        <f>IF(N$10="Prior",0,(N$11*N$31*N23)*(Assumptions!N60-1))</f>
        <v>0</v>
      </c>
      <c r="O40" s="513">
        <f t="shared" si="3"/>
        <v>0</v>
      </c>
      <c r="P40" s="514">
        <f t="shared" si="4"/>
        <v>0</v>
      </c>
    </row>
    <row r="41" spans="1:21">
      <c r="A41" s="250"/>
      <c r="B41" s="250"/>
      <c r="C41" s="258"/>
      <c r="D41" s="350" t="s">
        <v>10</v>
      </c>
      <c r="E41" s="313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512">
        <f>IF(I$10="Prior",0,(I$11*I$31*I24)*(Assumptions!I61-1))</f>
        <v>0</v>
      </c>
      <c r="J41" s="290">
        <f>IF(J$10="Prior",0,(J$11*J$31*J24)*(Assumptions!J61-1))</f>
        <v>0</v>
      </c>
      <c r="K41" s="290">
        <f>IF(K$10="Prior",0,(K$11*K$31*K24)*(Assumptions!K61-1))</f>
        <v>0</v>
      </c>
      <c r="L41" s="290">
        <f>IF(L$10="Prior",0,(L$11*L$31*L24)*(Assumptions!L61-1))</f>
        <v>0</v>
      </c>
      <c r="M41" s="290">
        <f>IF(M$10="Prior",0,(M$11*M$31*M24)*(Assumptions!M61-1))</f>
        <v>0</v>
      </c>
      <c r="N41" s="346">
        <f>IF(N$10="Prior",0,(N$11*N$31*N24)*(Assumptions!N61-1))</f>
        <v>0</v>
      </c>
      <c r="O41" s="513">
        <f t="shared" si="3"/>
        <v>0</v>
      </c>
      <c r="P41" s="514">
        <f t="shared" si="4"/>
        <v>0</v>
      </c>
      <c r="Q41" s="516"/>
      <c r="R41" s="516"/>
      <c r="S41" s="516"/>
      <c r="T41" s="516"/>
    </row>
    <row r="42" spans="1:21">
      <c r="A42" s="250"/>
      <c r="B42" s="250"/>
      <c r="C42" s="258"/>
      <c r="D42" s="350" t="s">
        <v>11</v>
      </c>
      <c r="E42" s="313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512">
        <f>IF(I$10="Prior",0,(I$11*I$31*I25)*(Assumptions!I62-1))</f>
        <v>0</v>
      </c>
      <c r="J42" s="290">
        <f>IF(J$10="Prior",0,(J$11*J$31*J25)*(Assumptions!J62-1))</f>
        <v>0</v>
      </c>
      <c r="K42" s="290">
        <f>IF(K$10="Prior",0,(K$11*K$31*K25)*(Assumptions!K62-1))</f>
        <v>0</v>
      </c>
      <c r="L42" s="290">
        <f>IF(L$10="Prior",0,(L$11*L$31*L25)*(Assumptions!L62-1))</f>
        <v>0</v>
      </c>
      <c r="M42" s="290">
        <f>IF(M$10="Prior",0,(M$11*M$31*M25)*(Assumptions!M62-1))</f>
        <v>0</v>
      </c>
      <c r="N42" s="346">
        <f>IF(N$10="Prior",0,(N$11*N$31*N25)*(Assumptions!N62-1))</f>
        <v>0</v>
      </c>
      <c r="O42" s="513">
        <f t="shared" si="3"/>
        <v>0</v>
      </c>
      <c r="P42" s="514">
        <f t="shared" si="4"/>
        <v>0</v>
      </c>
    </row>
    <row r="43" spans="1:21">
      <c r="A43" s="250"/>
      <c r="B43" s="250"/>
      <c r="C43" s="258"/>
      <c r="D43" s="350" t="s">
        <v>12</v>
      </c>
      <c r="E43" s="313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512">
        <f>IF(I$10="Prior",0,(I$11*I$31*I26)*(Assumptions!I63-1))</f>
        <v>0</v>
      </c>
      <c r="J43" s="290">
        <f>IF(J$10="Prior",0,(J$11*J$31*J26)*(Assumptions!J63-1))</f>
        <v>0</v>
      </c>
      <c r="K43" s="290">
        <f>IF(K$10="Prior",0,(K$11*K$31*K26)*(Assumptions!K63-1))</f>
        <v>0</v>
      </c>
      <c r="L43" s="290">
        <f>IF(L$10="Prior",0,(L$11*L$31*L26)*(Assumptions!L63-1))</f>
        <v>0</v>
      </c>
      <c r="M43" s="290">
        <f>IF(M$10="Prior",0,(M$11*M$31*M26)*(Assumptions!M63-1))</f>
        <v>0</v>
      </c>
      <c r="N43" s="346">
        <f>IF(N$10="Prior",0,(N$11*N$31*N26)*(Assumptions!N63-1))</f>
        <v>0</v>
      </c>
      <c r="O43" s="513">
        <f t="shared" si="3"/>
        <v>0</v>
      </c>
      <c r="P43" s="514">
        <f t="shared" si="4"/>
        <v>0</v>
      </c>
    </row>
    <row r="44" spans="1:21">
      <c r="A44" s="250"/>
      <c r="B44" s="250"/>
      <c r="C44" s="258"/>
      <c r="D44" s="465" t="s">
        <v>61</v>
      </c>
      <c r="E44" s="517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518">
        <f t="shared" si="5"/>
        <v>0</v>
      </c>
      <c r="J44" s="253">
        <f t="shared" si="5"/>
        <v>0</v>
      </c>
      <c r="K44" s="253">
        <f t="shared" si="5"/>
        <v>0</v>
      </c>
      <c r="L44" s="253">
        <f t="shared" si="5"/>
        <v>0</v>
      </c>
      <c r="M44" s="253">
        <f t="shared" si="5"/>
        <v>0</v>
      </c>
      <c r="N44" s="519">
        <f t="shared" si="5"/>
        <v>0</v>
      </c>
      <c r="O44" s="520">
        <f>SUM(O34:O43)</f>
        <v>0</v>
      </c>
      <c r="P44" s="521">
        <f>SUM(P34:P43)</f>
        <v>0</v>
      </c>
      <c r="Q44" s="516"/>
      <c r="R44" s="516"/>
      <c r="S44" s="516"/>
      <c r="T44" s="516"/>
    </row>
    <row r="45" spans="1:21">
      <c r="A45" s="250"/>
      <c r="B45" s="250"/>
      <c r="C45" s="258"/>
      <c r="D45" s="284"/>
      <c r="E45" s="250"/>
      <c r="F45" s="293"/>
      <c r="G45" s="287"/>
      <c r="H45" s="287"/>
      <c r="I45" s="522"/>
      <c r="J45" s="523"/>
      <c r="K45" s="523"/>
      <c r="L45" s="523"/>
      <c r="M45" s="523"/>
      <c r="N45" s="524"/>
      <c r="O45" s="511"/>
      <c r="P45" s="258"/>
    </row>
    <row r="46" spans="1:21">
      <c r="A46" s="250"/>
      <c r="B46" s="250"/>
      <c r="C46" s="258" t="s">
        <v>165</v>
      </c>
      <c r="D46" s="352" t="s">
        <v>270</v>
      </c>
      <c r="E46" s="250"/>
      <c r="F46" s="291">
        <f>IF(F$10="Prior",0,(F11*F29)*(Assumptions!F28-1))</f>
        <v>0</v>
      </c>
      <c r="G46" s="290">
        <f>IF(G$10="Prior",0,(G11*G29)*(Assumptions!G28-1))</f>
        <v>1.9782300000000244</v>
      </c>
      <c r="H46" s="290">
        <f>IF(H$10="Prior",0,(H11*H29)*(Assumptions!H28-1))</f>
        <v>0</v>
      </c>
      <c r="I46" s="512">
        <f>IF(I$10="Prior",0,(I11*I29)*(Assumptions!I28-1))</f>
        <v>0</v>
      </c>
      <c r="J46" s="290">
        <f>IF(J$10="Prior",0,(J11*J29)*(Assumptions!J28-1))</f>
        <v>0</v>
      </c>
      <c r="K46" s="290">
        <f>IF(K$10="Prior",0,(K11*K29)*(Assumptions!K28-1))</f>
        <v>0</v>
      </c>
      <c r="L46" s="290">
        <f>IF(L$10="Prior",0,(L11*L29)*(Assumptions!L28-1))</f>
        <v>0</v>
      </c>
      <c r="M46" s="290">
        <f>IF(M$10="Prior",0,(M11*M29)*(Assumptions!M28-1))</f>
        <v>0</v>
      </c>
      <c r="N46" s="346">
        <f>IF(N$10="Prior",0,(N11*N29)*(Assumptions!N28-1))</f>
        <v>0</v>
      </c>
      <c r="O46" s="294">
        <f t="shared" ref="O46:O47" si="6">SUM(F46:N46)</f>
        <v>1.9782300000000244</v>
      </c>
      <c r="P46" s="497">
        <f t="shared" ref="P46:P47" si="7">SUM(I46:M46)</f>
        <v>0</v>
      </c>
    </row>
    <row r="47" spans="1:21">
      <c r="A47" s="250"/>
      <c r="B47" s="250"/>
      <c r="C47" s="258"/>
      <c r="D47" s="352" t="s">
        <v>271</v>
      </c>
      <c r="E47" s="250"/>
      <c r="F47" s="294">
        <f>IF(F$10="Prior",0,(F11*F30)*(Assumptions!F30-1))</f>
        <v>0</v>
      </c>
      <c r="G47" s="290">
        <f>IF(G$10="Prior",0,(G11*G30)*(Assumptions!G30-1))</f>
        <v>6.9027599999999847</v>
      </c>
      <c r="H47" s="290">
        <f>IF(H$10="Prior",0,(H11*H30)*(Assumptions!H30-1))</f>
        <v>0</v>
      </c>
      <c r="I47" s="512">
        <f>IF(I$10="Prior",0,(I11*I30)*(Assumptions!I30-1))</f>
        <v>0</v>
      </c>
      <c r="J47" s="290">
        <f>IF(J$10="Prior",0,(J11*J30)*(Assumptions!J30-1))</f>
        <v>0</v>
      </c>
      <c r="K47" s="290">
        <f>IF(K$10="Prior",0,(K11*K30)*(Assumptions!K30-1))</f>
        <v>0</v>
      </c>
      <c r="L47" s="290">
        <f>IF(L$10="Prior",0,(L11*L30)*(Assumptions!L30-1))</f>
        <v>0</v>
      </c>
      <c r="M47" s="290">
        <f>IF(M$10="Prior",0,(M11*M30)*(Assumptions!M30-1))</f>
        <v>0</v>
      </c>
      <c r="N47" s="346">
        <f>IF(N$10="Prior",0,(N11*N30)*(Assumptions!N30-1))</f>
        <v>0</v>
      </c>
      <c r="O47" s="294">
        <f t="shared" si="6"/>
        <v>6.9027599999999847</v>
      </c>
      <c r="P47" s="497">
        <f t="shared" si="7"/>
        <v>0</v>
      </c>
    </row>
    <row r="48" spans="1:21">
      <c r="A48" s="250"/>
      <c r="B48" s="250"/>
      <c r="C48" s="258"/>
      <c r="D48" s="465" t="s">
        <v>273</v>
      </c>
      <c r="E48" s="525"/>
      <c r="F48" s="292">
        <f>SUM(F46:F47)</f>
        <v>0</v>
      </c>
      <c r="G48" s="253">
        <f t="shared" ref="G48:N48" si="8">SUM(G46:G47)</f>
        <v>8.8809900000000095</v>
      </c>
      <c r="H48" s="253">
        <f t="shared" si="8"/>
        <v>0</v>
      </c>
      <c r="I48" s="518">
        <f t="shared" si="8"/>
        <v>0</v>
      </c>
      <c r="J48" s="253">
        <f t="shared" si="8"/>
        <v>0</v>
      </c>
      <c r="K48" s="253">
        <f t="shared" si="8"/>
        <v>0</v>
      </c>
      <c r="L48" s="253">
        <f t="shared" si="8"/>
        <v>0</v>
      </c>
      <c r="M48" s="253">
        <f t="shared" si="8"/>
        <v>0</v>
      </c>
      <c r="N48" s="519">
        <f t="shared" si="8"/>
        <v>0</v>
      </c>
      <c r="O48" s="520">
        <f>SUM(O46:O47)</f>
        <v>8.8809900000000095</v>
      </c>
      <c r="P48" s="526">
        <f>SUM(P46:P47)</f>
        <v>0</v>
      </c>
    </row>
    <row r="49" spans="1:18">
      <c r="A49" s="250"/>
      <c r="B49" s="250"/>
      <c r="C49" s="439"/>
      <c r="D49" s="465" t="s">
        <v>60</v>
      </c>
      <c r="E49" s="525"/>
      <c r="F49" s="292">
        <f t="shared" ref="F49:N49" si="9">F44+F48</f>
        <v>0</v>
      </c>
      <c r="G49" s="253">
        <f t="shared" si="9"/>
        <v>8.8809900000000095</v>
      </c>
      <c r="H49" s="253">
        <f t="shared" si="9"/>
        <v>0</v>
      </c>
      <c r="I49" s="518">
        <f t="shared" si="9"/>
        <v>0</v>
      </c>
      <c r="J49" s="253">
        <f t="shared" si="9"/>
        <v>0</v>
      </c>
      <c r="K49" s="253">
        <f t="shared" si="9"/>
        <v>0</v>
      </c>
      <c r="L49" s="253">
        <f t="shared" si="9"/>
        <v>0</v>
      </c>
      <c r="M49" s="253">
        <f t="shared" si="9"/>
        <v>0</v>
      </c>
      <c r="N49" s="519">
        <f t="shared" si="9"/>
        <v>0</v>
      </c>
      <c r="O49" s="520">
        <f>O44+O48</f>
        <v>8.8809900000000095</v>
      </c>
      <c r="P49" s="521">
        <f>P44+P48</f>
        <v>0</v>
      </c>
    </row>
    <row r="50" spans="1:18">
      <c r="A50" s="250"/>
      <c r="B50" s="250"/>
      <c r="C50" s="260"/>
      <c r="D50" s="386" t="s">
        <v>283</v>
      </c>
      <c r="E50" s="527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0</v>
      </c>
      <c r="I50" s="528">
        <f t="shared" si="10"/>
        <v>0</v>
      </c>
      <c r="J50" s="441">
        <f t="shared" si="10"/>
        <v>0</v>
      </c>
      <c r="K50" s="441">
        <f t="shared" si="10"/>
        <v>0</v>
      </c>
      <c r="L50" s="441">
        <f t="shared" si="10"/>
        <v>0</v>
      </c>
      <c r="M50" s="441">
        <f t="shared" si="10"/>
        <v>0</v>
      </c>
      <c r="N50" s="529">
        <f t="shared" si="10"/>
        <v>0</v>
      </c>
      <c r="O50" s="529">
        <f t="shared" si="10"/>
        <v>1.5045610301227194E-3</v>
      </c>
      <c r="P50" s="529">
        <f t="shared" si="10"/>
        <v>0</v>
      </c>
    </row>
    <row r="51" spans="1:18">
      <c r="A51" s="250"/>
      <c r="B51" s="250"/>
      <c r="C51" s="310" t="s">
        <v>277</v>
      </c>
      <c r="D51" s="353" t="s">
        <v>17</v>
      </c>
      <c r="E51" s="530"/>
      <c r="F51" s="343">
        <f>(F29*F$11+F46)*Assumptions!$G$21</f>
        <v>257.84056977166313</v>
      </c>
      <c r="G51" s="344">
        <f>(G29*G$11+G46)*Assumptions!$G$21</f>
        <v>344.42808727443594</v>
      </c>
      <c r="H51" s="344">
        <f>(H29*H$11+H46)*Assumptions!$G$21</f>
        <v>0</v>
      </c>
      <c r="I51" s="531">
        <f>(I29*I$11+I46)*Assumptions!$G$21</f>
        <v>0</v>
      </c>
      <c r="J51" s="344">
        <f>(J29*J$11+J46)*Assumptions!$G$21</f>
        <v>0</v>
      </c>
      <c r="K51" s="344">
        <f>(K29*K$11+K46)*Assumptions!$G$21</f>
        <v>0</v>
      </c>
      <c r="L51" s="344">
        <f>(L29*L$11+L46)*Assumptions!$G$21</f>
        <v>0</v>
      </c>
      <c r="M51" s="344">
        <f>(M29*M$11+M46)*Assumptions!$G$21</f>
        <v>0</v>
      </c>
      <c r="N51" s="345">
        <f>(N29*N$11+N46)*Assumptions!$G$21</f>
        <v>0</v>
      </c>
      <c r="O51" s="532">
        <f t="shared" ref="O51:O53" si="11">SUM(F51:N51)</f>
        <v>602.26865704609907</v>
      </c>
      <c r="P51" s="533">
        <f>SUM(I51:M51)</f>
        <v>0</v>
      </c>
    </row>
    <row r="52" spans="1:18">
      <c r="A52" s="250"/>
      <c r="B52" s="250"/>
      <c r="C52" s="258" t="s">
        <v>25</v>
      </c>
      <c r="D52" s="350" t="s">
        <v>19</v>
      </c>
      <c r="E52" s="313"/>
      <c r="F52" s="294">
        <f>(F30*F$11+F47)*Assumptions!$G$21</f>
        <v>1289.2028488583157</v>
      </c>
      <c r="G52" s="290">
        <f>(G30*G$11+G47)*Assumptions!$G$21</f>
        <v>1719.1014909022549</v>
      </c>
      <c r="H52" s="290">
        <f>(H30*H$11+H47)*Assumptions!$G$21</f>
        <v>0</v>
      </c>
      <c r="I52" s="512">
        <f>(I30*I$11+I47)*Assumptions!$G$21</f>
        <v>0</v>
      </c>
      <c r="J52" s="290">
        <f>(J30*J$11+J47)*Assumptions!$G$21</f>
        <v>0</v>
      </c>
      <c r="K52" s="290">
        <f>(K30*K$11+K47)*Assumptions!$G$21</f>
        <v>0</v>
      </c>
      <c r="L52" s="290">
        <f>(L30*L$11+L47)*Assumptions!$G$21</f>
        <v>0</v>
      </c>
      <c r="M52" s="290">
        <f>(M30*M$11+M47)*Assumptions!$G$21</f>
        <v>0</v>
      </c>
      <c r="N52" s="346">
        <f>(N30*N$11+N47)*Assumptions!$G$21</f>
        <v>0</v>
      </c>
      <c r="O52" s="534">
        <f t="shared" si="11"/>
        <v>3008.3043397605707</v>
      </c>
      <c r="P52" s="535">
        <f>SUM(I52:M52)</f>
        <v>0</v>
      </c>
    </row>
    <row r="53" spans="1:18">
      <c r="A53" s="250"/>
      <c r="B53" s="250"/>
      <c r="C53" s="258"/>
      <c r="D53" s="350" t="s">
        <v>18</v>
      </c>
      <c r="E53" s="313"/>
      <c r="F53" s="294">
        <f>(F31*F$11+F$44)*Assumptions!$G$21</f>
        <v>1031.3622790866525</v>
      </c>
      <c r="G53" s="290">
        <f>(G31*G$11+G$44)*Assumptions!$G$21</f>
        <v>1369.6655639097739</v>
      </c>
      <c r="H53" s="290">
        <f>(H31*H$11+H$44)*Assumptions!$G$21</f>
        <v>0</v>
      </c>
      <c r="I53" s="512">
        <f>(I31*I$11+I$44)*Assumptions!$G$21</f>
        <v>0</v>
      </c>
      <c r="J53" s="290">
        <f>(J31*J$11+J$44)*Assumptions!$G$21</f>
        <v>0</v>
      </c>
      <c r="K53" s="290">
        <f>(K31*K$11+K$44)*Assumptions!$G$21</f>
        <v>0</v>
      </c>
      <c r="L53" s="290">
        <f>(L31*L$11+L$44)*Assumptions!$G$21</f>
        <v>0</v>
      </c>
      <c r="M53" s="290">
        <f>(M31*M$11+M$44)*Assumptions!$G$21</f>
        <v>0</v>
      </c>
      <c r="N53" s="346">
        <f>(N31*N$11+N$44)*Assumptions!$G$21</f>
        <v>0</v>
      </c>
      <c r="O53" s="534">
        <f t="shared" si="11"/>
        <v>2401.0278429964264</v>
      </c>
      <c r="P53" s="535">
        <f>SUM(I53:M53)</f>
        <v>0</v>
      </c>
    </row>
    <row r="54" spans="1:18">
      <c r="A54" s="250"/>
      <c r="B54" s="250"/>
      <c r="C54" s="536"/>
      <c r="D54" s="537" t="str">
        <f>"Total Direct - As Incurred "&amp;Assumptions!$C$8</f>
        <v>Total Direct - As Incurred $ Mar 2017</v>
      </c>
      <c r="E54" s="517"/>
      <c r="F54" s="292">
        <f t="shared" ref="F54:P54" si="12">+SUM(F51:F53)</f>
        <v>2578.4056977166315</v>
      </c>
      <c r="G54" s="253">
        <f t="shared" si="12"/>
        <v>3433.1951420864648</v>
      </c>
      <c r="H54" s="253">
        <f t="shared" si="12"/>
        <v>0</v>
      </c>
      <c r="I54" s="411">
        <f t="shared" si="12"/>
        <v>0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6011.6008398030963</v>
      </c>
      <c r="P54" s="428">
        <f t="shared" si="12"/>
        <v>0</v>
      </c>
      <c r="R54" s="616" t="str">
        <f>IF(ROUND(O11*(1+O50)*Assumptions!$G$21,0)-ROUND(O54,0)&lt;&gt;0,"Error","ok")</f>
        <v>ok</v>
      </c>
    </row>
    <row r="55" spans="1:18">
      <c r="A55" s="250"/>
      <c r="B55" s="250"/>
      <c r="C55" s="257"/>
      <c r="D55" s="302"/>
      <c r="E55" s="510"/>
      <c r="F55" s="296"/>
      <c r="G55" s="297"/>
      <c r="H55" s="395"/>
      <c r="I55" s="412"/>
      <c r="J55" s="303"/>
      <c r="K55" s="303"/>
      <c r="L55" s="303"/>
      <c r="M55" s="303"/>
      <c r="N55" s="304"/>
      <c r="O55" s="511"/>
      <c r="P55" s="258"/>
    </row>
    <row r="56" spans="1:18">
      <c r="A56" s="250"/>
      <c r="B56" s="250"/>
      <c r="C56" s="258" t="s">
        <v>274</v>
      </c>
      <c r="D56" s="350" t="s">
        <v>272</v>
      </c>
      <c r="E56" s="506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511"/>
      <c r="P56" s="538"/>
    </row>
    <row r="57" spans="1:18">
      <c r="A57" s="250"/>
      <c r="B57" s="250"/>
      <c r="C57" s="258"/>
      <c r="D57" s="350" t="s">
        <v>267</v>
      </c>
      <c r="E57" s="506"/>
      <c r="F57" s="294">
        <f>F54*F56</f>
        <v>206.48316018391705</v>
      </c>
      <c r="G57" s="290">
        <f t="shared" ref="G57:N57" si="13">G54*G56</f>
        <v>204.08554780605516</v>
      </c>
      <c r="H57" s="290">
        <f t="shared" si="13"/>
        <v>0</v>
      </c>
      <c r="I57" s="512">
        <f t="shared" si="13"/>
        <v>0</v>
      </c>
      <c r="J57" s="290">
        <f t="shared" si="13"/>
        <v>0</v>
      </c>
      <c r="K57" s="290">
        <f t="shared" si="13"/>
        <v>0</v>
      </c>
      <c r="L57" s="290">
        <f t="shared" si="13"/>
        <v>0</v>
      </c>
      <c r="M57" s="290">
        <f t="shared" si="13"/>
        <v>0</v>
      </c>
      <c r="N57" s="346">
        <f t="shared" si="13"/>
        <v>0</v>
      </c>
      <c r="O57" s="294">
        <f>SUM(F57:N57)</f>
        <v>410.56870798997221</v>
      </c>
      <c r="P57" s="497">
        <f>SUM(I57:M57)</f>
        <v>0</v>
      </c>
    </row>
    <row r="58" spans="1:18">
      <c r="A58" s="250"/>
      <c r="B58" s="250"/>
      <c r="C58" s="259"/>
      <c r="D58" s="305"/>
      <c r="E58" s="312"/>
      <c r="F58" s="511"/>
      <c r="G58" s="250"/>
      <c r="H58" s="250"/>
      <c r="I58" s="539"/>
      <c r="J58" s="250"/>
      <c r="K58" s="250"/>
      <c r="L58" s="250"/>
      <c r="M58" s="250"/>
      <c r="N58" s="454"/>
      <c r="O58" s="511"/>
      <c r="P58" s="258"/>
    </row>
    <row r="59" spans="1:18">
      <c r="A59" s="250"/>
      <c r="B59" s="250"/>
      <c r="C59" s="536"/>
      <c r="D59" s="537" t="str">
        <f>"Total incl Overhead - As Incurred "&amp;Assumptions!$C$8</f>
        <v>Total incl Overhead - As Incurred $ Mar 2017</v>
      </c>
      <c r="E59" s="517"/>
      <c r="F59" s="292">
        <f t="shared" ref="F59:M59" si="14">F54+F57</f>
        <v>2784.8888579005484</v>
      </c>
      <c r="G59" s="253">
        <f t="shared" si="14"/>
        <v>3637.2806898925201</v>
      </c>
      <c r="H59" s="253">
        <f t="shared" si="14"/>
        <v>0</v>
      </c>
      <c r="I59" s="411">
        <f t="shared" si="14"/>
        <v>0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6422.1695477930689</v>
      </c>
      <c r="P59" s="429">
        <f t="shared" si="15"/>
        <v>0</v>
      </c>
    </row>
    <row r="60" spans="1:18" hidden="1" outlineLevel="1">
      <c r="A60" s="250"/>
      <c r="B60" s="250"/>
      <c r="C60" s="250"/>
      <c r="D60" s="313" t="s">
        <v>263</v>
      </c>
      <c r="E60" s="313"/>
      <c r="F60" s="290">
        <f>F57</f>
        <v>206.48316018391705</v>
      </c>
      <c r="G60" s="290">
        <f t="shared" ref="G60:N60" si="16">G57+F60</f>
        <v>410.56870798997221</v>
      </c>
      <c r="H60" s="290">
        <f t="shared" si="16"/>
        <v>410.56870798997221</v>
      </c>
      <c r="I60" s="290">
        <f t="shared" si="16"/>
        <v>410.56870798997221</v>
      </c>
      <c r="J60" s="290">
        <f t="shared" si="16"/>
        <v>410.56870798997221</v>
      </c>
      <c r="K60" s="290">
        <f t="shared" si="16"/>
        <v>410.56870798997221</v>
      </c>
      <c r="L60" s="290">
        <f t="shared" si="16"/>
        <v>410.56870798997221</v>
      </c>
      <c r="M60" s="290">
        <f t="shared" si="16"/>
        <v>410.56870798997221</v>
      </c>
      <c r="N60" s="290">
        <f t="shared" si="16"/>
        <v>410.56870798997221</v>
      </c>
    </row>
    <row r="61" spans="1:18" hidden="1" outlineLevel="1" collapsed="1">
      <c r="A61" s="250"/>
      <c r="B61" s="250"/>
      <c r="D61" s="251" t="s">
        <v>288</v>
      </c>
      <c r="E61" s="251"/>
      <c r="F61" s="252">
        <f>F49</f>
        <v>0</v>
      </c>
      <c r="G61" s="252">
        <f>G49+F61</f>
        <v>8.8809900000000095</v>
      </c>
      <c r="H61" s="252">
        <f t="shared" ref="H61:N61" si="17">H49+G61</f>
        <v>8.8809900000000095</v>
      </c>
      <c r="I61" s="252">
        <f t="shared" si="17"/>
        <v>8.8809900000000095</v>
      </c>
      <c r="J61" s="252">
        <f t="shared" si="17"/>
        <v>8.8809900000000095</v>
      </c>
      <c r="K61" s="252">
        <f t="shared" si="17"/>
        <v>8.8809900000000095</v>
      </c>
      <c r="L61" s="252">
        <f t="shared" si="17"/>
        <v>8.8809900000000095</v>
      </c>
      <c r="M61" s="252">
        <f t="shared" si="17"/>
        <v>8.8809900000000095</v>
      </c>
      <c r="N61" s="252">
        <f t="shared" si="17"/>
        <v>8.8809900000000095</v>
      </c>
    </row>
    <row r="62" spans="1:18" collapsed="1">
      <c r="A62" s="250"/>
      <c r="B62" s="250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  <c r="P62" s="248"/>
    </row>
    <row r="63" spans="1:18">
      <c r="A63" s="250"/>
      <c r="B63" s="250"/>
      <c r="C63" s="540" t="s">
        <v>275</v>
      </c>
      <c r="D63" s="541"/>
      <c r="E63" s="541"/>
      <c r="F63" s="542"/>
      <c r="G63" s="542"/>
      <c r="H63" s="542"/>
      <c r="I63" s="542"/>
      <c r="J63" s="542"/>
      <c r="K63" s="542"/>
      <c r="L63" s="542"/>
      <c r="M63" s="542"/>
      <c r="N63" s="542"/>
      <c r="O63" s="543"/>
      <c r="P63" s="544"/>
    </row>
    <row r="64" spans="1:18">
      <c r="A64" s="250"/>
      <c r="B64" s="250"/>
      <c r="C64" s="257" t="s">
        <v>23</v>
      </c>
      <c r="D64" s="353" t="s">
        <v>3</v>
      </c>
      <c r="E64" s="530"/>
      <c r="F64" s="343">
        <f t="shared" ref="F64:N73" si="18">F$59*F17</f>
        <v>0</v>
      </c>
      <c r="G64" s="344">
        <f t="shared" si="18"/>
        <v>0</v>
      </c>
      <c r="H64" s="344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345">
        <f t="shared" si="18"/>
        <v>0</v>
      </c>
      <c r="O64" s="532">
        <f>SUM(F64:N64)</f>
        <v>0</v>
      </c>
      <c r="P64" s="430">
        <f>SUM(I64:M64)</f>
        <v>0</v>
      </c>
    </row>
    <row r="65" spans="1:16">
      <c r="A65" s="250"/>
      <c r="B65" s="250"/>
      <c r="C65" s="258" t="s">
        <v>24</v>
      </c>
      <c r="D65" s="350" t="s">
        <v>4</v>
      </c>
      <c r="E65" s="313"/>
      <c r="F65" s="294">
        <f t="shared" si="18"/>
        <v>0</v>
      </c>
      <c r="G65" s="290">
        <f t="shared" si="18"/>
        <v>0</v>
      </c>
      <c r="H65" s="290">
        <f t="shared" si="18"/>
        <v>0</v>
      </c>
      <c r="I65" s="416">
        <f t="shared" si="18"/>
        <v>0</v>
      </c>
      <c r="J65" s="381">
        <f t="shared" si="18"/>
        <v>0</v>
      </c>
      <c r="K65" s="381">
        <f t="shared" si="18"/>
        <v>0</v>
      </c>
      <c r="L65" s="381">
        <f t="shared" si="18"/>
        <v>0</v>
      </c>
      <c r="M65" s="381">
        <f t="shared" si="18"/>
        <v>0</v>
      </c>
      <c r="N65" s="346">
        <f t="shared" si="18"/>
        <v>0</v>
      </c>
      <c r="O65" s="534">
        <f t="shared" ref="O65:O73" si="19">SUM(F65:N65)</f>
        <v>0</v>
      </c>
      <c r="P65" s="431">
        <f t="shared" ref="P65:P73" si="20">SUM(I65:M65)</f>
        <v>0</v>
      </c>
    </row>
    <row r="66" spans="1:16">
      <c r="A66" s="250"/>
      <c r="B66" s="250"/>
      <c r="C66" s="258" t="s">
        <v>25</v>
      </c>
      <c r="D66" s="350" t="s">
        <v>5</v>
      </c>
      <c r="E66" s="313"/>
      <c r="F66" s="294">
        <f t="shared" si="18"/>
        <v>2784.8888579005484</v>
      </c>
      <c r="G66" s="290">
        <f t="shared" si="18"/>
        <v>3637.2806898925201</v>
      </c>
      <c r="H66" s="290">
        <f t="shared" si="18"/>
        <v>0</v>
      </c>
      <c r="I66" s="416">
        <f t="shared" si="18"/>
        <v>0</v>
      </c>
      <c r="J66" s="381">
        <f t="shared" si="18"/>
        <v>0</v>
      </c>
      <c r="K66" s="381">
        <f t="shared" si="18"/>
        <v>0</v>
      </c>
      <c r="L66" s="381">
        <f t="shared" si="18"/>
        <v>0</v>
      </c>
      <c r="M66" s="381">
        <f t="shared" si="18"/>
        <v>0</v>
      </c>
      <c r="N66" s="346">
        <f t="shared" si="18"/>
        <v>0</v>
      </c>
      <c r="O66" s="534">
        <f t="shared" si="19"/>
        <v>6422.169547793068</v>
      </c>
      <c r="P66" s="431">
        <f t="shared" si="20"/>
        <v>0</v>
      </c>
    </row>
    <row r="67" spans="1:16">
      <c r="A67" s="250"/>
      <c r="B67" s="250"/>
      <c r="C67" s="258"/>
      <c r="D67" s="350" t="s">
        <v>6</v>
      </c>
      <c r="E67" s="313"/>
      <c r="F67" s="294">
        <f t="shared" si="18"/>
        <v>0</v>
      </c>
      <c r="G67" s="290">
        <f t="shared" si="18"/>
        <v>0</v>
      </c>
      <c r="H67" s="290">
        <f t="shared" si="18"/>
        <v>0</v>
      </c>
      <c r="I67" s="416">
        <f t="shared" si="18"/>
        <v>0</v>
      </c>
      <c r="J67" s="381">
        <f t="shared" si="18"/>
        <v>0</v>
      </c>
      <c r="K67" s="381">
        <f t="shared" si="18"/>
        <v>0</v>
      </c>
      <c r="L67" s="381">
        <f t="shared" si="18"/>
        <v>0</v>
      </c>
      <c r="M67" s="381">
        <f t="shared" si="18"/>
        <v>0</v>
      </c>
      <c r="N67" s="346">
        <f t="shared" si="18"/>
        <v>0</v>
      </c>
      <c r="O67" s="534">
        <f t="shared" si="19"/>
        <v>0</v>
      </c>
      <c r="P67" s="431">
        <f t="shared" si="20"/>
        <v>0</v>
      </c>
    </row>
    <row r="68" spans="1:16">
      <c r="A68" s="250"/>
      <c r="B68" s="250"/>
      <c r="C68" s="258"/>
      <c r="D68" s="350" t="s">
        <v>7</v>
      </c>
      <c r="E68" s="313"/>
      <c r="F68" s="294">
        <f t="shared" si="18"/>
        <v>0</v>
      </c>
      <c r="G68" s="290">
        <f t="shared" si="18"/>
        <v>0</v>
      </c>
      <c r="H68" s="290">
        <f t="shared" si="18"/>
        <v>0</v>
      </c>
      <c r="I68" s="416">
        <f t="shared" si="18"/>
        <v>0</v>
      </c>
      <c r="J68" s="381">
        <f t="shared" si="18"/>
        <v>0</v>
      </c>
      <c r="K68" s="381">
        <f t="shared" si="18"/>
        <v>0</v>
      </c>
      <c r="L68" s="381">
        <f t="shared" si="18"/>
        <v>0</v>
      </c>
      <c r="M68" s="381">
        <f t="shared" si="18"/>
        <v>0</v>
      </c>
      <c r="N68" s="346">
        <f t="shared" si="18"/>
        <v>0</v>
      </c>
      <c r="O68" s="534">
        <f t="shared" si="19"/>
        <v>0</v>
      </c>
      <c r="P68" s="431">
        <f t="shared" si="20"/>
        <v>0</v>
      </c>
    </row>
    <row r="69" spans="1:16">
      <c r="A69" s="250"/>
      <c r="B69" s="250"/>
      <c r="C69" s="258"/>
      <c r="D69" s="350" t="s">
        <v>8</v>
      </c>
      <c r="E69" s="313"/>
      <c r="F69" s="294">
        <f t="shared" si="18"/>
        <v>0</v>
      </c>
      <c r="G69" s="290">
        <f t="shared" si="18"/>
        <v>0</v>
      </c>
      <c r="H69" s="290">
        <f t="shared" si="18"/>
        <v>0</v>
      </c>
      <c r="I69" s="416">
        <f t="shared" si="18"/>
        <v>0</v>
      </c>
      <c r="J69" s="381">
        <f t="shared" si="18"/>
        <v>0</v>
      </c>
      <c r="K69" s="381">
        <f t="shared" si="18"/>
        <v>0</v>
      </c>
      <c r="L69" s="381">
        <f t="shared" si="18"/>
        <v>0</v>
      </c>
      <c r="M69" s="381">
        <f t="shared" si="18"/>
        <v>0</v>
      </c>
      <c r="N69" s="346">
        <f t="shared" si="18"/>
        <v>0</v>
      </c>
      <c r="O69" s="534">
        <f t="shared" si="19"/>
        <v>0</v>
      </c>
      <c r="P69" s="431">
        <f t="shared" si="20"/>
        <v>0</v>
      </c>
    </row>
    <row r="70" spans="1:16">
      <c r="A70" s="250"/>
      <c r="B70" s="250"/>
      <c r="C70" s="258"/>
      <c r="D70" s="350" t="s">
        <v>9</v>
      </c>
      <c r="E70" s="313"/>
      <c r="F70" s="294">
        <f t="shared" si="18"/>
        <v>0</v>
      </c>
      <c r="G70" s="290">
        <f t="shared" si="18"/>
        <v>0</v>
      </c>
      <c r="H70" s="290">
        <f t="shared" si="18"/>
        <v>0</v>
      </c>
      <c r="I70" s="416">
        <f t="shared" si="18"/>
        <v>0</v>
      </c>
      <c r="J70" s="381">
        <f t="shared" si="18"/>
        <v>0</v>
      </c>
      <c r="K70" s="381">
        <f t="shared" si="18"/>
        <v>0</v>
      </c>
      <c r="L70" s="381">
        <f t="shared" si="18"/>
        <v>0</v>
      </c>
      <c r="M70" s="381">
        <f t="shared" si="18"/>
        <v>0</v>
      </c>
      <c r="N70" s="346">
        <f t="shared" si="18"/>
        <v>0</v>
      </c>
      <c r="O70" s="534">
        <f t="shared" si="19"/>
        <v>0</v>
      </c>
      <c r="P70" s="431">
        <f t="shared" si="20"/>
        <v>0</v>
      </c>
    </row>
    <row r="71" spans="1:16">
      <c r="A71" s="250"/>
      <c r="B71" s="250"/>
      <c r="C71" s="258"/>
      <c r="D71" s="350" t="s">
        <v>10</v>
      </c>
      <c r="E71" s="313"/>
      <c r="F71" s="294">
        <f t="shared" si="18"/>
        <v>0</v>
      </c>
      <c r="G71" s="290">
        <f t="shared" si="18"/>
        <v>0</v>
      </c>
      <c r="H71" s="290">
        <f t="shared" si="18"/>
        <v>0</v>
      </c>
      <c r="I71" s="416">
        <f t="shared" si="18"/>
        <v>0</v>
      </c>
      <c r="J71" s="381">
        <f t="shared" si="18"/>
        <v>0</v>
      </c>
      <c r="K71" s="381">
        <f t="shared" si="18"/>
        <v>0</v>
      </c>
      <c r="L71" s="381">
        <f t="shared" si="18"/>
        <v>0</v>
      </c>
      <c r="M71" s="381">
        <f t="shared" si="18"/>
        <v>0</v>
      </c>
      <c r="N71" s="346">
        <f t="shared" si="18"/>
        <v>0</v>
      </c>
      <c r="O71" s="534">
        <f t="shared" si="19"/>
        <v>0</v>
      </c>
      <c r="P71" s="431">
        <f t="shared" si="20"/>
        <v>0</v>
      </c>
    </row>
    <row r="72" spans="1:16">
      <c r="A72" s="250"/>
      <c r="B72" s="250"/>
      <c r="C72" s="258"/>
      <c r="D72" s="350" t="s">
        <v>11</v>
      </c>
      <c r="E72" s="313"/>
      <c r="F72" s="294">
        <f t="shared" si="18"/>
        <v>0</v>
      </c>
      <c r="G72" s="290">
        <f t="shared" si="18"/>
        <v>0</v>
      </c>
      <c r="H72" s="290">
        <f t="shared" si="18"/>
        <v>0</v>
      </c>
      <c r="I72" s="416">
        <f t="shared" si="18"/>
        <v>0</v>
      </c>
      <c r="J72" s="381">
        <f t="shared" si="18"/>
        <v>0</v>
      </c>
      <c r="K72" s="381">
        <f t="shared" si="18"/>
        <v>0</v>
      </c>
      <c r="L72" s="381">
        <f t="shared" si="18"/>
        <v>0</v>
      </c>
      <c r="M72" s="381">
        <f t="shared" si="18"/>
        <v>0</v>
      </c>
      <c r="N72" s="346">
        <f t="shared" si="18"/>
        <v>0</v>
      </c>
      <c r="O72" s="534">
        <f t="shared" si="19"/>
        <v>0</v>
      </c>
      <c r="P72" s="431">
        <f t="shared" si="20"/>
        <v>0</v>
      </c>
    </row>
    <row r="73" spans="1:16">
      <c r="A73" s="250"/>
      <c r="B73" s="250"/>
      <c r="C73" s="259"/>
      <c r="D73" s="354" t="s">
        <v>12</v>
      </c>
      <c r="E73" s="546"/>
      <c r="F73" s="294">
        <f t="shared" si="18"/>
        <v>0</v>
      </c>
      <c r="G73" s="290">
        <f t="shared" si="18"/>
        <v>0</v>
      </c>
      <c r="H73" s="290">
        <f t="shared" si="18"/>
        <v>0</v>
      </c>
      <c r="I73" s="416">
        <f t="shared" si="18"/>
        <v>0</v>
      </c>
      <c r="J73" s="381">
        <f t="shared" si="18"/>
        <v>0</v>
      </c>
      <c r="K73" s="381">
        <f t="shared" si="18"/>
        <v>0</v>
      </c>
      <c r="L73" s="381">
        <f t="shared" si="18"/>
        <v>0</v>
      </c>
      <c r="M73" s="381">
        <f t="shared" si="18"/>
        <v>0</v>
      </c>
      <c r="N73" s="346">
        <f t="shared" si="18"/>
        <v>0</v>
      </c>
      <c r="O73" s="534">
        <f t="shared" si="19"/>
        <v>0</v>
      </c>
      <c r="P73" s="431">
        <f t="shared" si="20"/>
        <v>0</v>
      </c>
    </row>
    <row r="74" spans="1:16">
      <c r="A74" s="250"/>
      <c r="B74" s="250"/>
      <c r="C74" s="536"/>
      <c r="D74" s="537" t="str">
        <f>"Total incl Overhead - As Incurred "&amp;Assumptions!$C$8</f>
        <v>Total incl Overhead - As Incurred $ Mar 2017</v>
      </c>
      <c r="E74" s="517"/>
      <c r="F74" s="292">
        <f>+SUM(F64:F73)</f>
        <v>2784.8888579005484</v>
      </c>
      <c r="G74" s="253">
        <f t="shared" ref="G74:N74" si="21">+SUM(G64:G73)</f>
        <v>3637.2806898925201</v>
      </c>
      <c r="H74" s="253">
        <f t="shared" si="21"/>
        <v>0</v>
      </c>
      <c r="I74" s="411">
        <f t="shared" si="21"/>
        <v>0</v>
      </c>
      <c r="J74" s="382">
        <f t="shared" si="21"/>
        <v>0</v>
      </c>
      <c r="K74" s="382">
        <f t="shared" si="21"/>
        <v>0</v>
      </c>
      <c r="L74" s="382">
        <f t="shared" si="21"/>
        <v>0</v>
      </c>
      <c r="M74" s="382">
        <f t="shared" si="21"/>
        <v>0</v>
      </c>
      <c r="N74" s="519">
        <f t="shared" si="21"/>
        <v>0</v>
      </c>
      <c r="O74" s="292">
        <f>SUM(O64:O73)</f>
        <v>6422.169547793068</v>
      </c>
      <c r="P74" s="428">
        <f>SUM(P64:P73)</f>
        <v>0</v>
      </c>
    </row>
    <row r="75" spans="1:16">
      <c r="B75" s="250"/>
      <c r="E75" s="547" t="s">
        <v>50</v>
      </c>
      <c r="F75" s="548">
        <f>F74-F59</f>
        <v>0</v>
      </c>
      <c r="G75" s="548">
        <f t="shared" ref="G75:P75" si="22">G74-G59</f>
        <v>0</v>
      </c>
      <c r="H75" s="548">
        <f t="shared" si="22"/>
        <v>0</v>
      </c>
      <c r="I75" s="548">
        <f t="shared" si="22"/>
        <v>0</v>
      </c>
      <c r="J75" s="548">
        <f t="shared" si="22"/>
        <v>0</v>
      </c>
      <c r="K75" s="548">
        <f t="shared" si="22"/>
        <v>0</v>
      </c>
      <c r="L75" s="548">
        <f t="shared" si="22"/>
        <v>0</v>
      </c>
      <c r="M75" s="548">
        <f t="shared" si="22"/>
        <v>0</v>
      </c>
      <c r="N75" s="548">
        <f t="shared" si="22"/>
        <v>0</v>
      </c>
      <c r="O75" s="548">
        <f t="shared" si="22"/>
        <v>0</v>
      </c>
      <c r="P75" s="548">
        <f t="shared" si="22"/>
        <v>0</v>
      </c>
    </row>
    <row r="76" spans="1:16" hidden="1" outlineLevel="1">
      <c r="A76" s="250"/>
      <c r="B76" s="250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344">
        <f t="shared" ref="F76:N76" si="23">F14</f>
        <v>0</v>
      </c>
      <c r="G76" s="344">
        <f t="shared" si="23"/>
        <v>5902.7117027453733</v>
      </c>
      <c r="H76" s="344">
        <f t="shared" si="23"/>
        <v>0</v>
      </c>
      <c r="I76" s="531">
        <f t="shared" si="23"/>
        <v>0</v>
      </c>
      <c r="J76" s="344">
        <f t="shared" si="23"/>
        <v>0</v>
      </c>
      <c r="K76" s="344">
        <f t="shared" si="23"/>
        <v>0</v>
      </c>
      <c r="L76" s="344">
        <f t="shared" si="23"/>
        <v>0</v>
      </c>
      <c r="M76" s="344">
        <f t="shared" si="23"/>
        <v>0</v>
      </c>
      <c r="N76" s="345">
        <f t="shared" si="23"/>
        <v>0</v>
      </c>
      <c r="O76" s="549">
        <f>SUM(F76:N76)</f>
        <v>5902.7117027453733</v>
      </c>
      <c r="P76" s="545">
        <f t="shared" ref="P76:P80" si="24">SUM(I76:M76)</f>
        <v>0</v>
      </c>
    </row>
    <row r="77" spans="1:16" hidden="1" outlineLevel="1">
      <c r="A77" s="250"/>
      <c r="B77" s="250"/>
      <c r="C77" s="453"/>
      <c r="D77" s="350" t="str">
        <f>"Labour &amp; Material Escalation - "&amp;Assumptions!C7</f>
        <v>Labour &amp; Material Escalation - $ 2015/16</v>
      </c>
      <c r="E77" s="454"/>
      <c r="F77" s="290">
        <f>IF(F$10="Prior",0,IF(AND(F76&lt;&gt;0,SUM(E76:$F76)=0),F76/SUM($F$76:F76)*F61,IF(F76&lt;&gt;0,SUM($F$76:F76)/SUM($F$11:F11)*F61-E83,0)))</f>
        <v>0</v>
      </c>
      <c r="G77" s="290">
        <f>IF(G$10="Prior",0,IF(AND(G76&lt;&gt;0,SUM($F76:F76)=0),G76/SUM($F$76:G76)*G61,IF(G76&lt;&gt;0,SUM($F$76:G76)/SUM($F$11:G11)*G61-F83,0)))</f>
        <v>8.8809900000000095</v>
      </c>
      <c r="H77" s="290">
        <f>IF(H$10="Prior",0,IF(AND(H76&lt;&gt;0,SUM($F76:G76)=0),H76/SUM($F$76:H76)*H61,IF(H76&lt;&gt;0,SUM($F$76:H76)/SUM($F$11:H11)*H61-G83,0)))</f>
        <v>0</v>
      </c>
      <c r="I77" s="512">
        <f>IF(I$10="Prior",0,IF(AND(I76&lt;&gt;0,SUM($F76:H76)=0),I76/SUM($F$76:I76)*I61,IF(I76&lt;&gt;0,SUM($F$76:I76)/SUM($F$11:I11)*I61-H83,0)))</f>
        <v>0</v>
      </c>
      <c r="J77" s="290">
        <f>IF(J$10="Prior",0,IF(AND(J76&lt;&gt;0,SUM($F76:I76)=0),J76/SUM($F$76:J76)*J61,IF(J76&lt;&gt;0,SUM($F$76:J76)/SUM($F$11:J11)*J61-I83,0)))</f>
        <v>0</v>
      </c>
      <c r="K77" s="290">
        <f>IF(K$10="Prior",0,IF(AND(K76&lt;&gt;0,SUM($F76:J76)=0),K76/SUM($F$76:K76)*K61,IF(K76&lt;&gt;0,SUM($F$76:K76)/SUM($F$11:K11)*K61-J83,0)))</f>
        <v>0</v>
      </c>
      <c r="L77" s="290">
        <f>IF(L$10="Prior",0,IF(AND(L76&lt;&gt;0,SUM($F76:K76)=0),L76/SUM($F$76:L76)*L61,IF(L76&lt;&gt;0,SUM($F$76:L76)/SUM($F$11:L11)*L61-K83,0)))</f>
        <v>0</v>
      </c>
      <c r="M77" s="290">
        <f>IF(M$10="Prior",0,IF(AND(M76&lt;&gt;0,SUM($F76:L76)=0),M76/SUM($F$76:M76)*M61,IF(M76&lt;&gt;0,SUM($F$76:M76)/SUM($F$11:M11)*M61-L83,0)))</f>
        <v>0</v>
      </c>
      <c r="N77" s="346">
        <f>IF(N$10="Prior",0,IF(AND(N76&lt;&gt;0,SUM($F76:M76)=0),N76/SUM($F$76:N76)*N61,IF(N76&lt;&gt;0,SUM($F$76:N76)/SUM($F$11:N11)*N61-M83,0)))</f>
        <v>0</v>
      </c>
      <c r="O77" s="550">
        <f>SUM(F77:N77)</f>
        <v>8.8809900000000095</v>
      </c>
      <c r="P77" s="551">
        <f t="shared" si="24"/>
        <v>0</v>
      </c>
    </row>
    <row r="78" spans="1:16" hidden="1" outlineLevel="1">
      <c r="A78" s="250"/>
      <c r="B78" s="250"/>
      <c r="C78" s="453"/>
      <c r="D78" s="470" t="str">
        <f>"Total Direct Expenditure - "&amp;Assumptions!C7</f>
        <v>Total Direct Expenditure - $ 2015/16</v>
      </c>
      <c r="E78" s="471"/>
      <c r="F78" s="552">
        <f>SUM(F76:F77)</f>
        <v>0</v>
      </c>
      <c r="G78" s="553">
        <f t="shared" ref="G78:N78" si="25">SUM(G76:G77)</f>
        <v>5911.5926927453729</v>
      </c>
      <c r="H78" s="553">
        <f t="shared" si="25"/>
        <v>0</v>
      </c>
      <c r="I78" s="554">
        <f t="shared" si="25"/>
        <v>0</v>
      </c>
      <c r="J78" s="553">
        <f t="shared" si="25"/>
        <v>0</v>
      </c>
      <c r="K78" s="553">
        <f t="shared" si="25"/>
        <v>0</v>
      </c>
      <c r="L78" s="553">
        <f t="shared" si="25"/>
        <v>0</v>
      </c>
      <c r="M78" s="553">
        <f t="shared" si="25"/>
        <v>0</v>
      </c>
      <c r="N78" s="555">
        <f t="shared" si="25"/>
        <v>0</v>
      </c>
      <c r="O78" s="556">
        <f>SUM(F78:N78)</f>
        <v>5911.5926927453729</v>
      </c>
      <c r="P78" s="557">
        <f t="shared" si="24"/>
        <v>0</v>
      </c>
    </row>
    <row r="79" spans="1:16" hidden="1" outlineLevel="1">
      <c r="A79" s="250"/>
      <c r="B79" s="250"/>
      <c r="C79" s="453"/>
      <c r="D79" s="470" t="str">
        <f>"Total Direct Expenditure - "&amp;Assumptions!C8</f>
        <v>Total Direct Expenditure - $ Mar 2017</v>
      </c>
      <c r="E79" s="471"/>
      <c r="F79" s="552">
        <f>F78*Assumptions!$G$21</f>
        <v>0</v>
      </c>
      <c r="G79" s="553">
        <f>G78*Assumptions!$G$21</f>
        <v>6011.6008398030954</v>
      </c>
      <c r="H79" s="553">
        <f>H78*Assumptions!$G$21</f>
        <v>0</v>
      </c>
      <c r="I79" s="554">
        <f>I78*Assumptions!$G$21</f>
        <v>0</v>
      </c>
      <c r="J79" s="553">
        <f>J78*Assumptions!$G$21</f>
        <v>0</v>
      </c>
      <c r="K79" s="553">
        <f>K78*Assumptions!$G$21</f>
        <v>0</v>
      </c>
      <c r="L79" s="553">
        <f>L78*Assumptions!$G$21</f>
        <v>0</v>
      </c>
      <c r="M79" s="553">
        <f>M78*Assumptions!$G$21</f>
        <v>0</v>
      </c>
      <c r="N79" s="555">
        <f>N78*Assumptions!$G$21</f>
        <v>0</v>
      </c>
      <c r="O79" s="556">
        <f>SUM(F79:N79)</f>
        <v>6011.6008398030954</v>
      </c>
      <c r="P79" s="557">
        <f t="shared" si="24"/>
        <v>0</v>
      </c>
    </row>
    <row r="80" spans="1:16" hidden="1" outlineLevel="1">
      <c r="A80" s="250"/>
      <c r="B80" s="250"/>
      <c r="C80" s="258"/>
      <c r="D80" s="354" t="s">
        <v>264</v>
      </c>
      <c r="E80" s="312"/>
      <c r="F80" s="290">
        <f>IF(F$10="Prior",F79*F56,IF(AND(F79&lt;&gt;0,SUM(E79:$F79)=0),F79/SUM($F$54:F54)*F60,IF(F79&lt;&gt;0,SUM($F$79:F79)/SUM($F$54:F54)*F60-E82,0)))</f>
        <v>0</v>
      </c>
      <c r="G80" s="290">
        <f>IF(G$10="Prior",G79*G56,IF(AND(G79&lt;&gt;0,SUM($F79:F79)=0),G79/SUM($F$54:G54)*G60,IF(G79&lt;&gt;0,SUM($F$79:G79)/SUM($F$54:G54)*G60-F82,0)))</f>
        <v>410.56870798997215</v>
      </c>
      <c r="H80" s="290">
        <f>IF(H$10="Prior",H79*H56,IF(AND(H79&lt;&gt;0,SUM($F79:G79)=0),H79/SUM($F$54:H54)*H60,IF(H79&lt;&gt;0,SUM($F$79:H79)/SUM($F$54:H54)*H60-G82,0)))</f>
        <v>0</v>
      </c>
      <c r="I80" s="512">
        <f>IF(I$10="Prior",I79*I56,IF(AND(I79&lt;&gt;0,SUM($F79:H79)=0),I79/SUM($F$54:I54)*I60,IF(I79&lt;&gt;0,SUM($F$79:I79)/SUM($F$54:I54)*I60-H82,0)))</f>
        <v>0</v>
      </c>
      <c r="J80" s="290">
        <f>IF(J$10="Prior",J79*J56,IF(AND(J79&lt;&gt;0,SUM($F79:I79)=0),J79/SUM($F$54:J54)*J60,IF(J79&lt;&gt;0,SUM($F$79:J79)/SUM($F$54:J54)*J60-I82,0)))</f>
        <v>0</v>
      </c>
      <c r="K80" s="290">
        <f>IF(K$10="Prior",K79*K56,IF(AND(K79&lt;&gt;0,SUM($F79:J79)=0),K79/SUM($F$54:K54)*K60,IF(K79&lt;&gt;0,SUM($F$79:K79)/SUM($F$54:K54)*K60-J82,0)))</f>
        <v>0</v>
      </c>
      <c r="L80" s="290">
        <f>IF(L$10="Prior",L79*L56,IF(AND(L79&lt;&gt;0,SUM($F79:K79)=0),L79/SUM($F$54:L54)*L60,IF(L79&lt;&gt;0,SUM($F$79:L79)/SUM($F$54:L54)*L60-K82,0)))</f>
        <v>0</v>
      </c>
      <c r="M80" s="290">
        <f>IF(M$10="Prior",M79*M56,IF(AND(M79&lt;&gt;0,SUM($F79:L79)=0),M79/SUM($F$54:M54)*M60,IF(M79&lt;&gt;0,SUM($F$79:M79)/SUM($F$54:M54)*M60-L82,0)))</f>
        <v>0</v>
      </c>
      <c r="N80" s="346">
        <f>IF(N$10="Prior",N79*N56,IF(AND(N79&lt;&gt;0,SUM($F79:M79)=0),N79/SUM($F$54:N54)*N60,IF(N79&lt;&gt;0,SUM($F$79:N79)/SUM($F$54:N54)*N60-M82,0)))</f>
        <v>0</v>
      </c>
      <c r="O80" s="550">
        <f>SUM(F80:N80)</f>
        <v>410.56870798997215</v>
      </c>
      <c r="P80" s="497">
        <f t="shared" si="24"/>
        <v>0</v>
      </c>
    </row>
    <row r="81" spans="1:17" hidden="1" outlineLevel="1">
      <c r="A81" s="250"/>
      <c r="B81" s="250"/>
      <c r="C81" s="536"/>
      <c r="D81" s="537" t="str">
        <f>"Total incl Overhead - As commissioned "&amp;Assumptions!$C$8</f>
        <v>Total incl Overhead - As commissioned $ Mar 2017</v>
      </c>
      <c r="E81" s="517"/>
      <c r="F81" s="558">
        <f>SUM(F79:F80)</f>
        <v>0</v>
      </c>
      <c r="G81" s="559">
        <f t="shared" ref="G81:P81" si="26">SUM(G79:G80)</f>
        <v>6422.169547793068</v>
      </c>
      <c r="H81" s="559">
        <f t="shared" si="26"/>
        <v>0</v>
      </c>
      <c r="I81" s="560">
        <f t="shared" si="26"/>
        <v>0</v>
      </c>
      <c r="J81" s="559">
        <f t="shared" si="26"/>
        <v>0</v>
      </c>
      <c r="K81" s="559">
        <f t="shared" si="26"/>
        <v>0</v>
      </c>
      <c r="L81" s="559">
        <f t="shared" si="26"/>
        <v>0</v>
      </c>
      <c r="M81" s="559">
        <f t="shared" si="26"/>
        <v>0</v>
      </c>
      <c r="N81" s="561">
        <f t="shared" si="26"/>
        <v>0</v>
      </c>
      <c r="O81" s="562">
        <f t="shared" si="26"/>
        <v>6422.169547793068</v>
      </c>
      <c r="P81" s="563">
        <f t="shared" si="26"/>
        <v>0</v>
      </c>
    </row>
    <row r="82" spans="1:17" hidden="1" outlineLevel="1">
      <c r="A82" s="250"/>
      <c r="B82" s="250"/>
      <c r="C82" s="250"/>
      <c r="D82" s="251" t="s">
        <v>286</v>
      </c>
      <c r="E82" s="251"/>
      <c r="F82" s="252">
        <f>F80</f>
        <v>0</v>
      </c>
      <c r="G82" s="252">
        <f t="shared" ref="G82:N82" si="27">G80+F82</f>
        <v>410.56870798997215</v>
      </c>
      <c r="H82" s="252">
        <f t="shared" si="27"/>
        <v>410.56870798997215</v>
      </c>
      <c r="I82" s="252">
        <f t="shared" si="27"/>
        <v>410.56870798997215</v>
      </c>
      <c r="J82" s="252">
        <f t="shared" si="27"/>
        <v>410.56870798997215</v>
      </c>
      <c r="K82" s="252">
        <f t="shared" si="27"/>
        <v>410.56870798997215</v>
      </c>
      <c r="L82" s="252">
        <f t="shared" si="27"/>
        <v>410.56870798997215</v>
      </c>
      <c r="M82" s="252">
        <f t="shared" si="27"/>
        <v>410.56870798997215</v>
      </c>
      <c r="N82" s="252">
        <f t="shared" si="27"/>
        <v>410.56870798997215</v>
      </c>
      <c r="O82" s="543"/>
    </row>
    <row r="83" spans="1:17" hidden="1" outlineLevel="1">
      <c r="A83" s="250"/>
      <c r="B83" s="250"/>
      <c r="C83" s="250"/>
      <c r="D83" s="251" t="s">
        <v>287</v>
      </c>
      <c r="E83" s="251"/>
      <c r="F83" s="252">
        <f>F77</f>
        <v>0</v>
      </c>
      <c r="G83" s="252">
        <f t="shared" ref="G83:N83" si="28">G77+F83</f>
        <v>8.8809900000000095</v>
      </c>
      <c r="H83" s="252">
        <f t="shared" si="28"/>
        <v>8.8809900000000095</v>
      </c>
      <c r="I83" s="252">
        <f t="shared" si="28"/>
        <v>8.8809900000000095</v>
      </c>
      <c r="J83" s="252">
        <f t="shared" si="28"/>
        <v>8.8809900000000095</v>
      </c>
      <c r="K83" s="252">
        <f t="shared" si="28"/>
        <v>8.8809900000000095</v>
      </c>
      <c r="L83" s="252">
        <f t="shared" si="28"/>
        <v>8.8809900000000095</v>
      </c>
      <c r="M83" s="252">
        <f t="shared" si="28"/>
        <v>8.8809900000000095</v>
      </c>
      <c r="N83" s="252">
        <f t="shared" si="28"/>
        <v>8.8809900000000095</v>
      </c>
      <c r="O83" s="543"/>
    </row>
    <row r="84" spans="1:17" collapsed="1">
      <c r="A84" s="250"/>
      <c r="B84" s="250"/>
      <c r="C84" s="540" t="s">
        <v>276</v>
      </c>
    </row>
    <row r="85" spans="1:17">
      <c r="B85" s="250"/>
      <c r="C85" s="257" t="s">
        <v>23</v>
      </c>
      <c r="D85" s="353" t="s">
        <v>3</v>
      </c>
      <c r="E85" s="530"/>
      <c r="F85" s="343">
        <f t="shared" ref="F85:N94" si="29">IF($O$74=0,0,F$81/$O$81*$O$74*F17)</f>
        <v>0</v>
      </c>
      <c r="G85" s="344">
        <f t="shared" si="29"/>
        <v>0</v>
      </c>
      <c r="H85" s="344">
        <f t="shared" si="29"/>
        <v>0</v>
      </c>
      <c r="I85" s="415">
        <f t="shared" si="29"/>
        <v>0</v>
      </c>
      <c r="J85" s="380">
        <f t="shared" si="29"/>
        <v>0</v>
      </c>
      <c r="K85" s="380">
        <f t="shared" si="29"/>
        <v>0</v>
      </c>
      <c r="L85" s="380">
        <f t="shared" si="29"/>
        <v>0</v>
      </c>
      <c r="M85" s="380">
        <f t="shared" si="29"/>
        <v>0</v>
      </c>
      <c r="N85" s="345">
        <f t="shared" si="29"/>
        <v>0</v>
      </c>
      <c r="O85" s="532">
        <f>SUM(F85:N85)</f>
        <v>0</v>
      </c>
      <c r="P85" s="430">
        <f t="shared" ref="P85:P94" si="30">SUM(I85:M85)</f>
        <v>0</v>
      </c>
    </row>
    <row r="86" spans="1:17">
      <c r="C86" s="258" t="s">
        <v>24</v>
      </c>
      <c r="D86" s="350" t="s">
        <v>4</v>
      </c>
      <c r="E86" s="313"/>
      <c r="F86" s="294">
        <f t="shared" si="29"/>
        <v>0</v>
      </c>
      <c r="G86" s="290">
        <f t="shared" si="29"/>
        <v>0</v>
      </c>
      <c r="H86" s="290">
        <f t="shared" si="29"/>
        <v>0</v>
      </c>
      <c r="I86" s="416">
        <f t="shared" si="29"/>
        <v>0</v>
      </c>
      <c r="J86" s="381">
        <f t="shared" si="29"/>
        <v>0</v>
      </c>
      <c r="K86" s="381">
        <f t="shared" si="29"/>
        <v>0</v>
      </c>
      <c r="L86" s="381">
        <f t="shared" si="29"/>
        <v>0</v>
      </c>
      <c r="M86" s="381">
        <f t="shared" si="29"/>
        <v>0</v>
      </c>
      <c r="N86" s="346">
        <f t="shared" si="29"/>
        <v>0</v>
      </c>
      <c r="O86" s="534">
        <f t="shared" ref="O86:O94" si="31">SUM(F86:N86)</f>
        <v>0</v>
      </c>
      <c r="P86" s="431">
        <f t="shared" si="30"/>
        <v>0</v>
      </c>
    </row>
    <row r="87" spans="1:17">
      <c r="C87" s="258" t="s">
        <v>26</v>
      </c>
      <c r="D87" s="350" t="s">
        <v>5</v>
      </c>
      <c r="E87" s="313"/>
      <c r="F87" s="294">
        <f t="shared" si="29"/>
        <v>0</v>
      </c>
      <c r="G87" s="290">
        <f t="shared" si="29"/>
        <v>6422.169547793068</v>
      </c>
      <c r="H87" s="290">
        <f t="shared" si="29"/>
        <v>0</v>
      </c>
      <c r="I87" s="416">
        <f t="shared" si="29"/>
        <v>0</v>
      </c>
      <c r="J87" s="381">
        <f t="shared" si="29"/>
        <v>0</v>
      </c>
      <c r="K87" s="381">
        <f t="shared" si="29"/>
        <v>0</v>
      </c>
      <c r="L87" s="381">
        <f t="shared" si="29"/>
        <v>0</v>
      </c>
      <c r="M87" s="381">
        <f t="shared" si="29"/>
        <v>0</v>
      </c>
      <c r="N87" s="346">
        <f t="shared" si="29"/>
        <v>0</v>
      </c>
      <c r="O87" s="534">
        <f t="shared" si="31"/>
        <v>6422.169547793068</v>
      </c>
      <c r="P87" s="431">
        <f t="shared" si="30"/>
        <v>0</v>
      </c>
    </row>
    <row r="88" spans="1:17">
      <c r="C88" s="258"/>
      <c r="D88" s="350" t="s">
        <v>6</v>
      </c>
      <c r="E88" s="313"/>
      <c r="F88" s="294">
        <f t="shared" si="29"/>
        <v>0</v>
      </c>
      <c r="G88" s="290">
        <f t="shared" si="29"/>
        <v>0</v>
      </c>
      <c r="H88" s="290">
        <f t="shared" si="29"/>
        <v>0</v>
      </c>
      <c r="I88" s="416">
        <f t="shared" si="29"/>
        <v>0</v>
      </c>
      <c r="J88" s="381">
        <f t="shared" si="29"/>
        <v>0</v>
      </c>
      <c r="K88" s="381">
        <f t="shared" si="29"/>
        <v>0</v>
      </c>
      <c r="L88" s="381">
        <f t="shared" si="29"/>
        <v>0</v>
      </c>
      <c r="M88" s="381">
        <f t="shared" si="29"/>
        <v>0</v>
      </c>
      <c r="N88" s="346">
        <f t="shared" si="29"/>
        <v>0</v>
      </c>
      <c r="O88" s="534">
        <f t="shared" si="31"/>
        <v>0</v>
      </c>
      <c r="P88" s="431">
        <f t="shared" si="30"/>
        <v>0</v>
      </c>
    </row>
    <row r="89" spans="1:17">
      <c r="C89" s="258"/>
      <c r="D89" s="350" t="s">
        <v>7</v>
      </c>
      <c r="E89" s="313"/>
      <c r="F89" s="294">
        <f t="shared" si="29"/>
        <v>0</v>
      </c>
      <c r="G89" s="290">
        <f t="shared" si="29"/>
        <v>0</v>
      </c>
      <c r="H89" s="290">
        <f t="shared" si="29"/>
        <v>0</v>
      </c>
      <c r="I89" s="416">
        <f t="shared" si="29"/>
        <v>0</v>
      </c>
      <c r="J89" s="381">
        <f t="shared" si="29"/>
        <v>0</v>
      </c>
      <c r="K89" s="381">
        <f t="shared" si="29"/>
        <v>0</v>
      </c>
      <c r="L89" s="381">
        <f t="shared" si="29"/>
        <v>0</v>
      </c>
      <c r="M89" s="381">
        <f t="shared" si="29"/>
        <v>0</v>
      </c>
      <c r="N89" s="346">
        <f t="shared" si="29"/>
        <v>0</v>
      </c>
      <c r="O89" s="534">
        <f t="shared" si="31"/>
        <v>0</v>
      </c>
      <c r="P89" s="431">
        <f t="shared" si="30"/>
        <v>0</v>
      </c>
    </row>
    <row r="90" spans="1:17">
      <c r="C90" s="258"/>
      <c r="D90" s="350" t="s">
        <v>8</v>
      </c>
      <c r="E90" s="313"/>
      <c r="F90" s="294">
        <f t="shared" si="29"/>
        <v>0</v>
      </c>
      <c r="G90" s="290">
        <f t="shared" si="29"/>
        <v>0</v>
      </c>
      <c r="H90" s="290">
        <f t="shared" si="29"/>
        <v>0</v>
      </c>
      <c r="I90" s="416">
        <f t="shared" si="29"/>
        <v>0</v>
      </c>
      <c r="J90" s="381">
        <f t="shared" si="29"/>
        <v>0</v>
      </c>
      <c r="K90" s="381">
        <f t="shared" si="29"/>
        <v>0</v>
      </c>
      <c r="L90" s="381">
        <f t="shared" si="29"/>
        <v>0</v>
      </c>
      <c r="M90" s="381">
        <f t="shared" si="29"/>
        <v>0</v>
      </c>
      <c r="N90" s="346">
        <f t="shared" si="29"/>
        <v>0</v>
      </c>
      <c r="O90" s="534">
        <f t="shared" si="31"/>
        <v>0</v>
      </c>
      <c r="P90" s="431">
        <f t="shared" si="30"/>
        <v>0</v>
      </c>
    </row>
    <row r="91" spans="1:17">
      <c r="C91" s="258"/>
      <c r="D91" s="350" t="s">
        <v>9</v>
      </c>
      <c r="E91" s="313"/>
      <c r="F91" s="294">
        <f t="shared" si="29"/>
        <v>0</v>
      </c>
      <c r="G91" s="290">
        <f t="shared" si="29"/>
        <v>0</v>
      </c>
      <c r="H91" s="290">
        <f t="shared" si="29"/>
        <v>0</v>
      </c>
      <c r="I91" s="416">
        <f t="shared" si="29"/>
        <v>0</v>
      </c>
      <c r="J91" s="381">
        <f t="shared" si="29"/>
        <v>0</v>
      </c>
      <c r="K91" s="381">
        <f t="shared" si="29"/>
        <v>0</v>
      </c>
      <c r="L91" s="381">
        <f t="shared" si="29"/>
        <v>0</v>
      </c>
      <c r="M91" s="381">
        <f t="shared" si="29"/>
        <v>0</v>
      </c>
      <c r="N91" s="346">
        <f t="shared" si="29"/>
        <v>0</v>
      </c>
      <c r="O91" s="534">
        <f t="shared" si="31"/>
        <v>0</v>
      </c>
      <c r="P91" s="431">
        <f t="shared" si="30"/>
        <v>0</v>
      </c>
    </row>
    <row r="92" spans="1:17">
      <c r="C92" s="258"/>
      <c r="D92" s="350" t="s">
        <v>10</v>
      </c>
      <c r="E92" s="313"/>
      <c r="F92" s="294">
        <f t="shared" si="29"/>
        <v>0</v>
      </c>
      <c r="G92" s="290">
        <f t="shared" si="29"/>
        <v>0</v>
      </c>
      <c r="H92" s="290">
        <f t="shared" si="29"/>
        <v>0</v>
      </c>
      <c r="I92" s="416">
        <f t="shared" si="29"/>
        <v>0</v>
      </c>
      <c r="J92" s="381">
        <f t="shared" si="29"/>
        <v>0</v>
      </c>
      <c r="K92" s="381">
        <f t="shared" si="29"/>
        <v>0</v>
      </c>
      <c r="L92" s="381">
        <f t="shared" si="29"/>
        <v>0</v>
      </c>
      <c r="M92" s="381">
        <f t="shared" si="29"/>
        <v>0</v>
      </c>
      <c r="N92" s="346">
        <f t="shared" si="29"/>
        <v>0</v>
      </c>
      <c r="O92" s="534">
        <f t="shared" si="31"/>
        <v>0</v>
      </c>
      <c r="P92" s="431">
        <f t="shared" si="30"/>
        <v>0</v>
      </c>
    </row>
    <row r="93" spans="1:17">
      <c r="C93" s="258"/>
      <c r="D93" s="350" t="s">
        <v>11</v>
      </c>
      <c r="E93" s="313"/>
      <c r="F93" s="294">
        <f t="shared" si="29"/>
        <v>0</v>
      </c>
      <c r="G93" s="290">
        <f t="shared" si="29"/>
        <v>0</v>
      </c>
      <c r="H93" s="290">
        <f t="shared" si="29"/>
        <v>0</v>
      </c>
      <c r="I93" s="416">
        <f t="shared" si="29"/>
        <v>0</v>
      </c>
      <c r="J93" s="381">
        <f t="shared" si="29"/>
        <v>0</v>
      </c>
      <c r="K93" s="381">
        <f t="shared" si="29"/>
        <v>0</v>
      </c>
      <c r="L93" s="381">
        <f t="shared" si="29"/>
        <v>0</v>
      </c>
      <c r="M93" s="381">
        <f t="shared" si="29"/>
        <v>0</v>
      </c>
      <c r="N93" s="346">
        <f t="shared" si="29"/>
        <v>0</v>
      </c>
      <c r="O93" s="534">
        <f t="shared" si="31"/>
        <v>0</v>
      </c>
      <c r="P93" s="431">
        <f t="shared" si="30"/>
        <v>0</v>
      </c>
    </row>
    <row r="94" spans="1:17">
      <c r="C94" s="258"/>
      <c r="D94" s="350" t="s">
        <v>12</v>
      </c>
      <c r="E94" s="313"/>
      <c r="F94" s="294">
        <f t="shared" si="29"/>
        <v>0</v>
      </c>
      <c r="G94" s="290">
        <f t="shared" si="29"/>
        <v>0</v>
      </c>
      <c r="H94" s="290">
        <f t="shared" si="29"/>
        <v>0</v>
      </c>
      <c r="I94" s="416">
        <f t="shared" si="29"/>
        <v>0</v>
      </c>
      <c r="J94" s="381">
        <f t="shared" si="29"/>
        <v>0</v>
      </c>
      <c r="K94" s="381">
        <f t="shared" si="29"/>
        <v>0</v>
      </c>
      <c r="L94" s="381">
        <f t="shared" si="29"/>
        <v>0</v>
      </c>
      <c r="M94" s="381">
        <f t="shared" si="29"/>
        <v>0</v>
      </c>
      <c r="N94" s="346">
        <f t="shared" si="29"/>
        <v>0</v>
      </c>
      <c r="O94" s="534">
        <f t="shared" si="31"/>
        <v>0</v>
      </c>
      <c r="P94" s="431">
        <f t="shared" si="30"/>
        <v>0</v>
      </c>
    </row>
    <row r="95" spans="1:17">
      <c r="C95" s="536"/>
      <c r="D95" s="537" t="str">
        <f>"Total incl Overhead - As commissioned "&amp;Assumptions!$C$8</f>
        <v>Total incl Overhead - As commissioned $ Mar 2017</v>
      </c>
      <c r="E95" s="517"/>
      <c r="F95" s="292">
        <f>+SUM(F85:F94)</f>
        <v>0</v>
      </c>
      <c r="G95" s="253">
        <f t="shared" ref="G95" si="32">+SUM(G85:G94)</f>
        <v>6422.169547793068</v>
      </c>
      <c r="H95" s="253">
        <f t="shared" ref="H95:N95" si="33">+SUM(H85:H94)</f>
        <v>0</v>
      </c>
      <c r="I95" s="411">
        <f t="shared" si="33"/>
        <v>0</v>
      </c>
      <c r="J95" s="382">
        <f t="shared" si="33"/>
        <v>0</v>
      </c>
      <c r="K95" s="382">
        <f t="shared" si="33"/>
        <v>0</v>
      </c>
      <c r="L95" s="382">
        <f t="shared" si="33"/>
        <v>0</v>
      </c>
      <c r="M95" s="382">
        <f t="shared" si="33"/>
        <v>0</v>
      </c>
      <c r="N95" s="286">
        <f t="shared" si="33"/>
        <v>0</v>
      </c>
      <c r="O95" s="292">
        <f>SUM(O85:O94)</f>
        <v>6422.169547793068</v>
      </c>
      <c r="P95" s="428">
        <f>SUM(P85:P94)</f>
        <v>0</v>
      </c>
      <c r="Q95" s="564"/>
    </row>
    <row r="96" spans="1:17">
      <c r="E96" s="547" t="s">
        <v>50</v>
      </c>
      <c r="F96" s="452">
        <f>F95-F81</f>
        <v>0</v>
      </c>
      <c r="G96" s="452">
        <f t="shared" ref="G96:P96" si="34">G95-G81</f>
        <v>0</v>
      </c>
      <c r="H96" s="452">
        <f t="shared" si="34"/>
        <v>0</v>
      </c>
      <c r="I96" s="452">
        <f t="shared" si="34"/>
        <v>0</v>
      </c>
      <c r="J96" s="452">
        <f t="shared" si="34"/>
        <v>0</v>
      </c>
      <c r="K96" s="452">
        <f t="shared" si="34"/>
        <v>0</v>
      </c>
      <c r="L96" s="452">
        <f t="shared" si="34"/>
        <v>0</v>
      </c>
      <c r="M96" s="452">
        <f t="shared" si="34"/>
        <v>0</v>
      </c>
      <c r="N96" s="452">
        <f t="shared" si="34"/>
        <v>0</v>
      </c>
      <c r="O96" s="452">
        <f t="shared" si="34"/>
        <v>0</v>
      </c>
      <c r="P96" s="452">
        <f t="shared" si="34"/>
        <v>0</v>
      </c>
    </row>
    <row r="97" spans="3:16">
      <c r="C97" s="565"/>
      <c r="D97" s="251"/>
      <c r="F97" s="252"/>
      <c r="G97" s="252"/>
      <c r="H97" s="252"/>
      <c r="I97" s="252"/>
      <c r="J97" s="252"/>
      <c r="K97" s="252"/>
      <c r="L97" s="252"/>
      <c r="M97" s="252"/>
      <c r="N97" s="252"/>
      <c r="O97" s="566">
        <f>O95-O74</f>
        <v>0</v>
      </c>
      <c r="P97" s="565"/>
    </row>
    <row r="98" spans="3:16" hidden="1" outlineLevel="1">
      <c r="C98" s="236" t="s">
        <v>452</v>
      </c>
      <c r="F98" s="452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6" t="s">
        <v>451</v>
      </c>
      <c r="D99" s="236" t="s">
        <v>379</v>
      </c>
      <c r="F99" s="252"/>
      <c r="G99" s="487">
        <f>0.5*G21</f>
        <v>0</v>
      </c>
      <c r="H99" s="487">
        <f t="shared" ref="H99:N99" si="35">0.5*H21</f>
        <v>0</v>
      </c>
      <c r="I99" s="487">
        <f t="shared" si="35"/>
        <v>0</v>
      </c>
      <c r="J99" s="487">
        <f t="shared" si="35"/>
        <v>0</v>
      </c>
      <c r="K99" s="487">
        <f t="shared" si="35"/>
        <v>0</v>
      </c>
      <c r="L99" s="487">
        <f t="shared" si="35"/>
        <v>0</v>
      </c>
      <c r="M99" s="487">
        <f t="shared" si="35"/>
        <v>0</v>
      </c>
      <c r="N99" s="487">
        <f t="shared" si="35"/>
        <v>0</v>
      </c>
    </row>
    <row r="100" spans="3:16" hidden="1" outlineLevel="1">
      <c r="D100" s="236" t="s">
        <v>380</v>
      </c>
      <c r="F100" s="452"/>
      <c r="G100" s="487">
        <v>0</v>
      </c>
      <c r="H100" s="487">
        <v>0</v>
      </c>
      <c r="I100" s="487">
        <v>0</v>
      </c>
      <c r="J100" s="487">
        <v>0</v>
      </c>
      <c r="K100" s="487">
        <v>0</v>
      </c>
      <c r="L100" s="487">
        <v>0</v>
      </c>
      <c r="M100" s="487">
        <v>0</v>
      </c>
      <c r="N100" s="487">
        <v>0</v>
      </c>
    </row>
    <row r="101" spans="3:16" hidden="1" outlineLevel="1">
      <c r="D101" s="236" t="s">
        <v>381</v>
      </c>
      <c r="G101" s="487">
        <f>0.5*G21</f>
        <v>0</v>
      </c>
      <c r="H101" s="487">
        <f t="shared" ref="H101:N101" si="36">0.5*H21</f>
        <v>0</v>
      </c>
      <c r="I101" s="487">
        <f t="shared" si="36"/>
        <v>0</v>
      </c>
      <c r="J101" s="487">
        <f t="shared" si="36"/>
        <v>0</v>
      </c>
      <c r="K101" s="487">
        <f t="shared" si="36"/>
        <v>0</v>
      </c>
      <c r="L101" s="487">
        <f t="shared" si="36"/>
        <v>0</v>
      </c>
      <c r="M101" s="487">
        <f t="shared" si="36"/>
        <v>0</v>
      </c>
      <c r="N101" s="487">
        <f t="shared" si="36"/>
        <v>0</v>
      </c>
    </row>
    <row r="102" spans="3:16" hidden="1" outlineLevel="1">
      <c r="D102" s="236" t="s">
        <v>382</v>
      </c>
      <c r="F102" s="452"/>
      <c r="G102" s="487">
        <v>0</v>
      </c>
      <c r="H102" s="487">
        <v>0</v>
      </c>
      <c r="I102" s="487">
        <v>0</v>
      </c>
      <c r="J102" s="487">
        <v>0</v>
      </c>
      <c r="K102" s="487">
        <v>0</v>
      </c>
      <c r="L102" s="487">
        <v>0</v>
      </c>
      <c r="M102" s="487">
        <v>0</v>
      </c>
      <c r="N102" s="487">
        <v>0</v>
      </c>
    </row>
    <row r="103" spans="3:16" hidden="1" outlineLevel="1">
      <c r="D103" s="236" t="s">
        <v>383</v>
      </c>
      <c r="F103" s="452"/>
      <c r="G103" s="487">
        <f>G18</f>
        <v>0</v>
      </c>
      <c r="H103" s="487">
        <f t="shared" ref="H103:N105" si="37">H18</f>
        <v>0</v>
      </c>
      <c r="I103" s="487">
        <f t="shared" si="37"/>
        <v>0</v>
      </c>
      <c r="J103" s="487">
        <f t="shared" si="37"/>
        <v>0</v>
      </c>
      <c r="K103" s="487">
        <f t="shared" si="37"/>
        <v>0</v>
      </c>
      <c r="L103" s="487">
        <f t="shared" si="37"/>
        <v>0</v>
      </c>
      <c r="M103" s="487">
        <f t="shared" si="37"/>
        <v>0</v>
      </c>
      <c r="N103" s="487">
        <f t="shared" si="37"/>
        <v>0</v>
      </c>
    </row>
    <row r="104" spans="3:16" hidden="1" outlineLevel="1">
      <c r="D104" s="236" t="s">
        <v>384</v>
      </c>
      <c r="G104" s="487">
        <f>G19</f>
        <v>1</v>
      </c>
      <c r="H104" s="487">
        <f t="shared" si="37"/>
        <v>1</v>
      </c>
      <c r="I104" s="487">
        <f t="shared" si="37"/>
        <v>1</v>
      </c>
      <c r="J104" s="487">
        <f t="shared" si="37"/>
        <v>1</v>
      </c>
      <c r="K104" s="487">
        <f t="shared" si="37"/>
        <v>1</v>
      </c>
      <c r="L104" s="487">
        <f t="shared" si="37"/>
        <v>1</v>
      </c>
      <c r="M104" s="487">
        <f t="shared" si="37"/>
        <v>1</v>
      </c>
      <c r="N104" s="487">
        <f t="shared" si="37"/>
        <v>1</v>
      </c>
    </row>
    <row r="105" spans="3:16" hidden="1" outlineLevel="1">
      <c r="D105" s="236" t="s">
        <v>385</v>
      </c>
      <c r="G105" s="487">
        <f>G20</f>
        <v>0</v>
      </c>
      <c r="H105" s="487">
        <f t="shared" si="37"/>
        <v>0</v>
      </c>
      <c r="I105" s="487">
        <f t="shared" si="37"/>
        <v>0</v>
      </c>
      <c r="J105" s="487">
        <f t="shared" si="37"/>
        <v>0</v>
      </c>
      <c r="K105" s="487">
        <f t="shared" si="37"/>
        <v>0</v>
      </c>
      <c r="L105" s="487">
        <f t="shared" si="37"/>
        <v>0</v>
      </c>
      <c r="M105" s="487">
        <f t="shared" si="37"/>
        <v>0</v>
      </c>
      <c r="N105" s="487">
        <f t="shared" si="37"/>
        <v>0</v>
      </c>
    </row>
    <row r="106" spans="3:16" hidden="1" outlineLevel="1">
      <c r="D106" s="236" t="s">
        <v>386</v>
      </c>
      <c r="G106" s="487">
        <f>G17+G23</f>
        <v>0</v>
      </c>
      <c r="H106" s="487">
        <f t="shared" ref="H106:N106" si="38">H17+H23</f>
        <v>0</v>
      </c>
      <c r="I106" s="487">
        <f t="shared" si="38"/>
        <v>0</v>
      </c>
      <c r="J106" s="487">
        <f t="shared" si="38"/>
        <v>0</v>
      </c>
      <c r="K106" s="487">
        <f t="shared" si="38"/>
        <v>0</v>
      </c>
      <c r="L106" s="487">
        <f t="shared" si="38"/>
        <v>0</v>
      </c>
      <c r="M106" s="487">
        <f t="shared" si="38"/>
        <v>0</v>
      </c>
      <c r="N106" s="487">
        <f t="shared" si="38"/>
        <v>0</v>
      </c>
    </row>
    <row r="107" spans="3:16" hidden="1" outlineLevel="1">
      <c r="D107" s="236" t="s">
        <v>387</v>
      </c>
      <c r="G107" s="487">
        <f>G22</f>
        <v>0</v>
      </c>
      <c r="H107" s="487">
        <f t="shared" ref="H107:N107" si="39">H22</f>
        <v>0</v>
      </c>
      <c r="I107" s="487">
        <f t="shared" si="39"/>
        <v>0</v>
      </c>
      <c r="J107" s="487">
        <f t="shared" si="39"/>
        <v>0</v>
      </c>
      <c r="K107" s="487">
        <f t="shared" si="39"/>
        <v>0</v>
      </c>
      <c r="L107" s="487">
        <f t="shared" si="39"/>
        <v>0</v>
      </c>
      <c r="M107" s="487">
        <f t="shared" si="39"/>
        <v>0</v>
      </c>
      <c r="N107" s="487">
        <f t="shared" si="39"/>
        <v>0</v>
      </c>
    </row>
    <row r="108" spans="3:16" hidden="1" outlineLevel="1">
      <c r="D108" s="236" t="s">
        <v>16</v>
      </c>
      <c r="G108" s="487">
        <f>SUM(G99:G107)</f>
        <v>1</v>
      </c>
      <c r="H108" s="487">
        <f t="shared" ref="H108:N108" si="40">SUM(H99:H107)</f>
        <v>1</v>
      </c>
      <c r="I108" s="487">
        <f t="shared" si="40"/>
        <v>1</v>
      </c>
      <c r="J108" s="487">
        <f t="shared" si="40"/>
        <v>1</v>
      </c>
      <c r="K108" s="487">
        <f t="shared" si="40"/>
        <v>1</v>
      </c>
      <c r="L108" s="487">
        <f t="shared" si="40"/>
        <v>1</v>
      </c>
      <c r="M108" s="487">
        <f t="shared" si="40"/>
        <v>1</v>
      </c>
      <c r="N108" s="487">
        <f t="shared" si="40"/>
        <v>1</v>
      </c>
    </row>
    <row r="109" spans="3:16" hidden="1" outlineLevel="1"/>
    <row r="110" spans="3:16" hidden="1" outlineLevel="1">
      <c r="C110" s="236" t="s">
        <v>443</v>
      </c>
      <c r="D110" s="236" t="s">
        <v>445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7" t="s">
        <v>16</v>
      </c>
      <c r="P110" s="807" t="s">
        <v>453</v>
      </c>
    </row>
    <row r="111" spans="3:16" hidden="1" outlineLevel="1">
      <c r="C111" s="236" t="s">
        <v>444</v>
      </c>
      <c r="D111" s="236" t="s">
        <v>379</v>
      </c>
      <c r="G111" s="452">
        <f>G99*G$53</f>
        <v>0</v>
      </c>
      <c r="H111" s="452">
        <f t="shared" ref="H111:N111" si="41">H99*H$53</f>
        <v>0</v>
      </c>
      <c r="I111" s="452">
        <f t="shared" si="41"/>
        <v>0</v>
      </c>
      <c r="J111" s="452">
        <f t="shared" si="41"/>
        <v>0</v>
      </c>
      <c r="K111" s="452">
        <f t="shared" si="41"/>
        <v>0</v>
      </c>
      <c r="L111" s="452">
        <f t="shared" si="41"/>
        <v>0</v>
      </c>
      <c r="M111" s="452">
        <f t="shared" si="41"/>
        <v>0</v>
      </c>
      <c r="N111" s="452">
        <f t="shared" si="41"/>
        <v>0</v>
      </c>
      <c r="O111" s="452">
        <f t="shared" ref="O111:O119" si="42">SUM(F111:N111)</f>
        <v>0</v>
      </c>
      <c r="P111" s="452">
        <f t="shared" ref="P111:P119" si="43">SUM(I111:M111)</f>
        <v>0</v>
      </c>
    </row>
    <row r="112" spans="3:16" hidden="1" outlineLevel="1">
      <c r="D112" s="236" t="s">
        <v>380</v>
      </c>
      <c r="G112" s="452">
        <f t="shared" ref="G112:N119" si="44">G100*G$53</f>
        <v>0</v>
      </c>
      <c r="H112" s="452">
        <f t="shared" si="44"/>
        <v>0</v>
      </c>
      <c r="I112" s="452">
        <f t="shared" si="44"/>
        <v>0</v>
      </c>
      <c r="J112" s="452">
        <f t="shared" si="44"/>
        <v>0</v>
      </c>
      <c r="K112" s="452">
        <f t="shared" si="44"/>
        <v>0</v>
      </c>
      <c r="L112" s="452">
        <f t="shared" si="44"/>
        <v>0</v>
      </c>
      <c r="M112" s="452">
        <f t="shared" si="44"/>
        <v>0</v>
      </c>
      <c r="N112" s="452">
        <f t="shared" si="44"/>
        <v>0</v>
      </c>
      <c r="O112" s="452">
        <f t="shared" si="42"/>
        <v>0</v>
      </c>
      <c r="P112" s="452">
        <f t="shared" si="43"/>
        <v>0</v>
      </c>
    </row>
    <row r="113" spans="4:16" hidden="1" outlineLevel="1">
      <c r="D113" s="236" t="s">
        <v>381</v>
      </c>
      <c r="G113" s="452">
        <f t="shared" si="44"/>
        <v>0</v>
      </c>
      <c r="H113" s="452">
        <f t="shared" si="44"/>
        <v>0</v>
      </c>
      <c r="I113" s="452">
        <f t="shared" si="44"/>
        <v>0</v>
      </c>
      <c r="J113" s="452">
        <f t="shared" si="44"/>
        <v>0</v>
      </c>
      <c r="K113" s="452">
        <f t="shared" si="44"/>
        <v>0</v>
      </c>
      <c r="L113" s="452">
        <f t="shared" si="44"/>
        <v>0</v>
      </c>
      <c r="M113" s="452">
        <f t="shared" si="44"/>
        <v>0</v>
      </c>
      <c r="N113" s="452">
        <f t="shared" si="44"/>
        <v>0</v>
      </c>
      <c r="O113" s="452">
        <f t="shared" si="42"/>
        <v>0</v>
      </c>
      <c r="P113" s="452">
        <f t="shared" si="43"/>
        <v>0</v>
      </c>
    </row>
    <row r="114" spans="4:16" hidden="1" outlineLevel="1">
      <c r="D114" s="236" t="s">
        <v>382</v>
      </c>
      <c r="G114" s="452">
        <f t="shared" si="44"/>
        <v>0</v>
      </c>
      <c r="H114" s="452">
        <f t="shared" si="44"/>
        <v>0</v>
      </c>
      <c r="I114" s="452">
        <f t="shared" si="44"/>
        <v>0</v>
      </c>
      <c r="J114" s="452">
        <f t="shared" si="44"/>
        <v>0</v>
      </c>
      <c r="K114" s="452">
        <f t="shared" si="44"/>
        <v>0</v>
      </c>
      <c r="L114" s="452">
        <f t="shared" si="44"/>
        <v>0</v>
      </c>
      <c r="M114" s="452">
        <f t="shared" si="44"/>
        <v>0</v>
      </c>
      <c r="N114" s="452">
        <f t="shared" si="44"/>
        <v>0</v>
      </c>
      <c r="O114" s="452">
        <f t="shared" si="42"/>
        <v>0</v>
      </c>
      <c r="P114" s="452">
        <f t="shared" si="43"/>
        <v>0</v>
      </c>
    </row>
    <row r="115" spans="4:16" hidden="1" outlineLevel="1">
      <c r="D115" s="236" t="s">
        <v>383</v>
      </c>
      <c r="G115" s="452">
        <f t="shared" si="44"/>
        <v>0</v>
      </c>
      <c r="H115" s="452">
        <f t="shared" si="44"/>
        <v>0</v>
      </c>
      <c r="I115" s="452">
        <f t="shared" si="44"/>
        <v>0</v>
      </c>
      <c r="J115" s="452">
        <f t="shared" si="44"/>
        <v>0</v>
      </c>
      <c r="K115" s="452">
        <f t="shared" si="44"/>
        <v>0</v>
      </c>
      <c r="L115" s="452">
        <f t="shared" si="44"/>
        <v>0</v>
      </c>
      <c r="M115" s="452">
        <f t="shared" si="44"/>
        <v>0</v>
      </c>
      <c r="N115" s="452">
        <f t="shared" si="44"/>
        <v>0</v>
      </c>
      <c r="O115" s="452">
        <f t="shared" si="42"/>
        <v>0</v>
      </c>
      <c r="P115" s="452">
        <f t="shared" si="43"/>
        <v>0</v>
      </c>
    </row>
    <row r="116" spans="4:16" hidden="1" outlineLevel="1">
      <c r="D116" s="236" t="s">
        <v>384</v>
      </c>
      <c r="G116" s="452">
        <f t="shared" si="44"/>
        <v>1369.6655639097739</v>
      </c>
      <c r="H116" s="452">
        <f t="shared" si="44"/>
        <v>0</v>
      </c>
      <c r="I116" s="452">
        <f t="shared" si="44"/>
        <v>0</v>
      </c>
      <c r="J116" s="452">
        <f t="shared" si="44"/>
        <v>0</v>
      </c>
      <c r="K116" s="452">
        <f t="shared" si="44"/>
        <v>0</v>
      </c>
      <c r="L116" s="452">
        <f t="shared" si="44"/>
        <v>0</v>
      </c>
      <c r="M116" s="452">
        <f t="shared" si="44"/>
        <v>0</v>
      </c>
      <c r="N116" s="452">
        <f t="shared" si="44"/>
        <v>0</v>
      </c>
      <c r="O116" s="452">
        <f t="shared" si="42"/>
        <v>1369.6655639097739</v>
      </c>
      <c r="P116" s="452">
        <f t="shared" si="43"/>
        <v>0</v>
      </c>
    </row>
    <row r="117" spans="4:16" hidden="1" outlineLevel="1">
      <c r="D117" s="236" t="s">
        <v>385</v>
      </c>
      <c r="G117" s="452">
        <f t="shared" si="44"/>
        <v>0</v>
      </c>
      <c r="H117" s="452">
        <f t="shared" si="44"/>
        <v>0</v>
      </c>
      <c r="I117" s="452">
        <f t="shared" si="44"/>
        <v>0</v>
      </c>
      <c r="J117" s="452">
        <f t="shared" si="44"/>
        <v>0</v>
      </c>
      <c r="K117" s="452">
        <f t="shared" si="44"/>
        <v>0</v>
      </c>
      <c r="L117" s="452">
        <f t="shared" si="44"/>
        <v>0</v>
      </c>
      <c r="M117" s="452">
        <f t="shared" si="44"/>
        <v>0</v>
      </c>
      <c r="N117" s="452">
        <f t="shared" si="44"/>
        <v>0</v>
      </c>
      <c r="O117" s="452">
        <f t="shared" si="42"/>
        <v>0</v>
      </c>
      <c r="P117" s="452">
        <f t="shared" si="43"/>
        <v>0</v>
      </c>
    </row>
    <row r="118" spans="4:16" hidden="1" outlineLevel="1">
      <c r="D118" s="236" t="s">
        <v>386</v>
      </c>
      <c r="G118" s="452">
        <f t="shared" si="44"/>
        <v>0</v>
      </c>
      <c r="H118" s="452">
        <f t="shared" si="44"/>
        <v>0</v>
      </c>
      <c r="I118" s="452">
        <f t="shared" si="44"/>
        <v>0</v>
      </c>
      <c r="J118" s="452">
        <f t="shared" si="44"/>
        <v>0</v>
      </c>
      <c r="K118" s="452">
        <f t="shared" si="44"/>
        <v>0</v>
      </c>
      <c r="L118" s="452">
        <f t="shared" si="44"/>
        <v>0</v>
      </c>
      <c r="M118" s="452">
        <f t="shared" si="44"/>
        <v>0</v>
      </c>
      <c r="N118" s="452">
        <f t="shared" si="44"/>
        <v>0</v>
      </c>
      <c r="O118" s="452">
        <f t="shared" si="42"/>
        <v>0</v>
      </c>
      <c r="P118" s="452">
        <f t="shared" si="43"/>
        <v>0</v>
      </c>
    </row>
    <row r="119" spans="4:16" hidden="1" outlineLevel="1">
      <c r="D119" s="236" t="s">
        <v>387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6" t="s">
        <v>440</v>
      </c>
      <c r="G120" s="452">
        <f>SUM(G111:G119)</f>
        <v>1369.6655639097739</v>
      </c>
      <c r="H120" s="452">
        <f t="shared" ref="H120:P120" si="45">SUM(H111:H119)</f>
        <v>0</v>
      </c>
      <c r="I120" s="452">
        <f t="shared" si="45"/>
        <v>0</v>
      </c>
      <c r="J120" s="452">
        <f t="shared" si="45"/>
        <v>0</v>
      </c>
      <c r="K120" s="452">
        <f t="shared" si="45"/>
        <v>0</v>
      </c>
      <c r="L120" s="452">
        <f t="shared" si="45"/>
        <v>0</v>
      </c>
      <c r="M120" s="452">
        <f t="shared" si="45"/>
        <v>0</v>
      </c>
      <c r="N120" s="452">
        <f t="shared" si="45"/>
        <v>0</v>
      </c>
      <c r="O120" s="452">
        <f t="shared" si="45"/>
        <v>1369.6655639097739</v>
      </c>
      <c r="P120" s="452">
        <f t="shared" si="45"/>
        <v>0</v>
      </c>
    </row>
    <row r="121" spans="4:16" hidden="1" outlineLevel="1"/>
    <row r="122" spans="4:16" hidden="1" outlineLevel="1">
      <c r="D122" s="236" t="s">
        <v>446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453</v>
      </c>
    </row>
    <row r="123" spans="4:16" hidden="1" outlineLevel="1">
      <c r="D123" s="236" t="s">
        <v>379</v>
      </c>
      <c r="G123" s="452">
        <f>G99*G$51</f>
        <v>0</v>
      </c>
      <c r="H123" s="452">
        <f t="shared" ref="H123:N123" si="46">H99*H$51</f>
        <v>0</v>
      </c>
      <c r="I123" s="452">
        <f t="shared" si="46"/>
        <v>0</v>
      </c>
      <c r="J123" s="452">
        <f t="shared" si="46"/>
        <v>0</v>
      </c>
      <c r="K123" s="452">
        <f t="shared" si="46"/>
        <v>0</v>
      </c>
      <c r="L123" s="452">
        <f t="shared" si="46"/>
        <v>0</v>
      </c>
      <c r="M123" s="452">
        <f t="shared" si="46"/>
        <v>0</v>
      </c>
      <c r="N123" s="452">
        <f t="shared" si="46"/>
        <v>0</v>
      </c>
      <c r="O123" s="452">
        <f t="shared" ref="O123:O131" si="47">SUM(F123:N123)</f>
        <v>0</v>
      </c>
      <c r="P123" s="452">
        <f t="shared" ref="P123:P131" si="48">SUM(I123:M123)</f>
        <v>0</v>
      </c>
    </row>
    <row r="124" spans="4:16" hidden="1" outlineLevel="1">
      <c r="D124" s="236" t="s">
        <v>380</v>
      </c>
      <c r="G124" s="452">
        <f t="shared" ref="G124:N131" si="49">G100*G$51</f>
        <v>0</v>
      </c>
      <c r="H124" s="452">
        <f t="shared" si="49"/>
        <v>0</v>
      </c>
      <c r="I124" s="452">
        <f t="shared" si="49"/>
        <v>0</v>
      </c>
      <c r="J124" s="452">
        <f t="shared" si="49"/>
        <v>0</v>
      </c>
      <c r="K124" s="452">
        <f t="shared" si="49"/>
        <v>0</v>
      </c>
      <c r="L124" s="452">
        <f t="shared" si="49"/>
        <v>0</v>
      </c>
      <c r="M124" s="452">
        <f t="shared" si="49"/>
        <v>0</v>
      </c>
      <c r="N124" s="452">
        <f t="shared" si="49"/>
        <v>0</v>
      </c>
      <c r="O124" s="452">
        <f t="shared" si="47"/>
        <v>0</v>
      </c>
      <c r="P124" s="452">
        <f t="shared" si="48"/>
        <v>0</v>
      </c>
    </row>
    <row r="125" spans="4:16" hidden="1" outlineLevel="1">
      <c r="D125" s="236" t="s">
        <v>381</v>
      </c>
      <c r="G125" s="452">
        <f t="shared" si="49"/>
        <v>0</v>
      </c>
      <c r="H125" s="452">
        <f t="shared" si="49"/>
        <v>0</v>
      </c>
      <c r="I125" s="452">
        <f t="shared" si="49"/>
        <v>0</v>
      </c>
      <c r="J125" s="452">
        <f t="shared" si="49"/>
        <v>0</v>
      </c>
      <c r="K125" s="452">
        <f t="shared" si="49"/>
        <v>0</v>
      </c>
      <c r="L125" s="452">
        <f t="shared" si="49"/>
        <v>0</v>
      </c>
      <c r="M125" s="452">
        <f t="shared" si="49"/>
        <v>0</v>
      </c>
      <c r="N125" s="452">
        <f t="shared" si="49"/>
        <v>0</v>
      </c>
      <c r="O125" s="452">
        <f t="shared" si="47"/>
        <v>0</v>
      </c>
      <c r="P125" s="452">
        <f t="shared" si="48"/>
        <v>0</v>
      </c>
    </row>
    <row r="126" spans="4:16" hidden="1" outlineLevel="1">
      <c r="D126" s="236" t="s">
        <v>382</v>
      </c>
      <c r="G126" s="452">
        <f t="shared" si="49"/>
        <v>0</v>
      </c>
      <c r="H126" s="452">
        <f t="shared" si="49"/>
        <v>0</v>
      </c>
      <c r="I126" s="452">
        <f t="shared" si="49"/>
        <v>0</v>
      </c>
      <c r="J126" s="452">
        <f t="shared" si="49"/>
        <v>0</v>
      </c>
      <c r="K126" s="452">
        <f t="shared" si="49"/>
        <v>0</v>
      </c>
      <c r="L126" s="452">
        <f t="shared" si="49"/>
        <v>0</v>
      </c>
      <c r="M126" s="452">
        <f t="shared" si="49"/>
        <v>0</v>
      </c>
      <c r="N126" s="452">
        <f t="shared" si="49"/>
        <v>0</v>
      </c>
      <c r="O126" s="452">
        <f t="shared" si="47"/>
        <v>0</v>
      </c>
      <c r="P126" s="452">
        <f t="shared" si="48"/>
        <v>0</v>
      </c>
    </row>
    <row r="127" spans="4:16" hidden="1" outlineLevel="1">
      <c r="D127" s="236" t="s">
        <v>383</v>
      </c>
      <c r="G127" s="452">
        <f t="shared" si="49"/>
        <v>0</v>
      </c>
      <c r="H127" s="452">
        <f t="shared" si="49"/>
        <v>0</v>
      </c>
      <c r="I127" s="452">
        <f t="shared" si="49"/>
        <v>0</v>
      </c>
      <c r="J127" s="452">
        <f t="shared" si="49"/>
        <v>0</v>
      </c>
      <c r="K127" s="452">
        <f t="shared" si="49"/>
        <v>0</v>
      </c>
      <c r="L127" s="452">
        <f t="shared" si="49"/>
        <v>0</v>
      </c>
      <c r="M127" s="452">
        <f t="shared" si="49"/>
        <v>0</v>
      </c>
      <c r="N127" s="452">
        <f t="shared" si="49"/>
        <v>0</v>
      </c>
      <c r="O127" s="452">
        <f t="shared" si="47"/>
        <v>0</v>
      </c>
      <c r="P127" s="452">
        <f t="shared" si="48"/>
        <v>0</v>
      </c>
    </row>
    <row r="128" spans="4:16" hidden="1" outlineLevel="1">
      <c r="D128" s="236" t="s">
        <v>384</v>
      </c>
      <c r="G128" s="452">
        <f t="shared" si="49"/>
        <v>344.42808727443594</v>
      </c>
      <c r="H128" s="452">
        <f t="shared" si="49"/>
        <v>0</v>
      </c>
      <c r="I128" s="452">
        <f t="shared" si="49"/>
        <v>0</v>
      </c>
      <c r="J128" s="452">
        <f t="shared" si="49"/>
        <v>0</v>
      </c>
      <c r="K128" s="452">
        <f t="shared" si="49"/>
        <v>0</v>
      </c>
      <c r="L128" s="452">
        <f t="shared" si="49"/>
        <v>0</v>
      </c>
      <c r="M128" s="452">
        <f t="shared" si="49"/>
        <v>0</v>
      </c>
      <c r="N128" s="452">
        <f t="shared" si="49"/>
        <v>0</v>
      </c>
      <c r="O128" s="452">
        <f t="shared" si="47"/>
        <v>344.42808727443594</v>
      </c>
      <c r="P128" s="452">
        <f t="shared" si="48"/>
        <v>0</v>
      </c>
    </row>
    <row r="129" spans="4:16" hidden="1" outlineLevel="1">
      <c r="D129" s="236" t="s">
        <v>385</v>
      </c>
      <c r="G129" s="452">
        <f t="shared" si="49"/>
        <v>0</v>
      </c>
      <c r="H129" s="452">
        <f t="shared" si="49"/>
        <v>0</v>
      </c>
      <c r="I129" s="452">
        <f t="shared" si="49"/>
        <v>0</v>
      </c>
      <c r="J129" s="452">
        <f t="shared" si="49"/>
        <v>0</v>
      </c>
      <c r="K129" s="452">
        <f t="shared" si="49"/>
        <v>0</v>
      </c>
      <c r="L129" s="452">
        <f t="shared" si="49"/>
        <v>0</v>
      </c>
      <c r="M129" s="452">
        <f t="shared" si="49"/>
        <v>0</v>
      </c>
      <c r="N129" s="452">
        <f t="shared" si="49"/>
        <v>0</v>
      </c>
      <c r="O129" s="452">
        <f t="shared" si="47"/>
        <v>0</v>
      </c>
      <c r="P129" s="452">
        <f t="shared" si="48"/>
        <v>0</v>
      </c>
    </row>
    <row r="130" spans="4:16" hidden="1" outlineLevel="1">
      <c r="D130" s="236" t="s">
        <v>386</v>
      </c>
      <c r="G130" s="452">
        <f t="shared" si="49"/>
        <v>0</v>
      </c>
      <c r="H130" s="452">
        <f t="shared" si="49"/>
        <v>0</v>
      </c>
      <c r="I130" s="452">
        <f t="shared" si="49"/>
        <v>0</v>
      </c>
      <c r="J130" s="452">
        <f t="shared" si="49"/>
        <v>0</v>
      </c>
      <c r="K130" s="452">
        <f t="shared" si="49"/>
        <v>0</v>
      </c>
      <c r="L130" s="452">
        <f t="shared" si="49"/>
        <v>0</v>
      </c>
      <c r="M130" s="452">
        <f t="shared" si="49"/>
        <v>0</v>
      </c>
      <c r="N130" s="452">
        <f t="shared" si="49"/>
        <v>0</v>
      </c>
      <c r="O130" s="452">
        <f t="shared" si="47"/>
        <v>0</v>
      </c>
      <c r="P130" s="452">
        <f t="shared" si="48"/>
        <v>0</v>
      </c>
    </row>
    <row r="131" spans="4:16" hidden="1" outlineLevel="1">
      <c r="D131" s="236" t="s">
        <v>387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6" t="s">
        <v>441</v>
      </c>
      <c r="G132" s="452">
        <f>SUM(G123:G131)</f>
        <v>344.42808727443594</v>
      </c>
      <c r="H132" s="452">
        <f t="shared" ref="H132:P132" si="50">SUM(H123:H131)</f>
        <v>0</v>
      </c>
      <c r="I132" s="452">
        <f t="shared" si="50"/>
        <v>0</v>
      </c>
      <c r="J132" s="452">
        <f t="shared" si="50"/>
        <v>0</v>
      </c>
      <c r="K132" s="452">
        <f t="shared" si="50"/>
        <v>0</v>
      </c>
      <c r="L132" s="452">
        <f t="shared" si="50"/>
        <v>0</v>
      </c>
      <c r="M132" s="452">
        <f t="shared" si="50"/>
        <v>0</v>
      </c>
      <c r="N132" s="452">
        <f t="shared" si="50"/>
        <v>0</v>
      </c>
      <c r="O132" s="452">
        <f t="shared" si="50"/>
        <v>344.42808727443594</v>
      </c>
      <c r="P132" s="452">
        <f t="shared" si="50"/>
        <v>0</v>
      </c>
    </row>
    <row r="133" spans="4:16" hidden="1" outlineLevel="1"/>
    <row r="134" spans="4:16" hidden="1" outlineLevel="1">
      <c r="D134" s="236" t="s">
        <v>447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453</v>
      </c>
    </row>
    <row r="135" spans="4:16" hidden="1" outlineLevel="1">
      <c r="D135" s="236" t="s">
        <v>379</v>
      </c>
      <c r="G135" s="452">
        <f>G99*G$52</f>
        <v>0</v>
      </c>
      <c r="H135" s="452">
        <f t="shared" ref="H135:N135" si="51">H99*H$52</f>
        <v>0</v>
      </c>
      <c r="I135" s="452">
        <f t="shared" si="51"/>
        <v>0</v>
      </c>
      <c r="J135" s="452">
        <f t="shared" si="51"/>
        <v>0</v>
      </c>
      <c r="K135" s="452">
        <f t="shared" si="51"/>
        <v>0</v>
      </c>
      <c r="L135" s="452">
        <f t="shared" si="51"/>
        <v>0</v>
      </c>
      <c r="M135" s="452">
        <f t="shared" si="51"/>
        <v>0</v>
      </c>
      <c r="N135" s="452">
        <f t="shared" si="51"/>
        <v>0</v>
      </c>
      <c r="O135" s="452">
        <f t="shared" ref="O135:O143" si="52">SUM(F135:N135)</f>
        <v>0</v>
      </c>
      <c r="P135" s="452">
        <f t="shared" ref="P135:P143" si="53">SUM(I135:M135)</f>
        <v>0</v>
      </c>
    </row>
    <row r="136" spans="4:16" hidden="1" outlineLevel="1">
      <c r="D136" s="236" t="s">
        <v>380</v>
      </c>
      <c r="G136" s="452">
        <f t="shared" ref="G136:N143" si="54">G100*G$52</f>
        <v>0</v>
      </c>
      <c r="H136" s="452">
        <f t="shared" si="54"/>
        <v>0</v>
      </c>
      <c r="I136" s="452">
        <f t="shared" si="54"/>
        <v>0</v>
      </c>
      <c r="J136" s="452">
        <f t="shared" si="54"/>
        <v>0</v>
      </c>
      <c r="K136" s="452">
        <f t="shared" si="54"/>
        <v>0</v>
      </c>
      <c r="L136" s="452">
        <f t="shared" si="54"/>
        <v>0</v>
      </c>
      <c r="M136" s="452">
        <f t="shared" si="54"/>
        <v>0</v>
      </c>
      <c r="N136" s="452">
        <f t="shared" si="54"/>
        <v>0</v>
      </c>
      <c r="O136" s="452">
        <f t="shared" si="52"/>
        <v>0</v>
      </c>
      <c r="P136" s="452">
        <f t="shared" si="53"/>
        <v>0</v>
      </c>
    </row>
    <row r="137" spans="4:16" hidden="1" outlineLevel="1">
      <c r="D137" s="236" t="s">
        <v>381</v>
      </c>
      <c r="G137" s="452">
        <f t="shared" si="54"/>
        <v>0</v>
      </c>
      <c r="H137" s="452">
        <f t="shared" si="54"/>
        <v>0</v>
      </c>
      <c r="I137" s="452">
        <f t="shared" si="54"/>
        <v>0</v>
      </c>
      <c r="J137" s="452">
        <f t="shared" si="54"/>
        <v>0</v>
      </c>
      <c r="K137" s="452">
        <f t="shared" si="54"/>
        <v>0</v>
      </c>
      <c r="L137" s="452">
        <f t="shared" si="54"/>
        <v>0</v>
      </c>
      <c r="M137" s="452">
        <f t="shared" si="54"/>
        <v>0</v>
      </c>
      <c r="N137" s="452">
        <f t="shared" si="54"/>
        <v>0</v>
      </c>
      <c r="O137" s="452">
        <f t="shared" si="52"/>
        <v>0</v>
      </c>
      <c r="P137" s="452">
        <f t="shared" si="53"/>
        <v>0</v>
      </c>
    </row>
    <row r="138" spans="4:16" hidden="1" outlineLevel="1">
      <c r="D138" s="236" t="s">
        <v>382</v>
      </c>
      <c r="G138" s="452">
        <f t="shared" si="54"/>
        <v>0</v>
      </c>
      <c r="H138" s="452">
        <f t="shared" si="54"/>
        <v>0</v>
      </c>
      <c r="I138" s="452">
        <f t="shared" si="54"/>
        <v>0</v>
      </c>
      <c r="J138" s="452">
        <f t="shared" si="54"/>
        <v>0</v>
      </c>
      <c r="K138" s="452">
        <f t="shared" si="54"/>
        <v>0</v>
      </c>
      <c r="L138" s="452">
        <f t="shared" si="54"/>
        <v>0</v>
      </c>
      <c r="M138" s="452">
        <f t="shared" si="54"/>
        <v>0</v>
      </c>
      <c r="N138" s="452">
        <f t="shared" si="54"/>
        <v>0</v>
      </c>
      <c r="O138" s="452">
        <f t="shared" si="52"/>
        <v>0</v>
      </c>
      <c r="P138" s="452">
        <f t="shared" si="53"/>
        <v>0</v>
      </c>
    </row>
    <row r="139" spans="4:16" hidden="1" outlineLevel="1">
      <c r="D139" s="236" t="s">
        <v>383</v>
      </c>
      <c r="G139" s="452">
        <f t="shared" si="54"/>
        <v>0</v>
      </c>
      <c r="H139" s="452">
        <f t="shared" si="54"/>
        <v>0</v>
      </c>
      <c r="I139" s="452">
        <f t="shared" si="54"/>
        <v>0</v>
      </c>
      <c r="J139" s="452">
        <f t="shared" si="54"/>
        <v>0</v>
      </c>
      <c r="K139" s="452">
        <f t="shared" si="54"/>
        <v>0</v>
      </c>
      <c r="L139" s="452">
        <f t="shared" si="54"/>
        <v>0</v>
      </c>
      <c r="M139" s="452">
        <f t="shared" si="54"/>
        <v>0</v>
      </c>
      <c r="N139" s="452">
        <f t="shared" si="54"/>
        <v>0</v>
      </c>
      <c r="O139" s="452">
        <f t="shared" si="52"/>
        <v>0</v>
      </c>
      <c r="P139" s="452">
        <f t="shared" si="53"/>
        <v>0</v>
      </c>
    </row>
    <row r="140" spans="4:16" hidden="1" outlineLevel="1">
      <c r="D140" s="236" t="s">
        <v>384</v>
      </c>
      <c r="G140" s="452">
        <f t="shared" si="54"/>
        <v>1719.1014909022549</v>
      </c>
      <c r="H140" s="452">
        <f t="shared" si="54"/>
        <v>0</v>
      </c>
      <c r="I140" s="452">
        <f t="shared" si="54"/>
        <v>0</v>
      </c>
      <c r="J140" s="452">
        <f t="shared" si="54"/>
        <v>0</v>
      </c>
      <c r="K140" s="452">
        <f t="shared" si="54"/>
        <v>0</v>
      </c>
      <c r="L140" s="452">
        <f t="shared" si="54"/>
        <v>0</v>
      </c>
      <c r="M140" s="452">
        <f t="shared" si="54"/>
        <v>0</v>
      </c>
      <c r="N140" s="452">
        <f t="shared" si="54"/>
        <v>0</v>
      </c>
      <c r="O140" s="452">
        <f t="shared" si="52"/>
        <v>1719.1014909022549</v>
      </c>
      <c r="P140" s="452">
        <f t="shared" si="53"/>
        <v>0</v>
      </c>
    </row>
    <row r="141" spans="4:16" hidden="1" outlineLevel="1">
      <c r="D141" s="236" t="s">
        <v>385</v>
      </c>
      <c r="G141" s="452">
        <f t="shared" si="54"/>
        <v>0</v>
      </c>
      <c r="H141" s="452">
        <f t="shared" si="54"/>
        <v>0</v>
      </c>
      <c r="I141" s="452">
        <f t="shared" si="54"/>
        <v>0</v>
      </c>
      <c r="J141" s="452">
        <f t="shared" si="54"/>
        <v>0</v>
      </c>
      <c r="K141" s="452">
        <f t="shared" si="54"/>
        <v>0</v>
      </c>
      <c r="L141" s="452">
        <f t="shared" si="54"/>
        <v>0</v>
      </c>
      <c r="M141" s="452">
        <f t="shared" si="54"/>
        <v>0</v>
      </c>
      <c r="N141" s="452">
        <f t="shared" si="54"/>
        <v>0</v>
      </c>
      <c r="O141" s="452">
        <f t="shared" si="52"/>
        <v>0</v>
      </c>
      <c r="P141" s="452">
        <f t="shared" si="53"/>
        <v>0</v>
      </c>
    </row>
    <row r="142" spans="4:16" hidden="1" outlineLevel="1">
      <c r="D142" s="236" t="s">
        <v>386</v>
      </c>
      <c r="G142" s="452">
        <f t="shared" si="54"/>
        <v>0</v>
      </c>
      <c r="H142" s="452">
        <f t="shared" si="54"/>
        <v>0</v>
      </c>
      <c r="I142" s="452">
        <f t="shared" si="54"/>
        <v>0</v>
      </c>
      <c r="J142" s="452">
        <f t="shared" si="54"/>
        <v>0</v>
      </c>
      <c r="K142" s="452">
        <f t="shared" si="54"/>
        <v>0</v>
      </c>
      <c r="L142" s="452">
        <f t="shared" si="54"/>
        <v>0</v>
      </c>
      <c r="M142" s="452">
        <f t="shared" si="54"/>
        <v>0</v>
      </c>
      <c r="N142" s="452">
        <f t="shared" si="54"/>
        <v>0</v>
      </c>
      <c r="O142" s="452">
        <f t="shared" si="52"/>
        <v>0</v>
      </c>
      <c r="P142" s="452">
        <f t="shared" si="53"/>
        <v>0</v>
      </c>
    </row>
    <row r="143" spans="4:16" hidden="1" outlineLevel="1">
      <c r="D143" s="236" t="s">
        <v>387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6" t="s">
        <v>442</v>
      </c>
      <c r="G144" s="452">
        <f>SUM(G135:G143)</f>
        <v>1719.1014909022549</v>
      </c>
      <c r="H144" s="452">
        <f t="shared" ref="H144:P144" si="55">SUM(H135:H143)</f>
        <v>0</v>
      </c>
      <c r="I144" s="452">
        <f t="shared" si="55"/>
        <v>0</v>
      </c>
      <c r="J144" s="452">
        <f t="shared" si="55"/>
        <v>0</v>
      </c>
      <c r="K144" s="452">
        <f t="shared" si="55"/>
        <v>0</v>
      </c>
      <c r="L144" s="452">
        <f t="shared" si="55"/>
        <v>0</v>
      </c>
      <c r="M144" s="452">
        <f t="shared" si="55"/>
        <v>0</v>
      </c>
      <c r="N144" s="452">
        <f t="shared" si="55"/>
        <v>0</v>
      </c>
      <c r="O144" s="452">
        <f t="shared" si="55"/>
        <v>1719.1014909022549</v>
      </c>
      <c r="P144" s="452">
        <f t="shared" si="55"/>
        <v>0</v>
      </c>
    </row>
    <row r="145" spans="4:16" hidden="1" outlineLevel="1" collapsed="1"/>
    <row r="146" spans="4:16" hidden="1" outlineLevel="1">
      <c r="D146" s="236" t="s">
        <v>454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453</v>
      </c>
    </row>
    <row r="147" spans="4:16" hidden="1" outlineLevel="1">
      <c r="D147" s="236" t="s">
        <v>379</v>
      </c>
      <c r="G147" s="452">
        <f t="shared" ref="G147:N155" si="56">G111+G123+G135</f>
        <v>0</v>
      </c>
      <c r="H147" s="452">
        <f t="shared" si="56"/>
        <v>0</v>
      </c>
      <c r="I147" s="452">
        <f t="shared" si="56"/>
        <v>0</v>
      </c>
      <c r="J147" s="452">
        <f t="shared" si="56"/>
        <v>0</v>
      </c>
      <c r="K147" s="452">
        <f t="shared" si="56"/>
        <v>0</v>
      </c>
      <c r="L147" s="452">
        <f t="shared" si="56"/>
        <v>0</v>
      </c>
      <c r="M147" s="452">
        <f t="shared" si="56"/>
        <v>0</v>
      </c>
      <c r="N147" s="452">
        <f t="shared" si="56"/>
        <v>0</v>
      </c>
      <c r="O147" s="452">
        <f t="shared" ref="O147:O155" si="57">SUM(F147:N147)</f>
        <v>0</v>
      </c>
      <c r="P147" s="452">
        <f t="shared" ref="P147:P155" si="58">SUM(I147:M147)</f>
        <v>0</v>
      </c>
    </row>
    <row r="148" spans="4:16" hidden="1" outlineLevel="1">
      <c r="D148" s="236" t="s">
        <v>380</v>
      </c>
      <c r="G148" s="452">
        <f t="shared" si="56"/>
        <v>0</v>
      </c>
      <c r="H148" s="452">
        <f t="shared" si="56"/>
        <v>0</v>
      </c>
      <c r="I148" s="452">
        <f t="shared" si="56"/>
        <v>0</v>
      </c>
      <c r="J148" s="452">
        <f t="shared" si="56"/>
        <v>0</v>
      </c>
      <c r="K148" s="452">
        <f t="shared" si="56"/>
        <v>0</v>
      </c>
      <c r="L148" s="452">
        <f t="shared" si="56"/>
        <v>0</v>
      </c>
      <c r="M148" s="452">
        <f t="shared" si="56"/>
        <v>0</v>
      </c>
      <c r="N148" s="452">
        <f t="shared" si="56"/>
        <v>0</v>
      </c>
      <c r="O148" s="452">
        <f t="shared" si="57"/>
        <v>0</v>
      </c>
      <c r="P148" s="452">
        <f t="shared" si="58"/>
        <v>0</v>
      </c>
    </row>
    <row r="149" spans="4:16" hidden="1" outlineLevel="1">
      <c r="D149" s="236" t="s">
        <v>381</v>
      </c>
      <c r="G149" s="452">
        <f t="shared" si="56"/>
        <v>0</v>
      </c>
      <c r="H149" s="452">
        <f t="shared" si="56"/>
        <v>0</v>
      </c>
      <c r="I149" s="452">
        <f t="shared" si="56"/>
        <v>0</v>
      </c>
      <c r="J149" s="452">
        <f t="shared" si="56"/>
        <v>0</v>
      </c>
      <c r="K149" s="452">
        <f t="shared" si="56"/>
        <v>0</v>
      </c>
      <c r="L149" s="452">
        <f t="shared" si="56"/>
        <v>0</v>
      </c>
      <c r="M149" s="452">
        <f t="shared" si="56"/>
        <v>0</v>
      </c>
      <c r="N149" s="452">
        <f t="shared" si="56"/>
        <v>0</v>
      </c>
      <c r="O149" s="452">
        <f t="shared" si="57"/>
        <v>0</v>
      </c>
      <c r="P149" s="452">
        <f t="shared" si="58"/>
        <v>0</v>
      </c>
    </row>
    <row r="150" spans="4:16" hidden="1" outlineLevel="1">
      <c r="D150" s="236" t="s">
        <v>382</v>
      </c>
      <c r="G150" s="452">
        <f t="shared" si="56"/>
        <v>0</v>
      </c>
      <c r="H150" s="452">
        <f t="shared" si="56"/>
        <v>0</v>
      </c>
      <c r="I150" s="452">
        <f t="shared" si="56"/>
        <v>0</v>
      </c>
      <c r="J150" s="452">
        <f t="shared" si="56"/>
        <v>0</v>
      </c>
      <c r="K150" s="452">
        <f t="shared" si="56"/>
        <v>0</v>
      </c>
      <c r="L150" s="452">
        <f t="shared" si="56"/>
        <v>0</v>
      </c>
      <c r="M150" s="452">
        <f t="shared" si="56"/>
        <v>0</v>
      </c>
      <c r="N150" s="452">
        <f t="shared" si="56"/>
        <v>0</v>
      </c>
      <c r="O150" s="452">
        <f t="shared" si="57"/>
        <v>0</v>
      </c>
      <c r="P150" s="452">
        <f t="shared" si="58"/>
        <v>0</v>
      </c>
    </row>
    <row r="151" spans="4:16" hidden="1" outlineLevel="1">
      <c r="D151" s="236" t="s">
        <v>383</v>
      </c>
      <c r="G151" s="452">
        <f t="shared" si="56"/>
        <v>0</v>
      </c>
      <c r="H151" s="452">
        <f t="shared" si="56"/>
        <v>0</v>
      </c>
      <c r="I151" s="452">
        <f t="shared" si="56"/>
        <v>0</v>
      </c>
      <c r="J151" s="452">
        <f t="shared" si="56"/>
        <v>0</v>
      </c>
      <c r="K151" s="452">
        <f t="shared" si="56"/>
        <v>0</v>
      </c>
      <c r="L151" s="452">
        <f t="shared" si="56"/>
        <v>0</v>
      </c>
      <c r="M151" s="452">
        <f t="shared" si="56"/>
        <v>0</v>
      </c>
      <c r="N151" s="452">
        <f t="shared" si="56"/>
        <v>0</v>
      </c>
      <c r="O151" s="452">
        <f t="shared" si="57"/>
        <v>0</v>
      </c>
      <c r="P151" s="452">
        <f t="shared" si="58"/>
        <v>0</v>
      </c>
    </row>
    <row r="152" spans="4:16" hidden="1" outlineLevel="1">
      <c r="D152" s="236" t="s">
        <v>384</v>
      </c>
      <c r="G152" s="452">
        <f t="shared" si="56"/>
        <v>3433.1951420864648</v>
      </c>
      <c r="H152" s="452">
        <f t="shared" si="56"/>
        <v>0</v>
      </c>
      <c r="I152" s="452">
        <f t="shared" si="56"/>
        <v>0</v>
      </c>
      <c r="J152" s="452">
        <f t="shared" si="56"/>
        <v>0</v>
      </c>
      <c r="K152" s="452">
        <f t="shared" si="56"/>
        <v>0</v>
      </c>
      <c r="L152" s="452">
        <f t="shared" si="56"/>
        <v>0</v>
      </c>
      <c r="M152" s="452">
        <f t="shared" si="56"/>
        <v>0</v>
      </c>
      <c r="N152" s="452">
        <f t="shared" si="56"/>
        <v>0</v>
      </c>
      <c r="O152" s="452">
        <f t="shared" si="57"/>
        <v>3433.1951420864648</v>
      </c>
      <c r="P152" s="452">
        <f t="shared" si="58"/>
        <v>0</v>
      </c>
    </row>
    <row r="153" spans="4:16" hidden="1" outlineLevel="1">
      <c r="D153" s="236" t="s">
        <v>385</v>
      </c>
      <c r="G153" s="452">
        <f t="shared" si="56"/>
        <v>0</v>
      </c>
      <c r="H153" s="452">
        <f t="shared" si="56"/>
        <v>0</v>
      </c>
      <c r="I153" s="452">
        <f t="shared" si="56"/>
        <v>0</v>
      </c>
      <c r="J153" s="452">
        <f t="shared" si="56"/>
        <v>0</v>
      </c>
      <c r="K153" s="452">
        <f t="shared" si="56"/>
        <v>0</v>
      </c>
      <c r="L153" s="452">
        <f t="shared" si="56"/>
        <v>0</v>
      </c>
      <c r="M153" s="452">
        <f t="shared" si="56"/>
        <v>0</v>
      </c>
      <c r="N153" s="452">
        <f t="shared" si="56"/>
        <v>0</v>
      </c>
      <c r="O153" s="452">
        <f t="shared" si="57"/>
        <v>0</v>
      </c>
      <c r="P153" s="452">
        <f t="shared" si="58"/>
        <v>0</v>
      </c>
    </row>
    <row r="154" spans="4:16" hidden="1" outlineLevel="1">
      <c r="D154" s="236" t="s">
        <v>386</v>
      </c>
      <c r="G154" s="452">
        <f t="shared" si="56"/>
        <v>0</v>
      </c>
      <c r="H154" s="452">
        <f t="shared" si="56"/>
        <v>0</v>
      </c>
      <c r="I154" s="452">
        <f t="shared" si="56"/>
        <v>0</v>
      </c>
      <c r="J154" s="452">
        <f t="shared" si="56"/>
        <v>0</v>
      </c>
      <c r="K154" s="452">
        <f t="shared" si="56"/>
        <v>0</v>
      </c>
      <c r="L154" s="452">
        <f t="shared" si="56"/>
        <v>0</v>
      </c>
      <c r="M154" s="452">
        <f t="shared" si="56"/>
        <v>0</v>
      </c>
      <c r="N154" s="452">
        <f t="shared" si="56"/>
        <v>0</v>
      </c>
      <c r="O154" s="452">
        <f t="shared" si="57"/>
        <v>0</v>
      </c>
      <c r="P154" s="452">
        <f t="shared" si="58"/>
        <v>0</v>
      </c>
    </row>
    <row r="155" spans="4:16" hidden="1" outlineLevel="1">
      <c r="D155" s="236" t="s">
        <v>387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6" t="s">
        <v>454</v>
      </c>
      <c r="G156" s="452">
        <f>SUM(G147:G155)</f>
        <v>3433.1951420864648</v>
      </c>
      <c r="H156" s="452">
        <f t="shared" ref="H156:N156" si="59">SUM(H147:H155)</f>
        <v>0</v>
      </c>
      <c r="I156" s="452">
        <f t="shared" si="59"/>
        <v>0</v>
      </c>
      <c r="J156" s="452">
        <f t="shared" si="59"/>
        <v>0</v>
      </c>
      <c r="K156" s="452">
        <f t="shared" si="59"/>
        <v>0</v>
      </c>
      <c r="L156" s="452">
        <f t="shared" si="59"/>
        <v>0</v>
      </c>
      <c r="M156" s="452">
        <f t="shared" si="59"/>
        <v>0</v>
      </c>
      <c r="N156" s="452">
        <f t="shared" si="59"/>
        <v>0</v>
      </c>
      <c r="O156" s="452">
        <f t="shared" ref="O156:P156" si="60">SUM(O147:O155)</f>
        <v>3433.1951420864648</v>
      </c>
      <c r="P156" s="452">
        <f t="shared" si="60"/>
        <v>0</v>
      </c>
    </row>
    <row r="157" spans="4:16" collapsed="1"/>
  </sheetData>
  <mergeCells count="1">
    <mergeCell ref="C13:C14"/>
  </mergeCells>
  <conditionalFormatting sqref="R14">
    <cfRule type="cellIs" dxfId="93" priority="4" operator="equal">
      <formula>"Error"</formula>
    </cfRule>
  </conditionalFormatting>
  <conditionalFormatting sqref="R11">
    <cfRule type="cellIs" dxfId="92" priority="3" operator="equal">
      <formula>"Error"</formula>
    </cfRule>
  </conditionalFormatting>
  <conditionalFormatting sqref="R54">
    <cfRule type="cellIs" dxfId="9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A11" sqref="A11:XFD11"/>
    </sheetView>
  </sheetViews>
  <sheetFormatPr defaultRowHeight="15" outlineLevelRow="1"/>
  <cols>
    <col min="1" max="1" width="4" style="236" customWidth="1"/>
    <col min="2" max="2" width="6.5703125" style="236" customWidth="1"/>
    <col min="3" max="3" width="26.42578125" style="236" customWidth="1"/>
    <col min="4" max="4" width="25.5703125" style="236" customWidth="1"/>
    <col min="5" max="5" width="21.42578125" style="236" customWidth="1"/>
    <col min="6" max="6" width="14.7109375" style="236" customWidth="1"/>
    <col min="7" max="9" width="12.140625" style="236" customWidth="1"/>
    <col min="10" max="10" width="11.28515625" style="236" customWidth="1"/>
    <col min="11" max="11" width="12.7109375" style="236" customWidth="1"/>
    <col min="12" max="14" width="11.28515625" style="236" customWidth="1"/>
    <col min="15" max="15" width="12.28515625" style="236" customWidth="1"/>
    <col min="16" max="16" width="12.5703125" style="236" customWidth="1"/>
    <col min="17" max="19" width="9.140625" style="236"/>
    <col min="20" max="20" width="11.85546875" style="236" customWidth="1"/>
    <col min="21" max="16384" width="9.140625" style="236"/>
  </cols>
  <sheetData>
    <row r="1" spans="1:21">
      <c r="B1" s="574" t="s">
        <v>294</v>
      </c>
      <c r="C1" s="484" t="s">
        <v>290</v>
      </c>
    </row>
    <row r="2" spans="1:21">
      <c r="A2" s="250"/>
      <c r="B2" s="250"/>
      <c r="C2" s="572" t="s">
        <v>293</v>
      </c>
    </row>
    <row r="3" spans="1:21" ht="18.75">
      <c r="A3" s="250"/>
      <c r="B3" s="250"/>
      <c r="D3" s="339" t="str">
        <f>Project_Inputs!B21</f>
        <v>XC16</v>
      </c>
      <c r="E3" s="248"/>
      <c r="F3" s="249" t="s">
        <v>63</v>
      </c>
      <c r="G3" s="249" t="str">
        <f>Project_Inputs!F21</f>
        <v>Yes</v>
      </c>
      <c r="H3" s="248"/>
    </row>
    <row r="4" spans="1:21" ht="18.75">
      <c r="A4" s="250"/>
      <c r="B4" s="250"/>
      <c r="C4" s="485" t="s">
        <v>15</v>
      </c>
      <c r="D4" s="339" t="str">
        <f>Project_Inputs!D21</f>
        <v>TTS Bus Tie CB Replacement</v>
      </c>
      <c r="E4" s="486"/>
      <c r="F4" s="486"/>
      <c r="G4" s="486"/>
    </row>
    <row r="5" spans="1:21">
      <c r="A5" s="250"/>
      <c r="B5" s="250"/>
      <c r="D5" s="248"/>
    </row>
    <row r="6" spans="1:21">
      <c r="A6" s="250"/>
      <c r="B6" s="250"/>
      <c r="C6" s="236" t="s">
        <v>20</v>
      </c>
      <c r="D6" s="338" t="str">
        <f>Project_Inputs!H21</f>
        <v>Network</v>
      </c>
      <c r="E6" s="486"/>
      <c r="F6" s="10"/>
      <c r="G6" s="9" t="s">
        <v>269</v>
      </c>
      <c r="H6" s="248"/>
      <c r="I6" s="487"/>
      <c r="J6" s="487"/>
      <c r="K6" s="487"/>
      <c r="L6" s="487"/>
      <c r="M6" s="487"/>
      <c r="N6" s="487"/>
    </row>
    <row r="7" spans="1:21">
      <c r="A7" s="250"/>
      <c r="B7" s="250"/>
      <c r="C7" s="236" t="s">
        <v>21</v>
      </c>
      <c r="D7" s="338" t="str">
        <f>Project_Inputs!I21</f>
        <v>Replacement - Major Station</v>
      </c>
      <c r="E7" s="486"/>
      <c r="F7" s="486"/>
      <c r="G7" s="486"/>
      <c r="I7" s="487"/>
      <c r="J7" s="487"/>
      <c r="K7" s="487"/>
      <c r="L7" s="487"/>
      <c r="M7" s="487"/>
      <c r="N7" s="487"/>
    </row>
    <row r="8" spans="1:21">
      <c r="A8" s="250"/>
      <c r="B8" s="250"/>
      <c r="C8" s="236" t="s">
        <v>13</v>
      </c>
      <c r="D8" s="338" t="s">
        <v>14</v>
      </c>
      <c r="E8" s="486"/>
      <c r="F8" s="486"/>
      <c r="G8" s="486"/>
      <c r="I8" s="488"/>
      <c r="J8" s="488"/>
      <c r="K8" s="488"/>
      <c r="L8" s="488"/>
      <c r="M8" s="487"/>
      <c r="N8" s="487"/>
    </row>
    <row r="9" spans="1:21">
      <c r="A9" s="250"/>
      <c r="B9" s="250"/>
      <c r="C9" s="236" t="s">
        <v>278</v>
      </c>
      <c r="D9" s="338" t="str">
        <f>Project_Inputs!J21</f>
        <v>Repex_OHD</v>
      </c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489" t="s">
        <v>265</v>
      </c>
      <c r="P9" s="490" t="s">
        <v>231</v>
      </c>
    </row>
    <row r="10" spans="1:21">
      <c r="A10" s="250"/>
      <c r="B10" s="250"/>
      <c r="E10" s="491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492" t="s">
        <v>16</v>
      </c>
      <c r="P10" s="493" t="s">
        <v>16</v>
      </c>
      <c r="R10" s="495" t="s">
        <v>50</v>
      </c>
      <c r="T10" s="495"/>
      <c r="U10" s="250"/>
    </row>
    <row r="11" spans="1:21">
      <c r="A11" s="250"/>
      <c r="B11" s="250"/>
      <c r="C11" s="257" t="s">
        <v>22</v>
      </c>
      <c r="D11" s="353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248.47119179645364</v>
      </c>
      <c r="G11" s="319">
        <f>IF(G$10="Prior",SUMIFS(Project_Inputs!$W$5:$W$50,Project_Inputs!$D$5:$D$50,$D$4),SUMIFS(Project_Inputs!M$5:M$50,Project_Inputs!$D$5:$D$50,$D$4))</f>
        <v>1451.5221449999999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496">
        <f>SUM(F11:N11)</f>
        <v>1699.9933367964536</v>
      </c>
      <c r="P11" s="497">
        <f t="shared" ref="P11" si="0">SUM(I11:M11)</f>
        <v>0</v>
      </c>
      <c r="R11" s="608" t="str">
        <f>IF(O11=Project_Inputs!V21,"ok","error")</f>
        <v>ok</v>
      </c>
      <c r="T11" s="250"/>
      <c r="U11" s="250"/>
    </row>
    <row r="12" spans="1:21" ht="15" hidden="1" customHeight="1">
      <c r="A12" s="250"/>
      <c r="B12" s="250"/>
      <c r="C12" s="482"/>
      <c r="D12" s="350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496"/>
      <c r="P12" s="497"/>
    </row>
    <row r="13" spans="1:21">
      <c r="A13" s="250"/>
      <c r="B13" s="250"/>
      <c r="C13" s="1006" t="s">
        <v>284</v>
      </c>
      <c r="D13" s="350" t="s">
        <v>65</v>
      </c>
      <c r="E13" s="313"/>
      <c r="F13" s="336"/>
      <c r="G13" s="10"/>
      <c r="H13" s="391"/>
      <c r="I13" s="401"/>
      <c r="J13" s="10"/>
      <c r="K13" s="10"/>
      <c r="L13" s="10"/>
      <c r="M13" s="10"/>
      <c r="N13" s="337"/>
      <c r="O13" s="498"/>
      <c r="P13" s="258"/>
    </row>
    <row r="14" spans="1:21">
      <c r="A14" s="250"/>
      <c r="B14" s="250"/>
      <c r="C14" s="1006"/>
      <c r="D14" s="350" t="str">
        <f>"Direct Expenditure (As Commissioned) - "&amp;Assumptions!C7</f>
        <v>Direct Expenditure (As Commissioned) - $ 2015/16</v>
      </c>
      <c r="E14" s="313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1699.9933367964536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99">
        <f>SUM(F14:N14)</f>
        <v>1699.9933367964536</v>
      </c>
      <c r="P14" s="500">
        <f>SUM(I14:M14)</f>
        <v>0</v>
      </c>
      <c r="R14" s="607" t="str">
        <f>IF(AND(O$11&lt;&gt;0,O$14=0),"Error","ok")</f>
        <v>ok</v>
      </c>
    </row>
    <row r="15" spans="1:21">
      <c r="A15" s="250"/>
      <c r="B15" s="250"/>
      <c r="C15" s="259"/>
      <c r="D15" s="354"/>
      <c r="E15" s="501"/>
      <c r="F15" s="327"/>
      <c r="G15" s="328"/>
      <c r="H15" s="328"/>
      <c r="I15" s="402"/>
      <c r="J15" s="328"/>
      <c r="K15" s="328"/>
      <c r="L15" s="328"/>
      <c r="M15" s="328"/>
      <c r="N15" s="329"/>
      <c r="O15" s="502"/>
      <c r="P15" s="503"/>
    </row>
    <row r="16" spans="1:21">
      <c r="A16" s="250"/>
      <c r="B16" s="250"/>
      <c r="C16" s="258"/>
      <c r="D16" s="504"/>
      <c r="E16" s="313"/>
      <c r="F16" s="325"/>
      <c r="G16" s="326"/>
      <c r="H16" s="330"/>
      <c r="I16" s="403"/>
      <c r="J16" s="330"/>
      <c r="K16" s="330"/>
      <c r="L16" s="330"/>
      <c r="M16" s="330"/>
      <c r="N16" s="331"/>
      <c r="O16" s="505"/>
      <c r="P16" s="258"/>
    </row>
    <row r="17" spans="1:27">
      <c r="A17" s="250"/>
      <c r="B17" s="250"/>
      <c r="C17" s="258" t="s">
        <v>2</v>
      </c>
      <c r="D17" s="350" t="s">
        <v>3</v>
      </c>
      <c r="E17" s="506"/>
      <c r="F17" s="340"/>
      <c r="G17" s="341"/>
      <c r="H17" s="392"/>
      <c r="I17" s="404"/>
      <c r="J17" s="341"/>
      <c r="K17" s="341"/>
      <c r="L17" s="341"/>
      <c r="M17" s="341"/>
      <c r="N17" s="342"/>
      <c r="O17" s="505"/>
      <c r="P17" s="258"/>
    </row>
    <row r="18" spans="1:27">
      <c r="A18" s="250"/>
      <c r="B18" s="250"/>
      <c r="C18" s="258"/>
      <c r="D18" s="350" t="s">
        <v>4</v>
      </c>
      <c r="E18" s="506"/>
      <c r="F18" s="340">
        <v>1</v>
      </c>
      <c r="G18" s="341">
        <v>1</v>
      </c>
      <c r="H18" s="392">
        <v>1</v>
      </c>
      <c r="I18" s="404">
        <v>1</v>
      </c>
      <c r="J18" s="341">
        <v>1</v>
      </c>
      <c r="K18" s="341">
        <v>1</v>
      </c>
      <c r="L18" s="341">
        <v>1</v>
      </c>
      <c r="M18" s="341">
        <v>1</v>
      </c>
      <c r="N18" s="342">
        <v>1</v>
      </c>
      <c r="O18" s="505"/>
      <c r="P18" s="258"/>
    </row>
    <row r="19" spans="1:27">
      <c r="A19" s="250"/>
      <c r="B19" s="250"/>
      <c r="C19" s="258"/>
      <c r="D19" s="350" t="s">
        <v>5</v>
      </c>
      <c r="E19" s="506"/>
      <c r="F19" s="340"/>
      <c r="G19" s="341"/>
      <c r="H19" s="392"/>
      <c r="I19" s="404"/>
      <c r="J19" s="341"/>
      <c r="K19" s="341"/>
      <c r="L19" s="341"/>
      <c r="M19" s="341"/>
      <c r="N19" s="342"/>
      <c r="O19" s="505"/>
      <c r="P19" s="258"/>
    </row>
    <row r="20" spans="1:27">
      <c r="A20" s="250"/>
      <c r="B20" s="250"/>
      <c r="C20" s="258"/>
      <c r="D20" s="350" t="s">
        <v>6</v>
      </c>
      <c r="E20" s="506"/>
      <c r="F20" s="340"/>
      <c r="G20" s="341"/>
      <c r="H20" s="392"/>
      <c r="I20" s="404"/>
      <c r="J20" s="341"/>
      <c r="K20" s="341"/>
      <c r="L20" s="341"/>
      <c r="M20" s="341"/>
      <c r="N20" s="342"/>
      <c r="O20" s="505"/>
      <c r="P20" s="258"/>
    </row>
    <row r="21" spans="1:27">
      <c r="A21" s="250"/>
      <c r="B21" s="250"/>
      <c r="C21" s="258"/>
      <c r="D21" s="350" t="s">
        <v>7</v>
      </c>
      <c r="E21" s="506"/>
      <c r="F21" s="340"/>
      <c r="G21" s="341"/>
      <c r="H21" s="392"/>
      <c r="I21" s="404"/>
      <c r="J21" s="341"/>
      <c r="K21" s="341"/>
      <c r="L21" s="341"/>
      <c r="M21" s="341"/>
      <c r="N21" s="342"/>
      <c r="O21" s="505"/>
      <c r="P21" s="258"/>
      <c r="U21" s="507"/>
      <c r="V21" s="507"/>
      <c r="W21" s="507"/>
      <c r="X21" s="507"/>
      <c r="Y21" s="507"/>
      <c r="Z21" s="507"/>
      <c r="AA21" s="507"/>
    </row>
    <row r="22" spans="1:27">
      <c r="A22" s="250"/>
      <c r="B22" s="250"/>
      <c r="C22" s="258"/>
      <c r="D22" s="350" t="s">
        <v>8</v>
      </c>
      <c r="E22" s="506"/>
      <c r="F22" s="340"/>
      <c r="G22" s="341"/>
      <c r="H22" s="392"/>
      <c r="I22" s="404"/>
      <c r="J22" s="341"/>
      <c r="K22" s="341"/>
      <c r="L22" s="341"/>
      <c r="M22" s="341"/>
      <c r="N22" s="342"/>
      <c r="O22" s="505"/>
      <c r="P22" s="258"/>
    </row>
    <row r="23" spans="1:27">
      <c r="A23" s="250"/>
      <c r="B23" s="250"/>
      <c r="C23" s="258"/>
      <c r="D23" s="350" t="s">
        <v>9</v>
      </c>
      <c r="E23" s="506"/>
      <c r="F23" s="340"/>
      <c r="G23" s="341"/>
      <c r="H23" s="392"/>
      <c r="I23" s="404"/>
      <c r="J23" s="341"/>
      <c r="K23" s="341"/>
      <c r="L23" s="341"/>
      <c r="M23" s="341"/>
      <c r="N23" s="342"/>
      <c r="O23" s="505"/>
      <c r="P23" s="258"/>
    </row>
    <row r="24" spans="1:27">
      <c r="A24" s="250"/>
      <c r="B24" s="250"/>
      <c r="C24" s="258"/>
      <c r="D24" s="350" t="s">
        <v>10</v>
      </c>
      <c r="E24" s="506"/>
      <c r="F24" s="340"/>
      <c r="G24" s="341"/>
      <c r="H24" s="392"/>
      <c r="I24" s="404"/>
      <c r="J24" s="341"/>
      <c r="K24" s="341"/>
      <c r="L24" s="341"/>
      <c r="M24" s="341"/>
      <c r="N24" s="342"/>
      <c r="O24" s="505"/>
      <c r="P24" s="258"/>
    </row>
    <row r="25" spans="1:27">
      <c r="A25" s="250"/>
      <c r="B25" s="250"/>
      <c r="C25" s="258"/>
      <c r="D25" s="350" t="s">
        <v>11</v>
      </c>
      <c r="E25" s="506"/>
      <c r="F25" s="340"/>
      <c r="G25" s="341"/>
      <c r="H25" s="392"/>
      <c r="I25" s="404"/>
      <c r="J25" s="341"/>
      <c r="K25" s="341"/>
      <c r="L25" s="341"/>
      <c r="M25" s="341"/>
      <c r="N25" s="342"/>
      <c r="O25" s="505"/>
      <c r="P25" s="258"/>
      <c r="T25" s="507"/>
    </row>
    <row r="26" spans="1:27">
      <c r="A26" s="250"/>
      <c r="B26" s="250"/>
      <c r="C26" s="258"/>
      <c r="D26" s="350" t="s">
        <v>12</v>
      </c>
      <c r="E26" s="506"/>
      <c r="F26" s="340"/>
      <c r="G26" s="341"/>
      <c r="H26" s="392"/>
      <c r="I26" s="404"/>
      <c r="J26" s="341"/>
      <c r="K26" s="341"/>
      <c r="L26" s="341"/>
      <c r="M26" s="341"/>
      <c r="N26" s="342"/>
      <c r="O26" s="505"/>
      <c r="P26" s="258"/>
      <c r="T26" s="507"/>
    </row>
    <row r="27" spans="1:27">
      <c r="A27" s="250"/>
      <c r="B27" s="250"/>
      <c r="C27" s="259"/>
      <c r="D27" s="464"/>
      <c r="E27" s="508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509"/>
      <c r="P27" s="259"/>
      <c r="T27" s="507"/>
    </row>
    <row r="28" spans="1:27">
      <c r="A28" s="250"/>
      <c r="B28" s="250"/>
      <c r="C28" s="257"/>
      <c r="D28" s="302"/>
      <c r="E28" s="510"/>
      <c r="F28" s="333"/>
      <c r="G28" s="334"/>
      <c r="H28" s="394"/>
      <c r="I28" s="406"/>
      <c r="J28" s="334"/>
      <c r="K28" s="334"/>
      <c r="L28" s="334"/>
      <c r="M28" s="334"/>
      <c r="N28" s="335"/>
      <c r="O28" s="505"/>
      <c r="P28" s="258"/>
      <c r="T28" s="507"/>
    </row>
    <row r="29" spans="1:27">
      <c r="A29" s="250"/>
      <c r="B29" s="250"/>
      <c r="C29" s="258" t="s">
        <v>58</v>
      </c>
      <c r="D29" s="350" t="s">
        <v>0</v>
      </c>
      <c r="E29" s="506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505"/>
      <c r="P29" s="258"/>
      <c r="T29" s="507"/>
    </row>
    <row r="30" spans="1:27">
      <c r="A30" s="250"/>
      <c r="B30" s="250"/>
      <c r="C30" s="258"/>
      <c r="D30" s="350" t="s">
        <v>1</v>
      </c>
      <c r="E30" s="506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505"/>
      <c r="P30" s="258"/>
      <c r="T30" s="507"/>
    </row>
    <row r="31" spans="1:27">
      <c r="A31" s="250"/>
      <c r="B31" s="250"/>
      <c r="C31" s="258"/>
      <c r="D31" s="350" t="s">
        <v>57</v>
      </c>
      <c r="E31" s="506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1"/>
      <c r="P31" s="258"/>
      <c r="T31" s="507"/>
    </row>
    <row r="32" spans="1:27">
      <c r="A32" s="250"/>
      <c r="B32" s="250"/>
      <c r="C32" s="259"/>
      <c r="D32" s="464"/>
      <c r="E32" s="508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5"/>
      <c r="P32" s="259"/>
    </row>
    <row r="33" spans="1:21">
      <c r="A33" s="250"/>
      <c r="B33" s="250"/>
      <c r="C33" s="258" t="s">
        <v>59</v>
      </c>
      <c r="D33" s="271"/>
      <c r="E33" s="313"/>
      <c r="F33" s="511"/>
      <c r="G33" s="250"/>
      <c r="H33" s="250"/>
      <c r="I33" s="512"/>
      <c r="J33" s="290"/>
      <c r="K33" s="290"/>
      <c r="L33" s="290"/>
      <c r="M33" s="290"/>
      <c r="N33" s="346"/>
      <c r="O33" s="511"/>
      <c r="P33" s="258"/>
      <c r="Q33" s="250"/>
      <c r="R33" s="250"/>
      <c r="S33" s="250"/>
      <c r="T33" s="250"/>
      <c r="U33" s="250"/>
    </row>
    <row r="34" spans="1:21">
      <c r="A34" s="250"/>
      <c r="B34" s="250"/>
      <c r="C34" s="258" t="s">
        <v>266</v>
      </c>
      <c r="D34" s="350" t="s">
        <v>3</v>
      </c>
      <c r="E34" s="313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512">
        <f>IF(I$10="Prior",0,(I$11*I$31*I17)*(Assumptions!I54-1))</f>
        <v>0</v>
      </c>
      <c r="J34" s="290">
        <f>IF(J$10="Prior",0,(J$11*J$31*J17)*(Assumptions!J54-1))</f>
        <v>0</v>
      </c>
      <c r="K34" s="290">
        <f>IF(K$10="Prior",0,(K$11*K$31*K17)*(Assumptions!K54-1))</f>
        <v>0</v>
      </c>
      <c r="L34" s="290">
        <f>IF(L$10="Prior",0,(L$11*L$31*L17)*(Assumptions!L54-1))</f>
        <v>0</v>
      </c>
      <c r="M34" s="290">
        <f>IF(M$10="Prior",0,(M$11*M$31*M17)*(Assumptions!M54-1))</f>
        <v>0</v>
      </c>
      <c r="N34" s="346">
        <f>IF(N$10="Prior",0,(N$11*N$31*N17)*(Assumptions!N54-1))</f>
        <v>0</v>
      </c>
      <c r="O34" s="513">
        <f t="shared" ref="O34:O43" si="3">SUM(F34:N34)</f>
        <v>0</v>
      </c>
      <c r="P34" s="514">
        <f t="shared" ref="P34:P43" si="4">SUM(I34:M34)</f>
        <v>0</v>
      </c>
      <c r="Q34" s="250"/>
      <c r="R34" s="250"/>
      <c r="S34" s="250"/>
      <c r="T34" s="250"/>
      <c r="U34" s="250"/>
    </row>
    <row r="35" spans="1:21">
      <c r="A35" s="250"/>
      <c r="B35" s="250"/>
      <c r="C35" s="258"/>
      <c r="D35" s="350" t="s">
        <v>4</v>
      </c>
      <c r="E35" s="313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512">
        <f>IF(I$10="Prior",0,(I$11*I$31*I18)*(Assumptions!I55-1))</f>
        <v>0</v>
      </c>
      <c r="J35" s="290">
        <f>IF(J$10="Prior",0,(J$11*J$31*J18)*(Assumptions!J55-1))</f>
        <v>0</v>
      </c>
      <c r="K35" s="290">
        <f>IF(K$10="Prior",0,(K$11*K$31*K18)*(Assumptions!K55-1))</f>
        <v>0</v>
      </c>
      <c r="L35" s="290">
        <f>IF(L$10="Prior",0,(L$11*L$31*L18)*(Assumptions!L55-1))</f>
        <v>0</v>
      </c>
      <c r="M35" s="290">
        <f>IF(M$10="Prior",0,(M$11*M$31*M18)*(Assumptions!M55-1))</f>
        <v>0</v>
      </c>
      <c r="N35" s="346">
        <f>IF(N$10="Prior",0,(N$11*N$31*N18)*(Assumptions!N55-1))</f>
        <v>0</v>
      </c>
      <c r="O35" s="513">
        <f t="shared" si="3"/>
        <v>0</v>
      </c>
      <c r="P35" s="514">
        <f t="shared" si="4"/>
        <v>0</v>
      </c>
      <c r="Q35" s="515"/>
      <c r="R35" s="515"/>
      <c r="S35" s="515"/>
      <c r="T35" s="515"/>
    </row>
    <row r="36" spans="1:21">
      <c r="A36" s="250"/>
      <c r="B36" s="250"/>
      <c r="C36" s="258"/>
      <c r="D36" s="350" t="s">
        <v>5</v>
      </c>
      <c r="E36" s="313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512">
        <f>IF(I$10="Prior",0,(I$11*I$31*I19)*(Assumptions!I56-1))</f>
        <v>0</v>
      </c>
      <c r="J36" s="290">
        <f>IF(J$10="Prior",0,(J$11*J$31*J19)*(Assumptions!J56-1))</f>
        <v>0</v>
      </c>
      <c r="K36" s="290">
        <f>IF(K$10="Prior",0,(K$11*K$31*K19)*(Assumptions!K56-1))</f>
        <v>0</v>
      </c>
      <c r="L36" s="290">
        <f>IF(L$10="Prior",0,(L$11*L$31*L19)*(Assumptions!L56-1))</f>
        <v>0</v>
      </c>
      <c r="M36" s="290">
        <f>IF(M$10="Prior",0,(M$11*M$31*M19)*(Assumptions!M56-1))</f>
        <v>0</v>
      </c>
      <c r="N36" s="346">
        <f>IF(N$10="Prior",0,(N$11*N$31*N19)*(Assumptions!N56-1))</f>
        <v>0</v>
      </c>
      <c r="O36" s="513">
        <f t="shared" si="3"/>
        <v>0</v>
      </c>
      <c r="P36" s="514">
        <f t="shared" si="4"/>
        <v>0</v>
      </c>
    </row>
    <row r="37" spans="1:21">
      <c r="A37" s="250"/>
      <c r="B37" s="250"/>
      <c r="C37" s="258"/>
      <c r="D37" s="350" t="s">
        <v>6</v>
      </c>
      <c r="E37" s="313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512">
        <f>IF(I$10="Prior",0,(I$11*I$31*I20)*(Assumptions!I57-1))</f>
        <v>0</v>
      </c>
      <c r="J37" s="290">
        <f>IF(J$10="Prior",0,(J$11*J$31*J20)*(Assumptions!J57-1))</f>
        <v>0</v>
      </c>
      <c r="K37" s="290">
        <f>IF(K$10="Prior",0,(K$11*K$31*K20)*(Assumptions!K57-1))</f>
        <v>0</v>
      </c>
      <c r="L37" s="290">
        <f>IF(L$10="Prior",0,(L$11*L$31*L20)*(Assumptions!L57-1))</f>
        <v>0</v>
      </c>
      <c r="M37" s="290">
        <f>IF(M$10="Prior",0,(M$11*M$31*M20)*(Assumptions!M57-1))</f>
        <v>0</v>
      </c>
      <c r="N37" s="346">
        <f>IF(N$10="Prior",0,(N$11*N$31*N20)*(Assumptions!N57-1))</f>
        <v>0</v>
      </c>
      <c r="O37" s="513">
        <f t="shared" si="3"/>
        <v>0</v>
      </c>
      <c r="P37" s="514">
        <f t="shared" si="4"/>
        <v>0</v>
      </c>
    </row>
    <row r="38" spans="1:21">
      <c r="A38" s="250"/>
      <c r="B38" s="250"/>
      <c r="C38" s="258"/>
      <c r="D38" s="350" t="s">
        <v>7</v>
      </c>
      <c r="E38" s="313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512">
        <f>IF(I$10="Prior",0,(I$11*I$31*I21)*(Assumptions!I58-1))</f>
        <v>0</v>
      </c>
      <c r="J38" s="290">
        <f>IF(J$10="Prior",0,(J$11*J$31*J21)*(Assumptions!J58-1))</f>
        <v>0</v>
      </c>
      <c r="K38" s="290">
        <f>IF(K$10="Prior",0,(K$11*K$31*K21)*(Assumptions!K58-1))</f>
        <v>0</v>
      </c>
      <c r="L38" s="290">
        <f>IF(L$10="Prior",0,(L$11*L$31*L21)*(Assumptions!L58-1))</f>
        <v>0</v>
      </c>
      <c r="M38" s="290">
        <f>IF(M$10="Prior",0,(M$11*M$31*M21)*(Assumptions!M58-1))</f>
        <v>0</v>
      </c>
      <c r="N38" s="346">
        <f>IF(N$10="Prior",0,(N$11*N$31*N21)*(Assumptions!N58-1))</f>
        <v>0</v>
      </c>
      <c r="O38" s="513">
        <f t="shared" si="3"/>
        <v>0</v>
      </c>
      <c r="P38" s="514">
        <f t="shared" si="4"/>
        <v>0</v>
      </c>
      <c r="Q38" s="516"/>
      <c r="R38" s="516"/>
      <c r="S38" s="516"/>
      <c r="T38" s="516"/>
    </row>
    <row r="39" spans="1:21">
      <c r="A39" s="250"/>
      <c r="B39" s="250"/>
      <c r="C39" s="258"/>
      <c r="D39" s="350" t="s">
        <v>8</v>
      </c>
      <c r="E39" s="313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512">
        <f>IF(I$10="Prior",0,(I$11*I$31*I22)*(Assumptions!I59-1))</f>
        <v>0</v>
      </c>
      <c r="J39" s="290">
        <f>IF(J$10="Prior",0,(J$11*J$31*J22)*(Assumptions!J59-1))</f>
        <v>0</v>
      </c>
      <c r="K39" s="290">
        <f>IF(K$10="Prior",0,(K$11*K$31*K22)*(Assumptions!K59-1))</f>
        <v>0</v>
      </c>
      <c r="L39" s="290">
        <f>IF(L$10="Prior",0,(L$11*L$31*L22)*(Assumptions!L59-1))</f>
        <v>0</v>
      </c>
      <c r="M39" s="290">
        <f>IF(M$10="Prior",0,(M$11*M$31*M22)*(Assumptions!M59-1))</f>
        <v>0</v>
      </c>
      <c r="N39" s="346">
        <f>IF(N$10="Prior",0,(N$11*N$31*N22)*(Assumptions!N59-1))</f>
        <v>0</v>
      </c>
      <c r="O39" s="513">
        <f t="shared" si="3"/>
        <v>0</v>
      </c>
      <c r="P39" s="514">
        <f t="shared" si="4"/>
        <v>0</v>
      </c>
    </row>
    <row r="40" spans="1:21">
      <c r="A40" s="250"/>
      <c r="B40" s="250"/>
      <c r="C40" s="258"/>
      <c r="D40" s="350" t="s">
        <v>9</v>
      </c>
      <c r="E40" s="313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512">
        <f>IF(I$10="Prior",0,(I$11*I$31*I23)*(Assumptions!I60-1))</f>
        <v>0</v>
      </c>
      <c r="J40" s="290">
        <f>IF(J$10="Prior",0,(J$11*J$31*J23)*(Assumptions!J60-1))</f>
        <v>0</v>
      </c>
      <c r="K40" s="290">
        <f>IF(K$10="Prior",0,(K$11*K$31*K23)*(Assumptions!K60-1))</f>
        <v>0</v>
      </c>
      <c r="L40" s="290">
        <f>IF(L$10="Prior",0,(L$11*L$31*L23)*(Assumptions!L60-1))</f>
        <v>0</v>
      </c>
      <c r="M40" s="290">
        <f>IF(M$10="Prior",0,(M$11*M$31*M23)*(Assumptions!M60-1))</f>
        <v>0</v>
      </c>
      <c r="N40" s="346">
        <f>IF(N$10="Prior",0,(N$11*N$31*N23)*(Assumptions!N60-1))</f>
        <v>0</v>
      </c>
      <c r="O40" s="513">
        <f t="shared" si="3"/>
        <v>0</v>
      </c>
      <c r="P40" s="514">
        <f t="shared" si="4"/>
        <v>0</v>
      </c>
    </row>
    <row r="41" spans="1:21">
      <c r="A41" s="250"/>
      <c r="B41" s="250"/>
      <c r="C41" s="258"/>
      <c r="D41" s="350" t="s">
        <v>10</v>
      </c>
      <c r="E41" s="313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512">
        <f>IF(I$10="Prior",0,(I$11*I$31*I24)*(Assumptions!I61-1))</f>
        <v>0</v>
      </c>
      <c r="J41" s="290">
        <f>IF(J$10="Prior",0,(J$11*J$31*J24)*(Assumptions!J61-1))</f>
        <v>0</v>
      </c>
      <c r="K41" s="290">
        <f>IF(K$10="Prior",0,(K$11*K$31*K24)*(Assumptions!K61-1))</f>
        <v>0</v>
      </c>
      <c r="L41" s="290">
        <f>IF(L$10="Prior",0,(L$11*L$31*L24)*(Assumptions!L61-1))</f>
        <v>0</v>
      </c>
      <c r="M41" s="290">
        <f>IF(M$10="Prior",0,(M$11*M$31*M24)*(Assumptions!M61-1))</f>
        <v>0</v>
      </c>
      <c r="N41" s="346">
        <f>IF(N$10="Prior",0,(N$11*N$31*N24)*(Assumptions!N61-1))</f>
        <v>0</v>
      </c>
      <c r="O41" s="513">
        <f t="shared" si="3"/>
        <v>0</v>
      </c>
      <c r="P41" s="514">
        <f t="shared" si="4"/>
        <v>0</v>
      </c>
      <c r="Q41" s="516"/>
      <c r="R41" s="516"/>
      <c r="S41" s="516"/>
      <c r="T41" s="516"/>
    </row>
    <row r="42" spans="1:21">
      <c r="A42" s="250"/>
      <c r="B42" s="250"/>
      <c r="C42" s="258"/>
      <c r="D42" s="350" t="s">
        <v>11</v>
      </c>
      <c r="E42" s="313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512">
        <f>IF(I$10="Prior",0,(I$11*I$31*I25)*(Assumptions!I62-1))</f>
        <v>0</v>
      </c>
      <c r="J42" s="290">
        <f>IF(J$10="Prior",0,(J$11*J$31*J25)*(Assumptions!J62-1))</f>
        <v>0</v>
      </c>
      <c r="K42" s="290">
        <f>IF(K$10="Prior",0,(K$11*K$31*K25)*(Assumptions!K62-1))</f>
        <v>0</v>
      </c>
      <c r="L42" s="290">
        <f>IF(L$10="Prior",0,(L$11*L$31*L25)*(Assumptions!L62-1))</f>
        <v>0</v>
      </c>
      <c r="M42" s="290">
        <f>IF(M$10="Prior",0,(M$11*M$31*M25)*(Assumptions!M62-1))</f>
        <v>0</v>
      </c>
      <c r="N42" s="346">
        <f>IF(N$10="Prior",0,(N$11*N$31*N25)*(Assumptions!N62-1))</f>
        <v>0</v>
      </c>
      <c r="O42" s="513">
        <f t="shared" si="3"/>
        <v>0</v>
      </c>
      <c r="P42" s="514">
        <f t="shared" si="4"/>
        <v>0</v>
      </c>
    </row>
    <row r="43" spans="1:21">
      <c r="A43" s="250"/>
      <c r="B43" s="250"/>
      <c r="C43" s="258"/>
      <c r="D43" s="350" t="s">
        <v>12</v>
      </c>
      <c r="E43" s="313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512">
        <f>IF(I$10="Prior",0,(I$11*I$31*I26)*(Assumptions!I63-1))</f>
        <v>0</v>
      </c>
      <c r="J43" s="290">
        <f>IF(J$10="Prior",0,(J$11*J$31*J26)*(Assumptions!J63-1))</f>
        <v>0</v>
      </c>
      <c r="K43" s="290">
        <f>IF(K$10="Prior",0,(K$11*K$31*K26)*(Assumptions!K63-1))</f>
        <v>0</v>
      </c>
      <c r="L43" s="290">
        <f>IF(L$10="Prior",0,(L$11*L$31*L26)*(Assumptions!L63-1))</f>
        <v>0</v>
      </c>
      <c r="M43" s="290">
        <f>IF(M$10="Prior",0,(M$11*M$31*M26)*(Assumptions!M63-1))</f>
        <v>0</v>
      </c>
      <c r="N43" s="346">
        <f>IF(N$10="Prior",0,(N$11*N$31*N26)*(Assumptions!N63-1))</f>
        <v>0</v>
      </c>
      <c r="O43" s="513">
        <f t="shared" si="3"/>
        <v>0</v>
      </c>
      <c r="P43" s="514">
        <f t="shared" si="4"/>
        <v>0</v>
      </c>
    </row>
    <row r="44" spans="1:21">
      <c r="A44" s="250"/>
      <c r="B44" s="250"/>
      <c r="C44" s="258"/>
      <c r="D44" s="465" t="s">
        <v>61</v>
      </c>
      <c r="E44" s="517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518">
        <f t="shared" si="5"/>
        <v>0</v>
      </c>
      <c r="J44" s="253">
        <f t="shared" si="5"/>
        <v>0</v>
      </c>
      <c r="K44" s="253">
        <f t="shared" si="5"/>
        <v>0</v>
      </c>
      <c r="L44" s="253">
        <f t="shared" si="5"/>
        <v>0</v>
      </c>
      <c r="M44" s="253">
        <f t="shared" si="5"/>
        <v>0</v>
      </c>
      <c r="N44" s="519">
        <f t="shared" si="5"/>
        <v>0</v>
      </c>
      <c r="O44" s="520">
        <f>SUM(O34:O43)</f>
        <v>0</v>
      </c>
      <c r="P44" s="521">
        <f>SUM(P34:P43)</f>
        <v>0</v>
      </c>
      <c r="Q44" s="516"/>
      <c r="R44" s="516"/>
      <c r="S44" s="516"/>
      <c r="T44" s="516"/>
    </row>
    <row r="45" spans="1:21">
      <c r="A45" s="250"/>
      <c r="B45" s="250"/>
      <c r="C45" s="258"/>
      <c r="D45" s="284"/>
      <c r="E45" s="250"/>
      <c r="F45" s="293"/>
      <c r="G45" s="287"/>
      <c r="H45" s="287"/>
      <c r="I45" s="522"/>
      <c r="J45" s="523"/>
      <c r="K45" s="523"/>
      <c r="L45" s="523"/>
      <c r="M45" s="523"/>
      <c r="N45" s="524"/>
      <c r="O45" s="511"/>
      <c r="P45" s="258"/>
    </row>
    <row r="46" spans="1:21">
      <c r="A46" s="250"/>
      <c r="B46" s="250"/>
      <c r="C46" s="258" t="s">
        <v>165</v>
      </c>
      <c r="D46" s="352" t="s">
        <v>270</v>
      </c>
      <c r="E46" s="250"/>
      <c r="F46" s="291">
        <f>IF(F$10="Prior",0,(F11*F29)*(Assumptions!F28-1))</f>
        <v>0</v>
      </c>
      <c r="G46" s="290">
        <f>IF(G$10="Prior",0,(G11*G29)*(Assumptions!G28-1))</f>
        <v>0.85276926018751076</v>
      </c>
      <c r="H46" s="290">
        <f>IF(H$10="Prior",0,(H11*H29)*(Assumptions!H28-1))</f>
        <v>0</v>
      </c>
      <c r="I46" s="512">
        <f>IF(I$10="Prior",0,(I11*I29)*(Assumptions!I28-1))</f>
        <v>0</v>
      </c>
      <c r="J46" s="290">
        <f>IF(J$10="Prior",0,(J11*J29)*(Assumptions!J28-1))</f>
        <v>0</v>
      </c>
      <c r="K46" s="290">
        <f>IF(K$10="Prior",0,(K11*K29)*(Assumptions!K28-1))</f>
        <v>0</v>
      </c>
      <c r="L46" s="290">
        <f>IF(L$10="Prior",0,(L11*L29)*(Assumptions!L28-1))</f>
        <v>0</v>
      </c>
      <c r="M46" s="290">
        <f>IF(M$10="Prior",0,(M11*M29)*(Assumptions!M28-1))</f>
        <v>0</v>
      </c>
      <c r="N46" s="346">
        <f>IF(N$10="Prior",0,(N11*N29)*(Assumptions!N28-1))</f>
        <v>0</v>
      </c>
      <c r="O46" s="294">
        <f t="shared" ref="O46:O47" si="6">SUM(F46:N46)</f>
        <v>0.85276926018751076</v>
      </c>
      <c r="P46" s="497">
        <f t="shared" ref="P46:P47" si="7">SUM(I46:M46)</f>
        <v>0</v>
      </c>
    </row>
    <row r="47" spans="1:21">
      <c r="A47" s="250"/>
      <c r="B47" s="250"/>
      <c r="C47" s="258"/>
      <c r="D47" s="352" t="s">
        <v>271</v>
      </c>
      <c r="E47" s="250"/>
      <c r="F47" s="294">
        <f>IF(F$10="Prior",0,(F11*F30)*(Assumptions!F30-1))</f>
        <v>0</v>
      </c>
      <c r="G47" s="290">
        <f>IF(G$10="Prior",0,(G11*G30)*(Assumptions!G30-1))</f>
        <v>2.9756203972499944</v>
      </c>
      <c r="H47" s="290">
        <f>IF(H$10="Prior",0,(H11*H30)*(Assumptions!H30-1))</f>
        <v>0</v>
      </c>
      <c r="I47" s="512">
        <f>IF(I$10="Prior",0,(I11*I30)*(Assumptions!I30-1))</f>
        <v>0</v>
      </c>
      <c r="J47" s="290">
        <f>IF(J$10="Prior",0,(J11*J30)*(Assumptions!J30-1))</f>
        <v>0</v>
      </c>
      <c r="K47" s="290">
        <f>IF(K$10="Prior",0,(K11*K30)*(Assumptions!K30-1))</f>
        <v>0</v>
      </c>
      <c r="L47" s="290">
        <f>IF(L$10="Prior",0,(L11*L30)*(Assumptions!L30-1))</f>
        <v>0</v>
      </c>
      <c r="M47" s="290">
        <f>IF(M$10="Prior",0,(M11*M30)*(Assumptions!M30-1))</f>
        <v>0</v>
      </c>
      <c r="N47" s="346">
        <f>IF(N$10="Prior",0,(N11*N30)*(Assumptions!N30-1))</f>
        <v>0</v>
      </c>
      <c r="O47" s="294">
        <f t="shared" si="6"/>
        <v>2.9756203972499944</v>
      </c>
      <c r="P47" s="497">
        <f t="shared" si="7"/>
        <v>0</v>
      </c>
    </row>
    <row r="48" spans="1:21">
      <c r="A48" s="250"/>
      <c r="B48" s="250"/>
      <c r="C48" s="258"/>
      <c r="D48" s="465" t="s">
        <v>273</v>
      </c>
      <c r="E48" s="525"/>
      <c r="F48" s="292">
        <f>SUM(F46:F47)</f>
        <v>0</v>
      </c>
      <c r="G48" s="253">
        <f t="shared" ref="G48:N48" si="8">SUM(G46:G47)</f>
        <v>3.8283896574375049</v>
      </c>
      <c r="H48" s="253">
        <f t="shared" si="8"/>
        <v>0</v>
      </c>
      <c r="I48" s="518">
        <f t="shared" si="8"/>
        <v>0</v>
      </c>
      <c r="J48" s="253">
        <f t="shared" si="8"/>
        <v>0</v>
      </c>
      <c r="K48" s="253">
        <f t="shared" si="8"/>
        <v>0</v>
      </c>
      <c r="L48" s="253">
        <f t="shared" si="8"/>
        <v>0</v>
      </c>
      <c r="M48" s="253">
        <f t="shared" si="8"/>
        <v>0</v>
      </c>
      <c r="N48" s="519">
        <f t="shared" si="8"/>
        <v>0</v>
      </c>
      <c r="O48" s="520">
        <f>SUM(O46:O47)</f>
        <v>3.8283896574375049</v>
      </c>
      <c r="P48" s="526">
        <f>SUM(P46:P47)</f>
        <v>0</v>
      </c>
    </row>
    <row r="49" spans="1:18">
      <c r="A49" s="250"/>
      <c r="B49" s="250"/>
      <c r="C49" s="439"/>
      <c r="D49" s="465" t="s">
        <v>60</v>
      </c>
      <c r="E49" s="525"/>
      <c r="F49" s="292">
        <f t="shared" ref="F49:N49" si="9">F44+F48</f>
        <v>0</v>
      </c>
      <c r="G49" s="253">
        <f t="shared" si="9"/>
        <v>3.8283896574375049</v>
      </c>
      <c r="H49" s="253">
        <f t="shared" si="9"/>
        <v>0</v>
      </c>
      <c r="I49" s="518">
        <f t="shared" si="9"/>
        <v>0</v>
      </c>
      <c r="J49" s="253">
        <f t="shared" si="9"/>
        <v>0</v>
      </c>
      <c r="K49" s="253">
        <f t="shared" si="9"/>
        <v>0</v>
      </c>
      <c r="L49" s="253">
        <f t="shared" si="9"/>
        <v>0</v>
      </c>
      <c r="M49" s="253">
        <f t="shared" si="9"/>
        <v>0</v>
      </c>
      <c r="N49" s="519">
        <f t="shared" si="9"/>
        <v>0</v>
      </c>
      <c r="O49" s="520">
        <f>O44+O48</f>
        <v>3.8283896574375049</v>
      </c>
      <c r="P49" s="521">
        <f>P44+P48</f>
        <v>0</v>
      </c>
    </row>
    <row r="50" spans="1:18">
      <c r="A50" s="250"/>
      <c r="B50" s="250"/>
      <c r="C50" s="260"/>
      <c r="D50" s="386" t="s">
        <v>283</v>
      </c>
      <c r="E50" s="527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0</v>
      </c>
      <c r="I50" s="528">
        <f t="shared" si="10"/>
        <v>0</v>
      </c>
      <c r="J50" s="441">
        <f t="shared" si="10"/>
        <v>0</v>
      </c>
      <c r="K50" s="441">
        <f t="shared" si="10"/>
        <v>0</v>
      </c>
      <c r="L50" s="441">
        <f t="shared" si="10"/>
        <v>0</v>
      </c>
      <c r="M50" s="441">
        <f t="shared" si="10"/>
        <v>0</v>
      </c>
      <c r="N50" s="529">
        <f t="shared" si="10"/>
        <v>0</v>
      </c>
      <c r="O50" s="529">
        <f t="shared" si="10"/>
        <v>2.2520027429353932E-3</v>
      </c>
      <c r="P50" s="529">
        <f t="shared" si="10"/>
        <v>0</v>
      </c>
    </row>
    <row r="51" spans="1:18">
      <c r="A51" s="250"/>
      <c r="B51" s="250"/>
      <c r="C51" s="310" t="s">
        <v>277</v>
      </c>
      <c r="D51" s="353" t="s">
        <v>17</v>
      </c>
      <c r="E51" s="530"/>
      <c r="F51" s="343">
        <f>(F29*F$11+F46)*Assumptions!$G$21</f>
        <v>25.267465180804781</v>
      </c>
      <c r="G51" s="344">
        <f>(G29*G$11+G46)*Assumptions!$G$21</f>
        <v>148.47499288395008</v>
      </c>
      <c r="H51" s="344">
        <f>(H29*H$11+H46)*Assumptions!$G$21</f>
        <v>0</v>
      </c>
      <c r="I51" s="531">
        <f>(I29*I$11+I46)*Assumptions!$G$21</f>
        <v>0</v>
      </c>
      <c r="J51" s="344">
        <f>(J29*J$11+J46)*Assumptions!$G$21</f>
        <v>0</v>
      </c>
      <c r="K51" s="344">
        <f>(K29*K$11+K46)*Assumptions!$G$21</f>
        <v>0</v>
      </c>
      <c r="L51" s="344">
        <f>(L29*L$11+L46)*Assumptions!$G$21</f>
        <v>0</v>
      </c>
      <c r="M51" s="344">
        <f>(M29*M$11+M46)*Assumptions!$G$21</f>
        <v>0</v>
      </c>
      <c r="N51" s="345">
        <f>(N29*N$11+N46)*Assumptions!$G$21</f>
        <v>0</v>
      </c>
      <c r="O51" s="532">
        <f t="shared" ref="O51:O53" si="11">SUM(F51:N51)</f>
        <v>173.74245806475486</v>
      </c>
      <c r="P51" s="533">
        <f>SUM(I51:M51)</f>
        <v>0</v>
      </c>
    </row>
    <row r="52" spans="1:18">
      <c r="A52" s="250"/>
      <c r="B52" s="250"/>
      <c r="C52" s="258" t="s">
        <v>25</v>
      </c>
      <c r="D52" s="350" t="s">
        <v>19</v>
      </c>
      <c r="E52" s="313"/>
      <c r="F52" s="294">
        <f>(F30*F$11+F47)*Assumptions!$G$21</f>
        <v>126.3373259040239</v>
      </c>
      <c r="G52" s="290">
        <f>(G30*G$11+G47)*Assumptions!$G$21</f>
        <v>741.06494522069966</v>
      </c>
      <c r="H52" s="290">
        <f>(H30*H$11+H47)*Assumptions!$G$21</f>
        <v>0</v>
      </c>
      <c r="I52" s="512">
        <f>(I30*I$11+I47)*Assumptions!$G$21</f>
        <v>0</v>
      </c>
      <c r="J52" s="290">
        <f>(J30*J$11+J47)*Assumptions!$G$21</f>
        <v>0</v>
      </c>
      <c r="K52" s="290">
        <f>(K30*K$11+K47)*Assumptions!$G$21</f>
        <v>0</v>
      </c>
      <c r="L52" s="290">
        <f>(L30*L$11+L47)*Assumptions!$G$21</f>
        <v>0</v>
      </c>
      <c r="M52" s="290">
        <f>(M30*M$11+M47)*Assumptions!$G$21</f>
        <v>0</v>
      </c>
      <c r="N52" s="346">
        <f>(N30*N$11+N47)*Assumptions!$G$21</f>
        <v>0</v>
      </c>
      <c r="O52" s="534">
        <f t="shared" si="11"/>
        <v>867.4022711247236</v>
      </c>
      <c r="P52" s="535">
        <f>SUM(I52:M52)</f>
        <v>0</v>
      </c>
    </row>
    <row r="53" spans="1:18">
      <c r="A53" s="250"/>
      <c r="B53" s="250"/>
      <c r="C53" s="258"/>
      <c r="D53" s="350" t="s">
        <v>18</v>
      </c>
      <c r="E53" s="313"/>
      <c r="F53" s="294">
        <f>(F31*F$11+F$44)*Assumptions!$G$21</f>
        <v>101.06986072321912</v>
      </c>
      <c r="G53" s="290">
        <f>(G31*G$11+G$44)*Assumptions!$G$21</f>
        <v>590.43118830451124</v>
      </c>
      <c r="H53" s="290">
        <f>(H31*H$11+H$44)*Assumptions!$G$21</f>
        <v>0</v>
      </c>
      <c r="I53" s="512">
        <f>(I31*I$11+I$44)*Assumptions!$G$21</f>
        <v>0</v>
      </c>
      <c r="J53" s="290">
        <f>(J31*J$11+J$44)*Assumptions!$G$21</f>
        <v>0</v>
      </c>
      <c r="K53" s="290">
        <f>(K31*K$11+K$44)*Assumptions!$G$21</f>
        <v>0</v>
      </c>
      <c r="L53" s="290">
        <f>(L31*L$11+L$44)*Assumptions!$G$21</f>
        <v>0</v>
      </c>
      <c r="M53" s="290">
        <f>(M31*M$11+M$44)*Assumptions!$G$21</f>
        <v>0</v>
      </c>
      <c r="N53" s="346">
        <f>(N31*N$11+N$44)*Assumptions!$G$21</f>
        <v>0</v>
      </c>
      <c r="O53" s="534">
        <f t="shared" si="11"/>
        <v>691.50104902773035</v>
      </c>
      <c r="P53" s="535">
        <f>SUM(I53:M53)</f>
        <v>0</v>
      </c>
    </row>
    <row r="54" spans="1:18">
      <c r="A54" s="250"/>
      <c r="B54" s="250"/>
      <c r="C54" s="536"/>
      <c r="D54" s="537" t="str">
        <f>"Total Direct - As Incurred "&amp;Assumptions!$C$8</f>
        <v>Total Direct - As Incurred $ Mar 2017</v>
      </c>
      <c r="E54" s="517"/>
      <c r="F54" s="292">
        <f t="shared" ref="F54:P54" si="12">+SUM(F51:F53)</f>
        <v>252.67465180804783</v>
      </c>
      <c r="G54" s="253">
        <f t="shared" si="12"/>
        <v>1479.9711264091611</v>
      </c>
      <c r="H54" s="253">
        <f t="shared" si="12"/>
        <v>0</v>
      </c>
      <c r="I54" s="411">
        <f t="shared" si="12"/>
        <v>0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1732.6457782172088</v>
      </c>
      <c r="P54" s="428">
        <f t="shared" si="12"/>
        <v>0</v>
      </c>
      <c r="R54" s="616" t="str">
        <f>IF(ROUND(O11*(1+O50)*Assumptions!$G$21,0)-ROUND(O54,0)&lt;&gt;0,"Error","ok")</f>
        <v>ok</v>
      </c>
    </row>
    <row r="55" spans="1:18">
      <c r="A55" s="250"/>
      <c r="B55" s="250"/>
      <c r="C55" s="257"/>
      <c r="D55" s="302"/>
      <c r="E55" s="510"/>
      <c r="F55" s="296"/>
      <c r="G55" s="297"/>
      <c r="H55" s="395"/>
      <c r="I55" s="412"/>
      <c r="J55" s="303"/>
      <c r="K55" s="303"/>
      <c r="L55" s="303"/>
      <c r="M55" s="303"/>
      <c r="N55" s="304"/>
      <c r="O55" s="511"/>
      <c r="P55" s="258"/>
    </row>
    <row r="56" spans="1:18">
      <c r="A56" s="250"/>
      <c r="B56" s="250"/>
      <c r="C56" s="258" t="s">
        <v>274</v>
      </c>
      <c r="D56" s="350" t="s">
        <v>272</v>
      </c>
      <c r="E56" s="506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511"/>
      <c r="P56" s="538"/>
    </row>
    <row r="57" spans="1:18">
      <c r="A57" s="250"/>
      <c r="B57" s="250"/>
      <c r="C57" s="258"/>
      <c r="D57" s="350" t="s">
        <v>267</v>
      </c>
      <c r="E57" s="506"/>
      <c r="F57" s="294">
        <f>F54*F56</f>
        <v>20.234620428390961</v>
      </c>
      <c r="G57" s="290">
        <f t="shared" ref="G57:N57" si="13">G54*G56</f>
        <v>87.976565726700329</v>
      </c>
      <c r="H57" s="290">
        <f t="shared" si="13"/>
        <v>0</v>
      </c>
      <c r="I57" s="512">
        <f t="shared" si="13"/>
        <v>0</v>
      </c>
      <c r="J57" s="290">
        <f t="shared" si="13"/>
        <v>0</v>
      </c>
      <c r="K57" s="290">
        <f t="shared" si="13"/>
        <v>0</v>
      </c>
      <c r="L57" s="290">
        <f t="shared" si="13"/>
        <v>0</v>
      </c>
      <c r="M57" s="290">
        <f t="shared" si="13"/>
        <v>0</v>
      </c>
      <c r="N57" s="346">
        <f t="shared" si="13"/>
        <v>0</v>
      </c>
      <c r="O57" s="294">
        <f>SUM(F57:N57)</f>
        <v>108.2111861550913</v>
      </c>
      <c r="P57" s="497">
        <f>SUM(I57:M57)</f>
        <v>0</v>
      </c>
    </row>
    <row r="58" spans="1:18">
      <c r="A58" s="250"/>
      <c r="B58" s="250"/>
      <c r="C58" s="259"/>
      <c r="D58" s="305"/>
      <c r="E58" s="312"/>
      <c r="F58" s="511"/>
      <c r="G58" s="250"/>
      <c r="H58" s="250"/>
      <c r="I58" s="539"/>
      <c r="J58" s="250"/>
      <c r="K58" s="250"/>
      <c r="L58" s="250"/>
      <c r="M58" s="250"/>
      <c r="N58" s="454"/>
      <c r="O58" s="511"/>
      <c r="P58" s="258"/>
    </row>
    <row r="59" spans="1:18">
      <c r="A59" s="250"/>
      <c r="B59" s="250"/>
      <c r="C59" s="536"/>
      <c r="D59" s="537" t="str">
        <f>"Total incl Overhead - As Incurred "&amp;Assumptions!$C$8</f>
        <v>Total incl Overhead - As Incurred $ Mar 2017</v>
      </c>
      <c r="E59" s="517"/>
      <c r="F59" s="292">
        <f t="shared" ref="F59:M59" si="14">F54+F57</f>
        <v>272.90927223643877</v>
      </c>
      <c r="G59" s="253">
        <f t="shared" si="14"/>
        <v>1567.9476921358614</v>
      </c>
      <c r="H59" s="253">
        <f t="shared" si="14"/>
        <v>0</v>
      </c>
      <c r="I59" s="411">
        <f t="shared" si="14"/>
        <v>0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1840.8569643723001</v>
      </c>
      <c r="P59" s="429">
        <f t="shared" si="15"/>
        <v>0</v>
      </c>
    </row>
    <row r="60" spans="1:18" hidden="1" outlineLevel="1">
      <c r="A60" s="250"/>
      <c r="B60" s="250"/>
      <c r="C60" s="250"/>
      <c r="D60" s="313" t="s">
        <v>263</v>
      </c>
      <c r="E60" s="313"/>
      <c r="F60" s="290">
        <f>F57</f>
        <v>20.234620428390961</v>
      </c>
      <c r="G60" s="290">
        <f t="shared" ref="G60:N60" si="16">G57+F60</f>
        <v>108.2111861550913</v>
      </c>
      <c r="H60" s="290">
        <f t="shared" si="16"/>
        <v>108.2111861550913</v>
      </c>
      <c r="I60" s="290">
        <f t="shared" si="16"/>
        <v>108.2111861550913</v>
      </c>
      <c r="J60" s="290">
        <f t="shared" si="16"/>
        <v>108.2111861550913</v>
      </c>
      <c r="K60" s="290">
        <f t="shared" si="16"/>
        <v>108.2111861550913</v>
      </c>
      <c r="L60" s="290">
        <f t="shared" si="16"/>
        <v>108.2111861550913</v>
      </c>
      <c r="M60" s="290">
        <f t="shared" si="16"/>
        <v>108.2111861550913</v>
      </c>
      <c r="N60" s="290">
        <f t="shared" si="16"/>
        <v>108.2111861550913</v>
      </c>
    </row>
    <row r="61" spans="1:18" hidden="1" outlineLevel="1" collapsed="1">
      <c r="A61" s="250"/>
      <c r="B61" s="250"/>
      <c r="D61" s="251" t="s">
        <v>288</v>
      </c>
      <c r="E61" s="251"/>
      <c r="F61" s="252">
        <f>F49</f>
        <v>0</v>
      </c>
      <c r="G61" s="252">
        <f>G49+F61</f>
        <v>3.8283896574375049</v>
      </c>
      <c r="H61" s="252">
        <f t="shared" ref="H61:N61" si="17">H49+G61</f>
        <v>3.8283896574375049</v>
      </c>
      <c r="I61" s="252">
        <f t="shared" si="17"/>
        <v>3.8283896574375049</v>
      </c>
      <c r="J61" s="252">
        <f t="shared" si="17"/>
        <v>3.8283896574375049</v>
      </c>
      <c r="K61" s="252">
        <f t="shared" si="17"/>
        <v>3.8283896574375049</v>
      </c>
      <c r="L61" s="252">
        <f t="shared" si="17"/>
        <v>3.8283896574375049</v>
      </c>
      <c r="M61" s="252">
        <f t="shared" si="17"/>
        <v>3.8283896574375049</v>
      </c>
      <c r="N61" s="252">
        <f t="shared" si="17"/>
        <v>3.8283896574375049</v>
      </c>
    </row>
    <row r="62" spans="1:18" collapsed="1">
      <c r="A62" s="250"/>
      <c r="B62" s="250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  <c r="P62" s="248"/>
    </row>
    <row r="63" spans="1:18">
      <c r="A63" s="250"/>
      <c r="B63" s="250"/>
      <c r="C63" s="540" t="s">
        <v>275</v>
      </c>
      <c r="D63" s="541"/>
      <c r="E63" s="541"/>
      <c r="F63" s="542"/>
      <c r="G63" s="542"/>
      <c r="H63" s="542"/>
      <c r="I63" s="542"/>
      <c r="J63" s="542"/>
      <c r="K63" s="542"/>
      <c r="L63" s="542"/>
      <c r="M63" s="542"/>
      <c r="N63" s="542"/>
      <c r="O63" s="543"/>
      <c r="P63" s="544"/>
    </row>
    <row r="64" spans="1:18">
      <c r="A64" s="250"/>
      <c r="B64" s="250"/>
      <c r="C64" s="257" t="s">
        <v>23</v>
      </c>
      <c r="D64" s="353" t="s">
        <v>3</v>
      </c>
      <c r="E64" s="530"/>
      <c r="F64" s="343">
        <f t="shared" ref="F64:N73" si="18">F$59*F17</f>
        <v>0</v>
      </c>
      <c r="G64" s="344">
        <f t="shared" si="18"/>
        <v>0</v>
      </c>
      <c r="H64" s="344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345">
        <f t="shared" si="18"/>
        <v>0</v>
      </c>
      <c r="O64" s="532">
        <f>SUM(F64:N64)</f>
        <v>0</v>
      </c>
      <c r="P64" s="430">
        <f>SUM(I64:M64)</f>
        <v>0</v>
      </c>
    </row>
    <row r="65" spans="1:16">
      <c r="A65" s="250"/>
      <c r="B65" s="250"/>
      <c r="C65" s="258" t="s">
        <v>24</v>
      </c>
      <c r="D65" s="350" t="s">
        <v>4</v>
      </c>
      <c r="E65" s="313"/>
      <c r="F65" s="294">
        <f t="shared" si="18"/>
        <v>272.90927223643877</v>
      </c>
      <c r="G65" s="290">
        <f t="shared" si="18"/>
        <v>1567.9476921358614</v>
      </c>
      <c r="H65" s="290">
        <f t="shared" si="18"/>
        <v>0</v>
      </c>
      <c r="I65" s="416">
        <f t="shared" si="18"/>
        <v>0</v>
      </c>
      <c r="J65" s="381">
        <f t="shared" si="18"/>
        <v>0</v>
      </c>
      <c r="K65" s="381">
        <f t="shared" si="18"/>
        <v>0</v>
      </c>
      <c r="L65" s="381">
        <f t="shared" si="18"/>
        <v>0</v>
      </c>
      <c r="M65" s="381">
        <f t="shared" si="18"/>
        <v>0</v>
      </c>
      <c r="N65" s="346">
        <f t="shared" si="18"/>
        <v>0</v>
      </c>
      <c r="O65" s="534">
        <f t="shared" ref="O65:O73" si="19">SUM(F65:N65)</f>
        <v>1840.8569643723001</v>
      </c>
      <c r="P65" s="431">
        <f t="shared" ref="P65:P73" si="20">SUM(I65:M65)</f>
        <v>0</v>
      </c>
    </row>
    <row r="66" spans="1:16">
      <c r="A66" s="250"/>
      <c r="B66" s="250"/>
      <c r="C66" s="258" t="s">
        <v>25</v>
      </c>
      <c r="D66" s="350" t="s">
        <v>5</v>
      </c>
      <c r="E66" s="313"/>
      <c r="F66" s="294">
        <f t="shared" si="18"/>
        <v>0</v>
      </c>
      <c r="G66" s="290">
        <f t="shared" si="18"/>
        <v>0</v>
      </c>
      <c r="H66" s="290">
        <f t="shared" si="18"/>
        <v>0</v>
      </c>
      <c r="I66" s="416">
        <f t="shared" si="18"/>
        <v>0</v>
      </c>
      <c r="J66" s="381">
        <f t="shared" si="18"/>
        <v>0</v>
      </c>
      <c r="K66" s="381">
        <f t="shared" si="18"/>
        <v>0</v>
      </c>
      <c r="L66" s="381">
        <f t="shared" si="18"/>
        <v>0</v>
      </c>
      <c r="M66" s="381">
        <f t="shared" si="18"/>
        <v>0</v>
      </c>
      <c r="N66" s="346">
        <f t="shared" si="18"/>
        <v>0</v>
      </c>
      <c r="O66" s="534">
        <f t="shared" si="19"/>
        <v>0</v>
      </c>
      <c r="P66" s="431">
        <f t="shared" si="20"/>
        <v>0</v>
      </c>
    </row>
    <row r="67" spans="1:16">
      <c r="A67" s="250"/>
      <c r="B67" s="250"/>
      <c r="C67" s="258"/>
      <c r="D67" s="350" t="s">
        <v>6</v>
      </c>
      <c r="E67" s="313"/>
      <c r="F67" s="294">
        <f t="shared" si="18"/>
        <v>0</v>
      </c>
      <c r="G67" s="290">
        <f t="shared" si="18"/>
        <v>0</v>
      </c>
      <c r="H67" s="290">
        <f t="shared" si="18"/>
        <v>0</v>
      </c>
      <c r="I67" s="416">
        <f t="shared" si="18"/>
        <v>0</v>
      </c>
      <c r="J67" s="381">
        <f t="shared" si="18"/>
        <v>0</v>
      </c>
      <c r="K67" s="381">
        <f t="shared" si="18"/>
        <v>0</v>
      </c>
      <c r="L67" s="381">
        <f t="shared" si="18"/>
        <v>0</v>
      </c>
      <c r="M67" s="381">
        <f t="shared" si="18"/>
        <v>0</v>
      </c>
      <c r="N67" s="346">
        <f t="shared" si="18"/>
        <v>0</v>
      </c>
      <c r="O67" s="534">
        <f t="shared" si="19"/>
        <v>0</v>
      </c>
      <c r="P67" s="431">
        <f t="shared" si="20"/>
        <v>0</v>
      </c>
    </row>
    <row r="68" spans="1:16">
      <c r="A68" s="250"/>
      <c r="B68" s="250"/>
      <c r="C68" s="258"/>
      <c r="D68" s="350" t="s">
        <v>7</v>
      </c>
      <c r="E68" s="313"/>
      <c r="F68" s="294">
        <f t="shared" si="18"/>
        <v>0</v>
      </c>
      <c r="G68" s="290">
        <f t="shared" si="18"/>
        <v>0</v>
      </c>
      <c r="H68" s="290">
        <f t="shared" si="18"/>
        <v>0</v>
      </c>
      <c r="I68" s="416">
        <f t="shared" si="18"/>
        <v>0</v>
      </c>
      <c r="J68" s="381">
        <f t="shared" si="18"/>
        <v>0</v>
      </c>
      <c r="K68" s="381">
        <f t="shared" si="18"/>
        <v>0</v>
      </c>
      <c r="L68" s="381">
        <f t="shared" si="18"/>
        <v>0</v>
      </c>
      <c r="M68" s="381">
        <f t="shared" si="18"/>
        <v>0</v>
      </c>
      <c r="N68" s="346">
        <f t="shared" si="18"/>
        <v>0</v>
      </c>
      <c r="O68" s="534">
        <f t="shared" si="19"/>
        <v>0</v>
      </c>
      <c r="P68" s="431">
        <f t="shared" si="20"/>
        <v>0</v>
      </c>
    </row>
    <row r="69" spans="1:16">
      <c r="A69" s="250"/>
      <c r="B69" s="250"/>
      <c r="C69" s="258"/>
      <c r="D69" s="350" t="s">
        <v>8</v>
      </c>
      <c r="E69" s="313"/>
      <c r="F69" s="294">
        <f t="shared" si="18"/>
        <v>0</v>
      </c>
      <c r="G69" s="290">
        <f t="shared" si="18"/>
        <v>0</v>
      </c>
      <c r="H69" s="290">
        <f t="shared" si="18"/>
        <v>0</v>
      </c>
      <c r="I69" s="416">
        <f t="shared" si="18"/>
        <v>0</v>
      </c>
      <c r="J69" s="381">
        <f t="shared" si="18"/>
        <v>0</v>
      </c>
      <c r="K69" s="381">
        <f t="shared" si="18"/>
        <v>0</v>
      </c>
      <c r="L69" s="381">
        <f t="shared" si="18"/>
        <v>0</v>
      </c>
      <c r="M69" s="381">
        <f t="shared" si="18"/>
        <v>0</v>
      </c>
      <c r="N69" s="346">
        <f t="shared" si="18"/>
        <v>0</v>
      </c>
      <c r="O69" s="534">
        <f t="shared" si="19"/>
        <v>0</v>
      </c>
      <c r="P69" s="431">
        <f t="shared" si="20"/>
        <v>0</v>
      </c>
    </row>
    <row r="70" spans="1:16">
      <c r="A70" s="250"/>
      <c r="B70" s="250"/>
      <c r="C70" s="258"/>
      <c r="D70" s="350" t="s">
        <v>9</v>
      </c>
      <c r="E70" s="313"/>
      <c r="F70" s="294">
        <f t="shared" si="18"/>
        <v>0</v>
      </c>
      <c r="G70" s="290">
        <f t="shared" si="18"/>
        <v>0</v>
      </c>
      <c r="H70" s="290">
        <f t="shared" si="18"/>
        <v>0</v>
      </c>
      <c r="I70" s="416">
        <f t="shared" si="18"/>
        <v>0</v>
      </c>
      <c r="J70" s="381">
        <f t="shared" si="18"/>
        <v>0</v>
      </c>
      <c r="K70" s="381">
        <f t="shared" si="18"/>
        <v>0</v>
      </c>
      <c r="L70" s="381">
        <f t="shared" si="18"/>
        <v>0</v>
      </c>
      <c r="M70" s="381">
        <f t="shared" si="18"/>
        <v>0</v>
      </c>
      <c r="N70" s="346">
        <f t="shared" si="18"/>
        <v>0</v>
      </c>
      <c r="O70" s="534">
        <f t="shared" si="19"/>
        <v>0</v>
      </c>
      <c r="P70" s="431">
        <f t="shared" si="20"/>
        <v>0</v>
      </c>
    </row>
    <row r="71" spans="1:16">
      <c r="A71" s="250"/>
      <c r="B71" s="250"/>
      <c r="C71" s="258"/>
      <c r="D71" s="350" t="s">
        <v>10</v>
      </c>
      <c r="E71" s="313"/>
      <c r="F71" s="294">
        <f t="shared" si="18"/>
        <v>0</v>
      </c>
      <c r="G71" s="290">
        <f t="shared" si="18"/>
        <v>0</v>
      </c>
      <c r="H71" s="290">
        <f t="shared" si="18"/>
        <v>0</v>
      </c>
      <c r="I71" s="416">
        <f t="shared" si="18"/>
        <v>0</v>
      </c>
      <c r="J71" s="381">
        <f t="shared" si="18"/>
        <v>0</v>
      </c>
      <c r="K71" s="381">
        <f t="shared" si="18"/>
        <v>0</v>
      </c>
      <c r="L71" s="381">
        <f t="shared" si="18"/>
        <v>0</v>
      </c>
      <c r="M71" s="381">
        <f t="shared" si="18"/>
        <v>0</v>
      </c>
      <c r="N71" s="346">
        <f t="shared" si="18"/>
        <v>0</v>
      </c>
      <c r="O71" s="534">
        <f t="shared" si="19"/>
        <v>0</v>
      </c>
      <c r="P71" s="431">
        <f t="shared" si="20"/>
        <v>0</v>
      </c>
    </row>
    <row r="72" spans="1:16">
      <c r="A72" s="250"/>
      <c r="B72" s="250"/>
      <c r="C72" s="258"/>
      <c r="D72" s="350" t="s">
        <v>11</v>
      </c>
      <c r="E72" s="313"/>
      <c r="F72" s="294">
        <f t="shared" si="18"/>
        <v>0</v>
      </c>
      <c r="G72" s="290">
        <f t="shared" si="18"/>
        <v>0</v>
      </c>
      <c r="H72" s="290">
        <f t="shared" si="18"/>
        <v>0</v>
      </c>
      <c r="I72" s="416">
        <f t="shared" si="18"/>
        <v>0</v>
      </c>
      <c r="J72" s="381">
        <f t="shared" si="18"/>
        <v>0</v>
      </c>
      <c r="K72" s="381">
        <f t="shared" si="18"/>
        <v>0</v>
      </c>
      <c r="L72" s="381">
        <f t="shared" si="18"/>
        <v>0</v>
      </c>
      <c r="M72" s="381">
        <f t="shared" si="18"/>
        <v>0</v>
      </c>
      <c r="N72" s="346">
        <f t="shared" si="18"/>
        <v>0</v>
      </c>
      <c r="O72" s="534">
        <f t="shared" si="19"/>
        <v>0</v>
      </c>
      <c r="P72" s="431">
        <f t="shared" si="20"/>
        <v>0</v>
      </c>
    </row>
    <row r="73" spans="1:16">
      <c r="A73" s="250"/>
      <c r="B73" s="250"/>
      <c r="C73" s="259"/>
      <c r="D73" s="354" t="s">
        <v>12</v>
      </c>
      <c r="E73" s="546"/>
      <c r="F73" s="294">
        <f t="shared" si="18"/>
        <v>0</v>
      </c>
      <c r="G73" s="290">
        <f t="shared" si="18"/>
        <v>0</v>
      </c>
      <c r="H73" s="290">
        <f t="shared" si="18"/>
        <v>0</v>
      </c>
      <c r="I73" s="416">
        <f t="shared" si="18"/>
        <v>0</v>
      </c>
      <c r="J73" s="381">
        <f t="shared" si="18"/>
        <v>0</v>
      </c>
      <c r="K73" s="381">
        <f t="shared" si="18"/>
        <v>0</v>
      </c>
      <c r="L73" s="381">
        <f t="shared" si="18"/>
        <v>0</v>
      </c>
      <c r="M73" s="381">
        <f t="shared" si="18"/>
        <v>0</v>
      </c>
      <c r="N73" s="346">
        <f t="shared" si="18"/>
        <v>0</v>
      </c>
      <c r="O73" s="534">
        <f t="shared" si="19"/>
        <v>0</v>
      </c>
      <c r="P73" s="431">
        <f t="shared" si="20"/>
        <v>0</v>
      </c>
    </row>
    <row r="74" spans="1:16">
      <c r="A74" s="250"/>
      <c r="B74" s="250"/>
      <c r="C74" s="536"/>
      <c r="D74" s="537" t="str">
        <f>"Total incl Overhead - As Incurred "&amp;Assumptions!$C$8</f>
        <v>Total incl Overhead - As Incurred $ Mar 2017</v>
      </c>
      <c r="E74" s="517"/>
      <c r="F74" s="292">
        <f>+SUM(F64:F73)</f>
        <v>272.90927223643877</v>
      </c>
      <c r="G74" s="253">
        <f t="shared" ref="G74:N74" si="21">+SUM(G64:G73)</f>
        <v>1567.9476921358614</v>
      </c>
      <c r="H74" s="253">
        <f t="shared" si="21"/>
        <v>0</v>
      </c>
      <c r="I74" s="411">
        <f t="shared" si="21"/>
        <v>0</v>
      </c>
      <c r="J74" s="382">
        <f t="shared" si="21"/>
        <v>0</v>
      </c>
      <c r="K74" s="382">
        <f t="shared" si="21"/>
        <v>0</v>
      </c>
      <c r="L74" s="382">
        <f t="shared" si="21"/>
        <v>0</v>
      </c>
      <c r="M74" s="382">
        <f t="shared" si="21"/>
        <v>0</v>
      </c>
      <c r="N74" s="519">
        <f t="shared" si="21"/>
        <v>0</v>
      </c>
      <c r="O74" s="292">
        <f>SUM(O64:O73)</f>
        <v>1840.8569643723001</v>
      </c>
      <c r="P74" s="428">
        <f>SUM(P64:P73)</f>
        <v>0</v>
      </c>
    </row>
    <row r="75" spans="1:16">
      <c r="B75" s="250"/>
      <c r="E75" s="547" t="s">
        <v>50</v>
      </c>
      <c r="F75" s="548">
        <f>F74-F59</f>
        <v>0</v>
      </c>
      <c r="G75" s="548">
        <f t="shared" ref="G75:P75" si="22">G74-G59</f>
        <v>0</v>
      </c>
      <c r="H75" s="548">
        <f t="shared" si="22"/>
        <v>0</v>
      </c>
      <c r="I75" s="548">
        <f t="shared" si="22"/>
        <v>0</v>
      </c>
      <c r="J75" s="548">
        <f t="shared" si="22"/>
        <v>0</v>
      </c>
      <c r="K75" s="548">
        <f t="shared" si="22"/>
        <v>0</v>
      </c>
      <c r="L75" s="548">
        <f t="shared" si="22"/>
        <v>0</v>
      </c>
      <c r="M75" s="548">
        <f t="shared" si="22"/>
        <v>0</v>
      </c>
      <c r="N75" s="548">
        <f t="shared" si="22"/>
        <v>0</v>
      </c>
      <c r="O75" s="548">
        <f t="shared" si="22"/>
        <v>0</v>
      </c>
      <c r="P75" s="548">
        <f t="shared" si="22"/>
        <v>0</v>
      </c>
    </row>
    <row r="76" spans="1:16" hidden="1" outlineLevel="1">
      <c r="A76" s="250"/>
      <c r="B76" s="250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344">
        <f t="shared" ref="F76:N76" si="23">F14</f>
        <v>0</v>
      </c>
      <c r="G76" s="344">
        <f t="shared" si="23"/>
        <v>1699.9933367964536</v>
      </c>
      <c r="H76" s="344">
        <f t="shared" si="23"/>
        <v>0</v>
      </c>
      <c r="I76" s="531">
        <f t="shared" si="23"/>
        <v>0</v>
      </c>
      <c r="J76" s="344">
        <f t="shared" si="23"/>
        <v>0</v>
      </c>
      <c r="K76" s="344">
        <f t="shared" si="23"/>
        <v>0</v>
      </c>
      <c r="L76" s="344">
        <f t="shared" si="23"/>
        <v>0</v>
      </c>
      <c r="M76" s="344">
        <f t="shared" si="23"/>
        <v>0</v>
      </c>
      <c r="N76" s="345">
        <f t="shared" si="23"/>
        <v>0</v>
      </c>
      <c r="O76" s="549">
        <f>SUM(F76:N76)</f>
        <v>1699.9933367964536</v>
      </c>
      <c r="P76" s="545">
        <f t="shared" ref="P76:P80" si="24">SUM(I76:M76)</f>
        <v>0</v>
      </c>
    </row>
    <row r="77" spans="1:16" hidden="1" outlineLevel="1">
      <c r="A77" s="250"/>
      <c r="B77" s="250"/>
      <c r="C77" s="453"/>
      <c r="D77" s="350" t="str">
        <f>"Labour &amp; Material Escalation - "&amp;Assumptions!C7</f>
        <v>Labour &amp; Material Escalation - $ 2015/16</v>
      </c>
      <c r="E77" s="454"/>
      <c r="F77" s="290">
        <f>IF(F$10="Prior",0,IF(AND(F76&lt;&gt;0,SUM(E76:$F76)=0),F76/SUM($F$76:F76)*F61,IF(F76&lt;&gt;0,SUM($F$76:F76)/SUM($F$11:F11)*F61-E83,0)))</f>
        <v>0</v>
      </c>
      <c r="G77" s="290">
        <f>IF(G$10="Prior",0,IF(AND(G76&lt;&gt;0,SUM($F76:F76)=0),G76/SUM($F$76:G76)*G61,IF(G76&lt;&gt;0,SUM($F$76:G76)/SUM($F$11:G11)*G61-F83,0)))</f>
        <v>3.8283896574375049</v>
      </c>
      <c r="H77" s="290">
        <f>IF(H$10="Prior",0,IF(AND(H76&lt;&gt;0,SUM($F76:G76)=0),H76/SUM($F$76:H76)*H61,IF(H76&lt;&gt;0,SUM($F$76:H76)/SUM($F$11:H11)*H61-G83,0)))</f>
        <v>0</v>
      </c>
      <c r="I77" s="512">
        <f>IF(I$10="Prior",0,IF(AND(I76&lt;&gt;0,SUM($F76:H76)=0),I76/SUM($F$76:I76)*I61,IF(I76&lt;&gt;0,SUM($F$76:I76)/SUM($F$11:I11)*I61-H83,0)))</f>
        <v>0</v>
      </c>
      <c r="J77" s="290">
        <f>IF(J$10="Prior",0,IF(AND(J76&lt;&gt;0,SUM($F76:I76)=0),J76/SUM($F$76:J76)*J61,IF(J76&lt;&gt;0,SUM($F$76:J76)/SUM($F$11:J11)*J61-I83,0)))</f>
        <v>0</v>
      </c>
      <c r="K77" s="290">
        <f>IF(K$10="Prior",0,IF(AND(K76&lt;&gt;0,SUM($F76:J76)=0),K76/SUM($F$76:K76)*K61,IF(K76&lt;&gt;0,SUM($F$76:K76)/SUM($F$11:K11)*K61-J83,0)))</f>
        <v>0</v>
      </c>
      <c r="L77" s="290">
        <f>IF(L$10="Prior",0,IF(AND(L76&lt;&gt;0,SUM($F76:K76)=0),L76/SUM($F$76:L76)*L61,IF(L76&lt;&gt;0,SUM($F$76:L76)/SUM($F$11:L11)*L61-K83,0)))</f>
        <v>0</v>
      </c>
      <c r="M77" s="290">
        <f>IF(M$10="Prior",0,IF(AND(M76&lt;&gt;0,SUM($F76:L76)=0),M76/SUM($F$76:M76)*M61,IF(M76&lt;&gt;0,SUM($F$76:M76)/SUM($F$11:M11)*M61-L83,0)))</f>
        <v>0</v>
      </c>
      <c r="N77" s="346">
        <f>IF(N$10="Prior",0,IF(AND(N76&lt;&gt;0,SUM($F76:M76)=0),N76/SUM($F$76:N76)*N61,IF(N76&lt;&gt;0,SUM($F$76:N76)/SUM($F$11:N11)*N61-M83,0)))</f>
        <v>0</v>
      </c>
      <c r="O77" s="550">
        <f>SUM(F77:N77)</f>
        <v>3.8283896574375049</v>
      </c>
      <c r="P77" s="551">
        <f t="shared" si="24"/>
        <v>0</v>
      </c>
    </row>
    <row r="78" spans="1:16" hidden="1" outlineLevel="1">
      <c r="A78" s="250"/>
      <c r="B78" s="250"/>
      <c r="C78" s="453"/>
      <c r="D78" s="470" t="str">
        <f>"Total Direct Expenditure - "&amp;Assumptions!C7</f>
        <v>Total Direct Expenditure - $ 2015/16</v>
      </c>
      <c r="E78" s="471"/>
      <c r="F78" s="552">
        <f>SUM(F76:F77)</f>
        <v>0</v>
      </c>
      <c r="G78" s="553">
        <f t="shared" ref="G78:N78" si="25">SUM(G76:G77)</f>
        <v>1703.8217264538912</v>
      </c>
      <c r="H78" s="553">
        <f t="shared" si="25"/>
        <v>0</v>
      </c>
      <c r="I78" s="554">
        <f t="shared" si="25"/>
        <v>0</v>
      </c>
      <c r="J78" s="553">
        <f t="shared" si="25"/>
        <v>0</v>
      </c>
      <c r="K78" s="553">
        <f t="shared" si="25"/>
        <v>0</v>
      </c>
      <c r="L78" s="553">
        <f t="shared" si="25"/>
        <v>0</v>
      </c>
      <c r="M78" s="553">
        <f t="shared" si="25"/>
        <v>0</v>
      </c>
      <c r="N78" s="555">
        <f t="shared" si="25"/>
        <v>0</v>
      </c>
      <c r="O78" s="556">
        <f>SUM(F78:N78)</f>
        <v>1703.8217264538912</v>
      </c>
      <c r="P78" s="557">
        <f t="shared" si="24"/>
        <v>0</v>
      </c>
    </row>
    <row r="79" spans="1:16" hidden="1" outlineLevel="1">
      <c r="A79" s="250"/>
      <c r="B79" s="250"/>
      <c r="C79" s="453"/>
      <c r="D79" s="470" t="str">
        <f>"Total Direct Expenditure - "&amp;Assumptions!C8</f>
        <v>Total Direct Expenditure - $ Mar 2017</v>
      </c>
      <c r="E79" s="471"/>
      <c r="F79" s="552">
        <f>F78*Assumptions!$G$21</f>
        <v>0</v>
      </c>
      <c r="G79" s="553">
        <f>G78*Assumptions!$G$21</f>
        <v>1732.645778217209</v>
      </c>
      <c r="H79" s="553">
        <f>H78*Assumptions!$G$21</f>
        <v>0</v>
      </c>
      <c r="I79" s="554">
        <f>I78*Assumptions!$G$21</f>
        <v>0</v>
      </c>
      <c r="J79" s="553">
        <f>J78*Assumptions!$G$21</f>
        <v>0</v>
      </c>
      <c r="K79" s="553">
        <f>K78*Assumptions!$G$21</f>
        <v>0</v>
      </c>
      <c r="L79" s="553">
        <f>L78*Assumptions!$G$21</f>
        <v>0</v>
      </c>
      <c r="M79" s="553">
        <f>M78*Assumptions!$G$21</f>
        <v>0</v>
      </c>
      <c r="N79" s="555">
        <f>N78*Assumptions!$G$21</f>
        <v>0</v>
      </c>
      <c r="O79" s="556">
        <f>SUM(F79:N79)</f>
        <v>1732.645778217209</v>
      </c>
      <c r="P79" s="557">
        <f t="shared" si="24"/>
        <v>0</v>
      </c>
    </row>
    <row r="80" spans="1:16" hidden="1" outlineLevel="1">
      <c r="A80" s="250"/>
      <c r="B80" s="250"/>
      <c r="C80" s="258"/>
      <c r="D80" s="354" t="s">
        <v>264</v>
      </c>
      <c r="E80" s="312"/>
      <c r="F80" s="290">
        <f>IF(F$10="Prior",F79*F56,IF(AND(F79&lt;&gt;0,SUM(E79:$F79)=0),F79/SUM($F$54:F54)*F60,IF(F79&lt;&gt;0,SUM($F$79:F79)/SUM($F$54:F54)*F60-E82,0)))</f>
        <v>0</v>
      </c>
      <c r="G80" s="290">
        <f>IF(G$10="Prior",G79*G56,IF(AND(G79&lt;&gt;0,SUM($F79:F79)=0),G79/SUM($F$54:G54)*G60,IF(G79&lt;&gt;0,SUM($F$79:G79)/SUM($F$54:G54)*G60-F82,0)))</f>
        <v>108.2111861550913</v>
      </c>
      <c r="H80" s="290">
        <f>IF(H$10="Prior",H79*H56,IF(AND(H79&lt;&gt;0,SUM($F79:G79)=0),H79/SUM($F$54:H54)*H60,IF(H79&lt;&gt;0,SUM($F$79:H79)/SUM($F$54:H54)*H60-G82,0)))</f>
        <v>0</v>
      </c>
      <c r="I80" s="512">
        <f>IF(I$10="Prior",I79*I56,IF(AND(I79&lt;&gt;0,SUM($F79:H79)=0),I79/SUM($F$54:I54)*I60,IF(I79&lt;&gt;0,SUM($F$79:I79)/SUM($F$54:I54)*I60-H82,0)))</f>
        <v>0</v>
      </c>
      <c r="J80" s="290">
        <f>IF(J$10="Prior",J79*J56,IF(AND(J79&lt;&gt;0,SUM($F79:I79)=0),J79/SUM($F$54:J54)*J60,IF(J79&lt;&gt;0,SUM($F$79:J79)/SUM($F$54:J54)*J60-I82,0)))</f>
        <v>0</v>
      </c>
      <c r="K80" s="290">
        <f>IF(K$10="Prior",K79*K56,IF(AND(K79&lt;&gt;0,SUM($F79:J79)=0),K79/SUM($F$54:K54)*K60,IF(K79&lt;&gt;0,SUM($F$79:K79)/SUM($F$54:K54)*K60-J82,0)))</f>
        <v>0</v>
      </c>
      <c r="L80" s="290">
        <f>IF(L$10="Prior",L79*L56,IF(AND(L79&lt;&gt;0,SUM($F79:K79)=0),L79/SUM($F$54:L54)*L60,IF(L79&lt;&gt;0,SUM($F$79:L79)/SUM($F$54:L54)*L60-K82,0)))</f>
        <v>0</v>
      </c>
      <c r="M80" s="290">
        <f>IF(M$10="Prior",M79*M56,IF(AND(M79&lt;&gt;0,SUM($F79:L79)=0),M79/SUM($F$54:M54)*M60,IF(M79&lt;&gt;0,SUM($F$79:M79)/SUM($F$54:M54)*M60-L82,0)))</f>
        <v>0</v>
      </c>
      <c r="N80" s="346">
        <f>IF(N$10="Prior",N79*N56,IF(AND(N79&lt;&gt;0,SUM($F79:M79)=0),N79/SUM($F$54:N54)*N60,IF(N79&lt;&gt;0,SUM($F$79:N79)/SUM($F$54:N54)*N60-M82,0)))</f>
        <v>0</v>
      </c>
      <c r="O80" s="550">
        <f>SUM(F80:N80)</f>
        <v>108.2111861550913</v>
      </c>
      <c r="P80" s="497">
        <f t="shared" si="24"/>
        <v>0</v>
      </c>
    </row>
    <row r="81" spans="1:17" hidden="1" outlineLevel="1">
      <c r="A81" s="250"/>
      <c r="B81" s="250"/>
      <c r="C81" s="536"/>
      <c r="D81" s="537" t="str">
        <f>"Total incl Overhead - As commissioned "&amp;Assumptions!$C$8</f>
        <v>Total incl Overhead - As commissioned $ Mar 2017</v>
      </c>
      <c r="E81" s="517"/>
      <c r="F81" s="558">
        <f>SUM(F79:F80)</f>
        <v>0</v>
      </c>
      <c r="G81" s="559">
        <f t="shared" ref="G81:P81" si="26">SUM(G79:G80)</f>
        <v>1840.8569643723004</v>
      </c>
      <c r="H81" s="559">
        <f t="shared" si="26"/>
        <v>0</v>
      </c>
      <c r="I81" s="560">
        <f t="shared" si="26"/>
        <v>0</v>
      </c>
      <c r="J81" s="559">
        <f t="shared" si="26"/>
        <v>0</v>
      </c>
      <c r="K81" s="559">
        <f t="shared" si="26"/>
        <v>0</v>
      </c>
      <c r="L81" s="559">
        <f t="shared" si="26"/>
        <v>0</v>
      </c>
      <c r="M81" s="559">
        <f t="shared" si="26"/>
        <v>0</v>
      </c>
      <c r="N81" s="561">
        <f t="shared" si="26"/>
        <v>0</v>
      </c>
      <c r="O81" s="562">
        <f t="shared" si="26"/>
        <v>1840.8569643723004</v>
      </c>
      <c r="P81" s="563">
        <f t="shared" si="26"/>
        <v>0</v>
      </c>
    </row>
    <row r="82" spans="1:17" hidden="1" outlineLevel="1">
      <c r="A82" s="250"/>
      <c r="B82" s="250"/>
      <c r="C82" s="250"/>
      <c r="D82" s="251" t="s">
        <v>286</v>
      </c>
      <c r="E82" s="251"/>
      <c r="F82" s="252">
        <f>F80</f>
        <v>0</v>
      </c>
      <c r="G82" s="252">
        <f t="shared" ref="G82:N82" si="27">G80+F82</f>
        <v>108.2111861550913</v>
      </c>
      <c r="H82" s="252">
        <f t="shared" si="27"/>
        <v>108.2111861550913</v>
      </c>
      <c r="I82" s="252">
        <f t="shared" si="27"/>
        <v>108.2111861550913</v>
      </c>
      <c r="J82" s="252">
        <f t="shared" si="27"/>
        <v>108.2111861550913</v>
      </c>
      <c r="K82" s="252">
        <f t="shared" si="27"/>
        <v>108.2111861550913</v>
      </c>
      <c r="L82" s="252">
        <f t="shared" si="27"/>
        <v>108.2111861550913</v>
      </c>
      <c r="M82" s="252">
        <f t="shared" si="27"/>
        <v>108.2111861550913</v>
      </c>
      <c r="N82" s="252">
        <f t="shared" si="27"/>
        <v>108.2111861550913</v>
      </c>
      <c r="O82" s="543"/>
    </row>
    <row r="83" spans="1:17" hidden="1" outlineLevel="1">
      <c r="A83" s="250"/>
      <c r="B83" s="250"/>
      <c r="C83" s="250"/>
      <c r="D83" s="251" t="s">
        <v>287</v>
      </c>
      <c r="E83" s="251"/>
      <c r="F83" s="252">
        <f>F77</f>
        <v>0</v>
      </c>
      <c r="G83" s="252">
        <f t="shared" ref="G83:N83" si="28">G77+F83</f>
        <v>3.8283896574375049</v>
      </c>
      <c r="H83" s="252">
        <f t="shared" si="28"/>
        <v>3.8283896574375049</v>
      </c>
      <c r="I83" s="252">
        <f t="shared" si="28"/>
        <v>3.8283896574375049</v>
      </c>
      <c r="J83" s="252">
        <f t="shared" si="28"/>
        <v>3.8283896574375049</v>
      </c>
      <c r="K83" s="252">
        <f t="shared" si="28"/>
        <v>3.8283896574375049</v>
      </c>
      <c r="L83" s="252">
        <f t="shared" si="28"/>
        <v>3.8283896574375049</v>
      </c>
      <c r="M83" s="252">
        <f t="shared" si="28"/>
        <v>3.8283896574375049</v>
      </c>
      <c r="N83" s="252">
        <f t="shared" si="28"/>
        <v>3.8283896574375049</v>
      </c>
      <c r="O83" s="543"/>
    </row>
    <row r="84" spans="1:17" collapsed="1">
      <c r="A84" s="250"/>
      <c r="B84" s="250"/>
      <c r="C84" s="540" t="s">
        <v>276</v>
      </c>
    </row>
    <row r="85" spans="1:17">
      <c r="B85" s="250"/>
      <c r="C85" s="257" t="s">
        <v>23</v>
      </c>
      <c r="D85" s="353" t="s">
        <v>3</v>
      </c>
      <c r="E85" s="530"/>
      <c r="F85" s="343">
        <f t="shared" ref="F85:N94" si="29">IF($O$74=0,0,F$81/$O$81*$O$74*F17)</f>
        <v>0</v>
      </c>
      <c r="G85" s="344">
        <f t="shared" si="29"/>
        <v>0</v>
      </c>
      <c r="H85" s="344">
        <f t="shared" si="29"/>
        <v>0</v>
      </c>
      <c r="I85" s="415">
        <f t="shared" si="29"/>
        <v>0</v>
      </c>
      <c r="J85" s="380">
        <f t="shared" si="29"/>
        <v>0</v>
      </c>
      <c r="K85" s="380">
        <f t="shared" si="29"/>
        <v>0</v>
      </c>
      <c r="L85" s="380">
        <f t="shared" si="29"/>
        <v>0</v>
      </c>
      <c r="M85" s="380">
        <f t="shared" si="29"/>
        <v>0</v>
      </c>
      <c r="N85" s="345">
        <f t="shared" si="29"/>
        <v>0</v>
      </c>
      <c r="O85" s="532">
        <f>SUM(F85:N85)</f>
        <v>0</v>
      </c>
      <c r="P85" s="430">
        <f t="shared" ref="P85:P94" si="30">SUM(I85:M85)</f>
        <v>0</v>
      </c>
    </row>
    <row r="86" spans="1:17">
      <c r="C86" s="258" t="s">
        <v>24</v>
      </c>
      <c r="D86" s="350" t="s">
        <v>4</v>
      </c>
      <c r="E86" s="313"/>
      <c r="F86" s="294">
        <f t="shared" si="29"/>
        <v>0</v>
      </c>
      <c r="G86" s="290">
        <f t="shared" si="29"/>
        <v>1840.8569643723001</v>
      </c>
      <c r="H86" s="290">
        <f t="shared" si="29"/>
        <v>0</v>
      </c>
      <c r="I86" s="416">
        <f t="shared" si="29"/>
        <v>0</v>
      </c>
      <c r="J86" s="381">
        <f t="shared" si="29"/>
        <v>0</v>
      </c>
      <c r="K86" s="381">
        <f t="shared" si="29"/>
        <v>0</v>
      </c>
      <c r="L86" s="381">
        <f t="shared" si="29"/>
        <v>0</v>
      </c>
      <c r="M86" s="381">
        <f t="shared" si="29"/>
        <v>0</v>
      </c>
      <c r="N86" s="346">
        <f t="shared" si="29"/>
        <v>0</v>
      </c>
      <c r="O86" s="534">
        <f t="shared" ref="O86:O94" si="31">SUM(F86:N86)</f>
        <v>1840.8569643723001</v>
      </c>
      <c r="P86" s="431">
        <f t="shared" si="30"/>
        <v>0</v>
      </c>
    </row>
    <row r="87" spans="1:17">
      <c r="C87" s="258" t="s">
        <v>26</v>
      </c>
      <c r="D87" s="350" t="s">
        <v>5</v>
      </c>
      <c r="E87" s="313"/>
      <c r="F87" s="294">
        <f t="shared" si="29"/>
        <v>0</v>
      </c>
      <c r="G87" s="290">
        <f t="shared" si="29"/>
        <v>0</v>
      </c>
      <c r="H87" s="290">
        <f t="shared" si="29"/>
        <v>0</v>
      </c>
      <c r="I87" s="416">
        <f t="shared" si="29"/>
        <v>0</v>
      </c>
      <c r="J87" s="381">
        <f t="shared" si="29"/>
        <v>0</v>
      </c>
      <c r="K87" s="381">
        <f t="shared" si="29"/>
        <v>0</v>
      </c>
      <c r="L87" s="381">
        <f t="shared" si="29"/>
        <v>0</v>
      </c>
      <c r="M87" s="381">
        <f t="shared" si="29"/>
        <v>0</v>
      </c>
      <c r="N87" s="346">
        <f t="shared" si="29"/>
        <v>0</v>
      </c>
      <c r="O87" s="534">
        <f t="shared" si="31"/>
        <v>0</v>
      </c>
      <c r="P87" s="431">
        <f t="shared" si="30"/>
        <v>0</v>
      </c>
    </row>
    <row r="88" spans="1:17">
      <c r="C88" s="258"/>
      <c r="D88" s="350" t="s">
        <v>6</v>
      </c>
      <c r="E88" s="313"/>
      <c r="F88" s="294">
        <f t="shared" si="29"/>
        <v>0</v>
      </c>
      <c r="G88" s="290">
        <f t="shared" si="29"/>
        <v>0</v>
      </c>
      <c r="H88" s="290">
        <f t="shared" si="29"/>
        <v>0</v>
      </c>
      <c r="I88" s="416">
        <f t="shared" si="29"/>
        <v>0</v>
      </c>
      <c r="J88" s="381">
        <f t="shared" si="29"/>
        <v>0</v>
      </c>
      <c r="K88" s="381">
        <f t="shared" si="29"/>
        <v>0</v>
      </c>
      <c r="L88" s="381">
        <f t="shared" si="29"/>
        <v>0</v>
      </c>
      <c r="M88" s="381">
        <f t="shared" si="29"/>
        <v>0</v>
      </c>
      <c r="N88" s="346">
        <f t="shared" si="29"/>
        <v>0</v>
      </c>
      <c r="O88" s="534">
        <f t="shared" si="31"/>
        <v>0</v>
      </c>
      <c r="P88" s="431">
        <f t="shared" si="30"/>
        <v>0</v>
      </c>
    </row>
    <row r="89" spans="1:17">
      <c r="C89" s="258"/>
      <c r="D89" s="350" t="s">
        <v>7</v>
      </c>
      <c r="E89" s="313"/>
      <c r="F89" s="294">
        <f t="shared" si="29"/>
        <v>0</v>
      </c>
      <c r="G89" s="290">
        <f t="shared" si="29"/>
        <v>0</v>
      </c>
      <c r="H89" s="290">
        <f t="shared" si="29"/>
        <v>0</v>
      </c>
      <c r="I89" s="416">
        <f t="shared" si="29"/>
        <v>0</v>
      </c>
      <c r="J89" s="381">
        <f t="shared" si="29"/>
        <v>0</v>
      </c>
      <c r="K89" s="381">
        <f t="shared" si="29"/>
        <v>0</v>
      </c>
      <c r="L89" s="381">
        <f t="shared" si="29"/>
        <v>0</v>
      </c>
      <c r="M89" s="381">
        <f t="shared" si="29"/>
        <v>0</v>
      </c>
      <c r="N89" s="346">
        <f t="shared" si="29"/>
        <v>0</v>
      </c>
      <c r="O89" s="534">
        <f t="shared" si="31"/>
        <v>0</v>
      </c>
      <c r="P89" s="431">
        <f t="shared" si="30"/>
        <v>0</v>
      </c>
    </row>
    <row r="90" spans="1:17">
      <c r="C90" s="258"/>
      <c r="D90" s="350" t="s">
        <v>8</v>
      </c>
      <c r="E90" s="313"/>
      <c r="F90" s="294">
        <f t="shared" si="29"/>
        <v>0</v>
      </c>
      <c r="G90" s="290">
        <f t="shared" si="29"/>
        <v>0</v>
      </c>
      <c r="H90" s="290">
        <f t="shared" si="29"/>
        <v>0</v>
      </c>
      <c r="I90" s="416">
        <f t="shared" si="29"/>
        <v>0</v>
      </c>
      <c r="J90" s="381">
        <f t="shared" si="29"/>
        <v>0</v>
      </c>
      <c r="K90" s="381">
        <f t="shared" si="29"/>
        <v>0</v>
      </c>
      <c r="L90" s="381">
        <f t="shared" si="29"/>
        <v>0</v>
      </c>
      <c r="M90" s="381">
        <f t="shared" si="29"/>
        <v>0</v>
      </c>
      <c r="N90" s="346">
        <f t="shared" si="29"/>
        <v>0</v>
      </c>
      <c r="O90" s="534">
        <f t="shared" si="31"/>
        <v>0</v>
      </c>
      <c r="P90" s="431">
        <f t="shared" si="30"/>
        <v>0</v>
      </c>
    </row>
    <row r="91" spans="1:17">
      <c r="C91" s="258"/>
      <c r="D91" s="350" t="s">
        <v>9</v>
      </c>
      <c r="E91" s="313"/>
      <c r="F91" s="294">
        <f t="shared" si="29"/>
        <v>0</v>
      </c>
      <c r="G91" s="290">
        <f t="shared" si="29"/>
        <v>0</v>
      </c>
      <c r="H91" s="290">
        <f t="shared" si="29"/>
        <v>0</v>
      </c>
      <c r="I91" s="416">
        <f t="shared" si="29"/>
        <v>0</v>
      </c>
      <c r="J91" s="381">
        <f t="shared" si="29"/>
        <v>0</v>
      </c>
      <c r="K91" s="381">
        <f t="shared" si="29"/>
        <v>0</v>
      </c>
      <c r="L91" s="381">
        <f t="shared" si="29"/>
        <v>0</v>
      </c>
      <c r="M91" s="381">
        <f t="shared" si="29"/>
        <v>0</v>
      </c>
      <c r="N91" s="346">
        <f t="shared" si="29"/>
        <v>0</v>
      </c>
      <c r="O91" s="534">
        <f t="shared" si="31"/>
        <v>0</v>
      </c>
      <c r="P91" s="431">
        <f t="shared" si="30"/>
        <v>0</v>
      </c>
    </row>
    <row r="92" spans="1:17">
      <c r="C92" s="258"/>
      <c r="D92" s="350" t="s">
        <v>10</v>
      </c>
      <c r="E92" s="313"/>
      <c r="F92" s="294">
        <f t="shared" si="29"/>
        <v>0</v>
      </c>
      <c r="G92" s="290">
        <f t="shared" si="29"/>
        <v>0</v>
      </c>
      <c r="H92" s="290">
        <f t="shared" si="29"/>
        <v>0</v>
      </c>
      <c r="I92" s="416">
        <f t="shared" si="29"/>
        <v>0</v>
      </c>
      <c r="J92" s="381">
        <f t="shared" si="29"/>
        <v>0</v>
      </c>
      <c r="K92" s="381">
        <f t="shared" si="29"/>
        <v>0</v>
      </c>
      <c r="L92" s="381">
        <f t="shared" si="29"/>
        <v>0</v>
      </c>
      <c r="M92" s="381">
        <f t="shared" si="29"/>
        <v>0</v>
      </c>
      <c r="N92" s="346">
        <f t="shared" si="29"/>
        <v>0</v>
      </c>
      <c r="O92" s="534">
        <f t="shared" si="31"/>
        <v>0</v>
      </c>
      <c r="P92" s="431">
        <f t="shared" si="30"/>
        <v>0</v>
      </c>
    </row>
    <row r="93" spans="1:17">
      <c r="C93" s="258"/>
      <c r="D93" s="350" t="s">
        <v>11</v>
      </c>
      <c r="E93" s="313"/>
      <c r="F93" s="294">
        <f t="shared" si="29"/>
        <v>0</v>
      </c>
      <c r="G93" s="290">
        <f t="shared" si="29"/>
        <v>0</v>
      </c>
      <c r="H93" s="290">
        <f t="shared" si="29"/>
        <v>0</v>
      </c>
      <c r="I93" s="416">
        <f t="shared" si="29"/>
        <v>0</v>
      </c>
      <c r="J93" s="381">
        <f t="shared" si="29"/>
        <v>0</v>
      </c>
      <c r="K93" s="381">
        <f t="shared" si="29"/>
        <v>0</v>
      </c>
      <c r="L93" s="381">
        <f t="shared" si="29"/>
        <v>0</v>
      </c>
      <c r="M93" s="381">
        <f t="shared" si="29"/>
        <v>0</v>
      </c>
      <c r="N93" s="346">
        <f t="shared" si="29"/>
        <v>0</v>
      </c>
      <c r="O93" s="534">
        <f t="shared" si="31"/>
        <v>0</v>
      </c>
      <c r="P93" s="431">
        <f t="shared" si="30"/>
        <v>0</v>
      </c>
    </row>
    <row r="94" spans="1:17">
      <c r="C94" s="258"/>
      <c r="D94" s="350" t="s">
        <v>12</v>
      </c>
      <c r="E94" s="313"/>
      <c r="F94" s="294">
        <f t="shared" si="29"/>
        <v>0</v>
      </c>
      <c r="G94" s="290">
        <f t="shared" si="29"/>
        <v>0</v>
      </c>
      <c r="H94" s="290">
        <f t="shared" si="29"/>
        <v>0</v>
      </c>
      <c r="I94" s="416">
        <f t="shared" si="29"/>
        <v>0</v>
      </c>
      <c r="J94" s="381">
        <f t="shared" si="29"/>
        <v>0</v>
      </c>
      <c r="K94" s="381">
        <f t="shared" si="29"/>
        <v>0</v>
      </c>
      <c r="L94" s="381">
        <f t="shared" si="29"/>
        <v>0</v>
      </c>
      <c r="M94" s="381">
        <f t="shared" si="29"/>
        <v>0</v>
      </c>
      <c r="N94" s="346">
        <f t="shared" si="29"/>
        <v>0</v>
      </c>
      <c r="O94" s="534">
        <f t="shared" si="31"/>
        <v>0</v>
      </c>
      <c r="P94" s="431">
        <f t="shared" si="30"/>
        <v>0</v>
      </c>
    </row>
    <row r="95" spans="1:17">
      <c r="C95" s="536"/>
      <c r="D95" s="537" t="str">
        <f>"Total incl Overhead - As commissioned "&amp;Assumptions!$C$8</f>
        <v>Total incl Overhead - As commissioned $ Mar 2017</v>
      </c>
      <c r="E95" s="517"/>
      <c r="F95" s="292">
        <f>+SUM(F85:F94)</f>
        <v>0</v>
      </c>
      <c r="G95" s="253">
        <f t="shared" ref="G95" si="32">+SUM(G85:G94)</f>
        <v>1840.8569643723001</v>
      </c>
      <c r="H95" s="253">
        <f t="shared" ref="H95:N95" si="33">+SUM(H85:H94)</f>
        <v>0</v>
      </c>
      <c r="I95" s="411">
        <f t="shared" si="33"/>
        <v>0</v>
      </c>
      <c r="J95" s="382">
        <f t="shared" si="33"/>
        <v>0</v>
      </c>
      <c r="K95" s="382">
        <f t="shared" si="33"/>
        <v>0</v>
      </c>
      <c r="L95" s="382">
        <f t="shared" si="33"/>
        <v>0</v>
      </c>
      <c r="M95" s="382">
        <f t="shared" si="33"/>
        <v>0</v>
      </c>
      <c r="N95" s="286">
        <f t="shared" si="33"/>
        <v>0</v>
      </c>
      <c r="O95" s="292">
        <f>SUM(O85:O94)</f>
        <v>1840.8569643723001</v>
      </c>
      <c r="P95" s="428">
        <f>SUM(P85:P94)</f>
        <v>0</v>
      </c>
      <c r="Q95" s="564"/>
    </row>
    <row r="96" spans="1:17">
      <c r="E96" s="547" t="s">
        <v>50</v>
      </c>
      <c r="F96" s="452">
        <f>F95-F81</f>
        <v>0</v>
      </c>
      <c r="G96" s="452">
        <f t="shared" ref="G96:P96" si="34">G95-G81</f>
        <v>0</v>
      </c>
      <c r="H96" s="452">
        <f t="shared" si="34"/>
        <v>0</v>
      </c>
      <c r="I96" s="452">
        <f t="shared" si="34"/>
        <v>0</v>
      </c>
      <c r="J96" s="452">
        <f t="shared" si="34"/>
        <v>0</v>
      </c>
      <c r="K96" s="452">
        <f t="shared" si="34"/>
        <v>0</v>
      </c>
      <c r="L96" s="452">
        <f t="shared" si="34"/>
        <v>0</v>
      </c>
      <c r="M96" s="452">
        <f t="shared" si="34"/>
        <v>0</v>
      </c>
      <c r="N96" s="452">
        <f t="shared" si="34"/>
        <v>0</v>
      </c>
      <c r="O96" s="452">
        <f t="shared" si="34"/>
        <v>0</v>
      </c>
      <c r="P96" s="452">
        <f t="shared" si="34"/>
        <v>0</v>
      </c>
    </row>
    <row r="97" spans="3:16">
      <c r="C97" s="565"/>
      <c r="D97" s="251"/>
      <c r="F97" s="252"/>
      <c r="G97" s="252"/>
      <c r="H97" s="252"/>
      <c r="I97" s="252"/>
      <c r="J97" s="252"/>
      <c r="K97" s="252"/>
      <c r="L97" s="252"/>
      <c r="M97" s="252"/>
      <c r="N97" s="252"/>
      <c r="O97" s="566">
        <f>O95-O74</f>
        <v>0</v>
      </c>
      <c r="P97" s="565"/>
    </row>
    <row r="98" spans="3:16" hidden="1" outlineLevel="1">
      <c r="C98" s="236" t="s">
        <v>452</v>
      </c>
      <c r="F98" s="452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6" t="s">
        <v>451</v>
      </c>
      <c r="D99" s="236" t="s">
        <v>379</v>
      </c>
      <c r="F99" s="252"/>
      <c r="G99" s="487">
        <f>0.5*G21</f>
        <v>0</v>
      </c>
      <c r="H99" s="487">
        <f t="shared" ref="H99:N99" si="35">0.5*H21</f>
        <v>0</v>
      </c>
      <c r="I99" s="487">
        <f t="shared" si="35"/>
        <v>0</v>
      </c>
      <c r="J99" s="487">
        <f t="shared" si="35"/>
        <v>0</v>
      </c>
      <c r="K99" s="487">
        <f t="shared" si="35"/>
        <v>0</v>
      </c>
      <c r="L99" s="487">
        <f t="shared" si="35"/>
        <v>0</v>
      </c>
      <c r="M99" s="487">
        <f t="shared" si="35"/>
        <v>0</v>
      </c>
      <c r="N99" s="487">
        <f t="shared" si="35"/>
        <v>0</v>
      </c>
    </row>
    <row r="100" spans="3:16" hidden="1" outlineLevel="1">
      <c r="D100" s="236" t="s">
        <v>380</v>
      </c>
      <c r="F100" s="452"/>
      <c r="G100" s="487">
        <v>0</v>
      </c>
      <c r="H100" s="487">
        <v>0</v>
      </c>
      <c r="I100" s="487">
        <v>0</v>
      </c>
      <c r="J100" s="487">
        <v>0</v>
      </c>
      <c r="K100" s="487">
        <v>0</v>
      </c>
      <c r="L100" s="487">
        <v>0</v>
      </c>
      <c r="M100" s="487">
        <v>0</v>
      </c>
      <c r="N100" s="487">
        <v>0</v>
      </c>
    </row>
    <row r="101" spans="3:16" hidden="1" outlineLevel="1">
      <c r="D101" s="236" t="s">
        <v>381</v>
      </c>
      <c r="G101" s="487">
        <f>0.5*G21</f>
        <v>0</v>
      </c>
      <c r="H101" s="487">
        <f t="shared" ref="H101:N101" si="36">0.5*H21</f>
        <v>0</v>
      </c>
      <c r="I101" s="487">
        <f t="shared" si="36"/>
        <v>0</v>
      </c>
      <c r="J101" s="487">
        <f t="shared" si="36"/>
        <v>0</v>
      </c>
      <c r="K101" s="487">
        <f t="shared" si="36"/>
        <v>0</v>
      </c>
      <c r="L101" s="487">
        <f t="shared" si="36"/>
        <v>0</v>
      </c>
      <c r="M101" s="487">
        <f t="shared" si="36"/>
        <v>0</v>
      </c>
      <c r="N101" s="487">
        <f t="shared" si="36"/>
        <v>0</v>
      </c>
    </row>
    <row r="102" spans="3:16" hidden="1" outlineLevel="1">
      <c r="D102" s="236" t="s">
        <v>382</v>
      </c>
      <c r="F102" s="452"/>
      <c r="G102" s="487">
        <v>0</v>
      </c>
      <c r="H102" s="487">
        <v>0</v>
      </c>
      <c r="I102" s="487">
        <v>0</v>
      </c>
      <c r="J102" s="487">
        <v>0</v>
      </c>
      <c r="K102" s="487">
        <v>0</v>
      </c>
      <c r="L102" s="487">
        <v>0</v>
      </c>
      <c r="M102" s="487">
        <v>0</v>
      </c>
      <c r="N102" s="487">
        <v>0</v>
      </c>
    </row>
    <row r="103" spans="3:16" hidden="1" outlineLevel="1">
      <c r="D103" s="236" t="s">
        <v>383</v>
      </c>
      <c r="F103" s="452"/>
      <c r="G103" s="487">
        <f>G18</f>
        <v>1</v>
      </c>
      <c r="H103" s="487">
        <f t="shared" ref="H103:N105" si="37">H18</f>
        <v>1</v>
      </c>
      <c r="I103" s="487">
        <f t="shared" si="37"/>
        <v>1</v>
      </c>
      <c r="J103" s="487">
        <f t="shared" si="37"/>
        <v>1</v>
      </c>
      <c r="K103" s="487">
        <f t="shared" si="37"/>
        <v>1</v>
      </c>
      <c r="L103" s="487">
        <f t="shared" si="37"/>
        <v>1</v>
      </c>
      <c r="M103" s="487">
        <f t="shared" si="37"/>
        <v>1</v>
      </c>
      <c r="N103" s="487">
        <f t="shared" si="37"/>
        <v>1</v>
      </c>
    </row>
    <row r="104" spans="3:16" hidden="1" outlineLevel="1">
      <c r="D104" s="236" t="s">
        <v>384</v>
      </c>
      <c r="G104" s="487">
        <f>G19</f>
        <v>0</v>
      </c>
      <c r="H104" s="487">
        <f t="shared" si="37"/>
        <v>0</v>
      </c>
      <c r="I104" s="487">
        <f t="shared" si="37"/>
        <v>0</v>
      </c>
      <c r="J104" s="487">
        <f t="shared" si="37"/>
        <v>0</v>
      </c>
      <c r="K104" s="487">
        <f t="shared" si="37"/>
        <v>0</v>
      </c>
      <c r="L104" s="487">
        <f t="shared" si="37"/>
        <v>0</v>
      </c>
      <c r="M104" s="487">
        <f t="shared" si="37"/>
        <v>0</v>
      </c>
      <c r="N104" s="487">
        <f t="shared" si="37"/>
        <v>0</v>
      </c>
    </row>
    <row r="105" spans="3:16" hidden="1" outlineLevel="1">
      <c r="D105" s="236" t="s">
        <v>385</v>
      </c>
      <c r="G105" s="487">
        <f>G20</f>
        <v>0</v>
      </c>
      <c r="H105" s="487">
        <f t="shared" si="37"/>
        <v>0</v>
      </c>
      <c r="I105" s="487">
        <f t="shared" si="37"/>
        <v>0</v>
      </c>
      <c r="J105" s="487">
        <f t="shared" si="37"/>
        <v>0</v>
      </c>
      <c r="K105" s="487">
        <f t="shared" si="37"/>
        <v>0</v>
      </c>
      <c r="L105" s="487">
        <f t="shared" si="37"/>
        <v>0</v>
      </c>
      <c r="M105" s="487">
        <f t="shared" si="37"/>
        <v>0</v>
      </c>
      <c r="N105" s="487">
        <f t="shared" si="37"/>
        <v>0</v>
      </c>
    </row>
    <row r="106" spans="3:16" hidden="1" outlineLevel="1">
      <c r="D106" s="236" t="s">
        <v>386</v>
      </c>
      <c r="G106" s="487">
        <f>G17+G23</f>
        <v>0</v>
      </c>
      <c r="H106" s="487">
        <f t="shared" ref="H106:N106" si="38">H17+H23</f>
        <v>0</v>
      </c>
      <c r="I106" s="487">
        <f t="shared" si="38"/>
        <v>0</v>
      </c>
      <c r="J106" s="487">
        <f t="shared" si="38"/>
        <v>0</v>
      </c>
      <c r="K106" s="487">
        <f t="shared" si="38"/>
        <v>0</v>
      </c>
      <c r="L106" s="487">
        <f t="shared" si="38"/>
        <v>0</v>
      </c>
      <c r="M106" s="487">
        <f t="shared" si="38"/>
        <v>0</v>
      </c>
      <c r="N106" s="487">
        <f t="shared" si="38"/>
        <v>0</v>
      </c>
    </row>
    <row r="107" spans="3:16" hidden="1" outlineLevel="1">
      <c r="D107" s="236" t="s">
        <v>387</v>
      </c>
      <c r="G107" s="487">
        <f>G22</f>
        <v>0</v>
      </c>
      <c r="H107" s="487">
        <f t="shared" ref="H107:N107" si="39">H22</f>
        <v>0</v>
      </c>
      <c r="I107" s="487">
        <f t="shared" si="39"/>
        <v>0</v>
      </c>
      <c r="J107" s="487">
        <f t="shared" si="39"/>
        <v>0</v>
      </c>
      <c r="K107" s="487">
        <f t="shared" si="39"/>
        <v>0</v>
      </c>
      <c r="L107" s="487">
        <f t="shared" si="39"/>
        <v>0</v>
      </c>
      <c r="M107" s="487">
        <f t="shared" si="39"/>
        <v>0</v>
      </c>
      <c r="N107" s="487">
        <f t="shared" si="39"/>
        <v>0</v>
      </c>
    </row>
    <row r="108" spans="3:16" hidden="1" outlineLevel="1">
      <c r="D108" s="236" t="s">
        <v>16</v>
      </c>
      <c r="G108" s="487">
        <f>SUM(G99:G107)</f>
        <v>1</v>
      </c>
      <c r="H108" s="487">
        <f t="shared" ref="H108:N108" si="40">SUM(H99:H107)</f>
        <v>1</v>
      </c>
      <c r="I108" s="487">
        <f t="shared" si="40"/>
        <v>1</v>
      </c>
      <c r="J108" s="487">
        <f t="shared" si="40"/>
        <v>1</v>
      </c>
      <c r="K108" s="487">
        <f t="shared" si="40"/>
        <v>1</v>
      </c>
      <c r="L108" s="487">
        <f t="shared" si="40"/>
        <v>1</v>
      </c>
      <c r="M108" s="487">
        <f t="shared" si="40"/>
        <v>1</v>
      </c>
      <c r="N108" s="487">
        <f t="shared" si="40"/>
        <v>1</v>
      </c>
    </row>
    <row r="109" spans="3:16" hidden="1" outlineLevel="1"/>
    <row r="110" spans="3:16" hidden="1" outlineLevel="1">
      <c r="C110" s="236" t="s">
        <v>443</v>
      </c>
      <c r="D110" s="236" t="s">
        <v>445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7" t="s">
        <v>16</v>
      </c>
      <c r="P110" s="807" t="s">
        <v>453</v>
      </c>
    </row>
    <row r="111" spans="3:16" hidden="1" outlineLevel="1">
      <c r="C111" s="236" t="s">
        <v>444</v>
      </c>
      <c r="D111" s="236" t="s">
        <v>379</v>
      </c>
      <c r="G111" s="452">
        <f>G99*G$53</f>
        <v>0</v>
      </c>
      <c r="H111" s="452">
        <f t="shared" ref="H111:N111" si="41">H99*H$53</f>
        <v>0</v>
      </c>
      <c r="I111" s="452">
        <f t="shared" si="41"/>
        <v>0</v>
      </c>
      <c r="J111" s="452">
        <f t="shared" si="41"/>
        <v>0</v>
      </c>
      <c r="K111" s="452">
        <f t="shared" si="41"/>
        <v>0</v>
      </c>
      <c r="L111" s="452">
        <f t="shared" si="41"/>
        <v>0</v>
      </c>
      <c r="M111" s="452">
        <f t="shared" si="41"/>
        <v>0</v>
      </c>
      <c r="N111" s="452">
        <f t="shared" si="41"/>
        <v>0</v>
      </c>
      <c r="O111" s="452">
        <f t="shared" ref="O111:O119" si="42">SUM(F111:N111)</f>
        <v>0</v>
      </c>
      <c r="P111" s="452">
        <f t="shared" ref="P111:P119" si="43">SUM(I111:M111)</f>
        <v>0</v>
      </c>
    </row>
    <row r="112" spans="3:16" hidden="1" outlineLevel="1">
      <c r="D112" s="236" t="s">
        <v>380</v>
      </c>
      <c r="G112" s="452">
        <f t="shared" ref="G112:N119" si="44">G100*G$53</f>
        <v>0</v>
      </c>
      <c r="H112" s="452">
        <f t="shared" si="44"/>
        <v>0</v>
      </c>
      <c r="I112" s="452">
        <f t="shared" si="44"/>
        <v>0</v>
      </c>
      <c r="J112" s="452">
        <f t="shared" si="44"/>
        <v>0</v>
      </c>
      <c r="K112" s="452">
        <f t="shared" si="44"/>
        <v>0</v>
      </c>
      <c r="L112" s="452">
        <f t="shared" si="44"/>
        <v>0</v>
      </c>
      <c r="M112" s="452">
        <f t="shared" si="44"/>
        <v>0</v>
      </c>
      <c r="N112" s="452">
        <f t="shared" si="44"/>
        <v>0</v>
      </c>
      <c r="O112" s="452">
        <f t="shared" si="42"/>
        <v>0</v>
      </c>
      <c r="P112" s="452">
        <f t="shared" si="43"/>
        <v>0</v>
      </c>
    </row>
    <row r="113" spans="4:16" hidden="1" outlineLevel="1">
      <c r="D113" s="236" t="s">
        <v>381</v>
      </c>
      <c r="G113" s="452">
        <f t="shared" si="44"/>
        <v>0</v>
      </c>
      <c r="H113" s="452">
        <f t="shared" si="44"/>
        <v>0</v>
      </c>
      <c r="I113" s="452">
        <f t="shared" si="44"/>
        <v>0</v>
      </c>
      <c r="J113" s="452">
        <f t="shared" si="44"/>
        <v>0</v>
      </c>
      <c r="K113" s="452">
        <f t="shared" si="44"/>
        <v>0</v>
      </c>
      <c r="L113" s="452">
        <f t="shared" si="44"/>
        <v>0</v>
      </c>
      <c r="M113" s="452">
        <f t="shared" si="44"/>
        <v>0</v>
      </c>
      <c r="N113" s="452">
        <f t="shared" si="44"/>
        <v>0</v>
      </c>
      <c r="O113" s="452">
        <f t="shared" si="42"/>
        <v>0</v>
      </c>
      <c r="P113" s="452">
        <f t="shared" si="43"/>
        <v>0</v>
      </c>
    </row>
    <row r="114" spans="4:16" hidden="1" outlineLevel="1">
      <c r="D114" s="236" t="s">
        <v>382</v>
      </c>
      <c r="G114" s="452">
        <f t="shared" si="44"/>
        <v>0</v>
      </c>
      <c r="H114" s="452">
        <f t="shared" si="44"/>
        <v>0</v>
      </c>
      <c r="I114" s="452">
        <f t="shared" si="44"/>
        <v>0</v>
      </c>
      <c r="J114" s="452">
        <f t="shared" si="44"/>
        <v>0</v>
      </c>
      <c r="K114" s="452">
        <f t="shared" si="44"/>
        <v>0</v>
      </c>
      <c r="L114" s="452">
        <f t="shared" si="44"/>
        <v>0</v>
      </c>
      <c r="M114" s="452">
        <f t="shared" si="44"/>
        <v>0</v>
      </c>
      <c r="N114" s="452">
        <f t="shared" si="44"/>
        <v>0</v>
      </c>
      <c r="O114" s="452">
        <f t="shared" si="42"/>
        <v>0</v>
      </c>
      <c r="P114" s="452">
        <f t="shared" si="43"/>
        <v>0</v>
      </c>
    </row>
    <row r="115" spans="4:16" hidden="1" outlineLevel="1">
      <c r="D115" s="236" t="s">
        <v>383</v>
      </c>
      <c r="G115" s="452">
        <f t="shared" si="44"/>
        <v>590.43118830451124</v>
      </c>
      <c r="H115" s="452">
        <f t="shared" si="44"/>
        <v>0</v>
      </c>
      <c r="I115" s="452">
        <f t="shared" si="44"/>
        <v>0</v>
      </c>
      <c r="J115" s="452">
        <f t="shared" si="44"/>
        <v>0</v>
      </c>
      <c r="K115" s="452">
        <f t="shared" si="44"/>
        <v>0</v>
      </c>
      <c r="L115" s="452">
        <f t="shared" si="44"/>
        <v>0</v>
      </c>
      <c r="M115" s="452">
        <f t="shared" si="44"/>
        <v>0</v>
      </c>
      <c r="N115" s="452">
        <f t="shared" si="44"/>
        <v>0</v>
      </c>
      <c r="O115" s="452">
        <f t="shared" si="42"/>
        <v>590.43118830451124</v>
      </c>
      <c r="P115" s="452">
        <f t="shared" si="43"/>
        <v>0</v>
      </c>
    </row>
    <row r="116" spans="4:16" hidden="1" outlineLevel="1">
      <c r="D116" s="236" t="s">
        <v>384</v>
      </c>
      <c r="G116" s="452">
        <f t="shared" si="44"/>
        <v>0</v>
      </c>
      <c r="H116" s="452">
        <f t="shared" si="44"/>
        <v>0</v>
      </c>
      <c r="I116" s="452">
        <f t="shared" si="44"/>
        <v>0</v>
      </c>
      <c r="J116" s="452">
        <f t="shared" si="44"/>
        <v>0</v>
      </c>
      <c r="K116" s="452">
        <f t="shared" si="44"/>
        <v>0</v>
      </c>
      <c r="L116" s="452">
        <f t="shared" si="44"/>
        <v>0</v>
      </c>
      <c r="M116" s="452">
        <f t="shared" si="44"/>
        <v>0</v>
      </c>
      <c r="N116" s="452">
        <f t="shared" si="44"/>
        <v>0</v>
      </c>
      <c r="O116" s="452">
        <f t="shared" si="42"/>
        <v>0</v>
      </c>
      <c r="P116" s="452">
        <f t="shared" si="43"/>
        <v>0</v>
      </c>
    </row>
    <row r="117" spans="4:16" hidden="1" outlineLevel="1">
      <c r="D117" s="236" t="s">
        <v>385</v>
      </c>
      <c r="G117" s="452">
        <f t="shared" si="44"/>
        <v>0</v>
      </c>
      <c r="H117" s="452">
        <f t="shared" si="44"/>
        <v>0</v>
      </c>
      <c r="I117" s="452">
        <f t="shared" si="44"/>
        <v>0</v>
      </c>
      <c r="J117" s="452">
        <f t="shared" si="44"/>
        <v>0</v>
      </c>
      <c r="K117" s="452">
        <f t="shared" si="44"/>
        <v>0</v>
      </c>
      <c r="L117" s="452">
        <f t="shared" si="44"/>
        <v>0</v>
      </c>
      <c r="M117" s="452">
        <f t="shared" si="44"/>
        <v>0</v>
      </c>
      <c r="N117" s="452">
        <f t="shared" si="44"/>
        <v>0</v>
      </c>
      <c r="O117" s="452">
        <f t="shared" si="42"/>
        <v>0</v>
      </c>
      <c r="P117" s="452">
        <f t="shared" si="43"/>
        <v>0</v>
      </c>
    </row>
    <row r="118" spans="4:16" hidden="1" outlineLevel="1">
      <c r="D118" s="236" t="s">
        <v>386</v>
      </c>
      <c r="G118" s="452">
        <f t="shared" si="44"/>
        <v>0</v>
      </c>
      <c r="H118" s="452">
        <f t="shared" si="44"/>
        <v>0</v>
      </c>
      <c r="I118" s="452">
        <f t="shared" si="44"/>
        <v>0</v>
      </c>
      <c r="J118" s="452">
        <f t="shared" si="44"/>
        <v>0</v>
      </c>
      <c r="K118" s="452">
        <f t="shared" si="44"/>
        <v>0</v>
      </c>
      <c r="L118" s="452">
        <f t="shared" si="44"/>
        <v>0</v>
      </c>
      <c r="M118" s="452">
        <f t="shared" si="44"/>
        <v>0</v>
      </c>
      <c r="N118" s="452">
        <f t="shared" si="44"/>
        <v>0</v>
      </c>
      <c r="O118" s="452">
        <f t="shared" si="42"/>
        <v>0</v>
      </c>
      <c r="P118" s="452">
        <f t="shared" si="43"/>
        <v>0</v>
      </c>
    </row>
    <row r="119" spans="4:16" hidden="1" outlineLevel="1">
      <c r="D119" s="236" t="s">
        <v>387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6" t="s">
        <v>440</v>
      </c>
      <c r="G120" s="452">
        <f>SUM(G111:G119)</f>
        <v>590.43118830451124</v>
      </c>
      <c r="H120" s="452">
        <f t="shared" ref="H120:P120" si="45">SUM(H111:H119)</f>
        <v>0</v>
      </c>
      <c r="I120" s="452">
        <f t="shared" si="45"/>
        <v>0</v>
      </c>
      <c r="J120" s="452">
        <f t="shared" si="45"/>
        <v>0</v>
      </c>
      <c r="K120" s="452">
        <f t="shared" si="45"/>
        <v>0</v>
      </c>
      <c r="L120" s="452">
        <f t="shared" si="45"/>
        <v>0</v>
      </c>
      <c r="M120" s="452">
        <f t="shared" si="45"/>
        <v>0</v>
      </c>
      <c r="N120" s="452">
        <f t="shared" si="45"/>
        <v>0</v>
      </c>
      <c r="O120" s="452">
        <f t="shared" si="45"/>
        <v>590.43118830451124</v>
      </c>
      <c r="P120" s="452">
        <f t="shared" si="45"/>
        <v>0</v>
      </c>
    </row>
    <row r="121" spans="4:16" hidden="1" outlineLevel="1"/>
    <row r="122" spans="4:16" hidden="1" outlineLevel="1">
      <c r="D122" s="236" t="s">
        <v>446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453</v>
      </c>
    </row>
    <row r="123" spans="4:16" hidden="1" outlineLevel="1">
      <c r="D123" s="236" t="s">
        <v>379</v>
      </c>
      <c r="G123" s="452">
        <f>G99*G$51</f>
        <v>0</v>
      </c>
      <c r="H123" s="452">
        <f t="shared" ref="H123:N123" si="46">H99*H$51</f>
        <v>0</v>
      </c>
      <c r="I123" s="452">
        <f t="shared" si="46"/>
        <v>0</v>
      </c>
      <c r="J123" s="452">
        <f t="shared" si="46"/>
        <v>0</v>
      </c>
      <c r="K123" s="452">
        <f t="shared" si="46"/>
        <v>0</v>
      </c>
      <c r="L123" s="452">
        <f t="shared" si="46"/>
        <v>0</v>
      </c>
      <c r="M123" s="452">
        <f t="shared" si="46"/>
        <v>0</v>
      </c>
      <c r="N123" s="452">
        <f t="shared" si="46"/>
        <v>0</v>
      </c>
      <c r="O123" s="452">
        <f t="shared" ref="O123:O131" si="47">SUM(F123:N123)</f>
        <v>0</v>
      </c>
      <c r="P123" s="452">
        <f t="shared" ref="P123:P131" si="48">SUM(I123:M123)</f>
        <v>0</v>
      </c>
    </row>
    <row r="124" spans="4:16" hidden="1" outlineLevel="1">
      <c r="D124" s="236" t="s">
        <v>380</v>
      </c>
      <c r="G124" s="452">
        <f t="shared" ref="G124:N131" si="49">G100*G$51</f>
        <v>0</v>
      </c>
      <c r="H124" s="452">
        <f t="shared" si="49"/>
        <v>0</v>
      </c>
      <c r="I124" s="452">
        <f t="shared" si="49"/>
        <v>0</v>
      </c>
      <c r="J124" s="452">
        <f t="shared" si="49"/>
        <v>0</v>
      </c>
      <c r="K124" s="452">
        <f t="shared" si="49"/>
        <v>0</v>
      </c>
      <c r="L124" s="452">
        <f t="shared" si="49"/>
        <v>0</v>
      </c>
      <c r="M124" s="452">
        <f t="shared" si="49"/>
        <v>0</v>
      </c>
      <c r="N124" s="452">
        <f t="shared" si="49"/>
        <v>0</v>
      </c>
      <c r="O124" s="452">
        <f t="shared" si="47"/>
        <v>0</v>
      </c>
      <c r="P124" s="452">
        <f t="shared" si="48"/>
        <v>0</v>
      </c>
    </row>
    <row r="125" spans="4:16" hidden="1" outlineLevel="1">
      <c r="D125" s="236" t="s">
        <v>381</v>
      </c>
      <c r="G125" s="452">
        <f t="shared" si="49"/>
        <v>0</v>
      </c>
      <c r="H125" s="452">
        <f t="shared" si="49"/>
        <v>0</v>
      </c>
      <c r="I125" s="452">
        <f t="shared" si="49"/>
        <v>0</v>
      </c>
      <c r="J125" s="452">
        <f t="shared" si="49"/>
        <v>0</v>
      </c>
      <c r="K125" s="452">
        <f t="shared" si="49"/>
        <v>0</v>
      </c>
      <c r="L125" s="452">
        <f t="shared" si="49"/>
        <v>0</v>
      </c>
      <c r="M125" s="452">
        <f t="shared" si="49"/>
        <v>0</v>
      </c>
      <c r="N125" s="452">
        <f t="shared" si="49"/>
        <v>0</v>
      </c>
      <c r="O125" s="452">
        <f t="shared" si="47"/>
        <v>0</v>
      </c>
      <c r="P125" s="452">
        <f t="shared" si="48"/>
        <v>0</v>
      </c>
    </row>
    <row r="126" spans="4:16" hidden="1" outlineLevel="1">
      <c r="D126" s="236" t="s">
        <v>382</v>
      </c>
      <c r="G126" s="452">
        <f t="shared" si="49"/>
        <v>0</v>
      </c>
      <c r="H126" s="452">
        <f t="shared" si="49"/>
        <v>0</v>
      </c>
      <c r="I126" s="452">
        <f t="shared" si="49"/>
        <v>0</v>
      </c>
      <c r="J126" s="452">
        <f t="shared" si="49"/>
        <v>0</v>
      </c>
      <c r="K126" s="452">
        <f t="shared" si="49"/>
        <v>0</v>
      </c>
      <c r="L126" s="452">
        <f t="shared" si="49"/>
        <v>0</v>
      </c>
      <c r="M126" s="452">
        <f t="shared" si="49"/>
        <v>0</v>
      </c>
      <c r="N126" s="452">
        <f t="shared" si="49"/>
        <v>0</v>
      </c>
      <c r="O126" s="452">
        <f t="shared" si="47"/>
        <v>0</v>
      </c>
      <c r="P126" s="452">
        <f t="shared" si="48"/>
        <v>0</v>
      </c>
    </row>
    <row r="127" spans="4:16" hidden="1" outlineLevel="1">
      <c r="D127" s="236" t="s">
        <v>383</v>
      </c>
      <c r="G127" s="452">
        <f t="shared" si="49"/>
        <v>148.47499288395008</v>
      </c>
      <c r="H127" s="452">
        <f t="shared" si="49"/>
        <v>0</v>
      </c>
      <c r="I127" s="452">
        <f t="shared" si="49"/>
        <v>0</v>
      </c>
      <c r="J127" s="452">
        <f t="shared" si="49"/>
        <v>0</v>
      </c>
      <c r="K127" s="452">
        <f t="shared" si="49"/>
        <v>0</v>
      </c>
      <c r="L127" s="452">
        <f t="shared" si="49"/>
        <v>0</v>
      </c>
      <c r="M127" s="452">
        <f t="shared" si="49"/>
        <v>0</v>
      </c>
      <c r="N127" s="452">
        <f t="shared" si="49"/>
        <v>0</v>
      </c>
      <c r="O127" s="452">
        <f t="shared" si="47"/>
        <v>148.47499288395008</v>
      </c>
      <c r="P127" s="452">
        <f t="shared" si="48"/>
        <v>0</v>
      </c>
    </row>
    <row r="128" spans="4:16" hidden="1" outlineLevel="1">
      <c r="D128" s="236" t="s">
        <v>384</v>
      </c>
      <c r="G128" s="452">
        <f t="shared" si="49"/>
        <v>0</v>
      </c>
      <c r="H128" s="452">
        <f t="shared" si="49"/>
        <v>0</v>
      </c>
      <c r="I128" s="452">
        <f t="shared" si="49"/>
        <v>0</v>
      </c>
      <c r="J128" s="452">
        <f t="shared" si="49"/>
        <v>0</v>
      </c>
      <c r="K128" s="452">
        <f t="shared" si="49"/>
        <v>0</v>
      </c>
      <c r="L128" s="452">
        <f t="shared" si="49"/>
        <v>0</v>
      </c>
      <c r="M128" s="452">
        <f t="shared" si="49"/>
        <v>0</v>
      </c>
      <c r="N128" s="452">
        <f t="shared" si="49"/>
        <v>0</v>
      </c>
      <c r="O128" s="452">
        <f t="shared" si="47"/>
        <v>0</v>
      </c>
      <c r="P128" s="452">
        <f t="shared" si="48"/>
        <v>0</v>
      </c>
    </row>
    <row r="129" spans="4:16" hidden="1" outlineLevel="1">
      <c r="D129" s="236" t="s">
        <v>385</v>
      </c>
      <c r="G129" s="452">
        <f t="shared" si="49"/>
        <v>0</v>
      </c>
      <c r="H129" s="452">
        <f t="shared" si="49"/>
        <v>0</v>
      </c>
      <c r="I129" s="452">
        <f t="shared" si="49"/>
        <v>0</v>
      </c>
      <c r="J129" s="452">
        <f t="shared" si="49"/>
        <v>0</v>
      </c>
      <c r="K129" s="452">
        <f t="shared" si="49"/>
        <v>0</v>
      </c>
      <c r="L129" s="452">
        <f t="shared" si="49"/>
        <v>0</v>
      </c>
      <c r="M129" s="452">
        <f t="shared" si="49"/>
        <v>0</v>
      </c>
      <c r="N129" s="452">
        <f t="shared" si="49"/>
        <v>0</v>
      </c>
      <c r="O129" s="452">
        <f t="shared" si="47"/>
        <v>0</v>
      </c>
      <c r="P129" s="452">
        <f t="shared" si="48"/>
        <v>0</v>
      </c>
    </row>
    <row r="130" spans="4:16" hidden="1" outlineLevel="1">
      <c r="D130" s="236" t="s">
        <v>386</v>
      </c>
      <c r="G130" s="452">
        <f t="shared" si="49"/>
        <v>0</v>
      </c>
      <c r="H130" s="452">
        <f t="shared" si="49"/>
        <v>0</v>
      </c>
      <c r="I130" s="452">
        <f t="shared" si="49"/>
        <v>0</v>
      </c>
      <c r="J130" s="452">
        <f t="shared" si="49"/>
        <v>0</v>
      </c>
      <c r="K130" s="452">
        <f t="shared" si="49"/>
        <v>0</v>
      </c>
      <c r="L130" s="452">
        <f t="shared" si="49"/>
        <v>0</v>
      </c>
      <c r="M130" s="452">
        <f t="shared" si="49"/>
        <v>0</v>
      </c>
      <c r="N130" s="452">
        <f t="shared" si="49"/>
        <v>0</v>
      </c>
      <c r="O130" s="452">
        <f t="shared" si="47"/>
        <v>0</v>
      </c>
      <c r="P130" s="452">
        <f t="shared" si="48"/>
        <v>0</v>
      </c>
    </row>
    <row r="131" spans="4:16" hidden="1" outlineLevel="1">
      <c r="D131" s="236" t="s">
        <v>387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6" t="s">
        <v>441</v>
      </c>
      <c r="G132" s="452">
        <f>SUM(G123:G131)</f>
        <v>148.47499288395008</v>
      </c>
      <c r="H132" s="452">
        <f t="shared" ref="H132:P132" si="50">SUM(H123:H131)</f>
        <v>0</v>
      </c>
      <c r="I132" s="452">
        <f t="shared" si="50"/>
        <v>0</v>
      </c>
      <c r="J132" s="452">
        <f t="shared" si="50"/>
        <v>0</v>
      </c>
      <c r="K132" s="452">
        <f t="shared" si="50"/>
        <v>0</v>
      </c>
      <c r="L132" s="452">
        <f t="shared" si="50"/>
        <v>0</v>
      </c>
      <c r="M132" s="452">
        <f t="shared" si="50"/>
        <v>0</v>
      </c>
      <c r="N132" s="452">
        <f t="shared" si="50"/>
        <v>0</v>
      </c>
      <c r="O132" s="452">
        <f t="shared" si="50"/>
        <v>148.47499288395008</v>
      </c>
      <c r="P132" s="452">
        <f t="shared" si="50"/>
        <v>0</v>
      </c>
    </row>
    <row r="133" spans="4:16" hidden="1" outlineLevel="1"/>
    <row r="134" spans="4:16" hidden="1" outlineLevel="1">
      <c r="D134" s="236" t="s">
        <v>447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453</v>
      </c>
    </row>
    <row r="135" spans="4:16" hidden="1" outlineLevel="1">
      <c r="D135" s="236" t="s">
        <v>379</v>
      </c>
      <c r="G135" s="452">
        <f>G99*G$52</f>
        <v>0</v>
      </c>
      <c r="H135" s="452">
        <f t="shared" ref="H135:N135" si="51">H99*H$52</f>
        <v>0</v>
      </c>
      <c r="I135" s="452">
        <f t="shared" si="51"/>
        <v>0</v>
      </c>
      <c r="J135" s="452">
        <f t="shared" si="51"/>
        <v>0</v>
      </c>
      <c r="K135" s="452">
        <f t="shared" si="51"/>
        <v>0</v>
      </c>
      <c r="L135" s="452">
        <f t="shared" si="51"/>
        <v>0</v>
      </c>
      <c r="M135" s="452">
        <f t="shared" si="51"/>
        <v>0</v>
      </c>
      <c r="N135" s="452">
        <f t="shared" si="51"/>
        <v>0</v>
      </c>
      <c r="O135" s="452">
        <f t="shared" ref="O135:O143" si="52">SUM(F135:N135)</f>
        <v>0</v>
      </c>
      <c r="P135" s="452">
        <f t="shared" ref="P135:P143" si="53">SUM(I135:M135)</f>
        <v>0</v>
      </c>
    </row>
    <row r="136" spans="4:16" hidden="1" outlineLevel="1">
      <c r="D136" s="236" t="s">
        <v>380</v>
      </c>
      <c r="G136" s="452">
        <f t="shared" ref="G136:N143" si="54">G100*G$52</f>
        <v>0</v>
      </c>
      <c r="H136" s="452">
        <f t="shared" si="54"/>
        <v>0</v>
      </c>
      <c r="I136" s="452">
        <f t="shared" si="54"/>
        <v>0</v>
      </c>
      <c r="J136" s="452">
        <f t="shared" si="54"/>
        <v>0</v>
      </c>
      <c r="K136" s="452">
        <f t="shared" si="54"/>
        <v>0</v>
      </c>
      <c r="L136" s="452">
        <f t="shared" si="54"/>
        <v>0</v>
      </c>
      <c r="M136" s="452">
        <f t="shared" si="54"/>
        <v>0</v>
      </c>
      <c r="N136" s="452">
        <f t="shared" si="54"/>
        <v>0</v>
      </c>
      <c r="O136" s="452">
        <f t="shared" si="52"/>
        <v>0</v>
      </c>
      <c r="P136" s="452">
        <f t="shared" si="53"/>
        <v>0</v>
      </c>
    </row>
    <row r="137" spans="4:16" hidden="1" outlineLevel="1">
      <c r="D137" s="236" t="s">
        <v>381</v>
      </c>
      <c r="G137" s="452">
        <f t="shared" si="54"/>
        <v>0</v>
      </c>
      <c r="H137" s="452">
        <f t="shared" si="54"/>
        <v>0</v>
      </c>
      <c r="I137" s="452">
        <f t="shared" si="54"/>
        <v>0</v>
      </c>
      <c r="J137" s="452">
        <f t="shared" si="54"/>
        <v>0</v>
      </c>
      <c r="K137" s="452">
        <f t="shared" si="54"/>
        <v>0</v>
      </c>
      <c r="L137" s="452">
        <f t="shared" si="54"/>
        <v>0</v>
      </c>
      <c r="M137" s="452">
        <f t="shared" si="54"/>
        <v>0</v>
      </c>
      <c r="N137" s="452">
        <f t="shared" si="54"/>
        <v>0</v>
      </c>
      <c r="O137" s="452">
        <f t="shared" si="52"/>
        <v>0</v>
      </c>
      <c r="P137" s="452">
        <f t="shared" si="53"/>
        <v>0</v>
      </c>
    </row>
    <row r="138" spans="4:16" hidden="1" outlineLevel="1">
      <c r="D138" s="236" t="s">
        <v>382</v>
      </c>
      <c r="G138" s="452">
        <f t="shared" si="54"/>
        <v>0</v>
      </c>
      <c r="H138" s="452">
        <f t="shared" si="54"/>
        <v>0</v>
      </c>
      <c r="I138" s="452">
        <f t="shared" si="54"/>
        <v>0</v>
      </c>
      <c r="J138" s="452">
        <f t="shared" si="54"/>
        <v>0</v>
      </c>
      <c r="K138" s="452">
        <f t="shared" si="54"/>
        <v>0</v>
      </c>
      <c r="L138" s="452">
        <f t="shared" si="54"/>
        <v>0</v>
      </c>
      <c r="M138" s="452">
        <f t="shared" si="54"/>
        <v>0</v>
      </c>
      <c r="N138" s="452">
        <f t="shared" si="54"/>
        <v>0</v>
      </c>
      <c r="O138" s="452">
        <f t="shared" si="52"/>
        <v>0</v>
      </c>
      <c r="P138" s="452">
        <f t="shared" si="53"/>
        <v>0</v>
      </c>
    </row>
    <row r="139" spans="4:16" hidden="1" outlineLevel="1">
      <c r="D139" s="236" t="s">
        <v>383</v>
      </c>
      <c r="G139" s="452">
        <f t="shared" si="54"/>
        <v>741.06494522069966</v>
      </c>
      <c r="H139" s="452">
        <f t="shared" si="54"/>
        <v>0</v>
      </c>
      <c r="I139" s="452">
        <f t="shared" si="54"/>
        <v>0</v>
      </c>
      <c r="J139" s="452">
        <f t="shared" si="54"/>
        <v>0</v>
      </c>
      <c r="K139" s="452">
        <f t="shared" si="54"/>
        <v>0</v>
      </c>
      <c r="L139" s="452">
        <f t="shared" si="54"/>
        <v>0</v>
      </c>
      <c r="M139" s="452">
        <f t="shared" si="54"/>
        <v>0</v>
      </c>
      <c r="N139" s="452">
        <f t="shared" si="54"/>
        <v>0</v>
      </c>
      <c r="O139" s="452">
        <f t="shared" si="52"/>
        <v>741.06494522069966</v>
      </c>
      <c r="P139" s="452">
        <f t="shared" si="53"/>
        <v>0</v>
      </c>
    </row>
    <row r="140" spans="4:16" hidden="1" outlineLevel="1">
      <c r="D140" s="236" t="s">
        <v>384</v>
      </c>
      <c r="G140" s="452">
        <f t="shared" si="54"/>
        <v>0</v>
      </c>
      <c r="H140" s="452">
        <f t="shared" si="54"/>
        <v>0</v>
      </c>
      <c r="I140" s="452">
        <f t="shared" si="54"/>
        <v>0</v>
      </c>
      <c r="J140" s="452">
        <f t="shared" si="54"/>
        <v>0</v>
      </c>
      <c r="K140" s="452">
        <f t="shared" si="54"/>
        <v>0</v>
      </c>
      <c r="L140" s="452">
        <f t="shared" si="54"/>
        <v>0</v>
      </c>
      <c r="M140" s="452">
        <f t="shared" si="54"/>
        <v>0</v>
      </c>
      <c r="N140" s="452">
        <f t="shared" si="54"/>
        <v>0</v>
      </c>
      <c r="O140" s="452">
        <f t="shared" si="52"/>
        <v>0</v>
      </c>
      <c r="P140" s="452">
        <f t="shared" si="53"/>
        <v>0</v>
      </c>
    </row>
    <row r="141" spans="4:16" hidden="1" outlineLevel="1">
      <c r="D141" s="236" t="s">
        <v>385</v>
      </c>
      <c r="G141" s="452">
        <f t="shared" si="54"/>
        <v>0</v>
      </c>
      <c r="H141" s="452">
        <f t="shared" si="54"/>
        <v>0</v>
      </c>
      <c r="I141" s="452">
        <f t="shared" si="54"/>
        <v>0</v>
      </c>
      <c r="J141" s="452">
        <f t="shared" si="54"/>
        <v>0</v>
      </c>
      <c r="K141" s="452">
        <f t="shared" si="54"/>
        <v>0</v>
      </c>
      <c r="L141" s="452">
        <f t="shared" si="54"/>
        <v>0</v>
      </c>
      <c r="M141" s="452">
        <f t="shared" si="54"/>
        <v>0</v>
      </c>
      <c r="N141" s="452">
        <f t="shared" si="54"/>
        <v>0</v>
      </c>
      <c r="O141" s="452">
        <f t="shared" si="52"/>
        <v>0</v>
      </c>
      <c r="P141" s="452">
        <f t="shared" si="53"/>
        <v>0</v>
      </c>
    </row>
    <row r="142" spans="4:16" hidden="1" outlineLevel="1">
      <c r="D142" s="236" t="s">
        <v>386</v>
      </c>
      <c r="G142" s="452">
        <f t="shared" si="54"/>
        <v>0</v>
      </c>
      <c r="H142" s="452">
        <f t="shared" si="54"/>
        <v>0</v>
      </c>
      <c r="I142" s="452">
        <f t="shared" si="54"/>
        <v>0</v>
      </c>
      <c r="J142" s="452">
        <f t="shared" si="54"/>
        <v>0</v>
      </c>
      <c r="K142" s="452">
        <f t="shared" si="54"/>
        <v>0</v>
      </c>
      <c r="L142" s="452">
        <f t="shared" si="54"/>
        <v>0</v>
      </c>
      <c r="M142" s="452">
        <f t="shared" si="54"/>
        <v>0</v>
      </c>
      <c r="N142" s="452">
        <f t="shared" si="54"/>
        <v>0</v>
      </c>
      <c r="O142" s="452">
        <f t="shared" si="52"/>
        <v>0</v>
      </c>
      <c r="P142" s="452">
        <f t="shared" si="53"/>
        <v>0</v>
      </c>
    </row>
    <row r="143" spans="4:16" hidden="1" outlineLevel="1">
      <c r="D143" s="236" t="s">
        <v>387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6" t="s">
        <v>442</v>
      </c>
      <c r="G144" s="452">
        <f>SUM(G135:G143)</f>
        <v>741.06494522069966</v>
      </c>
      <c r="H144" s="452">
        <f t="shared" ref="H144:P144" si="55">SUM(H135:H143)</f>
        <v>0</v>
      </c>
      <c r="I144" s="452">
        <f t="shared" si="55"/>
        <v>0</v>
      </c>
      <c r="J144" s="452">
        <f t="shared" si="55"/>
        <v>0</v>
      </c>
      <c r="K144" s="452">
        <f t="shared" si="55"/>
        <v>0</v>
      </c>
      <c r="L144" s="452">
        <f t="shared" si="55"/>
        <v>0</v>
      </c>
      <c r="M144" s="452">
        <f t="shared" si="55"/>
        <v>0</v>
      </c>
      <c r="N144" s="452">
        <f t="shared" si="55"/>
        <v>0</v>
      </c>
      <c r="O144" s="452">
        <f t="shared" si="55"/>
        <v>741.06494522069966</v>
      </c>
      <c r="P144" s="452">
        <f t="shared" si="55"/>
        <v>0</v>
      </c>
    </row>
    <row r="145" spans="4:16" hidden="1" outlineLevel="1" collapsed="1"/>
    <row r="146" spans="4:16" hidden="1" outlineLevel="1">
      <c r="D146" s="236" t="s">
        <v>454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453</v>
      </c>
    </row>
    <row r="147" spans="4:16" hidden="1" outlineLevel="1">
      <c r="D147" s="236" t="s">
        <v>379</v>
      </c>
      <c r="G147" s="452">
        <f t="shared" ref="G147:N155" si="56">G111+G123+G135</f>
        <v>0</v>
      </c>
      <c r="H147" s="452">
        <f t="shared" si="56"/>
        <v>0</v>
      </c>
      <c r="I147" s="452">
        <f t="shared" si="56"/>
        <v>0</v>
      </c>
      <c r="J147" s="452">
        <f t="shared" si="56"/>
        <v>0</v>
      </c>
      <c r="K147" s="452">
        <f t="shared" si="56"/>
        <v>0</v>
      </c>
      <c r="L147" s="452">
        <f t="shared" si="56"/>
        <v>0</v>
      </c>
      <c r="M147" s="452">
        <f t="shared" si="56"/>
        <v>0</v>
      </c>
      <c r="N147" s="452">
        <f t="shared" si="56"/>
        <v>0</v>
      </c>
      <c r="O147" s="452">
        <f t="shared" ref="O147:O155" si="57">SUM(F147:N147)</f>
        <v>0</v>
      </c>
      <c r="P147" s="452">
        <f t="shared" ref="P147:P155" si="58">SUM(I147:M147)</f>
        <v>0</v>
      </c>
    </row>
    <row r="148" spans="4:16" hidden="1" outlineLevel="1">
      <c r="D148" s="236" t="s">
        <v>380</v>
      </c>
      <c r="G148" s="452">
        <f t="shared" si="56"/>
        <v>0</v>
      </c>
      <c r="H148" s="452">
        <f t="shared" si="56"/>
        <v>0</v>
      </c>
      <c r="I148" s="452">
        <f t="shared" si="56"/>
        <v>0</v>
      </c>
      <c r="J148" s="452">
        <f t="shared" si="56"/>
        <v>0</v>
      </c>
      <c r="K148" s="452">
        <f t="shared" si="56"/>
        <v>0</v>
      </c>
      <c r="L148" s="452">
        <f t="shared" si="56"/>
        <v>0</v>
      </c>
      <c r="M148" s="452">
        <f t="shared" si="56"/>
        <v>0</v>
      </c>
      <c r="N148" s="452">
        <f t="shared" si="56"/>
        <v>0</v>
      </c>
      <c r="O148" s="452">
        <f t="shared" si="57"/>
        <v>0</v>
      </c>
      <c r="P148" s="452">
        <f t="shared" si="58"/>
        <v>0</v>
      </c>
    </row>
    <row r="149" spans="4:16" hidden="1" outlineLevel="1">
      <c r="D149" s="236" t="s">
        <v>381</v>
      </c>
      <c r="G149" s="452">
        <f t="shared" si="56"/>
        <v>0</v>
      </c>
      <c r="H149" s="452">
        <f t="shared" si="56"/>
        <v>0</v>
      </c>
      <c r="I149" s="452">
        <f t="shared" si="56"/>
        <v>0</v>
      </c>
      <c r="J149" s="452">
        <f t="shared" si="56"/>
        <v>0</v>
      </c>
      <c r="K149" s="452">
        <f t="shared" si="56"/>
        <v>0</v>
      </c>
      <c r="L149" s="452">
        <f t="shared" si="56"/>
        <v>0</v>
      </c>
      <c r="M149" s="452">
        <f t="shared" si="56"/>
        <v>0</v>
      </c>
      <c r="N149" s="452">
        <f t="shared" si="56"/>
        <v>0</v>
      </c>
      <c r="O149" s="452">
        <f t="shared" si="57"/>
        <v>0</v>
      </c>
      <c r="P149" s="452">
        <f t="shared" si="58"/>
        <v>0</v>
      </c>
    </row>
    <row r="150" spans="4:16" hidden="1" outlineLevel="1">
      <c r="D150" s="236" t="s">
        <v>382</v>
      </c>
      <c r="G150" s="452">
        <f t="shared" si="56"/>
        <v>0</v>
      </c>
      <c r="H150" s="452">
        <f t="shared" si="56"/>
        <v>0</v>
      </c>
      <c r="I150" s="452">
        <f t="shared" si="56"/>
        <v>0</v>
      </c>
      <c r="J150" s="452">
        <f t="shared" si="56"/>
        <v>0</v>
      </c>
      <c r="K150" s="452">
        <f t="shared" si="56"/>
        <v>0</v>
      </c>
      <c r="L150" s="452">
        <f t="shared" si="56"/>
        <v>0</v>
      </c>
      <c r="M150" s="452">
        <f t="shared" si="56"/>
        <v>0</v>
      </c>
      <c r="N150" s="452">
        <f t="shared" si="56"/>
        <v>0</v>
      </c>
      <c r="O150" s="452">
        <f t="shared" si="57"/>
        <v>0</v>
      </c>
      <c r="P150" s="452">
        <f t="shared" si="58"/>
        <v>0</v>
      </c>
    </row>
    <row r="151" spans="4:16" hidden="1" outlineLevel="1">
      <c r="D151" s="236" t="s">
        <v>383</v>
      </c>
      <c r="G151" s="452">
        <f t="shared" si="56"/>
        <v>1479.9711264091611</v>
      </c>
      <c r="H151" s="452">
        <f t="shared" si="56"/>
        <v>0</v>
      </c>
      <c r="I151" s="452">
        <f t="shared" si="56"/>
        <v>0</v>
      </c>
      <c r="J151" s="452">
        <f t="shared" si="56"/>
        <v>0</v>
      </c>
      <c r="K151" s="452">
        <f t="shared" si="56"/>
        <v>0</v>
      </c>
      <c r="L151" s="452">
        <f t="shared" si="56"/>
        <v>0</v>
      </c>
      <c r="M151" s="452">
        <f t="shared" si="56"/>
        <v>0</v>
      </c>
      <c r="N151" s="452">
        <f t="shared" si="56"/>
        <v>0</v>
      </c>
      <c r="O151" s="452">
        <f t="shared" si="57"/>
        <v>1479.9711264091611</v>
      </c>
      <c r="P151" s="452">
        <f t="shared" si="58"/>
        <v>0</v>
      </c>
    </row>
    <row r="152" spans="4:16" hidden="1" outlineLevel="1">
      <c r="D152" s="236" t="s">
        <v>384</v>
      </c>
      <c r="G152" s="452">
        <f t="shared" si="56"/>
        <v>0</v>
      </c>
      <c r="H152" s="452">
        <f t="shared" si="56"/>
        <v>0</v>
      </c>
      <c r="I152" s="452">
        <f t="shared" si="56"/>
        <v>0</v>
      </c>
      <c r="J152" s="452">
        <f t="shared" si="56"/>
        <v>0</v>
      </c>
      <c r="K152" s="452">
        <f t="shared" si="56"/>
        <v>0</v>
      </c>
      <c r="L152" s="452">
        <f t="shared" si="56"/>
        <v>0</v>
      </c>
      <c r="M152" s="452">
        <f t="shared" si="56"/>
        <v>0</v>
      </c>
      <c r="N152" s="452">
        <f t="shared" si="56"/>
        <v>0</v>
      </c>
      <c r="O152" s="452">
        <f t="shared" si="57"/>
        <v>0</v>
      </c>
      <c r="P152" s="452">
        <f t="shared" si="58"/>
        <v>0</v>
      </c>
    </row>
    <row r="153" spans="4:16" hidden="1" outlineLevel="1">
      <c r="D153" s="236" t="s">
        <v>385</v>
      </c>
      <c r="G153" s="452">
        <f t="shared" si="56"/>
        <v>0</v>
      </c>
      <c r="H153" s="452">
        <f t="shared" si="56"/>
        <v>0</v>
      </c>
      <c r="I153" s="452">
        <f t="shared" si="56"/>
        <v>0</v>
      </c>
      <c r="J153" s="452">
        <f t="shared" si="56"/>
        <v>0</v>
      </c>
      <c r="K153" s="452">
        <f t="shared" si="56"/>
        <v>0</v>
      </c>
      <c r="L153" s="452">
        <f t="shared" si="56"/>
        <v>0</v>
      </c>
      <c r="M153" s="452">
        <f t="shared" si="56"/>
        <v>0</v>
      </c>
      <c r="N153" s="452">
        <f t="shared" si="56"/>
        <v>0</v>
      </c>
      <c r="O153" s="452">
        <f t="shared" si="57"/>
        <v>0</v>
      </c>
      <c r="P153" s="452">
        <f t="shared" si="58"/>
        <v>0</v>
      </c>
    </row>
    <row r="154" spans="4:16" hidden="1" outlineLevel="1">
      <c r="D154" s="236" t="s">
        <v>386</v>
      </c>
      <c r="G154" s="452">
        <f t="shared" si="56"/>
        <v>0</v>
      </c>
      <c r="H154" s="452">
        <f t="shared" si="56"/>
        <v>0</v>
      </c>
      <c r="I154" s="452">
        <f t="shared" si="56"/>
        <v>0</v>
      </c>
      <c r="J154" s="452">
        <f t="shared" si="56"/>
        <v>0</v>
      </c>
      <c r="K154" s="452">
        <f t="shared" si="56"/>
        <v>0</v>
      </c>
      <c r="L154" s="452">
        <f t="shared" si="56"/>
        <v>0</v>
      </c>
      <c r="M154" s="452">
        <f t="shared" si="56"/>
        <v>0</v>
      </c>
      <c r="N154" s="452">
        <f t="shared" si="56"/>
        <v>0</v>
      </c>
      <c r="O154" s="452">
        <f t="shared" si="57"/>
        <v>0</v>
      </c>
      <c r="P154" s="452">
        <f t="shared" si="58"/>
        <v>0</v>
      </c>
    </row>
    <row r="155" spans="4:16" hidden="1" outlineLevel="1">
      <c r="D155" s="236" t="s">
        <v>387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6" t="s">
        <v>454</v>
      </c>
      <c r="G156" s="452">
        <f>SUM(G147:G155)</f>
        <v>1479.9711264091611</v>
      </c>
      <c r="H156" s="452">
        <f t="shared" ref="H156:N156" si="59">SUM(H147:H155)</f>
        <v>0</v>
      </c>
      <c r="I156" s="452">
        <f t="shared" si="59"/>
        <v>0</v>
      </c>
      <c r="J156" s="452">
        <f t="shared" si="59"/>
        <v>0</v>
      </c>
      <c r="K156" s="452">
        <f t="shared" si="59"/>
        <v>0</v>
      </c>
      <c r="L156" s="452">
        <f t="shared" si="59"/>
        <v>0</v>
      </c>
      <c r="M156" s="452">
        <f t="shared" si="59"/>
        <v>0</v>
      </c>
      <c r="N156" s="452">
        <f t="shared" si="59"/>
        <v>0</v>
      </c>
      <c r="O156" s="452">
        <f t="shared" ref="O156:P156" si="60">SUM(O147:O155)</f>
        <v>1479.9711264091611</v>
      </c>
      <c r="P156" s="452">
        <f t="shared" si="60"/>
        <v>0</v>
      </c>
    </row>
    <row r="157" spans="4:16" collapsed="1"/>
  </sheetData>
  <mergeCells count="1">
    <mergeCell ref="C13:C14"/>
  </mergeCells>
  <conditionalFormatting sqref="R14">
    <cfRule type="cellIs" dxfId="90" priority="4" operator="equal">
      <formula>"Error"</formula>
    </cfRule>
  </conditionalFormatting>
  <conditionalFormatting sqref="R11">
    <cfRule type="cellIs" dxfId="89" priority="3" operator="equal">
      <formula>"Error"</formula>
    </cfRule>
  </conditionalFormatting>
  <conditionalFormatting sqref="R54">
    <cfRule type="cellIs" dxfId="8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A11" sqref="A11:XFD11"/>
    </sheetView>
  </sheetViews>
  <sheetFormatPr defaultRowHeight="15" outlineLevelRow="1"/>
  <cols>
    <col min="1" max="1" width="4" style="236" customWidth="1"/>
    <col min="2" max="2" width="6.5703125" style="236" customWidth="1"/>
    <col min="3" max="3" width="26.42578125" style="236" customWidth="1"/>
    <col min="4" max="4" width="25.5703125" style="236" customWidth="1"/>
    <col min="5" max="5" width="21.42578125" style="236" customWidth="1"/>
    <col min="6" max="6" width="14.7109375" style="236" customWidth="1"/>
    <col min="7" max="9" width="12.140625" style="236" customWidth="1"/>
    <col min="10" max="10" width="11.28515625" style="236" customWidth="1"/>
    <col min="11" max="11" width="12.7109375" style="236" customWidth="1"/>
    <col min="12" max="14" width="11.28515625" style="236" customWidth="1"/>
    <col min="15" max="15" width="12.28515625" style="236" customWidth="1"/>
    <col min="16" max="16" width="12.5703125" style="236" customWidth="1"/>
    <col min="17" max="19" width="9.140625" style="236"/>
    <col min="20" max="20" width="11.85546875" style="236" customWidth="1"/>
    <col min="21" max="16384" width="9.140625" style="236"/>
  </cols>
  <sheetData>
    <row r="1" spans="1:21">
      <c r="B1" s="574" t="s">
        <v>294</v>
      </c>
      <c r="C1" s="484" t="s">
        <v>290</v>
      </c>
    </row>
    <row r="2" spans="1:21">
      <c r="A2" s="250"/>
      <c r="B2" s="250"/>
      <c r="C2" s="572" t="s">
        <v>293</v>
      </c>
    </row>
    <row r="3" spans="1:21" ht="18.75">
      <c r="A3" s="250"/>
      <c r="B3" s="250"/>
      <c r="D3" s="339" t="str">
        <f>Project_Inputs!B22</f>
        <v>XC18</v>
      </c>
      <c r="E3" s="248"/>
      <c r="F3" s="249" t="s">
        <v>63</v>
      </c>
      <c r="G3" s="249" t="str">
        <f>Project_Inputs!F22</f>
        <v>Yes</v>
      </c>
      <c r="H3" s="248"/>
    </row>
    <row r="4" spans="1:21" ht="18.75">
      <c r="A4" s="250"/>
      <c r="B4" s="250"/>
      <c r="C4" s="485" t="s">
        <v>15</v>
      </c>
      <c r="D4" s="339" t="str">
        <f>Project_Inputs!D22</f>
        <v>YPS 220kV CB Replacement</v>
      </c>
      <c r="E4" s="486"/>
      <c r="F4" s="486"/>
      <c r="G4" s="486"/>
    </row>
    <row r="5" spans="1:21">
      <c r="A5" s="250"/>
      <c r="B5" s="250"/>
      <c r="D5" s="248"/>
    </row>
    <row r="6" spans="1:21">
      <c r="A6" s="250"/>
      <c r="B6" s="250"/>
      <c r="C6" s="236" t="s">
        <v>20</v>
      </c>
      <c r="D6" s="338" t="str">
        <f>Project_Inputs!H22</f>
        <v>Network</v>
      </c>
      <c r="E6" s="486"/>
      <c r="F6" s="10"/>
      <c r="G6" s="9" t="s">
        <v>269</v>
      </c>
      <c r="H6" s="248"/>
      <c r="I6" s="487"/>
      <c r="J6" s="487"/>
      <c r="K6" s="487"/>
      <c r="L6" s="487"/>
      <c r="M6" s="487"/>
      <c r="N6" s="487"/>
    </row>
    <row r="7" spans="1:21">
      <c r="A7" s="250"/>
      <c r="B7" s="250"/>
      <c r="C7" s="236" t="s">
        <v>21</v>
      </c>
      <c r="D7" s="338" t="str">
        <f>Project_Inputs!I22</f>
        <v>Replacement - Major Station</v>
      </c>
      <c r="E7" s="486"/>
      <c r="F7" s="486"/>
      <c r="G7" s="486"/>
      <c r="I7" s="487"/>
      <c r="J7" s="487"/>
      <c r="K7" s="487"/>
      <c r="L7" s="487"/>
      <c r="M7" s="487"/>
      <c r="N7" s="487"/>
    </row>
    <row r="8" spans="1:21">
      <c r="A8" s="250"/>
      <c r="B8" s="250"/>
      <c r="C8" s="236" t="s">
        <v>13</v>
      </c>
      <c r="D8" s="338" t="s">
        <v>14</v>
      </c>
      <c r="E8" s="486"/>
      <c r="F8" s="486"/>
      <c r="G8" s="486"/>
      <c r="I8" s="488"/>
      <c r="J8" s="488"/>
      <c r="K8" s="488"/>
      <c r="L8" s="488"/>
      <c r="M8" s="487"/>
      <c r="N8" s="487"/>
    </row>
    <row r="9" spans="1:21">
      <c r="A9" s="250"/>
      <c r="B9" s="250"/>
      <c r="C9" s="236" t="s">
        <v>278</v>
      </c>
      <c r="D9" s="338" t="str">
        <f>Project_Inputs!J22</f>
        <v>Repex_OHD</v>
      </c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489" t="s">
        <v>265</v>
      </c>
      <c r="P9" s="490" t="s">
        <v>231</v>
      </c>
    </row>
    <row r="10" spans="1:21">
      <c r="A10" s="250"/>
      <c r="B10" s="250"/>
      <c r="E10" s="491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492" t="s">
        <v>16</v>
      </c>
      <c r="P10" s="493" t="s">
        <v>16</v>
      </c>
      <c r="R10" s="495" t="s">
        <v>50</v>
      </c>
      <c r="T10" s="495"/>
      <c r="U10" s="250"/>
    </row>
    <row r="11" spans="1:21">
      <c r="A11" s="250"/>
      <c r="B11" s="250"/>
      <c r="C11" s="257" t="s">
        <v>22</v>
      </c>
      <c r="D11" s="353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3214.5777113919794</v>
      </c>
      <c r="G11" s="319">
        <f>IF(G$10="Prior",SUMIFS(Project_Inputs!$W$5:$W$50,Project_Inputs!$D$5:$D$50,$D$4),SUMIFS(Project_Inputs!M$5:M$50,Project_Inputs!$D$5:$D$50,$D$4))</f>
        <v>2095.3500000000017</v>
      </c>
      <c r="H11" s="389">
        <f>IF(H$10="Prior",SUMIFS(Project_Inputs!$W$5:$W$50,Project_Inputs!$D$5:$D$50,$D$4),SUMIFS(Project_Inputs!N$5:N$50,Project_Inputs!$D$5:$D$50,$D$4))</f>
        <v>4301.1878489519731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496">
        <f>SUM(F11:N11)</f>
        <v>9611.1155603439547</v>
      </c>
      <c r="P11" s="497">
        <f t="shared" ref="P11" si="0">SUM(I11:M11)</f>
        <v>0</v>
      </c>
      <c r="R11" s="608" t="str">
        <f>IF(O11=Project_Inputs!V22,"ok","error")</f>
        <v>ok</v>
      </c>
      <c r="T11" s="250"/>
      <c r="U11" s="250"/>
    </row>
    <row r="12" spans="1:21" ht="15" hidden="1" customHeight="1">
      <c r="A12" s="250"/>
      <c r="B12" s="250"/>
      <c r="C12" s="482"/>
      <c r="D12" s="350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496"/>
      <c r="P12" s="497"/>
    </row>
    <row r="13" spans="1:21">
      <c r="A13" s="250"/>
      <c r="B13" s="250"/>
      <c r="C13" s="1006" t="s">
        <v>284</v>
      </c>
      <c r="D13" s="350" t="s">
        <v>65</v>
      </c>
      <c r="E13" s="313"/>
      <c r="F13" s="336"/>
      <c r="G13" s="10"/>
      <c r="H13" s="391"/>
      <c r="I13" s="401"/>
      <c r="J13" s="10"/>
      <c r="K13" s="10"/>
      <c r="L13" s="10"/>
      <c r="M13" s="10"/>
      <c r="N13" s="337"/>
      <c r="O13" s="498"/>
      <c r="P13" s="258"/>
    </row>
    <row r="14" spans="1:21">
      <c r="A14" s="250"/>
      <c r="B14" s="250"/>
      <c r="C14" s="1006"/>
      <c r="D14" s="350" t="str">
        <f>"Direct Expenditure (As Commissioned) - "&amp;Assumptions!C7</f>
        <v>Direct Expenditure (As Commissioned) - $ 2015/16</v>
      </c>
      <c r="E14" s="313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3095.5036660447104</v>
      </c>
      <c r="H14" s="447">
        <f>IF($G$3="Yes",SUMIFS(Project_Inputs!AL$5:AL$50,Project_Inputs!$D$5:$D$50,$D$4),IF(AND(H$13="X",H$10="Prior"),H11,IF(H$13="X",SUM($F11:H11)-SUM($F14:G14),0)))</f>
        <v>6515.6118942992443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99">
        <f>SUM(F14:N14)</f>
        <v>9611.1155603439547</v>
      </c>
      <c r="P14" s="500">
        <f>SUM(I14:M14)</f>
        <v>0</v>
      </c>
      <c r="R14" s="607" t="str">
        <f>IF(AND(O$11&lt;&gt;0,O$14=0),"Error","ok")</f>
        <v>ok</v>
      </c>
    </row>
    <row r="15" spans="1:21">
      <c r="A15" s="250"/>
      <c r="B15" s="250"/>
      <c r="C15" s="259"/>
      <c r="D15" s="354"/>
      <c r="E15" s="501"/>
      <c r="F15" s="327"/>
      <c r="G15" s="328"/>
      <c r="H15" s="328"/>
      <c r="I15" s="402"/>
      <c r="J15" s="328"/>
      <c r="K15" s="328"/>
      <c r="L15" s="328"/>
      <c r="M15" s="328"/>
      <c r="N15" s="329"/>
      <c r="O15" s="502"/>
      <c r="P15" s="503"/>
    </row>
    <row r="16" spans="1:21">
      <c r="A16" s="250"/>
      <c r="B16" s="250"/>
      <c r="C16" s="258"/>
      <c r="D16" s="504"/>
      <c r="E16" s="313"/>
      <c r="F16" s="325"/>
      <c r="G16" s="326"/>
      <c r="H16" s="330"/>
      <c r="I16" s="403"/>
      <c r="J16" s="330"/>
      <c r="K16" s="330"/>
      <c r="L16" s="330"/>
      <c r="M16" s="330"/>
      <c r="N16" s="331"/>
      <c r="O16" s="505"/>
      <c r="P16" s="258"/>
    </row>
    <row r="17" spans="1:27">
      <c r="A17" s="250"/>
      <c r="B17" s="250"/>
      <c r="C17" s="258" t="s">
        <v>2</v>
      </c>
      <c r="D17" s="350" t="s">
        <v>3</v>
      </c>
      <c r="E17" s="506"/>
      <c r="F17" s="340"/>
      <c r="G17" s="341"/>
      <c r="H17" s="392"/>
      <c r="I17" s="404"/>
      <c r="J17" s="341"/>
      <c r="K17" s="341"/>
      <c r="L17" s="341"/>
      <c r="M17" s="341"/>
      <c r="N17" s="342"/>
      <c r="O17" s="505"/>
      <c r="P17" s="258"/>
    </row>
    <row r="18" spans="1:27">
      <c r="A18" s="250"/>
      <c r="B18" s="250"/>
      <c r="C18" s="258"/>
      <c r="D18" s="350" t="s">
        <v>4</v>
      </c>
      <c r="E18" s="506"/>
      <c r="F18" s="340">
        <v>1</v>
      </c>
      <c r="G18" s="341">
        <v>1</v>
      </c>
      <c r="H18" s="392">
        <v>1</v>
      </c>
      <c r="I18" s="404">
        <v>1</v>
      </c>
      <c r="J18" s="341">
        <v>1</v>
      </c>
      <c r="K18" s="341">
        <v>1</v>
      </c>
      <c r="L18" s="341">
        <v>1</v>
      </c>
      <c r="M18" s="341">
        <v>1</v>
      </c>
      <c r="N18" s="342">
        <v>1</v>
      </c>
      <c r="O18" s="505"/>
      <c r="P18" s="258"/>
    </row>
    <row r="19" spans="1:27">
      <c r="A19" s="250"/>
      <c r="B19" s="250"/>
      <c r="C19" s="258"/>
      <c r="D19" s="350" t="s">
        <v>5</v>
      </c>
      <c r="E19" s="506"/>
      <c r="F19" s="340"/>
      <c r="G19" s="341"/>
      <c r="H19" s="392"/>
      <c r="I19" s="404"/>
      <c r="J19" s="341"/>
      <c r="K19" s="341"/>
      <c r="L19" s="341"/>
      <c r="M19" s="341"/>
      <c r="N19" s="342"/>
      <c r="O19" s="505"/>
      <c r="P19" s="258"/>
    </row>
    <row r="20" spans="1:27">
      <c r="A20" s="250"/>
      <c r="B20" s="250"/>
      <c r="C20" s="258"/>
      <c r="D20" s="350" t="s">
        <v>6</v>
      </c>
      <c r="E20" s="506"/>
      <c r="F20" s="340"/>
      <c r="G20" s="341"/>
      <c r="H20" s="392"/>
      <c r="I20" s="404"/>
      <c r="J20" s="341"/>
      <c r="K20" s="341"/>
      <c r="L20" s="341"/>
      <c r="M20" s="341"/>
      <c r="N20" s="342"/>
      <c r="O20" s="505"/>
      <c r="P20" s="258"/>
    </row>
    <row r="21" spans="1:27">
      <c r="A21" s="250"/>
      <c r="B21" s="250"/>
      <c r="C21" s="258"/>
      <c r="D21" s="350" t="s">
        <v>7</v>
      </c>
      <c r="E21" s="506"/>
      <c r="F21" s="340"/>
      <c r="G21" s="341"/>
      <c r="H21" s="392"/>
      <c r="I21" s="404"/>
      <c r="J21" s="341"/>
      <c r="K21" s="341"/>
      <c r="L21" s="341"/>
      <c r="M21" s="341"/>
      <c r="N21" s="342"/>
      <c r="O21" s="505"/>
      <c r="P21" s="258"/>
      <c r="U21" s="507"/>
      <c r="V21" s="507"/>
      <c r="W21" s="507"/>
      <c r="X21" s="507"/>
      <c r="Y21" s="507"/>
      <c r="Z21" s="507"/>
      <c r="AA21" s="507"/>
    </row>
    <row r="22" spans="1:27">
      <c r="A22" s="250"/>
      <c r="B22" s="250"/>
      <c r="C22" s="258"/>
      <c r="D22" s="350" t="s">
        <v>8</v>
      </c>
      <c r="E22" s="506"/>
      <c r="F22" s="340"/>
      <c r="G22" s="341"/>
      <c r="H22" s="392"/>
      <c r="I22" s="404"/>
      <c r="J22" s="341"/>
      <c r="K22" s="341"/>
      <c r="L22" s="341"/>
      <c r="M22" s="341"/>
      <c r="N22" s="342"/>
      <c r="O22" s="505"/>
      <c r="P22" s="258"/>
    </row>
    <row r="23" spans="1:27">
      <c r="A23" s="250"/>
      <c r="B23" s="250"/>
      <c r="C23" s="258"/>
      <c r="D23" s="350" t="s">
        <v>9</v>
      </c>
      <c r="E23" s="506"/>
      <c r="F23" s="340"/>
      <c r="G23" s="341"/>
      <c r="H23" s="392"/>
      <c r="I23" s="404"/>
      <c r="J23" s="341"/>
      <c r="K23" s="341"/>
      <c r="L23" s="341"/>
      <c r="M23" s="341"/>
      <c r="N23" s="342"/>
      <c r="O23" s="505"/>
      <c r="P23" s="258"/>
    </row>
    <row r="24" spans="1:27">
      <c r="A24" s="250"/>
      <c r="B24" s="250"/>
      <c r="C24" s="258"/>
      <c r="D24" s="350" t="s">
        <v>10</v>
      </c>
      <c r="E24" s="506"/>
      <c r="F24" s="340"/>
      <c r="G24" s="341"/>
      <c r="H24" s="392"/>
      <c r="I24" s="404"/>
      <c r="J24" s="341"/>
      <c r="K24" s="341"/>
      <c r="L24" s="341"/>
      <c r="M24" s="341"/>
      <c r="N24" s="342"/>
      <c r="O24" s="505"/>
      <c r="P24" s="258"/>
    </row>
    <row r="25" spans="1:27">
      <c r="A25" s="250"/>
      <c r="B25" s="250"/>
      <c r="C25" s="258"/>
      <c r="D25" s="350" t="s">
        <v>11</v>
      </c>
      <c r="E25" s="506"/>
      <c r="F25" s="340"/>
      <c r="G25" s="341"/>
      <c r="H25" s="392"/>
      <c r="I25" s="404"/>
      <c r="J25" s="341"/>
      <c r="K25" s="341"/>
      <c r="L25" s="341"/>
      <c r="M25" s="341"/>
      <c r="N25" s="342"/>
      <c r="O25" s="505"/>
      <c r="P25" s="258"/>
      <c r="T25" s="507"/>
    </row>
    <row r="26" spans="1:27">
      <c r="A26" s="250"/>
      <c r="B26" s="250"/>
      <c r="C26" s="258"/>
      <c r="D26" s="350" t="s">
        <v>12</v>
      </c>
      <c r="E26" s="506"/>
      <c r="F26" s="340"/>
      <c r="G26" s="341"/>
      <c r="H26" s="392"/>
      <c r="I26" s="404"/>
      <c r="J26" s="341"/>
      <c r="K26" s="341"/>
      <c r="L26" s="341"/>
      <c r="M26" s="341"/>
      <c r="N26" s="342"/>
      <c r="O26" s="505"/>
      <c r="P26" s="258"/>
      <c r="T26" s="507"/>
    </row>
    <row r="27" spans="1:27">
      <c r="A27" s="250"/>
      <c r="B27" s="250"/>
      <c r="C27" s="259"/>
      <c r="D27" s="464"/>
      <c r="E27" s="508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509"/>
      <c r="P27" s="259"/>
      <c r="T27" s="507"/>
    </row>
    <row r="28" spans="1:27">
      <c r="A28" s="250"/>
      <c r="B28" s="250"/>
      <c r="C28" s="257"/>
      <c r="D28" s="302"/>
      <c r="E28" s="510"/>
      <c r="F28" s="333"/>
      <c r="G28" s="334"/>
      <c r="H28" s="394"/>
      <c r="I28" s="406"/>
      <c r="J28" s="334"/>
      <c r="K28" s="334"/>
      <c r="L28" s="334"/>
      <c r="M28" s="334"/>
      <c r="N28" s="335"/>
      <c r="O28" s="505"/>
      <c r="P28" s="258"/>
      <c r="T28" s="507"/>
    </row>
    <row r="29" spans="1:27">
      <c r="A29" s="250"/>
      <c r="B29" s="250"/>
      <c r="C29" s="258" t="s">
        <v>58</v>
      </c>
      <c r="D29" s="350" t="s">
        <v>0</v>
      </c>
      <c r="E29" s="506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505"/>
      <c r="P29" s="258"/>
      <c r="T29" s="507"/>
    </row>
    <row r="30" spans="1:27">
      <c r="A30" s="250"/>
      <c r="B30" s="250"/>
      <c r="C30" s="258"/>
      <c r="D30" s="350" t="s">
        <v>1</v>
      </c>
      <c r="E30" s="506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505"/>
      <c r="P30" s="258"/>
      <c r="T30" s="507"/>
    </row>
    <row r="31" spans="1:27">
      <c r="A31" s="250"/>
      <c r="B31" s="250"/>
      <c r="C31" s="258"/>
      <c r="D31" s="350" t="s">
        <v>57</v>
      </c>
      <c r="E31" s="506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1"/>
      <c r="P31" s="258"/>
      <c r="T31" s="507"/>
    </row>
    <row r="32" spans="1:27">
      <c r="A32" s="250"/>
      <c r="B32" s="250"/>
      <c r="C32" s="259"/>
      <c r="D32" s="464"/>
      <c r="E32" s="508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5"/>
      <c r="P32" s="259"/>
    </row>
    <row r="33" spans="1:21">
      <c r="A33" s="250"/>
      <c r="B33" s="250"/>
      <c r="C33" s="258" t="s">
        <v>59</v>
      </c>
      <c r="D33" s="271"/>
      <c r="E33" s="313"/>
      <c r="F33" s="511"/>
      <c r="G33" s="250"/>
      <c r="H33" s="250"/>
      <c r="I33" s="512"/>
      <c r="J33" s="290"/>
      <c r="K33" s="290"/>
      <c r="L33" s="290"/>
      <c r="M33" s="290"/>
      <c r="N33" s="346"/>
      <c r="O33" s="511"/>
      <c r="P33" s="258"/>
      <c r="Q33" s="250"/>
      <c r="R33" s="250"/>
      <c r="S33" s="250"/>
      <c r="T33" s="250"/>
      <c r="U33" s="250"/>
    </row>
    <row r="34" spans="1:21">
      <c r="A34" s="250"/>
      <c r="B34" s="250"/>
      <c r="C34" s="258" t="s">
        <v>266</v>
      </c>
      <c r="D34" s="350" t="s">
        <v>3</v>
      </c>
      <c r="E34" s="313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512">
        <f>IF(I$10="Prior",0,(I$11*I$31*I17)*(Assumptions!I54-1))</f>
        <v>0</v>
      </c>
      <c r="J34" s="290">
        <f>IF(J$10="Prior",0,(J$11*J$31*J17)*(Assumptions!J54-1))</f>
        <v>0</v>
      </c>
      <c r="K34" s="290">
        <f>IF(K$10="Prior",0,(K$11*K$31*K17)*(Assumptions!K54-1))</f>
        <v>0</v>
      </c>
      <c r="L34" s="290">
        <f>IF(L$10="Prior",0,(L$11*L$31*L17)*(Assumptions!L54-1))</f>
        <v>0</v>
      </c>
      <c r="M34" s="290">
        <f>IF(M$10="Prior",0,(M$11*M$31*M17)*(Assumptions!M54-1))</f>
        <v>0</v>
      </c>
      <c r="N34" s="346">
        <f>IF(N$10="Prior",0,(N$11*N$31*N17)*(Assumptions!N54-1))</f>
        <v>0</v>
      </c>
      <c r="O34" s="513">
        <f t="shared" ref="O34:O43" si="3">SUM(F34:N34)</f>
        <v>0</v>
      </c>
      <c r="P34" s="514">
        <f t="shared" ref="P34:P43" si="4">SUM(I34:M34)</f>
        <v>0</v>
      </c>
      <c r="Q34" s="250"/>
      <c r="R34" s="250"/>
      <c r="S34" s="250"/>
      <c r="T34" s="250"/>
      <c r="U34" s="250"/>
    </row>
    <row r="35" spans="1:21">
      <c r="A35" s="250"/>
      <c r="B35" s="250"/>
      <c r="C35" s="258"/>
      <c r="D35" s="350" t="s">
        <v>4</v>
      </c>
      <c r="E35" s="313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512">
        <f>IF(I$10="Prior",0,(I$11*I$31*I18)*(Assumptions!I55-1))</f>
        <v>0</v>
      </c>
      <c r="J35" s="290">
        <f>IF(J$10="Prior",0,(J$11*J$31*J18)*(Assumptions!J55-1))</f>
        <v>0</v>
      </c>
      <c r="K35" s="290">
        <f>IF(K$10="Prior",0,(K$11*K$31*K18)*(Assumptions!K55-1))</f>
        <v>0</v>
      </c>
      <c r="L35" s="290">
        <f>IF(L$10="Prior",0,(L$11*L$31*L18)*(Assumptions!L55-1))</f>
        <v>0</v>
      </c>
      <c r="M35" s="290">
        <f>IF(M$10="Prior",0,(M$11*M$31*M18)*(Assumptions!M55-1))</f>
        <v>0</v>
      </c>
      <c r="N35" s="346">
        <f>IF(N$10="Prior",0,(N$11*N$31*N18)*(Assumptions!N55-1))</f>
        <v>0</v>
      </c>
      <c r="O35" s="513">
        <f t="shared" si="3"/>
        <v>0</v>
      </c>
      <c r="P35" s="514">
        <f t="shared" si="4"/>
        <v>0</v>
      </c>
      <c r="Q35" s="515"/>
      <c r="R35" s="515"/>
      <c r="S35" s="515"/>
      <c r="T35" s="515"/>
    </row>
    <row r="36" spans="1:21">
      <c r="A36" s="250"/>
      <c r="B36" s="250"/>
      <c r="C36" s="258"/>
      <c r="D36" s="350" t="s">
        <v>5</v>
      </c>
      <c r="E36" s="313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512">
        <f>IF(I$10="Prior",0,(I$11*I$31*I19)*(Assumptions!I56-1))</f>
        <v>0</v>
      </c>
      <c r="J36" s="290">
        <f>IF(J$10="Prior",0,(J$11*J$31*J19)*(Assumptions!J56-1))</f>
        <v>0</v>
      </c>
      <c r="K36" s="290">
        <f>IF(K$10="Prior",0,(K$11*K$31*K19)*(Assumptions!K56-1))</f>
        <v>0</v>
      </c>
      <c r="L36" s="290">
        <f>IF(L$10="Prior",0,(L$11*L$31*L19)*(Assumptions!L56-1))</f>
        <v>0</v>
      </c>
      <c r="M36" s="290">
        <f>IF(M$10="Prior",0,(M$11*M$31*M19)*(Assumptions!M56-1))</f>
        <v>0</v>
      </c>
      <c r="N36" s="346">
        <f>IF(N$10="Prior",0,(N$11*N$31*N19)*(Assumptions!N56-1))</f>
        <v>0</v>
      </c>
      <c r="O36" s="513">
        <f t="shared" si="3"/>
        <v>0</v>
      </c>
      <c r="P36" s="514">
        <f t="shared" si="4"/>
        <v>0</v>
      </c>
    </row>
    <row r="37" spans="1:21">
      <c r="A37" s="250"/>
      <c r="B37" s="250"/>
      <c r="C37" s="258"/>
      <c r="D37" s="350" t="s">
        <v>6</v>
      </c>
      <c r="E37" s="313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512">
        <f>IF(I$10="Prior",0,(I$11*I$31*I20)*(Assumptions!I57-1))</f>
        <v>0</v>
      </c>
      <c r="J37" s="290">
        <f>IF(J$10="Prior",0,(J$11*J$31*J20)*(Assumptions!J57-1))</f>
        <v>0</v>
      </c>
      <c r="K37" s="290">
        <f>IF(K$10="Prior",0,(K$11*K$31*K20)*(Assumptions!K57-1))</f>
        <v>0</v>
      </c>
      <c r="L37" s="290">
        <f>IF(L$10="Prior",0,(L$11*L$31*L20)*(Assumptions!L57-1))</f>
        <v>0</v>
      </c>
      <c r="M37" s="290">
        <f>IF(M$10="Prior",0,(M$11*M$31*M20)*(Assumptions!M57-1))</f>
        <v>0</v>
      </c>
      <c r="N37" s="346">
        <f>IF(N$10="Prior",0,(N$11*N$31*N20)*(Assumptions!N57-1))</f>
        <v>0</v>
      </c>
      <c r="O37" s="513">
        <f t="shared" si="3"/>
        <v>0</v>
      </c>
      <c r="P37" s="514">
        <f t="shared" si="4"/>
        <v>0</v>
      </c>
    </row>
    <row r="38" spans="1:21">
      <c r="A38" s="250"/>
      <c r="B38" s="250"/>
      <c r="C38" s="258"/>
      <c r="D38" s="350" t="s">
        <v>7</v>
      </c>
      <c r="E38" s="313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512">
        <f>IF(I$10="Prior",0,(I$11*I$31*I21)*(Assumptions!I58-1))</f>
        <v>0</v>
      </c>
      <c r="J38" s="290">
        <f>IF(J$10="Prior",0,(J$11*J$31*J21)*(Assumptions!J58-1))</f>
        <v>0</v>
      </c>
      <c r="K38" s="290">
        <f>IF(K$10="Prior",0,(K$11*K$31*K21)*(Assumptions!K58-1))</f>
        <v>0</v>
      </c>
      <c r="L38" s="290">
        <f>IF(L$10="Prior",0,(L$11*L$31*L21)*(Assumptions!L58-1))</f>
        <v>0</v>
      </c>
      <c r="M38" s="290">
        <f>IF(M$10="Prior",0,(M$11*M$31*M21)*(Assumptions!M58-1))</f>
        <v>0</v>
      </c>
      <c r="N38" s="346">
        <f>IF(N$10="Prior",0,(N$11*N$31*N21)*(Assumptions!N58-1))</f>
        <v>0</v>
      </c>
      <c r="O38" s="513">
        <f t="shared" si="3"/>
        <v>0</v>
      </c>
      <c r="P38" s="514">
        <f t="shared" si="4"/>
        <v>0</v>
      </c>
      <c r="Q38" s="516"/>
      <c r="R38" s="516"/>
      <c r="S38" s="516"/>
      <c r="T38" s="516"/>
    </row>
    <row r="39" spans="1:21">
      <c r="A39" s="250"/>
      <c r="B39" s="250"/>
      <c r="C39" s="258"/>
      <c r="D39" s="350" t="s">
        <v>8</v>
      </c>
      <c r="E39" s="313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512">
        <f>IF(I$10="Prior",0,(I$11*I$31*I22)*(Assumptions!I59-1))</f>
        <v>0</v>
      </c>
      <c r="J39" s="290">
        <f>IF(J$10="Prior",0,(J$11*J$31*J22)*(Assumptions!J59-1))</f>
        <v>0</v>
      </c>
      <c r="K39" s="290">
        <f>IF(K$10="Prior",0,(K$11*K$31*K22)*(Assumptions!K59-1))</f>
        <v>0</v>
      </c>
      <c r="L39" s="290">
        <f>IF(L$10="Prior",0,(L$11*L$31*L22)*(Assumptions!L59-1))</f>
        <v>0</v>
      </c>
      <c r="M39" s="290">
        <f>IF(M$10="Prior",0,(M$11*M$31*M22)*(Assumptions!M59-1))</f>
        <v>0</v>
      </c>
      <c r="N39" s="346">
        <f>IF(N$10="Prior",0,(N$11*N$31*N22)*(Assumptions!N59-1))</f>
        <v>0</v>
      </c>
      <c r="O39" s="513">
        <f t="shared" si="3"/>
        <v>0</v>
      </c>
      <c r="P39" s="514">
        <f t="shared" si="4"/>
        <v>0</v>
      </c>
    </row>
    <row r="40" spans="1:21">
      <c r="A40" s="250"/>
      <c r="B40" s="250"/>
      <c r="C40" s="258"/>
      <c r="D40" s="350" t="s">
        <v>9</v>
      </c>
      <c r="E40" s="313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512">
        <f>IF(I$10="Prior",0,(I$11*I$31*I23)*(Assumptions!I60-1))</f>
        <v>0</v>
      </c>
      <c r="J40" s="290">
        <f>IF(J$10="Prior",0,(J$11*J$31*J23)*(Assumptions!J60-1))</f>
        <v>0</v>
      </c>
      <c r="K40" s="290">
        <f>IF(K$10="Prior",0,(K$11*K$31*K23)*(Assumptions!K60-1))</f>
        <v>0</v>
      </c>
      <c r="L40" s="290">
        <f>IF(L$10="Prior",0,(L$11*L$31*L23)*(Assumptions!L60-1))</f>
        <v>0</v>
      </c>
      <c r="M40" s="290">
        <f>IF(M$10="Prior",0,(M$11*M$31*M23)*(Assumptions!M60-1))</f>
        <v>0</v>
      </c>
      <c r="N40" s="346">
        <f>IF(N$10="Prior",0,(N$11*N$31*N23)*(Assumptions!N60-1))</f>
        <v>0</v>
      </c>
      <c r="O40" s="513">
        <f t="shared" si="3"/>
        <v>0</v>
      </c>
      <c r="P40" s="514">
        <f t="shared" si="4"/>
        <v>0</v>
      </c>
    </row>
    <row r="41" spans="1:21">
      <c r="A41" s="250"/>
      <c r="B41" s="250"/>
      <c r="C41" s="258"/>
      <c r="D41" s="350" t="s">
        <v>10</v>
      </c>
      <c r="E41" s="313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512">
        <f>IF(I$10="Prior",0,(I$11*I$31*I24)*(Assumptions!I61-1))</f>
        <v>0</v>
      </c>
      <c r="J41" s="290">
        <f>IF(J$10="Prior",0,(J$11*J$31*J24)*(Assumptions!J61-1))</f>
        <v>0</v>
      </c>
      <c r="K41" s="290">
        <f>IF(K$10="Prior",0,(K$11*K$31*K24)*(Assumptions!K61-1))</f>
        <v>0</v>
      </c>
      <c r="L41" s="290">
        <f>IF(L$10="Prior",0,(L$11*L$31*L24)*(Assumptions!L61-1))</f>
        <v>0</v>
      </c>
      <c r="M41" s="290">
        <f>IF(M$10="Prior",0,(M$11*M$31*M24)*(Assumptions!M61-1))</f>
        <v>0</v>
      </c>
      <c r="N41" s="346">
        <f>IF(N$10="Prior",0,(N$11*N$31*N24)*(Assumptions!N61-1))</f>
        <v>0</v>
      </c>
      <c r="O41" s="513">
        <f t="shared" si="3"/>
        <v>0</v>
      </c>
      <c r="P41" s="514">
        <f t="shared" si="4"/>
        <v>0</v>
      </c>
      <c r="Q41" s="516"/>
      <c r="R41" s="516"/>
      <c r="S41" s="516"/>
      <c r="T41" s="516"/>
    </row>
    <row r="42" spans="1:21">
      <c r="A42" s="250"/>
      <c r="B42" s="250"/>
      <c r="C42" s="258"/>
      <c r="D42" s="350" t="s">
        <v>11</v>
      </c>
      <c r="E42" s="313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512">
        <f>IF(I$10="Prior",0,(I$11*I$31*I25)*(Assumptions!I62-1))</f>
        <v>0</v>
      </c>
      <c r="J42" s="290">
        <f>IF(J$10="Prior",0,(J$11*J$31*J25)*(Assumptions!J62-1))</f>
        <v>0</v>
      </c>
      <c r="K42" s="290">
        <f>IF(K$10="Prior",0,(K$11*K$31*K25)*(Assumptions!K62-1))</f>
        <v>0</v>
      </c>
      <c r="L42" s="290">
        <f>IF(L$10="Prior",0,(L$11*L$31*L25)*(Assumptions!L62-1))</f>
        <v>0</v>
      </c>
      <c r="M42" s="290">
        <f>IF(M$10="Prior",0,(M$11*M$31*M25)*(Assumptions!M62-1))</f>
        <v>0</v>
      </c>
      <c r="N42" s="346">
        <f>IF(N$10="Prior",0,(N$11*N$31*N25)*(Assumptions!N62-1))</f>
        <v>0</v>
      </c>
      <c r="O42" s="513">
        <f t="shared" si="3"/>
        <v>0</v>
      </c>
      <c r="P42" s="514">
        <f t="shared" si="4"/>
        <v>0</v>
      </c>
    </row>
    <row r="43" spans="1:21">
      <c r="A43" s="250"/>
      <c r="B43" s="250"/>
      <c r="C43" s="258"/>
      <c r="D43" s="350" t="s">
        <v>12</v>
      </c>
      <c r="E43" s="313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512">
        <f>IF(I$10="Prior",0,(I$11*I$31*I26)*(Assumptions!I63-1))</f>
        <v>0</v>
      </c>
      <c r="J43" s="290">
        <f>IF(J$10="Prior",0,(J$11*J$31*J26)*(Assumptions!J63-1))</f>
        <v>0</v>
      </c>
      <c r="K43" s="290">
        <f>IF(K$10="Prior",0,(K$11*K$31*K26)*(Assumptions!K63-1))</f>
        <v>0</v>
      </c>
      <c r="L43" s="290">
        <f>IF(L$10="Prior",0,(L$11*L$31*L26)*(Assumptions!L63-1))</f>
        <v>0</v>
      </c>
      <c r="M43" s="290">
        <f>IF(M$10="Prior",0,(M$11*M$31*M26)*(Assumptions!M63-1))</f>
        <v>0</v>
      </c>
      <c r="N43" s="346">
        <f>IF(N$10="Prior",0,(N$11*N$31*N26)*(Assumptions!N63-1))</f>
        <v>0</v>
      </c>
      <c r="O43" s="513">
        <f t="shared" si="3"/>
        <v>0</v>
      </c>
      <c r="P43" s="514">
        <f t="shared" si="4"/>
        <v>0</v>
      </c>
    </row>
    <row r="44" spans="1:21">
      <c r="A44" s="250"/>
      <c r="B44" s="250"/>
      <c r="C44" s="258"/>
      <c r="D44" s="465" t="s">
        <v>61</v>
      </c>
      <c r="E44" s="517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518">
        <f t="shared" si="5"/>
        <v>0</v>
      </c>
      <c r="J44" s="253">
        <f t="shared" si="5"/>
        <v>0</v>
      </c>
      <c r="K44" s="253">
        <f t="shared" si="5"/>
        <v>0</v>
      </c>
      <c r="L44" s="253">
        <f t="shared" si="5"/>
        <v>0</v>
      </c>
      <c r="M44" s="253">
        <f t="shared" si="5"/>
        <v>0</v>
      </c>
      <c r="N44" s="519">
        <f t="shared" si="5"/>
        <v>0</v>
      </c>
      <c r="O44" s="520">
        <f>SUM(O34:O43)</f>
        <v>0</v>
      </c>
      <c r="P44" s="521">
        <f>SUM(P34:P43)</f>
        <v>0</v>
      </c>
      <c r="Q44" s="516"/>
      <c r="R44" s="516"/>
      <c r="S44" s="516"/>
      <c r="T44" s="516"/>
    </row>
    <row r="45" spans="1:21">
      <c r="A45" s="250"/>
      <c r="B45" s="250"/>
      <c r="C45" s="258"/>
      <c r="D45" s="284"/>
      <c r="E45" s="250"/>
      <c r="F45" s="293"/>
      <c r="G45" s="287"/>
      <c r="H45" s="287"/>
      <c r="I45" s="522"/>
      <c r="J45" s="523"/>
      <c r="K45" s="523"/>
      <c r="L45" s="523"/>
      <c r="M45" s="523"/>
      <c r="N45" s="524"/>
      <c r="O45" s="511"/>
      <c r="P45" s="258"/>
    </row>
    <row r="46" spans="1:21">
      <c r="A46" s="250"/>
      <c r="B46" s="250"/>
      <c r="C46" s="258" t="s">
        <v>165</v>
      </c>
      <c r="D46" s="352" t="s">
        <v>270</v>
      </c>
      <c r="E46" s="250"/>
      <c r="F46" s="291">
        <f>IF(F$10="Prior",0,(F11*F29)*(Assumptions!F28-1))</f>
        <v>0</v>
      </c>
      <c r="G46" s="290">
        <f>IF(G$10="Prior",0,(G11*G29)*(Assumptions!G28-1))</f>
        <v>1.2310181250000167</v>
      </c>
      <c r="H46" s="290">
        <f>IF(H$10="Prior",0,(H11*H29)*(Assumptions!H28-1))</f>
        <v>5.3824096974518758</v>
      </c>
      <c r="I46" s="512">
        <f>IF(I$10="Prior",0,(I11*I29)*(Assumptions!I28-1))</f>
        <v>0</v>
      </c>
      <c r="J46" s="290">
        <f>IF(J$10="Prior",0,(J11*J29)*(Assumptions!J28-1))</f>
        <v>0</v>
      </c>
      <c r="K46" s="290">
        <f>IF(K$10="Prior",0,(K11*K29)*(Assumptions!K28-1))</f>
        <v>0</v>
      </c>
      <c r="L46" s="290">
        <f>IF(L$10="Prior",0,(L11*L29)*(Assumptions!L28-1))</f>
        <v>0</v>
      </c>
      <c r="M46" s="290">
        <f>IF(M$10="Prior",0,(M11*M29)*(Assumptions!M28-1))</f>
        <v>0</v>
      </c>
      <c r="N46" s="346">
        <f>IF(N$10="Prior",0,(N11*N29)*(Assumptions!N28-1))</f>
        <v>0</v>
      </c>
      <c r="O46" s="294">
        <f t="shared" ref="O46:O47" si="6">SUM(F46:N46)</f>
        <v>6.613427822451893</v>
      </c>
      <c r="P46" s="497">
        <f t="shared" ref="P46:P47" si="7">SUM(I46:M46)</f>
        <v>0</v>
      </c>
    </row>
    <row r="47" spans="1:21">
      <c r="A47" s="250"/>
      <c r="B47" s="250"/>
      <c r="C47" s="258"/>
      <c r="D47" s="352" t="s">
        <v>271</v>
      </c>
      <c r="E47" s="250"/>
      <c r="F47" s="294">
        <f>IF(F$10="Prior",0,(F11*F30)*(Assumptions!F30-1))</f>
        <v>0</v>
      </c>
      <c r="G47" s="290">
        <f>IF(G$10="Prior",0,(G11*G30)*(Assumptions!G30-1))</f>
        <v>4.2954674999999956</v>
      </c>
      <c r="H47" s="290">
        <f>IF(H$10="Prior",0,(H11*H30)*(Assumptions!H30-1))</f>
        <v>23.123535347478526</v>
      </c>
      <c r="I47" s="512">
        <f>IF(I$10="Prior",0,(I11*I30)*(Assumptions!I30-1))</f>
        <v>0</v>
      </c>
      <c r="J47" s="290">
        <f>IF(J$10="Prior",0,(J11*J30)*(Assumptions!J30-1))</f>
        <v>0</v>
      </c>
      <c r="K47" s="290">
        <f>IF(K$10="Prior",0,(K11*K30)*(Assumptions!K30-1))</f>
        <v>0</v>
      </c>
      <c r="L47" s="290">
        <f>IF(L$10="Prior",0,(L11*L30)*(Assumptions!L30-1))</f>
        <v>0</v>
      </c>
      <c r="M47" s="290">
        <f>IF(M$10="Prior",0,(M11*M30)*(Assumptions!M30-1))</f>
        <v>0</v>
      </c>
      <c r="N47" s="346">
        <f>IF(N$10="Prior",0,(N11*N30)*(Assumptions!N30-1))</f>
        <v>0</v>
      </c>
      <c r="O47" s="294">
        <f t="shared" si="6"/>
        <v>27.419002847478524</v>
      </c>
      <c r="P47" s="497">
        <f t="shared" si="7"/>
        <v>0</v>
      </c>
    </row>
    <row r="48" spans="1:21">
      <c r="A48" s="250"/>
      <c r="B48" s="250"/>
      <c r="C48" s="258"/>
      <c r="D48" s="465" t="s">
        <v>273</v>
      </c>
      <c r="E48" s="525"/>
      <c r="F48" s="292">
        <f>SUM(F46:F47)</f>
        <v>0</v>
      </c>
      <c r="G48" s="253">
        <f t="shared" ref="G48:N48" si="8">SUM(G46:G47)</f>
        <v>5.5264856250000118</v>
      </c>
      <c r="H48" s="253">
        <f t="shared" si="8"/>
        <v>28.505945044930403</v>
      </c>
      <c r="I48" s="518">
        <f t="shared" si="8"/>
        <v>0</v>
      </c>
      <c r="J48" s="253">
        <f t="shared" si="8"/>
        <v>0</v>
      </c>
      <c r="K48" s="253">
        <f t="shared" si="8"/>
        <v>0</v>
      </c>
      <c r="L48" s="253">
        <f t="shared" si="8"/>
        <v>0</v>
      </c>
      <c r="M48" s="253">
        <f t="shared" si="8"/>
        <v>0</v>
      </c>
      <c r="N48" s="519">
        <f t="shared" si="8"/>
        <v>0</v>
      </c>
      <c r="O48" s="520">
        <f>SUM(O46:O47)</f>
        <v>34.03243066993042</v>
      </c>
      <c r="P48" s="526">
        <f>SUM(P46:P47)</f>
        <v>0</v>
      </c>
    </row>
    <row r="49" spans="1:18">
      <c r="A49" s="250"/>
      <c r="B49" s="250"/>
      <c r="C49" s="439"/>
      <c r="D49" s="465" t="s">
        <v>60</v>
      </c>
      <c r="E49" s="525"/>
      <c r="F49" s="292">
        <f t="shared" ref="F49:N49" si="9">F44+F48</f>
        <v>0</v>
      </c>
      <c r="G49" s="253">
        <f t="shared" si="9"/>
        <v>5.5264856250000118</v>
      </c>
      <c r="H49" s="253">
        <f t="shared" si="9"/>
        <v>28.505945044930403</v>
      </c>
      <c r="I49" s="518">
        <f t="shared" si="9"/>
        <v>0</v>
      </c>
      <c r="J49" s="253">
        <f t="shared" si="9"/>
        <v>0</v>
      </c>
      <c r="K49" s="253">
        <f t="shared" si="9"/>
        <v>0</v>
      </c>
      <c r="L49" s="253">
        <f t="shared" si="9"/>
        <v>0</v>
      </c>
      <c r="M49" s="253">
        <f t="shared" si="9"/>
        <v>0</v>
      </c>
      <c r="N49" s="519">
        <f t="shared" si="9"/>
        <v>0</v>
      </c>
      <c r="O49" s="520">
        <f>O44+O48</f>
        <v>34.03243066993042</v>
      </c>
      <c r="P49" s="521">
        <f>P44+P48</f>
        <v>0</v>
      </c>
    </row>
    <row r="50" spans="1:18">
      <c r="A50" s="250"/>
      <c r="B50" s="250"/>
      <c r="C50" s="260"/>
      <c r="D50" s="386" t="s">
        <v>283</v>
      </c>
      <c r="E50" s="527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528">
        <f t="shared" si="10"/>
        <v>0</v>
      </c>
      <c r="J50" s="441">
        <f t="shared" si="10"/>
        <v>0</v>
      </c>
      <c r="K50" s="441">
        <f t="shared" si="10"/>
        <v>0</v>
      </c>
      <c r="L50" s="441">
        <f t="shared" si="10"/>
        <v>0</v>
      </c>
      <c r="M50" s="441">
        <f t="shared" si="10"/>
        <v>0</v>
      </c>
      <c r="N50" s="529">
        <f t="shared" si="10"/>
        <v>0</v>
      </c>
      <c r="O50" s="529">
        <f t="shared" si="10"/>
        <v>3.540944904496861E-3</v>
      </c>
      <c r="P50" s="529">
        <f t="shared" si="10"/>
        <v>0</v>
      </c>
    </row>
    <row r="51" spans="1:18">
      <c r="A51" s="250"/>
      <c r="B51" s="250"/>
      <c r="C51" s="310" t="s">
        <v>277</v>
      </c>
      <c r="D51" s="353" t="s">
        <v>17</v>
      </c>
      <c r="E51" s="530"/>
      <c r="F51" s="343">
        <f>(F29*F$11+F46)*Assumptions!$G$21</f>
        <v>326.895966515613</v>
      </c>
      <c r="G51" s="344">
        <f>(G29*G$11+G46)*Assumptions!$G$21</f>
        <v>214.33160865719009</v>
      </c>
      <c r="H51" s="344">
        <f>(H29*H$11+H46)*Assumptions!$G$21</f>
        <v>442.86869600493088</v>
      </c>
      <c r="I51" s="531">
        <f>(I29*I$11+I46)*Assumptions!$G$21</f>
        <v>0</v>
      </c>
      <c r="J51" s="344">
        <f>(J29*J$11+J46)*Assumptions!$G$21</f>
        <v>0</v>
      </c>
      <c r="K51" s="344">
        <f>(K29*K$11+K46)*Assumptions!$G$21</f>
        <v>0</v>
      </c>
      <c r="L51" s="344">
        <f>(L29*L$11+L46)*Assumptions!$G$21</f>
        <v>0</v>
      </c>
      <c r="M51" s="344">
        <f>(M29*M$11+M46)*Assumptions!$G$21</f>
        <v>0</v>
      </c>
      <c r="N51" s="345">
        <f>(N29*N$11+N46)*Assumptions!$G$21</f>
        <v>0</v>
      </c>
      <c r="O51" s="532">
        <f t="shared" ref="O51:O53" si="11">SUM(F51:N51)</f>
        <v>984.09627117773402</v>
      </c>
      <c r="P51" s="533">
        <f>SUM(I51:M51)</f>
        <v>0</v>
      </c>
    </row>
    <row r="52" spans="1:18">
      <c r="A52" s="250"/>
      <c r="B52" s="250"/>
      <c r="C52" s="258" t="s">
        <v>25</v>
      </c>
      <c r="D52" s="350" t="s">
        <v>19</v>
      </c>
      <c r="E52" s="313"/>
      <c r="F52" s="294">
        <f>(F30*F$11+F47)*Assumptions!$G$21</f>
        <v>1634.4798325780648</v>
      </c>
      <c r="G52" s="290">
        <f>(G30*G$11+G47)*Assumptions!$G$21</f>
        <v>1069.7669603712416</v>
      </c>
      <c r="H52" s="290">
        <f>(H30*H$11+H47)*Assumptions!$G$21</f>
        <v>2210.4908754971707</v>
      </c>
      <c r="I52" s="512">
        <f>(I30*I$11+I47)*Assumptions!$G$21</f>
        <v>0</v>
      </c>
      <c r="J52" s="290">
        <f>(J30*J$11+J47)*Assumptions!$G$21</f>
        <v>0</v>
      </c>
      <c r="K52" s="290">
        <f>(K30*K$11+K47)*Assumptions!$G$21</f>
        <v>0</v>
      </c>
      <c r="L52" s="290">
        <f>(L30*L$11+L47)*Assumptions!$G$21</f>
        <v>0</v>
      </c>
      <c r="M52" s="290">
        <f>(M30*M$11+M47)*Assumptions!$G$21</f>
        <v>0</v>
      </c>
      <c r="N52" s="346">
        <f>(N30*N$11+N47)*Assumptions!$G$21</f>
        <v>0</v>
      </c>
      <c r="O52" s="534">
        <f t="shared" si="11"/>
        <v>4914.7376684464771</v>
      </c>
      <c r="P52" s="535">
        <f>SUM(I52:M52)</f>
        <v>0</v>
      </c>
    </row>
    <row r="53" spans="1:18">
      <c r="A53" s="250"/>
      <c r="B53" s="250"/>
      <c r="C53" s="258"/>
      <c r="D53" s="350" t="s">
        <v>18</v>
      </c>
      <c r="E53" s="313"/>
      <c r="F53" s="294">
        <f>(F31*F$11+F$44)*Assumptions!$G$21</f>
        <v>1307.583866062452</v>
      </c>
      <c r="G53" s="290">
        <f>(G31*G$11+G$44)*Assumptions!$G$21</f>
        <v>852.3190601503768</v>
      </c>
      <c r="H53" s="290">
        <f>(H31*H$11+H$44)*Assumptions!$G$21</f>
        <v>1749.5809220173066</v>
      </c>
      <c r="I53" s="512">
        <f>(I31*I$11+I$44)*Assumptions!$G$21</f>
        <v>0</v>
      </c>
      <c r="J53" s="290">
        <f>(J31*J$11+J$44)*Assumptions!$G$21</f>
        <v>0</v>
      </c>
      <c r="K53" s="290">
        <f>(K31*K$11+K$44)*Assumptions!$G$21</f>
        <v>0</v>
      </c>
      <c r="L53" s="290">
        <f>(L31*L$11+L$44)*Assumptions!$G$21</f>
        <v>0</v>
      </c>
      <c r="M53" s="290">
        <f>(M31*M$11+M$44)*Assumptions!$G$21</f>
        <v>0</v>
      </c>
      <c r="N53" s="346">
        <f>(N31*N$11+N$44)*Assumptions!$G$21</f>
        <v>0</v>
      </c>
      <c r="O53" s="534">
        <f t="shared" si="11"/>
        <v>3909.4838482301357</v>
      </c>
      <c r="P53" s="535">
        <f>SUM(I53:M53)</f>
        <v>0</v>
      </c>
    </row>
    <row r="54" spans="1:18">
      <c r="A54" s="250"/>
      <c r="B54" s="250"/>
      <c r="C54" s="536"/>
      <c r="D54" s="537" t="str">
        <f>"Total Direct - As Incurred "&amp;Assumptions!$C$8</f>
        <v>Total Direct - As Incurred $ Mar 2017</v>
      </c>
      <c r="E54" s="517"/>
      <c r="F54" s="292">
        <f t="shared" ref="F54:P54" si="12">+SUM(F51:F53)</f>
        <v>3268.9596651561296</v>
      </c>
      <c r="G54" s="253">
        <f t="shared" si="12"/>
        <v>2136.4176291788085</v>
      </c>
      <c r="H54" s="253">
        <f t="shared" si="12"/>
        <v>4402.9404935194079</v>
      </c>
      <c r="I54" s="411">
        <f t="shared" si="12"/>
        <v>0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9808.3177878543465</v>
      </c>
      <c r="P54" s="428">
        <f t="shared" si="12"/>
        <v>0</v>
      </c>
      <c r="R54" s="616" t="str">
        <f>IF(ROUND(O11*(1+O50)*Assumptions!$G$21,0)-ROUND(O54,0)&lt;&gt;0,"Error","ok")</f>
        <v>ok</v>
      </c>
    </row>
    <row r="55" spans="1:18">
      <c r="A55" s="250"/>
      <c r="B55" s="250"/>
      <c r="C55" s="257"/>
      <c r="D55" s="302"/>
      <c r="E55" s="510"/>
      <c r="F55" s="296"/>
      <c r="G55" s="297"/>
      <c r="H55" s="395"/>
      <c r="I55" s="412"/>
      <c r="J55" s="303"/>
      <c r="K55" s="303"/>
      <c r="L55" s="303"/>
      <c r="M55" s="303"/>
      <c r="N55" s="304"/>
      <c r="O55" s="511"/>
      <c r="P55" s="258"/>
    </row>
    <row r="56" spans="1:18">
      <c r="A56" s="250"/>
      <c r="B56" s="250"/>
      <c r="C56" s="258" t="s">
        <v>274</v>
      </c>
      <c r="D56" s="350" t="s">
        <v>272</v>
      </c>
      <c r="E56" s="506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511"/>
      <c r="P56" s="538"/>
    </row>
    <row r="57" spans="1:18">
      <c r="A57" s="250"/>
      <c r="B57" s="250"/>
      <c r="C57" s="258"/>
      <c r="D57" s="350" t="s">
        <v>267</v>
      </c>
      <c r="E57" s="506"/>
      <c r="F57" s="294">
        <f>F54*F56</f>
        <v>261.78390886001614</v>
      </c>
      <c r="G57" s="290">
        <f t="shared" ref="G57:N57" si="13">G54*G56</f>
        <v>126.99888708583342</v>
      </c>
      <c r="H57" s="290">
        <f t="shared" si="13"/>
        <v>319.62568303653109</v>
      </c>
      <c r="I57" s="512">
        <f t="shared" si="13"/>
        <v>0</v>
      </c>
      <c r="J57" s="290">
        <f t="shared" si="13"/>
        <v>0</v>
      </c>
      <c r="K57" s="290">
        <f t="shared" si="13"/>
        <v>0</v>
      </c>
      <c r="L57" s="290">
        <f t="shared" si="13"/>
        <v>0</v>
      </c>
      <c r="M57" s="290">
        <f t="shared" si="13"/>
        <v>0</v>
      </c>
      <c r="N57" s="346">
        <f t="shared" si="13"/>
        <v>0</v>
      </c>
      <c r="O57" s="294">
        <f>SUM(F57:N57)</f>
        <v>708.40847898238064</v>
      </c>
      <c r="P57" s="497">
        <f>SUM(I57:M57)</f>
        <v>0</v>
      </c>
    </row>
    <row r="58" spans="1:18">
      <c r="A58" s="250"/>
      <c r="B58" s="250"/>
      <c r="C58" s="259"/>
      <c r="D58" s="305"/>
      <c r="E58" s="312"/>
      <c r="F58" s="511"/>
      <c r="G58" s="250"/>
      <c r="H58" s="250"/>
      <c r="I58" s="539"/>
      <c r="J58" s="250"/>
      <c r="K58" s="250"/>
      <c r="L58" s="250"/>
      <c r="M58" s="250"/>
      <c r="N58" s="454"/>
      <c r="O58" s="511"/>
      <c r="P58" s="258"/>
    </row>
    <row r="59" spans="1:18">
      <c r="A59" s="250"/>
      <c r="B59" s="250"/>
      <c r="C59" s="536"/>
      <c r="D59" s="537" t="str">
        <f>"Total incl Overhead - As Incurred "&amp;Assumptions!$C$8</f>
        <v>Total incl Overhead - As Incurred $ Mar 2017</v>
      </c>
      <c r="E59" s="517"/>
      <c r="F59" s="292">
        <f t="shared" ref="F59:M59" si="14">F54+F57</f>
        <v>3530.7435740161459</v>
      </c>
      <c r="G59" s="253">
        <f t="shared" si="14"/>
        <v>2263.4165162646418</v>
      </c>
      <c r="H59" s="253">
        <f t="shared" si="14"/>
        <v>4722.5661765559389</v>
      </c>
      <c r="I59" s="411">
        <f t="shared" si="14"/>
        <v>0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10516.726266836728</v>
      </c>
      <c r="P59" s="429">
        <f t="shared" si="15"/>
        <v>0</v>
      </c>
    </row>
    <row r="60" spans="1:18" hidden="1" outlineLevel="1">
      <c r="A60" s="250"/>
      <c r="B60" s="250"/>
      <c r="C60" s="250"/>
      <c r="D60" s="313" t="s">
        <v>263</v>
      </c>
      <c r="E60" s="313"/>
      <c r="F60" s="290">
        <f>F57</f>
        <v>261.78390886001614</v>
      </c>
      <c r="G60" s="290">
        <f t="shared" ref="G60:N60" si="16">G57+F60</f>
        <v>388.78279594584956</v>
      </c>
      <c r="H60" s="290">
        <f t="shared" si="16"/>
        <v>708.40847898238064</v>
      </c>
      <c r="I60" s="290">
        <f t="shared" si="16"/>
        <v>708.40847898238064</v>
      </c>
      <c r="J60" s="290">
        <f t="shared" si="16"/>
        <v>708.40847898238064</v>
      </c>
      <c r="K60" s="290">
        <f t="shared" si="16"/>
        <v>708.40847898238064</v>
      </c>
      <c r="L60" s="290">
        <f t="shared" si="16"/>
        <v>708.40847898238064</v>
      </c>
      <c r="M60" s="290">
        <f t="shared" si="16"/>
        <v>708.40847898238064</v>
      </c>
      <c r="N60" s="290">
        <f t="shared" si="16"/>
        <v>708.40847898238064</v>
      </c>
    </row>
    <row r="61" spans="1:18" hidden="1" outlineLevel="1" collapsed="1">
      <c r="A61" s="250"/>
      <c r="B61" s="250"/>
      <c r="D61" s="251" t="s">
        <v>288</v>
      </c>
      <c r="E61" s="251"/>
      <c r="F61" s="252">
        <f>F49</f>
        <v>0</v>
      </c>
      <c r="G61" s="252">
        <f>G49+F61</f>
        <v>5.5264856250000118</v>
      </c>
      <c r="H61" s="252">
        <f t="shared" ref="H61:N61" si="17">H49+G61</f>
        <v>34.032430669930413</v>
      </c>
      <c r="I61" s="252">
        <f t="shared" si="17"/>
        <v>34.032430669930413</v>
      </c>
      <c r="J61" s="252">
        <f t="shared" si="17"/>
        <v>34.032430669930413</v>
      </c>
      <c r="K61" s="252">
        <f t="shared" si="17"/>
        <v>34.032430669930413</v>
      </c>
      <c r="L61" s="252">
        <f t="shared" si="17"/>
        <v>34.032430669930413</v>
      </c>
      <c r="M61" s="252">
        <f t="shared" si="17"/>
        <v>34.032430669930413</v>
      </c>
      <c r="N61" s="252">
        <f t="shared" si="17"/>
        <v>34.032430669930413</v>
      </c>
    </row>
    <row r="62" spans="1:18" collapsed="1">
      <c r="A62" s="250"/>
      <c r="B62" s="250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  <c r="P62" s="248"/>
    </row>
    <row r="63" spans="1:18">
      <c r="A63" s="250"/>
      <c r="B63" s="250"/>
      <c r="C63" s="540" t="s">
        <v>275</v>
      </c>
      <c r="D63" s="541"/>
      <c r="E63" s="541"/>
      <c r="F63" s="542"/>
      <c r="G63" s="542"/>
      <c r="H63" s="542"/>
      <c r="I63" s="542"/>
      <c r="J63" s="542"/>
      <c r="K63" s="542"/>
      <c r="L63" s="542"/>
      <c r="M63" s="542"/>
      <c r="N63" s="542"/>
      <c r="O63" s="543"/>
      <c r="P63" s="544"/>
    </row>
    <row r="64" spans="1:18">
      <c r="A64" s="250"/>
      <c r="B64" s="250"/>
      <c r="C64" s="257" t="s">
        <v>23</v>
      </c>
      <c r="D64" s="353" t="s">
        <v>3</v>
      </c>
      <c r="E64" s="530"/>
      <c r="F64" s="343">
        <f t="shared" ref="F64:N73" si="18">F$59*F17</f>
        <v>0</v>
      </c>
      <c r="G64" s="344">
        <f t="shared" si="18"/>
        <v>0</v>
      </c>
      <c r="H64" s="344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345">
        <f t="shared" si="18"/>
        <v>0</v>
      </c>
      <c r="O64" s="532">
        <f>SUM(F64:N64)</f>
        <v>0</v>
      </c>
      <c r="P64" s="430">
        <f>SUM(I64:M64)</f>
        <v>0</v>
      </c>
    </row>
    <row r="65" spans="1:16">
      <c r="A65" s="250"/>
      <c r="B65" s="250"/>
      <c r="C65" s="258" t="s">
        <v>24</v>
      </c>
      <c r="D65" s="350" t="s">
        <v>4</v>
      </c>
      <c r="E65" s="313"/>
      <c r="F65" s="294">
        <f t="shared" si="18"/>
        <v>3530.7435740161459</v>
      </c>
      <c r="G65" s="290">
        <f t="shared" si="18"/>
        <v>2263.4165162646418</v>
      </c>
      <c r="H65" s="290">
        <f t="shared" si="18"/>
        <v>4722.5661765559389</v>
      </c>
      <c r="I65" s="416">
        <f t="shared" si="18"/>
        <v>0</v>
      </c>
      <c r="J65" s="381">
        <f t="shared" si="18"/>
        <v>0</v>
      </c>
      <c r="K65" s="381">
        <f t="shared" si="18"/>
        <v>0</v>
      </c>
      <c r="L65" s="381">
        <f t="shared" si="18"/>
        <v>0</v>
      </c>
      <c r="M65" s="381">
        <f t="shared" si="18"/>
        <v>0</v>
      </c>
      <c r="N65" s="346">
        <f t="shared" si="18"/>
        <v>0</v>
      </c>
      <c r="O65" s="534">
        <f t="shared" ref="O65:O73" si="19">SUM(F65:N65)</f>
        <v>10516.726266836726</v>
      </c>
      <c r="P65" s="431">
        <f t="shared" ref="P65:P73" si="20">SUM(I65:M65)</f>
        <v>0</v>
      </c>
    </row>
    <row r="66" spans="1:16">
      <c r="A66" s="250"/>
      <c r="B66" s="250"/>
      <c r="C66" s="258" t="s">
        <v>25</v>
      </c>
      <c r="D66" s="350" t="s">
        <v>5</v>
      </c>
      <c r="E66" s="313"/>
      <c r="F66" s="294">
        <f t="shared" si="18"/>
        <v>0</v>
      </c>
      <c r="G66" s="290">
        <f t="shared" si="18"/>
        <v>0</v>
      </c>
      <c r="H66" s="290">
        <f t="shared" si="18"/>
        <v>0</v>
      </c>
      <c r="I66" s="416">
        <f t="shared" si="18"/>
        <v>0</v>
      </c>
      <c r="J66" s="381">
        <f t="shared" si="18"/>
        <v>0</v>
      </c>
      <c r="K66" s="381">
        <f t="shared" si="18"/>
        <v>0</v>
      </c>
      <c r="L66" s="381">
        <f t="shared" si="18"/>
        <v>0</v>
      </c>
      <c r="M66" s="381">
        <f t="shared" si="18"/>
        <v>0</v>
      </c>
      <c r="N66" s="346">
        <f t="shared" si="18"/>
        <v>0</v>
      </c>
      <c r="O66" s="534">
        <f t="shared" si="19"/>
        <v>0</v>
      </c>
      <c r="P66" s="431">
        <f t="shared" si="20"/>
        <v>0</v>
      </c>
    </row>
    <row r="67" spans="1:16">
      <c r="A67" s="250"/>
      <c r="B67" s="250"/>
      <c r="C67" s="258"/>
      <c r="D67" s="350" t="s">
        <v>6</v>
      </c>
      <c r="E67" s="313"/>
      <c r="F67" s="294">
        <f t="shared" si="18"/>
        <v>0</v>
      </c>
      <c r="G67" s="290">
        <f t="shared" si="18"/>
        <v>0</v>
      </c>
      <c r="H67" s="290">
        <f t="shared" si="18"/>
        <v>0</v>
      </c>
      <c r="I67" s="416">
        <f t="shared" si="18"/>
        <v>0</v>
      </c>
      <c r="J67" s="381">
        <f t="shared" si="18"/>
        <v>0</v>
      </c>
      <c r="K67" s="381">
        <f t="shared" si="18"/>
        <v>0</v>
      </c>
      <c r="L67" s="381">
        <f t="shared" si="18"/>
        <v>0</v>
      </c>
      <c r="M67" s="381">
        <f t="shared" si="18"/>
        <v>0</v>
      </c>
      <c r="N67" s="346">
        <f t="shared" si="18"/>
        <v>0</v>
      </c>
      <c r="O67" s="534">
        <f t="shared" si="19"/>
        <v>0</v>
      </c>
      <c r="P67" s="431">
        <f t="shared" si="20"/>
        <v>0</v>
      </c>
    </row>
    <row r="68" spans="1:16">
      <c r="A68" s="250"/>
      <c r="B68" s="250"/>
      <c r="C68" s="258"/>
      <c r="D68" s="350" t="s">
        <v>7</v>
      </c>
      <c r="E68" s="313"/>
      <c r="F68" s="294">
        <f t="shared" si="18"/>
        <v>0</v>
      </c>
      <c r="G68" s="290">
        <f t="shared" si="18"/>
        <v>0</v>
      </c>
      <c r="H68" s="290">
        <f t="shared" si="18"/>
        <v>0</v>
      </c>
      <c r="I68" s="416">
        <f t="shared" si="18"/>
        <v>0</v>
      </c>
      <c r="J68" s="381">
        <f t="shared" si="18"/>
        <v>0</v>
      </c>
      <c r="K68" s="381">
        <f t="shared" si="18"/>
        <v>0</v>
      </c>
      <c r="L68" s="381">
        <f t="shared" si="18"/>
        <v>0</v>
      </c>
      <c r="M68" s="381">
        <f t="shared" si="18"/>
        <v>0</v>
      </c>
      <c r="N68" s="346">
        <f t="shared" si="18"/>
        <v>0</v>
      </c>
      <c r="O68" s="534">
        <f t="shared" si="19"/>
        <v>0</v>
      </c>
      <c r="P68" s="431">
        <f t="shared" si="20"/>
        <v>0</v>
      </c>
    </row>
    <row r="69" spans="1:16">
      <c r="A69" s="250"/>
      <c r="B69" s="250"/>
      <c r="C69" s="258"/>
      <c r="D69" s="350" t="s">
        <v>8</v>
      </c>
      <c r="E69" s="313"/>
      <c r="F69" s="294">
        <f t="shared" si="18"/>
        <v>0</v>
      </c>
      <c r="G69" s="290">
        <f t="shared" si="18"/>
        <v>0</v>
      </c>
      <c r="H69" s="290">
        <f t="shared" si="18"/>
        <v>0</v>
      </c>
      <c r="I69" s="416">
        <f t="shared" si="18"/>
        <v>0</v>
      </c>
      <c r="J69" s="381">
        <f t="shared" si="18"/>
        <v>0</v>
      </c>
      <c r="K69" s="381">
        <f t="shared" si="18"/>
        <v>0</v>
      </c>
      <c r="L69" s="381">
        <f t="shared" si="18"/>
        <v>0</v>
      </c>
      <c r="M69" s="381">
        <f t="shared" si="18"/>
        <v>0</v>
      </c>
      <c r="N69" s="346">
        <f t="shared" si="18"/>
        <v>0</v>
      </c>
      <c r="O69" s="534">
        <f t="shared" si="19"/>
        <v>0</v>
      </c>
      <c r="P69" s="431">
        <f t="shared" si="20"/>
        <v>0</v>
      </c>
    </row>
    <row r="70" spans="1:16">
      <c r="A70" s="250"/>
      <c r="B70" s="250"/>
      <c r="C70" s="258"/>
      <c r="D70" s="350" t="s">
        <v>9</v>
      </c>
      <c r="E70" s="313"/>
      <c r="F70" s="294">
        <f t="shared" si="18"/>
        <v>0</v>
      </c>
      <c r="G70" s="290">
        <f t="shared" si="18"/>
        <v>0</v>
      </c>
      <c r="H70" s="290">
        <f t="shared" si="18"/>
        <v>0</v>
      </c>
      <c r="I70" s="416">
        <f t="shared" si="18"/>
        <v>0</v>
      </c>
      <c r="J70" s="381">
        <f t="shared" si="18"/>
        <v>0</v>
      </c>
      <c r="K70" s="381">
        <f t="shared" si="18"/>
        <v>0</v>
      </c>
      <c r="L70" s="381">
        <f t="shared" si="18"/>
        <v>0</v>
      </c>
      <c r="M70" s="381">
        <f t="shared" si="18"/>
        <v>0</v>
      </c>
      <c r="N70" s="346">
        <f t="shared" si="18"/>
        <v>0</v>
      </c>
      <c r="O70" s="534">
        <f t="shared" si="19"/>
        <v>0</v>
      </c>
      <c r="P70" s="431">
        <f t="shared" si="20"/>
        <v>0</v>
      </c>
    </row>
    <row r="71" spans="1:16">
      <c r="A71" s="250"/>
      <c r="B71" s="250"/>
      <c r="C71" s="258"/>
      <c r="D71" s="350" t="s">
        <v>10</v>
      </c>
      <c r="E71" s="313"/>
      <c r="F71" s="294">
        <f t="shared" si="18"/>
        <v>0</v>
      </c>
      <c r="G71" s="290">
        <f t="shared" si="18"/>
        <v>0</v>
      </c>
      <c r="H71" s="290">
        <f t="shared" si="18"/>
        <v>0</v>
      </c>
      <c r="I71" s="416">
        <f t="shared" si="18"/>
        <v>0</v>
      </c>
      <c r="J71" s="381">
        <f t="shared" si="18"/>
        <v>0</v>
      </c>
      <c r="K71" s="381">
        <f t="shared" si="18"/>
        <v>0</v>
      </c>
      <c r="L71" s="381">
        <f t="shared" si="18"/>
        <v>0</v>
      </c>
      <c r="M71" s="381">
        <f t="shared" si="18"/>
        <v>0</v>
      </c>
      <c r="N71" s="346">
        <f t="shared" si="18"/>
        <v>0</v>
      </c>
      <c r="O71" s="534">
        <f t="shared" si="19"/>
        <v>0</v>
      </c>
      <c r="P71" s="431">
        <f t="shared" si="20"/>
        <v>0</v>
      </c>
    </row>
    <row r="72" spans="1:16">
      <c r="A72" s="250"/>
      <c r="B72" s="250"/>
      <c r="C72" s="258"/>
      <c r="D72" s="350" t="s">
        <v>11</v>
      </c>
      <c r="E72" s="313"/>
      <c r="F72" s="294">
        <f t="shared" si="18"/>
        <v>0</v>
      </c>
      <c r="G72" s="290">
        <f t="shared" si="18"/>
        <v>0</v>
      </c>
      <c r="H72" s="290">
        <f t="shared" si="18"/>
        <v>0</v>
      </c>
      <c r="I72" s="416">
        <f t="shared" si="18"/>
        <v>0</v>
      </c>
      <c r="J72" s="381">
        <f t="shared" si="18"/>
        <v>0</v>
      </c>
      <c r="K72" s="381">
        <f t="shared" si="18"/>
        <v>0</v>
      </c>
      <c r="L72" s="381">
        <f t="shared" si="18"/>
        <v>0</v>
      </c>
      <c r="M72" s="381">
        <f t="shared" si="18"/>
        <v>0</v>
      </c>
      <c r="N72" s="346">
        <f t="shared" si="18"/>
        <v>0</v>
      </c>
      <c r="O72" s="534">
        <f t="shared" si="19"/>
        <v>0</v>
      </c>
      <c r="P72" s="431">
        <f t="shared" si="20"/>
        <v>0</v>
      </c>
    </row>
    <row r="73" spans="1:16">
      <c r="A73" s="250"/>
      <c r="B73" s="250"/>
      <c r="C73" s="259"/>
      <c r="D73" s="354" t="s">
        <v>12</v>
      </c>
      <c r="E73" s="546"/>
      <c r="F73" s="294">
        <f t="shared" si="18"/>
        <v>0</v>
      </c>
      <c r="G73" s="290">
        <f t="shared" si="18"/>
        <v>0</v>
      </c>
      <c r="H73" s="290">
        <f t="shared" si="18"/>
        <v>0</v>
      </c>
      <c r="I73" s="416">
        <f t="shared" si="18"/>
        <v>0</v>
      </c>
      <c r="J73" s="381">
        <f t="shared" si="18"/>
        <v>0</v>
      </c>
      <c r="K73" s="381">
        <f t="shared" si="18"/>
        <v>0</v>
      </c>
      <c r="L73" s="381">
        <f t="shared" si="18"/>
        <v>0</v>
      </c>
      <c r="M73" s="381">
        <f t="shared" si="18"/>
        <v>0</v>
      </c>
      <c r="N73" s="346">
        <f t="shared" si="18"/>
        <v>0</v>
      </c>
      <c r="O73" s="534">
        <f t="shared" si="19"/>
        <v>0</v>
      </c>
      <c r="P73" s="431">
        <f t="shared" si="20"/>
        <v>0</v>
      </c>
    </row>
    <row r="74" spans="1:16">
      <c r="A74" s="250"/>
      <c r="B74" s="250"/>
      <c r="C74" s="536"/>
      <c r="D74" s="537" t="str">
        <f>"Total incl Overhead - As Incurred "&amp;Assumptions!$C$8</f>
        <v>Total incl Overhead - As Incurred $ Mar 2017</v>
      </c>
      <c r="E74" s="517"/>
      <c r="F74" s="292">
        <f>+SUM(F64:F73)</f>
        <v>3530.7435740161459</v>
      </c>
      <c r="G74" s="253">
        <f t="shared" ref="G74:N74" si="21">+SUM(G64:G73)</f>
        <v>2263.4165162646418</v>
      </c>
      <c r="H74" s="253">
        <f t="shared" si="21"/>
        <v>4722.5661765559389</v>
      </c>
      <c r="I74" s="411">
        <f t="shared" si="21"/>
        <v>0</v>
      </c>
      <c r="J74" s="382">
        <f t="shared" si="21"/>
        <v>0</v>
      </c>
      <c r="K74" s="382">
        <f t="shared" si="21"/>
        <v>0</v>
      </c>
      <c r="L74" s="382">
        <f t="shared" si="21"/>
        <v>0</v>
      </c>
      <c r="M74" s="382">
        <f t="shared" si="21"/>
        <v>0</v>
      </c>
      <c r="N74" s="519">
        <f t="shared" si="21"/>
        <v>0</v>
      </c>
      <c r="O74" s="292">
        <f>SUM(O64:O73)</f>
        <v>10516.726266836726</v>
      </c>
      <c r="P74" s="428">
        <f>SUM(P64:P73)</f>
        <v>0</v>
      </c>
    </row>
    <row r="75" spans="1:16">
      <c r="B75" s="250"/>
      <c r="E75" s="547" t="s">
        <v>50</v>
      </c>
      <c r="F75" s="548">
        <f>F74-F59</f>
        <v>0</v>
      </c>
      <c r="G75" s="548">
        <f t="shared" ref="G75:P75" si="22">G74-G59</f>
        <v>0</v>
      </c>
      <c r="H75" s="548">
        <f t="shared" si="22"/>
        <v>0</v>
      </c>
      <c r="I75" s="548">
        <f t="shared" si="22"/>
        <v>0</v>
      </c>
      <c r="J75" s="548">
        <f t="shared" si="22"/>
        <v>0</v>
      </c>
      <c r="K75" s="548">
        <f t="shared" si="22"/>
        <v>0</v>
      </c>
      <c r="L75" s="548">
        <f t="shared" si="22"/>
        <v>0</v>
      </c>
      <c r="M75" s="548">
        <f t="shared" si="22"/>
        <v>0</v>
      </c>
      <c r="N75" s="548">
        <f t="shared" si="22"/>
        <v>0</v>
      </c>
      <c r="O75" s="548">
        <f t="shared" si="22"/>
        <v>0</v>
      </c>
      <c r="P75" s="548">
        <f t="shared" si="22"/>
        <v>0</v>
      </c>
    </row>
    <row r="76" spans="1:16" hidden="1" outlineLevel="1">
      <c r="A76" s="250"/>
      <c r="B76" s="250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344">
        <f t="shared" ref="F76:N76" si="23">F14</f>
        <v>0</v>
      </c>
      <c r="G76" s="344">
        <f t="shared" si="23"/>
        <v>3095.5036660447104</v>
      </c>
      <c r="H76" s="344">
        <f t="shared" si="23"/>
        <v>6515.6118942992443</v>
      </c>
      <c r="I76" s="531">
        <f t="shared" si="23"/>
        <v>0</v>
      </c>
      <c r="J76" s="344">
        <f t="shared" si="23"/>
        <v>0</v>
      </c>
      <c r="K76" s="344">
        <f t="shared" si="23"/>
        <v>0</v>
      </c>
      <c r="L76" s="344">
        <f t="shared" si="23"/>
        <v>0</v>
      </c>
      <c r="M76" s="344">
        <f t="shared" si="23"/>
        <v>0</v>
      </c>
      <c r="N76" s="345">
        <f t="shared" si="23"/>
        <v>0</v>
      </c>
      <c r="O76" s="549">
        <f>SUM(F76:N76)</f>
        <v>9611.1155603439547</v>
      </c>
      <c r="P76" s="545">
        <f t="shared" ref="P76:P80" si="24">SUM(I76:M76)</f>
        <v>0</v>
      </c>
    </row>
    <row r="77" spans="1:16" hidden="1" outlineLevel="1">
      <c r="A77" s="250"/>
      <c r="B77" s="250"/>
      <c r="C77" s="453"/>
      <c r="D77" s="350" t="str">
        <f>"Labour &amp; Material Escalation - "&amp;Assumptions!C7</f>
        <v>Labour &amp; Material Escalation - $ 2015/16</v>
      </c>
      <c r="E77" s="454"/>
      <c r="F77" s="290">
        <f>IF(F$10="Prior",0,IF(AND(F76&lt;&gt;0,SUM(E76:$F76)=0),F76/SUM($F$76:F76)*F61,IF(F76&lt;&gt;0,SUM($F$76:F76)/SUM($F$11:F11)*F61-E83,0)))</f>
        <v>0</v>
      </c>
      <c r="G77" s="290">
        <f>IF(G$10="Prior",0,IF(AND(G76&lt;&gt;0,SUM($F76:F76)=0),G76/SUM($F$76:G76)*G61,IF(G76&lt;&gt;0,SUM($F$76:G76)/SUM($F$11:G11)*G61-F83,0)))</f>
        <v>5.5264856250000118</v>
      </c>
      <c r="H77" s="290">
        <f>IF(H$10="Prior",0,IF(AND(H76&lt;&gt;0,SUM($F76:G76)=0),H76/SUM($F$76:H76)*H61,IF(H76&lt;&gt;0,SUM($F$76:H76)/SUM($F$11:H11)*H61-G83,0)))</f>
        <v>28.505945044930399</v>
      </c>
      <c r="I77" s="512">
        <f>IF(I$10="Prior",0,IF(AND(I76&lt;&gt;0,SUM($F76:H76)=0),I76/SUM($F$76:I76)*I61,IF(I76&lt;&gt;0,SUM($F$76:I76)/SUM($F$11:I11)*I61-H83,0)))</f>
        <v>0</v>
      </c>
      <c r="J77" s="290">
        <f>IF(J$10="Prior",0,IF(AND(J76&lt;&gt;0,SUM($F76:I76)=0),J76/SUM($F$76:J76)*J61,IF(J76&lt;&gt;0,SUM($F$76:J76)/SUM($F$11:J11)*J61-I83,0)))</f>
        <v>0</v>
      </c>
      <c r="K77" s="290">
        <f>IF(K$10="Prior",0,IF(AND(K76&lt;&gt;0,SUM($F76:J76)=0),K76/SUM($F$76:K76)*K61,IF(K76&lt;&gt;0,SUM($F$76:K76)/SUM($F$11:K11)*K61-J83,0)))</f>
        <v>0</v>
      </c>
      <c r="L77" s="290">
        <f>IF(L$10="Prior",0,IF(AND(L76&lt;&gt;0,SUM($F76:K76)=0),L76/SUM($F$76:L76)*L61,IF(L76&lt;&gt;0,SUM($F$76:L76)/SUM($F$11:L11)*L61-K83,0)))</f>
        <v>0</v>
      </c>
      <c r="M77" s="290">
        <f>IF(M$10="Prior",0,IF(AND(M76&lt;&gt;0,SUM($F76:L76)=0),M76/SUM($F$76:M76)*M61,IF(M76&lt;&gt;0,SUM($F$76:M76)/SUM($F$11:M11)*M61-L83,0)))</f>
        <v>0</v>
      </c>
      <c r="N77" s="346">
        <f>IF(N$10="Prior",0,IF(AND(N76&lt;&gt;0,SUM($F76:M76)=0),N76/SUM($F$76:N76)*N61,IF(N76&lt;&gt;0,SUM($F$76:N76)/SUM($F$11:N11)*N61-M83,0)))</f>
        <v>0</v>
      </c>
      <c r="O77" s="550">
        <f>SUM(F77:N77)</f>
        <v>34.032430669930413</v>
      </c>
      <c r="P77" s="551">
        <f t="shared" si="24"/>
        <v>0</v>
      </c>
    </row>
    <row r="78" spans="1:16" hidden="1" outlineLevel="1">
      <c r="A78" s="250"/>
      <c r="B78" s="250"/>
      <c r="C78" s="453"/>
      <c r="D78" s="470" t="str">
        <f>"Total Direct Expenditure - "&amp;Assumptions!C7</f>
        <v>Total Direct Expenditure - $ 2015/16</v>
      </c>
      <c r="E78" s="471"/>
      <c r="F78" s="552">
        <f>SUM(F76:F77)</f>
        <v>0</v>
      </c>
      <c r="G78" s="553">
        <f t="shared" ref="G78:N78" si="25">SUM(G76:G77)</f>
        <v>3101.0301516697104</v>
      </c>
      <c r="H78" s="553">
        <f t="shared" si="25"/>
        <v>6544.1178393441751</v>
      </c>
      <c r="I78" s="554">
        <f t="shared" si="25"/>
        <v>0</v>
      </c>
      <c r="J78" s="553">
        <f t="shared" si="25"/>
        <v>0</v>
      </c>
      <c r="K78" s="553">
        <f t="shared" si="25"/>
        <v>0</v>
      </c>
      <c r="L78" s="553">
        <f t="shared" si="25"/>
        <v>0</v>
      </c>
      <c r="M78" s="553">
        <f t="shared" si="25"/>
        <v>0</v>
      </c>
      <c r="N78" s="555">
        <f t="shared" si="25"/>
        <v>0</v>
      </c>
      <c r="O78" s="556">
        <f>SUM(F78:N78)</f>
        <v>9645.147991013886</v>
      </c>
      <c r="P78" s="557">
        <f t="shared" si="24"/>
        <v>0</v>
      </c>
    </row>
    <row r="79" spans="1:16" hidden="1" outlineLevel="1">
      <c r="A79" s="250"/>
      <c r="B79" s="250"/>
      <c r="C79" s="453"/>
      <c r="D79" s="470" t="str">
        <f>"Total Direct Expenditure - "&amp;Assumptions!C8</f>
        <v>Total Direct Expenditure - $ Mar 2017</v>
      </c>
      <c r="E79" s="471"/>
      <c r="F79" s="552">
        <f>F78*Assumptions!$G$21</f>
        <v>0</v>
      </c>
      <c r="G79" s="553">
        <f>G78*Assumptions!$G$21</f>
        <v>3153.4911880701379</v>
      </c>
      <c r="H79" s="553">
        <f>H78*Assumptions!$G$21</f>
        <v>6654.8265997842082</v>
      </c>
      <c r="I79" s="554">
        <f>I78*Assumptions!$G$21</f>
        <v>0</v>
      </c>
      <c r="J79" s="553">
        <f>J78*Assumptions!$G$21</f>
        <v>0</v>
      </c>
      <c r="K79" s="553">
        <f>K78*Assumptions!$G$21</f>
        <v>0</v>
      </c>
      <c r="L79" s="553">
        <f>L78*Assumptions!$G$21</f>
        <v>0</v>
      </c>
      <c r="M79" s="553">
        <f>M78*Assumptions!$G$21</f>
        <v>0</v>
      </c>
      <c r="N79" s="555">
        <f>N78*Assumptions!$G$21</f>
        <v>0</v>
      </c>
      <c r="O79" s="556">
        <f>SUM(F79:N79)</f>
        <v>9808.3177878543465</v>
      </c>
      <c r="P79" s="557">
        <f t="shared" si="24"/>
        <v>0</v>
      </c>
    </row>
    <row r="80" spans="1:16" hidden="1" outlineLevel="1">
      <c r="A80" s="250"/>
      <c r="B80" s="250"/>
      <c r="C80" s="258"/>
      <c r="D80" s="354" t="s">
        <v>264</v>
      </c>
      <c r="E80" s="312"/>
      <c r="F80" s="290">
        <f>IF(F$10="Prior",F79*F56,IF(AND(F79&lt;&gt;0,SUM(E79:$F79)=0),F79/SUM($F$54:F54)*F60,IF(F79&lt;&gt;0,SUM($F$79:F79)/SUM($F$54:F54)*F60-E82,0)))</f>
        <v>0</v>
      </c>
      <c r="G80" s="290">
        <f>IF(G$10="Prior",G79*G56,IF(AND(G79&lt;&gt;0,SUM($F79:F79)=0),G79/SUM($F$54:G54)*G60,IF(G79&lt;&gt;0,SUM($F$79:G79)/SUM($F$54:G54)*G60-F82,0)))</f>
        <v>226.81545696605318</v>
      </c>
      <c r="H80" s="290">
        <f>IF(H$10="Prior",H79*H56,IF(AND(H79&lt;&gt;0,SUM($F79:G79)=0),H79/SUM($F$54:H54)*H60,IF(H79&lt;&gt;0,SUM($F$79:H79)/SUM($F$54:H54)*H60-G82,0)))</f>
        <v>481.5930220163275</v>
      </c>
      <c r="I80" s="512">
        <f>IF(I$10="Prior",I79*I56,IF(AND(I79&lt;&gt;0,SUM($F79:H79)=0),I79/SUM($F$54:I54)*I60,IF(I79&lt;&gt;0,SUM($F$79:I79)/SUM($F$54:I54)*I60-H82,0)))</f>
        <v>0</v>
      </c>
      <c r="J80" s="290">
        <f>IF(J$10="Prior",J79*J56,IF(AND(J79&lt;&gt;0,SUM($F79:I79)=0),J79/SUM($F$54:J54)*J60,IF(J79&lt;&gt;0,SUM($F$79:J79)/SUM($F$54:J54)*J60-I82,0)))</f>
        <v>0</v>
      </c>
      <c r="K80" s="290">
        <f>IF(K$10="Prior",K79*K56,IF(AND(K79&lt;&gt;0,SUM($F79:J79)=0),K79/SUM($F$54:K54)*K60,IF(K79&lt;&gt;0,SUM($F$79:K79)/SUM($F$54:K54)*K60-J82,0)))</f>
        <v>0</v>
      </c>
      <c r="L80" s="290">
        <f>IF(L$10="Prior",L79*L56,IF(AND(L79&lt;&gt;0,SUM($F79:K79)=0),L79/SUM($F$54:L54)*L60,IF(L79&lt;&gt;0,SUM($F$79:L79)/SUM($F$54:L54)*L60-K82,0)))</f>
        <v>0</v>
      </c>
      <c r="M80" s="290">
        <f>IF(M$10="Prior",M79*M56,IF(AND(M79&lt;&gt;0,SUM($F79:L79)=0),M79/SUM($F$54:M54)*M60,IF(M79&lt;&gt;0,SUM($F$79:M79)/SUM($F$54:M54)*M60-L82,0)))</f>
        <v>0</v>
      </c>
      <c r="N80" s="346">
        <f>IF(N$10="Prior",N79*N56,IF(AND(N79&lt;&gt;0,SUM($F79:M79)=0),N79/SUM($F$54:N54)*N60,IF(N79&lt;&gt;0,SUM($F$79:N79)/SUM($F$54:N54)*N60-M82,0)))</f>
        <v>0</v>
      </c>
      <c r="O80" s="550">
        <f>SUM(F80:N80)</f>
        <v>708.40847898238064</v>
      </c>
      <c r="P80" s="497">
        <f t="shared" si="24"/>
        <v>0</v>
      </c>
    </row>
    <row r="81" spans="1:17" hidden="1" outlineLevel="1">
      <c r="A81" s="250"/>
      <c r="B81" s="250"/>
      <c r="C81" s="536"/>
      <c r="D81" s="537" t="str">
        <f>"Total incl Overhead - As commissioned "&amp;Assumptions!$C$8</f>
        <v>Total incl Overhead - As commissioned $ Mar 2017</v>
      </c>
      <c r="E81" s="517"/>
      <c r="F81" s="558">
        <f>SUM(F79:F80)</f>
        <v>0</v>
      </c>
      <c r="G81" s="559">
        <f t="shared" ref="G81:P81" si="26">SUM(G79:G80)</f>
        <v>3380.3066450361912</v>
      </c>
      <c r="H81" s="559">
        <f t="shared" si="26"/>
        <v>7136.4196218005354</v>
      </c>
      <c r="I81" s="560">
        <f t="shared" si="26"/>
        <v>0</v>
      </c>
      <c r="J81" s="559">
        <f t="shared" si="26"/>
        <v>0</v>
      </c>
      <c r="K81" s="559">
        <f t="shared" si="26"/>
        <v>0</v>
      </c>
      <c r="L81" s="559">
        <f t="shared" si="26"/>
        <v>0</v>
      </c>
      <c r="M81" s="559">
        <f t="shared" si="26"/>
        <v>0</v>
      </c>
      <c r="N81" s="561">
        <f t="shared" si="26"/>
        <v>0</v>
      </c>
      <c r="O81" s="562">
        <f t="shared" si="26"/>
        <v>10516.726266836728</v>
      </c>
      <c r="P81" s="563">
        <f t="shared" si="26"/>
        <v>0</v>
      </c>
    </row>
    <row r="82" spans="1:17" hidden="1" outlineLevel="1">
      <c r="A82" s="250"/>
      <c r="B82" s="250"/>
      <c r="C82" s="250"/>
      <c r="D82" s="251" t="s">
        <v>286</v>
      </c>
      <c r="E82" s="251"/>
      <c r="F82" s="252">
        <f>F80</f>
        <v>0</v>
      </c>
      <c r="G82" s="252">
        <f t="shared" ref="G82:N82" si="27">G80+F82</f>
        <v>226.81545696605318</v>
      </c>
      <c r="H82" s="252">
        <f t="shared" si="27"/>
        <v>708.40847898238064</v>
      </c>
      <c r="I82" s="252">
        <f t="shared" si="27"/>
        <v>708.40847898238064</v>
      </c>
      <c r="J82" s="252">
        <f t="shared" si="27"/>
        <v>708.40847898238064</v>
      </c>
      <c r="K82" s="252">
        <f t="shared" si="27"/>
        <v>708.40847898238064</v>
      </c>
      <c r="L82" s="252">
        <f t="shared" si="27"/>
        <v>708.40847898238064</v>
      </c>
      <c r="M82" s="252">
        <f t="shared" si="27"/>
        <v>708.40847898238064</v>
      </c>
      <c r="N82" s="252">
        <f t="shared" si="27"/>
        <v>708.40847898238064</v>
      </c>
      <c r="O82" s="543"/>
    </row>
    <row r="83" spans="1:17" hidden="1" outlineLevel="1">
      <c r="A83" s="250"/>
      <c r="B83" s="250"/>
      <c r="C83" s="250"/>
      <c r="D83" s="251" t="s">
        <v>287</v>
      </c>
      <c r="E83" s="251"/>
      <c r="F83" s="252">
        <f>F77</f>
        <v>0</v>
      </c>
      <c r="G83" s="252">
        <f t="shared" ref="G83:N83" si="28">G77+F83</f>
        <v>5.5264856250000118</v>
      </c>
      <c r="H83" s="252">
        <f t="shared" si="28"/>
        <v>34.032430669930413</v>
      </c>
      <c r="I83" s="252">
        <f t="shared" si="28"/>
        <v>34.032430669930413</v>
      </c>
      <c r="J83" s="252">
        <f t="shared" si="28"/>
        <v>34.032430669930413</v>
      </c>
      <c r="K83" s="252">
        <f t="shared" si="28"/>
        <v>34.032430669930413</v>
      </c>
      <c r="L83" s="252">
        <f t="shared" si="28"/>
        <v>34.032430669930413</v>
      </c>
      <c r="M83" s="252">
        <f t="shared" si="28"/>
        <v>34.032430669930413</v>
      </c>
      <c r="N83" s="252">
        <f t="shared" si="28"/>
        <v>34.032430669930413</v>
      </c>
      <c r="O83" s="543"/>
    </row>
    <row r="84" spans="1:17" collapsed="1">
      <c r="A84" s="250"/>
      <c r="B84" s="250"/>
      <c r="C84" s="540" t="s">
        <v>276</v>
      </c>
    </row>
    <row r="85" spans="1:17">
      <c r="B85" s="250"/>
      <c r="C85" s="257" t="s">
        <v>23</v>
      </c>
      <c r="D85" s="353" t="s">
        <v>3</v>
      </c>
      <c r="E85" s="530"/>
      <c r="F85" s="343">
        <f t="shared" ref="F85:N94" si="29">IF($O$74=0,0,F$81/$O$81*$O$74*F17)</f>
        <v>0</v>
      </c>
      <c r="G85" s="344">
        <f t="shared" si="29"/>
        <v>0</v>
      </c>
      <c r="H85" s="344">
        <f t="shared" si="29"/>
        <v>0</v>
      </c>
      <c r="I85" s="415">
        <f t="shared" si="29"/>
        <v>0</v>
      </c>
      <c r="J85" s="380">
        <f t="shared" si="29"/>
        <v>0</v>
      </c>
      <c r="K85" s="380">
        <f t="shared" si="29"/>
        <v>0</v>
      </c>
      <c r="L85" s="380">
        <f t="shared" si="29"/>
        <v>0</v>
      </c>
      <c r="M85" s="380">
        <f t="shared" si="29"/>
        <v>0</v>
      </c>
      <c r="N85" s="345">
        <f t="shared" si="29"/>
        <v>0</v>
      </c>
      <c r="O85" s="532">
        <f>SUM(F85:N85)</f>
        <v>0</v>
      </c>
      <c r="P85" s="430">
        <f t="shared" ref="P85:P94" si="30">SUM(I85:M85)</f>
        <v>0</v>
      </c>
    </row>
    <row r="86" spans="1:17">
      <c r="C86" s="258" t="s">
        <v>24</v>
      </c>
      <c r="D86" s="350" t="s">
        <v>4</v>
      </c>
      <c r="E86" s="313"/>
      <c r="F86" s="294">
        <f t="shared" si="29"/>
        <v>0</v>
      </c>
      <c r="G86" s="290">
        <f t="shared" si="29"/>
        <v>3380.3066450361903</v>
      </c>
      <c r="H86" s="290">
        <f t="shared" si="29"/>
        <v>7136.4196218005345</v>
      </c>
      <c r="I86" s="416">
        <f t="shared" si="29"/>
        <v>0</v>
      </c>
      <c r="J86" s="381">
        <f t="shared" si="29"/>
        <v>0</v>
      </c>
      <c r="K86" s="381">
        <f t="shared" si="29"/>
        <v>0</v>
      </c>
      <c r="L86" s="381">
        <f t="shared" si="29"/>
        <v>0</v>
      </c>
      <c r="M86" s="381">
        <f t="shared" si="29"/>
        <v>0</v>
      </c>
      <c r="N86" s="346">
        <f t="shared" si="29"/>
        <v>0</v>
      </c>
      <c r="O86" s="534">
        <f t="shared" ref="O86:O94" si="31">SUM(F86:N86)</f>
        <v>10516.726266836726</v>
      </c>
      <c r="P86" s="431">
        <f t="shared" si="30"/>
        <v>0</v>
      </c>
    </row>
    <row r="87" spans="1:17">
      <c r="C87" s="258" t="s">
        <v>26</v>
      </c>
      <c r="D87" s="350" t="s">
        <v>5</v>
      </c>
      <c r="E87" s="313"/>
      <c r="F87" s="294">
        <f t="shared" si="29"/>
        <v>0</v>
      </c>
      <c r="G87" s="290">
        <f t="shared" si="29"/>
        <v>0</v>
      </c>
      <c r="H87" s="290">
        <f t="shared" si="29"/>
        <v>0</v>
      </c>
      <c r="I87" s="416">
        <f t="shared" si="29"/>
        <v>0</v>
      </c>
      <c r="J87" s="381">
        <f t="shared" si="29"/>
        <v>0</v>
      </c>
      <c r="K87" s="381">
        <f t="shared" si="29"/>
        <v>0</v>
      </c>
      <c r="L87" s="381">
        <f t="shared" si="29"/>
        <v>0</v>
      </c>
      <c r="M87" s="381">
        <f t="shared" si="29"/>
        <v>0</v>
      </c>
      <c r="N87" s="346">
        <f t="shared" si="29"/>
        <v>0</v>
      </c>
      <c r="O87" s="534">
        <f t="shared" si="31"/>
        <v>0</v>
      </c>
      <c r="P87" s="431">
        <f t="shared" si="30"/>
        <v>0</v>
      </c>
    </row>
    <row r="88" spans="1:17">
      <c r="C88" s="258"/>
      <c r="D88" s="350" t="s">
        <v>6</v>
      </c>
      <c r="E88" s="313"/>
      <c r="F88" s="294">
        <f t="shared" si="29"/>
        <v>0</v>
      </c>
      <c r="G88" s="290">
        <f t="shared" si="29"/>
        <v>0</v>
      </c>
      <c r="H88" s="290">
        <f t="shared" si="29"/>
        <v>0</v>
      </c>
      <c r="I88" s="416">
        <f t="shared" si="29"/>
        <v>0</v>
      </c>
      <c r="J88" s="381">
        <f t="shared" si="29"/>
        <v>0</v>
      </c>
      <c r="K88" s="381">
        <f t="shared" si="29"/>
        <v>0</v>
      </c>
      <c r="L88" s="381">
        <f t="shared" si="29"/>
        <v>0</v>
      </c>
      <c r="M88" s="381">
        <f t="shared" si="29"/>
        <v>0</v>
      </c>
      <c r="N88" s="346">
        <f t="shared" si="29"/>
        <v>0</v>
      </c>
      <c r="O88" s="534">
        <f t="shared" si="31"/>
        <v>0</v>
      </c>
      <c r="P88" s="431">
        <f t="shared" si="30"/>
        <v>0</v>
      </c>
    </row>
    <row r="89" spans="1:17">
      <c r="C89" s="258"/>
      <c r="D89" s="350" t="s">
        <v>7</v>
      </c>
      <c r="E89" s="313"/>
      <c r="F89" s="294">
        <f t="shared" si="29"/>
        <v>0</v>
      </c>
      <c r="G89" s="290">
        <f t="shared" si="29"/>
        <v>0</v>
      </c>
      <c r="H89" s="290">
        <f t="shared" si="29"/>
        <v>0</v>
      </c>
      <c r="I89" s="416">
        <f t="shared" si="29"/>
        <v>0</v>
      </c>
      <c r="J89" s="381">
        <f t="shared" si="29"/>
        <v>0</v>
      </c>
      <c r="K89" s="381">
        <f t="shared" si="29"/>
        <v>0</v>
      </c>
      <c r="L89" s="381">
        <f t="shared" si="29"/>
        <v>0</v>
      </c>
      <c r="M89" s="381">
        <f t="shared" si="29"/>
        <v>0</v>
      </c>
      <c r="N89" s="346">
        <f t="shared" si="29"/>
        <v>0</v>
      </c>
      <c r="O89" s="534">
        <f t="shared" si="31"/>
        <v>0</v>
      </c>
      <c r="P89" s="431">
        <f t="shared" si="30"/>
        <v>0</v>
      </c>
    </row>
    <row r="90" spans="1:17">
      <c r="C90" s="258"/>
      <c r="D90" s="350" t="s">
        <v>8</v>
      </c>
      <c r="E90" s="313"/>
      <c r="F90" s="294">
        <f t="shared" si="29"/>
        <v>0</v>
      </c>
      <c r="G90" s="290">
        <f t="shared" si="29"/>
        <v>0</v>
      </c>
      <c r="H90" s="290">
        <f t="shared" si="29"/>
        <v>0</v>
      </c>
      <c r="I90" s="416">
        <f t="shared" si="29"/>
        <v>0</v>
      </c>
      <c r="J90" s="381">
        <f t="shared" si="29"/>
        <v>0</v>
      </c>
      <c r="K90" s="381">
        <f t="shared" si="29"/>
        <v>0</v>
      </c>
      <c r="L90" s="381">
        <f t="shared" si="29"/>
        <v>0</v>
      </c>
      <c r="M90" s="381">
        <f t="shared" si="29"/>
        <v>0</v>
      </c>
      <c r="N90" s="346">
        <f t="shared" si="29"/>
        <v>0</v>
      </c>
      <c r="O90" s="534">
        <f t="shared" si="31"/>
        <v>0</v>
      </c>
      <c r="P90" s="431">
        <f t="shared" si="30"/>
        <v>0</v>
      </c>
    </row>
    <row r="91" spans="1:17">
      <c r="C91" s="258"/>
      <c r="D91" s="350" t="s">
        <v>9</v>
      </c>
      <c r="E91" s="313"/>
      <c r="F91" s="294">
        <f t="shared" si="29"/>
        <v>0</v>
      </c>
      <c r="G91" s="290">
        <f t="shared" si="29"/>
        <v>0</v>
      </c>
      <c r="H91" s="290">
        <f t="shared" si="29"/>
        <v>0</v>
      </c>
      <c r="I91" s="416">
        <f t="shared" si="29"/>
        <v>0</v>
      </c>
      <c r="J91" s="381">
        <f t="shared" si="29"/>
        <v>0</v>
      </c>
      <c r="K91" s="381">
        <f t="shared" si="29"/>
        <v>0</v>
      </c>
      <c r="L91" s="381">
        <f t="shared" si="29"/>
        <v>0</v>
      </c>
      <c r="M91" s="381">
        <f t="shared" si="29"/>
        <v>0</v>
      </c>
      <c r="N91" s="346">
        <f t="shared" si="29"/>
        <v>0</v>
      </c>
      <c r="O91" s="534">
        <f t="shared" si="31"/>
        <v>0</v>
      </c>
      <c r="P91" s="431">
        <f t="shared" si="30"/>
        <v>0</v>
      </c>
    </row>
    <row r="92" spans="1:17">
      <c r="C92" s="258"/>
      <c r="D92" s="350" t="s">
        <v>10</v>
      </c>
      <c r="E92" s="313"/>
      <c r="F92" s="294">
        <f t="shared" si="29"/>
        <v>0</v>
      </c>
      <c r="G92" s="290">
        <f t="shared" si="29"/>
        <v>0</v>
      </c>
      <c r="H92" s="290">
        <f t="shared" si="29"/>
        <v>0</v>
      </c>
      <c r="I92" s="416">
        <f t="shared" si="29"/>
        <v>0</v>
      </c>
      <c r="J92" s="381">
        <f t="shared" si="29"/>
        <v>0</v>
      </c>
      <c r="K92" s="381">
        <f t="shared" si="29"/>
        <v>0</v>
      </c>
      <c r="L92" s="381">
        <f t="shared" si="29"/>
        <v>0</v>
      </c>
      <c r="M92" s="381">
        <f t="shared" si="29"/>
        <v>0</v>
      </c>
      <c r="N92" s="346">
        <f t="shared" si="29"/>
        <v>0</v>
      </c>
      <c r="O92" s="534">
        <f t="shared" si="31"/>
        <v>0</v>
      </c>
      <c r="P92" s="431">
        <f t="shared" si="30"/>
        <v>0</v>
      </c>
    </row>
    <row r="93" spans="1:17">
      <c r="C93" s="258"/>
      <c r="D93" s="350" t="s">
        <v>11</v>
      </c>
      <c r="E93" s="313"/>
      <c r="F93" s="294">
        <f t="shared" si="29"/>
        <v>0</v>
      </c>
      <c r="G93" s="290">
        <f t="shared" si="29"/>
        <v>0</v>
      </c>
      <c r="H93" s="290">
        <f t="shared" si="29"/>
        <v>0</v>
      </c>
      <c r="I93" s="416">
        <f t="shared" si="29"/>
        <v>0</v>
      </c>
      <c r="J93" s="381">
        <f t="shared" si="29"/>
        <v>0</v>
      </c>
      <c r="K93" s="381">
        <f t="shared" si="29"/>
        <v>0</v>
      </c>
      <c r="L93" s="381">
        <f t="shared" si="29"/>
        <v>0</v>
      </c>
      <c r="M93" s="381">
        <f t="shared" si="29"/>
        <v>0</v>
      </c>
      <c r="N93" s="346">
        <f t="shared" si="29"/>
        <v>0</v>
      </c>
      <c r="O93" s="534">
        <f t="shared" si="31"/>
        <v>0</v>
      </c>
      <c r="P93" s="431">
        <f t="shared" si="30"/>
        <v>0</v>
      </c>
    </row>
    <row r="94" spans="1:17">
      <c r="C94" s="258"/>
      <c r="D94" s="350" t="s">
        <v>12</v>
      </c>
      <c r="E94" s="313"/>
      <c r="F94" s="294">
        <f t="shared" si="29"/>
        <v>0</v>
      </c>
      <c r="G94" s="290">
        <f t="shared" si="29"/>
        <v>0</v>
      </c>
      <c r="H94" s="290">
        <f t="shared" si="29"/>
        <v>0</v>
      </c>
      <c r="I94" s="416">
        <f t="shared" si="29"/>
        <v>0</v>
      </c>
      <c r="J94" s="381">
        <f t="shared" si="29"/>
        <v>0</v>
      </c>
      <c r="K94" s="381">
        <f t="shared" si="29"/>
        <v>0</v>
      </c>
      <c r="L94" s="381">
        <f t="shared" si="29"/>
        <v>0</v>
      </c>
      <c r="M94" s="381">
        <f t="shared" si="29"/>
        <v>0</v>
      </c>
      <c r="N94" s="346">
        <f t="shared" si="29"/>
        <v>0</v>
      </c>
      <c r="O94" s="534">
        <f t="shared" si="31"/>
        <v>0</v>
      </c>
      <c r="P94" s="431">
        <f t="shared" si="30"/>
        <v>0</v>
      </c>
    </row>
    <row r="95" spans="1:17">
      <c r="C95" s="536"/>
      <c r="D95" s="537" t="str">
        <f>"Total incl Overhead - As commissioned "&amp;Assumptions!$C$8</f>
        <v>Total incl Overhead - As commissioned $ Mar 2017</v>
      </c>
      <c r="E95" s="517"/>
      <c r="F95" s="292">
        <f>+SUM(F85:F94)</f>
        <v>0</v>
      </c>
      <c r="G95" s="253">
        <f t="shared" ref="G95" si="32">+SUM(G85:G94)</f>
        <v>3380.3066450361903</v>
      </c>
      <c r="H95" s="253">
        <f t="shared" ref="H95:N95" si="33">+SUM(H85:H94)</f>
        <v>7136.4196218005345</v>
      </c>
      <c r="I95" s="411">
        <f t="shared" si="33"/>
        <v>0</v>
      </c>
      <c r="J95" s="382">
        <f t="shared" si="33"/>
        <v>0</v>
      </c>
      <c r="K95" s="382">
        <f t="shared" si="33"/>
        <v>0</v>
      </c>
      <c r="L95" s="382">
        <f t="shared" si="33"/>
        <v>0</v>
      </c>
      <c r="M95" s="382">
        <f t="shared" si="33"/>
        <v>0</v>
      </c>
      <c r="N95" s="286">
        <f t="shared" si="33"/>
        <v>0</v>
      </c>
      <c r="O95" s="292">
        <f>SUM(O85:O94)</f>
        <v>10516.726266836726</v>
      </c>
      <c r="P95" s="428">
        <f>SUM(P85:P94)</f>
        <v>0</v>
      </c>
      <c r="Q95" s="564"/>
    </row>
    <row r="96" spans="1:17">
      <c r="E96" s="547" t="s">
        <v>50</v>
      </c>
      <c r="F96" s="452">
        <f>F95-F81</f>
        <v>0</v>
      </c>
      <c r="G96" s="452">
        <f t="shared" ref="G96:P96" si="34">G95-G81</f>
        <v>0</v>
      </c>
      <c r="H96" s="452">
        <f t="shared" si="34"/>
        <v>0</v>
      </c>
      <c r="I96" s="452">
        <f t="shared" si="34"/>
        <v>0</v>
      </c>
      <c r="J96" s="452">
        <f t="shared" si="34"/>
        <v>0</v>
      </c>
      <c r="K96" s="452">
        <f t="shared" si="34"/>
        <v>0</v>
      </c>
      <c r="L96" s="452">
        <f t="shared" si="34"/>
        <v>0</v>
      </c>
      <c r="M96" s="452">
        <f t="shared" si="34"/>
        <v>0</v>
      </c>
      <c r="N96" s="452">
        <f t="shared" si="34"/>
        <v>0</v>
      </c>
      <c r="O96" s="452">
        <f t="shared" si="34"/>
        <v>0</v>
      </c>
      <c r="P96" s="452">
        <f t="shared" si="34"/>
        <v>0</v>
      </c>
    </row>
    <row r="97" spans="3:16">
      <c r="C97" s="565"/>
      <c r="D97" s="251"/>
      <c r="F97" s="252"/>
      <c r="G97" s="252"/>
      <c r="H97" s="252"/>
      <c r="I97" s="252"/>
      <c r="J97" s="252"/>
      <c r="K97" s="252"/>
      <c r="L97" s="252"/>
      <c r="M97" s="252"/>
      <c r="N97" s="252"/>
      <c r="O97" s="566">
        <f>O95-O74</f>
        <v>0</v>
      </c>
      <c r="P97" s="565"/>
    </row>
    <row r="98" spans="3:16" hidden="1" outlineLevel="1">
      <c r="C98" s="236" t="s">
        <v>452</v>
      </c>
      <c r="F98" s="452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6" t="s">
        <v>451</v>
      </c>
      <c r="D99" s="236" t="s">
        <v>379</v>
      </c>
      <c r="F99" s="252"/>
      <c r="G99" s="487">
        <f>0.5*G21</f>
        <v>0</v>
      </c>
      <c r="H99" s="487">
        <f t="shared" ref="H99:N99" si="35">0.5*H21</f>
        <v>0</v>
      </c>
      <c r="I99" s="487">
        <f t="shared" si="35"/>
        <v>0</v>
      </c>
      <c r="J99" s="487">
        <f t="shared" si="35"/>
        <v>0</v>
      </c>
      <c r="K99" s="487">
        <f t="shared" si="35"/>
        <v>0</v>
      </c>
      <c r="L99" s="487">
        <f t="shared" si="35"/>
        <v>0</v>
      </c>
      <c r="M99" s="487">
        <f t="shared" si="35"/>
        <v>0</v>
      </c>
      <c r="N99" s="487">
        <f t="shared" si="35"/>
        <v>0</v>
      </c>
    </row>
    <row r="100" spans="3:16" hidden="1" outlineLevel="1">
      <c r="D100" s="236" t="s">
        <v>380</v>
      </c>
      <c r="F100" s="452"/>
      <c r="G100" s="487">
        <v>0</v>
      </c>
      <c r="H100" s="487">
        <v>0</v>
      </c>
      <c r="I100" s="487">
        <v>0</v>
      </c>
      <c r="J100" s="487">
        <v>0</v>
      </c>
      <c r="K100" s="487">
        <v>0</v>
      </c>
      <c r="L100" s="487">
        <v>0</v>
      </c>
      <c r="M100" s="487">
        <v>0</v>
      </c>
      <c r="N100" s="487">
        <v>0</v>
      </c>
    </row>
    <row r="101" spans="3:16" hidden="1" outlineLevel="1">
      <c r="D101" s="236" t="s">
        <v>381</v>
      </c>
      <c r="G101" s="487">
        <f>0.5*G21</f>
        <v>0</v>
      </c>
      <c r="H101" s="487">
        <f t="shared" ref="H101:N101" si="36">0.5*H21</f>
        <v>0</v>
      </c>
      <c r="I101" s="487">
        <f t="shared" si="36"/>
        <v>0</v>
      </c>
      <c r="J101" s="487">
        <f t="shared" si="36"/>
        <v>0</v>
      </c>
      <c r="K101" s="487">
        <f t="shared" si="36"/>
        <v>0</v>
      </c>
      <c r="L101" s="487">
        <f t="shared" si="36"/>
        <v>0</v>
      </c>
      <c r="M101" s="487">
        <f t="shared" si="36"/>
        <v>0</v>
      </c>
      <c r="N101" s="487">
        <f t="shared" si="36"/>
        <v>0</v>
      </c>
    </row>
    <row r="102" spans="3:16" hidden="1" outlineLevel="1">
      <c r="D102" s="236" t="s">
        <v>382</v>
      </c>
      <c r="F102" s="452"/>
      <c r="G102" s="487">
        <v>0</v>
      </c>
      <c r="H102" s="487">
        <v>0</v>
      </c>
      <c r="I102" s="487">
        <v>0</v>
      </c>
      <c r="J102" s="487">
        <v>0</v>
      </c>
      <c r="K102" s="487">
        <v>0</v>
      </c>
      <c r="L102" s="487">
        <v>0</v>
      </c>
      <c r="M102" s="487">
        <v>0</v>
      </c>
      <c r="N102" s="487">
        <v>0</v>
      </c>
    </row>
    <row r="103" spans="3:16" hidden="1" outlineLevel="1">
      <c r="D103" s="236" t="s">
        <v>383</v>
      </c>
      <c r="F103" s="452"/>
      <c r="G103" s="487">
        <f>G18</f>
        <v>1</v>
      </c>
      <c r="H103" s="487">
        <f t="shared" ref="H103:N105" si="37">H18</f>
        <v>1</v>
      </c>
      <c r="I103" s="487">
        <f t="shared" si="37"/>
        <v>1</v>
      </c>
      <c r="J103" s="487">
        <f t="shared" si="37"/>
        <v>1</v>
      </c>
      <c r="K103" s="487">
        <f t="shared" si="37"/>
        <v>1</v>
      </c>
      <c r="L103" s="487">
        <f t="shared" si="37"/>
        <v>1</v>
      </c>
      <c r="M103" s="487">
        <f t="shared" si="37"/>
        <v>1</v>
      </c>
      <c r="N103" s="487">
        <f t="shared" si="37"/>
        <v>1</v>
      </c>
    </row>
    <row r="104" spans="3:16" hidden="1" outlineLevel="1">
      <c r="D104" s="236" t="s">
        <v>384</v>
      </c>
      <c r="G104" s="487">
        <f>G19</f>
        <v>0</v>
      </c>
      <c r="H104" s="487">
        <f t="shared" si="37"/>
        <v>0</v>
      </c>
      <c r="I104" s="487">
        <f t="shared" si="37"/>
        <v>0</v>
      </c>
      <c r="J104" s="487">
        <f t="shared" si="37"/>
        <v>0</v>
      </c>
      <c r="K104" s="487">
        <f t="shared" si="37"/>
        <v>0</v>
      </c>
      <c r="L104" s="487">
        <f t="shared" si="37"/>
        <v>0</v>
      </c>
      <c r="M104" s="487">
        <f t="shared" si="37"/>
        <v>0</v>
      </c>
      <c r="N104" s="487">
        <f t="shared" si="37"/>
        <v>0</v>
      </c>
    </row>
    <row r="105" spans="3:16" hidden="1" outlineLevel="1">
      <c r="D105" s="236" t="s">
        <v>385</v>
      </c>
      <c r="G105" s="487">
        <f>G20</f>
        <v>0</v>
      </c>
      <c r="H105" s="487">
        <f t="shared" si="37"/>
        <v>0</v>
      </c>
      <c r="I105" s="487">
        <f t="shared" si="37"/>
        <v>0</v>
      </c>
      <c r="J105" s="487">
        <f t="shared" si="37"/>
        <v>0</v>
      </c>
      <c r="K105" s="487">
        <f t="shared" si="37"/>
        <v>0</v>
      </c>
      <c r="L105" s="487">
        <f t="shared" si="37"/>
        <v>0</v>
      </c>
      <c r="M105" s="487">
        <f t="shared" si="37"/>
        <v>0</v>
      </c>
      <c r="N105" s="487">
        <f t="shared" si="37"/>
        <v>0</v>
      </c>
    </row>
    <row r="106" spans="3:16" hidden="1" outlineLevel="1">
      <c r="D106" s="236" t="s">
        <v>386</v>
      </c>
      <c r="G106" s="487">
        <f>G17+G23</f>
        <v>0</v>
      </c>
      <c r="H106" s="487">
        <f t="shared" ref="H106:N106" si="38">H17+H23</f>
        <v>0</v>
      </c>
      <c r="I106" s="487">
        <f t="shared" si="38"/>
        <v>0</v>
      </c>
      <c r="J106" s="487">
        <f t="shared" si="38"/>
        <v>0</v>
      </c>
      <c r="K106" s="487">
        <f t="shared" si="38"/>
        <v>0</v>
      </c>
      <c r="L106" s="487">
        <f t="shared" si="38"/>
        <v>0</v>
      </c>
      <c r="M106" s="487">
        <f t="shared" si="38"/>
        <v>0</v>
      </c>
      <c r="N106" s="487">
        <f t="shared" si="38"/>
        <v>0</v>
      </c>
    </row>
    <row r="107" spans="3:16" hidden="1" outlineLevel="1">
      <c r="D107" s="236" t="s">
        <v>387</v>
      </c>
      <c r="G107" s="487">
        <f>G22</f>
        <v>0</v>
      </c>
      <c r="H107" s="487">
        <f t="shared" ref="H107:N107" si="39">H22</f>
        <v>0</v>
      </c>
      <c r="I107" s="487">
        <f t="shared" si="39"/>
        <v>0</v>
      </c>
      <c r="J107" s="487">
        <f t="shared" si="39"/>
        <v>0</v>
      </c>
      <c r="K107" s="487">
        <f t="shared" si="39"/>
        <v>0</v>
      </c>
      <c r="L107" s="487">
        <f t="shared" si="39"/>
        <v>0</v>
      </c>
      <c r="M107" s="487">
        <f t="shared" si="39"/>
        <v>0</v>
      </c>
      <c r="N107" s="487">
        <f t="shared" si="39"/>
        <v>0</v>
      </c>
    </row>
    <row r="108" spans="3:16" hidden="1" outlineLevel="1">
      <c r="D108" s="236" t="s">
        <v>16</v>
      </c>
      <c r="G108" s="487">
        <f>SUM(G99:G107)</f>
        <v>1</v>
      </c>
      <c r="H108" s="487">
        <f t="shared" ref="H108:N108" si="40">SUM(H99:H107)</f>
        <v>1</v>
      </c>
      <c r="I108" s="487">
        <f t="shared" si="40"/>
        <v>1</v>
      </c>
      <c r="J108" s="487">
        <f t="shared" si="40"/>
        <v>1</v>
      </c>
      <c r="K108" s="487">
        <f t="shared" si="40"/>
        <v>1</v>
      </c>
      <c r="L108" s="487">
        <f t="shared" si="40"/>
        <v>1</v>
      </c>
      <c r="M108" s="487">
        <f t="shared" si="40"/>
        <v>1</v>
      </c>
      <c r="N108" s="487">
        <f t="shared" si="40"/>
        <v>1</v>
      </c>
    </row>
    <row r="109" spans="3:16" hidden="1" outlineLevel="1"/>
    <row r="110" spans="3:16" hidden="1" outlineLevel="1">
      <c r="C110" s="236" t="s">
        <v>443</v>
      </c>
      <c r="D110" s="236" t="s">
        <v>445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7" t="s">
        <v>16</v>
      </c>
      <c r="P110" s="807" t="s">
        <v>453</v>
      </c>
    </row>
    <row r="111" spans="3:16" hidden="1" outlineLevel="1">
      <c r="C111" s="236" t="s">
        <v>444</v>
      </c>
      <c r="D111" s="236" t="s">
        <v>379</v>
      </c>
      <c r="G111" s="452">
        <f>G99*G$53</f>
        <v>0</v>
      </c>
      <c r="H111" s="452">
        <f t="shared" ref="H111:N111" si="41">H99*H$53</f>
        <v>0</v>
      </c>
      <c r="I111" s="452">
        <f t="shared" si="41"/>
        <v>0</v>
      </c>
      <c r="J111" s="452">
        <f t="shared" si="41"/>
        <v>0</v>
      </c>
      <c r="K111" s="452">
        <f t="shared" si="41"/>
        <v>0</v>
      </c>
      <c r="L111" s="452">
        <f t="shared" si="41"/>
        <v>0</v>
      </c>
      <c r="M111" s="452">
        <f t="shared" si="41"/>
        <v>0</v>
      </c>
      <c r="N111" s="452">
        <f t="shared" si="41"/>
        <v>0</v>
      </c>
      <c r="O111" s="452">
        <f t="shared" ref="O111:O119" si="42">SUM(F111:N111)</f>
        <v>0</v>
      </c>
      <c r="P111" s="452">
        <f t="shared" ref="P111:P119" si="43">SUM(I111:M111)</f>
        <v>0</v>
      </c>
    </row>
    <row r="112" spans="3:16" hidden="1" outlineLevel="1">
      <c r="D112" s="236" t="s">
        <v>380</v>
      </c>
      <c r="G112" s="452">
        <f t="shared" ref="G112:N119" si="44">G100*G$53</f>
        <v>0</v>
      </c>
      <c r="H112" s="452">
        <f t="shared" si="44"/>
        <v>0</v>
      </c>
      <c r="I112" s="452">
        <f t="shared" si="44"/>
        <v>0</v>
      </c>
      <c r="J112" s="452">
        <f t="shared" si="44"/>
        <v>0</v>
      </c>
      <c r="K112" s="452">
        <f t="shared" si="44"/>
        <v>0</v>
      </c>
      <c r="L112" s="452">
        <f t="shared" si="44"/>
        <v>0</v>
      </c>
      <c r="M112" s="452">
        <f t="shared" si="44"/>
        <v>0</v>
      </c>
      <c r="N112" s="452">
        <f t="shared" si="44"/>
        <v>0</v>
      </c>
      <c r="O112" s="452">
        <f t="shared" si="42"/>
        <v>0</v>
      </c>
      <c r="P112" s="452">
        <f t="shared" si="43"/>
        <v>0</v>
      </c>
    </row>
    <row r="113" spans="4:16" hidden="1" outlineLevel="1">
      <c r="D113" s="236" t="s">
        <v>381</v>
      </c>
      <c r="G113" s="452">
        <f t="shared" si="44"/>
        <v>0</v>
      </c>
      <c r="H113" s="452">
        <f t="shared" si="44"/>
        <v>0</v>
      </c>
      <c r="I113" s="452">
        <f t="shared" si="44"/>
        <v>0</v>
      </c>
      <c r="J113" s="452">
        <f t="shared" si="44"/>
        <v>0</v>
      </c>
      <c r="K113" s="452">
        <f t="shared" si="44"/>
        <v>0</v>
      </c>
      <c r="L113" s="452">
        <f t="shared" si="44"/>
        <v>0</v>
      </c>
      <c r="M113" s="452">
        <f t="shared" si="44"/>
        <v>0</v>
      </c>
      <c r="N113" s="452">
        <f t="shared" si="44"/>
        <v>0</v>
      </c>
      <c r="O113" s="452">
        <f t="shared" si="42"/>
        <v>0</v>
      </c>
      <c r="P113" s="452">
        <f t="shared" si="43"/>
        <v>0</v>
      </c>
    </row>
    <row r="114" spans="4:16" hidden="1" outlineLevel="1">
      <c r="D114" s="236" t="s">
        <v>382</v>
      </c>
      <c r="G114" s="452">
        <f t="shared" si="44"/>
        <v>0</v>
      </c>
      <c r="H114" s="452">
        <f t="shared" si="44"/>
        <v>0</v>
      </c>
      <c r="I114" s="452">
        <f t="shared" si="44"/>
        <v>0</v>
      </c>
      <c r="J114" s="452">
        <f t="shared" si="44"/>
        <v>0</v>
      </c>
      <c r="K114" s="452">
        <f t="shared" si="44"/>
        <v>0</v>
      </c>
      <c r="L114" s="452">
        <f t="shared" si="44"/>
        <v>0</v>
      </c>
      <c r="M114" s="452">
        <f t="shared" si="44"/>
        <v>0</v>
      </c>
      <c r="N114" s="452">
        <f t="shared" si="44"/>
        <v>0</v>
      </c>
      <c r="O114" s="452">
        <f t="shared" si="42"/>
        <v>0</v>
      </c>
      <c r="P114" s="452">
        <f t="shared" si="43"/>
        <v>0</v>
      </c>
    </row>
    <row r="115" spans="4:16" hidden="1" outlineLevel="1">
      <c r="D115" s="236" t="s">
        <v>383</v>
      </c>
      <c r="G115" s="452">
        <f t="shared" si="44"/>
        <v>852.3190601503768</v>
      </c>
      <c r="H115" s="452">
        <f t="shared" si="44"/>
        <v>1749.5809220173066</v>
      </c>
      <c r="I115" s="452">
        <f t="shared" si="44"/>
        <v>0</v>
      </c>
      <c r="J115" s="452">
        <f t="shared" si="44"/>
        <v>0</v>
      </c>
      <c r="K115" s="452">
        <f t="shared" si="44"/>
        <v>0</v>
      </c>
      <c r="L115" s="452">
        <f t="shared" si="44"/>
        <v>0</v>
      </c>
      <c r="M115" s="452">
        <f t="shared" si="44"/>
        <v>0</v>
      </c>
      <c r="N115" s="452">
        <f t="shared" si="44"/>
        <v>0</v>
      </c>
      <c r="O115" s="452">
        <f t="shared" si="42"/>
        <v>2601.8999821676834</v>
      </c>
      <c r="P115" s="452">
        <f t="shared" si="43"/>
        <v>0</v>
      </c>
    </row>
    <row r="116" spans="4:16" hidden="1" outlineLevel="1">
      <c r="D116" s="236" t="s">
        <v>384</v>
      </c>
      <c r="G116" s="452">
        <f t="shared" si="44"/>
        <v>0</v>
      </c>
      <c r="H116" s="452">
        <f t="shared" si="44"/>
        <v>0</v>
      </c>
      <c r="I116" s="452">
        <f t="shared" si="44"/>
        <v>0</v>
      </c>
      <c r="J116" s="452">
        <f t="shared" si="44"/>
        <v>0</v>
      </c>
      <c r="K116" s="452">
        <f t="shared" si="44"/>
        <v>0</v>
      </c>
      <c r="L116" s="452">
        <f t="shared" si="44"/>
        <v>0</v>
      </c>
      <c r="M116" s="452">
        <f t="shared" si="44"/>
        <v>0</v>
      </c>
      <c r="N116" s="452">
        <f t="shared" si="44"/>
        <v>0</v>
      </c>
      <c r="O116" s="452">
        <f t="shared" si="42"/>
        <v>0</v>
      </c>
      <c r="P116" s="452">
        <f t="shared" si="43"/>
        <v>0</v>
      </c>
    </row>
    <row r="117" spans="4:16" hidden="1" outlineLevel="1">
      <c r="D117" s="236" t="s">
        <v>385</v>
      </c>
      <c r="G117" s="452">
        <f t="shared" si="44"/>
        <v>0</v>
      </c>
      <c r="H117" s="452">
        <f t="shared" si="44"/>
        <v>0</v>
      </c>
      <c r="I117" s="452">
        <f t="shared" si="44"/>
        <v>0</v>
      </c>
      <c r="J117" s="452">
        <f t="shared" si="44"/>
        <v>0</v>
      </c>
      <c r="K117" s="452">
        <f t="shared" si="44"/>
        <v>0</v>
      </c>
      <c r="L117" s="452">
        <f t="shared" si="44"/>
        <v>0</v>
      </c>
      <c r="M117" s="452">
        <f t="shared" si="44"/>
        <v>0</v>
      </c>
      <c r="N117" s="452">
        <f t="shared" si="44"/>
        <v>0</v>
      </c>
      <c r="O117" s="452">
        <f t="shared" si="42"/>
        <v>0</v>
      </c>
      <c r="P117" s="452">
        <f t="shared" si="43"/>
        <v>0</v>
      </c>
    </row>
    <row r="118" spans="4:16" hidden="1" outlineLevel="1">
      <c r="D118" s="236" t="s">
        <v>386</v>
      </c>
      <c r="G118" s="452">
        <f t="shared" si="44"/>
        <v>0</v>
      </c>
      <c r="H118" s="452">
        <f t="shared" si="44"/>
        <v>0</v>
      </c>
      <c r="I118" s="452">
        <f t="shared" si="44"/>
        <v>0</v>
      </c>
      <c r="J118" s="452">
        <f t="shared" si="44"/>
        <v>0</v>
      </c>
      <c r="K118" s="452">
        <f t="shared" si="44"/>
        <v>0</v>
      </c>
      <c r="L118" s="452">
        <f t="shared" si="44"/>
        <v>0</v>
      </c>
      <c r="M118" s="452">
        <f t="shared" si="44"/>
        <v>0</v>
      </c>
      <c r="N118" s="452">
        <f t="shared" si="44"/>
        <v>0</v>
      </c>
      <c r="O118" s="452">
        <f t="shared" si="42"/>
        <v>0</v>
      </c>
      <c r="P118" s="452">
        <f t="shared" si="43"/>
        <v>0</v>
      </c>
    </row>
    <row r="119" spans="4:16" hidden="1" outlineLevel="1">
      <c r="D119" s="236" t="s">
        <v>387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6" t="s">
        <v>440</v>
      </c>
      <c r="G120" s="452">
        <f>SUM(G111:G119)</f>
        <v>852.3190601503768</v>
      </c>
      <c r="H120" s="452">
        <f t="shared" ref="H120:P120" si="45">SUM(H111:H119)</f>
        <v>1749.5809220173066</v>
      </c>
      <c r="I120" s="452">
        <f t="shared" si="45"/>
        <v>0</v>
      </c>
      <c r="J120" s="452">
        <f t="shared" si="45"/>
        <v>0</v>
      </c>
      <c r="K120" s="452">
        <f t="shared" si="45"/>
        <v>0</v>
      </c>
      <c r="L120" s="452">
        <f t="shared" si="45"/>
        <v>0</v>
      </c>
      <c r="M120" s="452">
        <f t="shared" si="45"/>
        <v>0</v>
      </c>
      <c r="N120" s="452">
        <f t="shared" si="45"/>
        <v>0</v>
      </c>
      <c r="O120" s="452">
        <f t="shared" si="45"/>
        <v>2601.8999821676834</v>
      </c>
      <c r="P120" s="452">
        <f t="shared" si="45"/>
        <v>0</v>
      </c>
    </row>
    <row r="121" spans="4:16" hidden="1" outlineLevel="1"/>
    <row r="122" spans="4:16" hidden="1" outlineLevel="1">
      <c r="D122" s="236" t="s">
        <v>446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453</v>
      </c>
    </row>
    <row r="123" spans="4:16" hidden="1" outlineLevel="1">
      <c r="D123" s="236" t="s">
        <v>379</v>
      </c>
      <c r="G123" s="452">
        <f>G99*G$51</f>
        <v>0</v>
      </c>
      <c r="H123" s="452">
        <f t="shared" ref="H123:N123" si="46">H99*H$51</f>
        <v>0</v>
      </c>
      <c r="I123" s="452">
        <f t="shared" si="46"/>
        <v>0</v>
      </c>
      <c r="J123" s="452">
        <f t="shared" si="46"/>
        <v>0</v>
      </c>
      <c r="K123" s="452">
        <f t="shared" si="46"/>
        <v>0</v>
      </c>
      <c r="L123" s="452">
        <f t="shared" si="46"/>
        <v>0</v>
      </c>
      <c r="M123" s="452">
        <f t="shared" si="46"/>
        <v>0</v>
      </c>
      <c r="N123" s="452">
        <f t="shared" si="46"/>
        <v>0</v>
      </c>
      <c r="O123" s="452">
        <f t="shared" ref="O123:O131" si="47">SUM(F123:N123)</f>
        <v>0</v>
      </c>
      <c r="P123" s="452">
        <f t="shared" ref="P123:P131" si="48">SUM(I123:M123)</f>
        <v>0</v>
      </c>
    </row>
    <row r="124" spans="4:16" hidden="1" outlineLevel="1">
      <c r="D124" s="236" t="s">
        <v>380</v>
      </c>
      <c r="G124" s="452">
        <f t="shared" ref="G124:N131" si="49">G100*G$51</f>
        <v>0</v>
      </c>
      <c r="H124" s="452">
        <f t="shared" si="49"/>
        <v>0</v>
      </c>
      <c r="I124" s="452">
        <f t="shared" si="49"/>
        <v>0</v>
      </c>
      <c r="J124" s="452">
        <f t="shared" si="49"/>
        <v>0</v>
      </c>
      <c r="K124" s="452">
        <f t="shared" si="49"/>
        <v>0</v>
      </c>
      <c r="L124" s="452">
        <f t="shared" si="49"/>
        <v>0</v>
      </c>
      <c r="M124" s="452">
        <f t="shared" si="49"/>
        <v>0</v>
      </c>
      <c r="N124" s="452">
        <f t="shared" si="49"/>
        <v>0</v>
      </c>
      <c r="O124" s="452">
        <f t="shared" si="47"/>
        <v>0</v>
      </c>
      <c r="P124" s="452">
        <f t="shared" si="48"/>
        <v>0</v>
      </c>
    </row>
    <row r="125" spans="4:16" hidden="1" outlineLevel="1">
      <c r="D125" s="236" t="s">
        <v>381</v>
      </c>
      <c r="G125" s="452">
        <f t="shared" si="49"/>
        <v>0</v>
      </c>
      <c r="H125" s="452">
        <f t="shared" si="49"/>
        <v>0</v>
      </c>
      <c r="I125" s="452">
        <f t="shared" si="49"/>
        <v>0</v>
      </c>
      <c r="J125" s="452">
        <f t="shared" si="49"/>
        <v>0</v>
      </c>
      <c r="K125" s="452">
        <f t="shared" si="49"/>
        <v>0</v>
      </c>
      <c r="L125" s="452">
        <f t="shared" si="49"/>
        <v>0</v>
      </c>
      <c r="M125" s="452">
        <f t="shared" si="49"/>
        <v>0</v>
      </c>
      <c r="N125" s="452">
        <f t="shared" si="49"/>
        <v>0</v>
      </c>
      <c r="O125" s="452">
        <f t="shared" si="47"/>
        <v>0</v>
      </c>
      <c r="P125" s="452">
        <f t="shared" si="48"/>
        <v>0</v>
      </c>
    </row>
    <row r="126" spans="4:16" hidden="1" outlineLevel="1">
      <c r="D126" s="236" t="s">
        <v>382</v>
      </c>
      <c r="G126" s="452">
        <f t="shared" si="49"/>
        <v>0</v>
      </c>
      <c r="H126" s="452">
        <f t="shared" si="49"/>
        <v>0</v>
      </c>
      <c r="I126" s="452">
        <f t="shared" si="49"/>
        <v>0</v>
      </c>
      <c r="J126" s="452">
        <f t="shared" si="49"/>
        <v>0</v>
      </c>
      <c r="K126" s="452">
        <f t="shared" si="49"/>
        <v>0</v>
      </c>
      <c r="L126" s="452">
        <f t="shared" si="49"/>
        <v>0</v>
      </c>
      <c r="M126" s="452">
        <f t="shared" si="49"/>
        <v>0</v>
      </c>
      <c r="N126" s="452">
        <f t="shared" si="49"/>
        <v>0</v>
      </c>
      <c r="O126" s="452">
        <f t="shared" si="47"/>
        <v>0</v>
      </c>
      <c r="P126" s="452">
        <f t="shared" si="48"/>
        <v>0</v>
      </c>
    </row>
    <row r="127" spans="4:16" hidden="1" outlineLevel="1">
      <c r="D127" s="236" t="s">
        <v>383</v>
      </c>
      <c r="G127" s="452">
        <f t="shared" si="49"/>
        <v>214.33160865719009</v>
      </c>
      <c r="H127" s="452">
        <f t="shared" si="49"/>
        <v>442.86869600493088</v>
      </c>
      <c r="I127" s="452">
        <f t="shared" si="49"/>
        <v>0</v>
      </c>
      <c r="J127" s="452">
        <f t="shared" si="49"/>
        <v>0</v>
      </c>
      <c r="K127" s="452">
        <f t="shared" si="49"/>
        <v>0</v>
      </c>
      <c r="L127" s="452">
        <f t="shared" si="49"/>
        <v>0</v>
      </c>
      <c r="M127" s="452">
        <f t="shared" si="49"/>
        <v>0</v>
      </c>
      <c r="N127" s="452">
        <f t="shared" si="49"/>
        <v>0</v>
      </c>
      <c r="O127" s="452">
        <f t="shared" si="47"/>
        <v>657.20030466212097</v>
      </c>
      <c r="P127" s="452">
        <f t="shared" si="48"/>
        <v>0</v>
      </c>
    </row>
    <row r="128" spans="4:16" hidden="1" outlineLevel="1">
      <c r="D128" s="236" t="s">
        <v>384</v>
      </c>
      <c r="G128" s="452">
        <f t="shared" si="49"/>
        <v>0</v>
      </c>
      <c r="H128" s="452">
        <f t="shared" si="49"/>
        <v>0</v>
      </c>
      <c r="I128" s="452">
        <f t="shared" si="49"/>
        <v>0</v>
      </c>
      <c r="J128" s="452">
        <f t="shared" si="49"/>
        <v>0</v>
      </c>
      <c r="K128" s="452">
        <f t="shared" si="49"/>
        <v>0</v>
      </c>
      <c r="L128" s="452">
        <f t="shared" si="49"/>
        <v>0</v>
      </c>
      <c r="M128" s="452">
        <f t="shared" si="49"/>
        <v>0</v>
      </c>
      <c r="N128" s="452">
        <f t="shared" si="49"/>
        <v>0</v>
      </c>
      <c r="O128" s="452">
        <f t="shared" si="47"/>
        <v>0</v>
      </c>
      <c r="P128" s="452">
        <f t="shared" si="48"/>
        <v>0</v>
      </c>
    </row>
    <row r="129" spans="4:16" hidden="1" outlineLevel="1">
      <c r="D129" s="236" t="s">
        <v>385</v>
      </c>
      <c r="G129" s="452">
        <f t="shared" si="49"/>
        <v>0</v>
      </c>
      <c r="H129" s="452">
        <f t="shared" si="49"/>
        <v>0</v>
      </c>
      <c r="I129" s="452">
        <f t="shared" si="49"/>
        <v>0</v>
      </c>
      <c r="J129" s="452">
        <f t="shared" si="49"/>
        <v>0</v>
      </c>
      <c r="K129" s="452">
        <f t="shared" si="49"/>
        <v>0</v>
      </c>
      <c r="L129" s="452">
        <f t="shared" si="49"/>
        <v>0</v>
      </c>
      <c r="M129" s="452">
        <f t="shared" si="49"/>
        <v>0</v>
      </c>
      <c r="N129" s="452">
        <f t="shared" si="49"/>
        <v>0</v>
      </c>
      <c r="O129" s="452">
        <f t="shared" si="47"/>
        <v>0</v>
      </c>
      <c r="P129" s="452">
        <f t="shared" si="48"/>
        <v>0</v>
      </c>
    </row>
    <row r="130" spans="4:16" hidden="1" outlineLevel="1">
      <c r="D130" s="236" t="s">
        <v>386</v>
      </c>
      <c r="G130" s="452">
        <f t="shared" si="49"/>
        <v>0</v>
      </c>
      <c r="H130" s="452">
        <f t="shared" si="49"/>
        <v>0</v>
      </c>
      <c r="I130" s="452">
        <f t="shared" si="49"/>
        <v>0</v>
      </c>
      <c r="J130" s="452">
        <f t="shared" si="49"/>
        <v>0</v>
      </c>
      <c r="K130" s="452">
        <f t="shared" si="49"/>
        <v>0</v>
      </c>
      <c r="L130" s="452">
        <f t="shared" si="49"/>
        <v>0</v>
      </c>
      <c r="M130" s="452">
        <f t="shared" si="49"/>
        <v>0</v>
      </c>
      <c r="N130" s="452">
        <f t="shared" si="49"/>
        <v>0</v>
      </c>
      <c r="O130" s="452">
        <f t="shared" si="47"/>
        <v>0</v>
      </c>
      <c r="P130" s="452">
        <f t="shared" si="48"/>
        <v>0</v>
      </c>
    </row>
    <row r="131" spans="4:16" hidden="1" outlineLevel="1">
      <c r="D131" s="236" t="s">
        <v>387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6" t="s">
        <v>441</v>
      </c>
      <c r="G132" s="452">
        <f>SUM(G123:G131)</f>
        <v>214.33160865719009</v>
      </c>
      <c r="H132" s="452">
        <f t="shared" ref="H132:P132" si="50">SUM(H123:H131)</f>
        <v>442.86869600493088</v>
      </c>
      <c r="I132" s="452">
        <f t="shared" si="50"/>
        <v>0</v>
      </c>
      <c r="J132" s="452">
        <f t="shared" si="50"/>
        <v>0</v>
      </c>
      <c r="K132" s="452">
        <f t="shared" si="50"/>
        <v>0</v>
      </c>
      <c r="L132" s="452">
        <f t="shared" si="50"/>
        <v>0</v>
      </c>
      <c r="M132" s="452">
        <f t="shared" si="50"/>
        <v>0</v>
      </c>
      <c r="N132" s="452">
        <f t="shared" si="50"/>
        <v>0</v>
      </c>
      <c r="O132" s="452">
        <f t="shared" si="50"/>
        <v>657.20030466212097</v>
      </c>
      <c r="P132" s="452">
        <f t="shared" si="50"/>
        <v>0</v>
      </c>
    </row>
    <row r="133" spans="4:16" hidden="1" outlineLevel="1"/>
    <row r="134" spans="4:16" hidden="1" outlineLevel="1">
      <c r="D134" s="236" t="s">
        <v>447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453</v>
      </c>
    </row>
    <row r="135" spans="4:16" hidden="1" outlineLevel="1">
      <c r="D135" s="236" t="s">
        <v>379</v>
      </c>
      <c r="G135" s="452">
        <f>G99*G$52</f>
        <v>0</v>
      </c>
      <c r="H135" s="452">
        <f t="shared" ref="H135:N135" si="51">H99*H$52</f>
        <v>0</v>
      </c>
      <c r="I135" s="452">
        <f t="shared" si="51"/>
        <v>0</v>
      </c>
      <c r="J135" s="452">
        <f t="shared" si="51"/>
        <v>0</v>
      </c>
      <c r="K135" s="452">
        <f t="shared" si="51"/>
        <v>0</v>
      </c>
      <c r="L135" s="452">
        <f t="shared" si="51"/>
        <v>0</v>
      </c>
      <c r="M135" s="452">
        <f t="shared" si="51"/>
        <v>0</v>
      </c>
      <c r="N135" s="452">
        <f t="shared" si="51"/>
        <v>0</v>
      </c>
      <c r="O135" s="452">
        <f t="shared" ref="O135:O143" si="52">SUM(F135:N135)</f>
        <v>0</v>
      </c>
      <c r="P135" s="452">
        <f t="shared" ref="P135:P143" si="53">SUM(I135:M135)</f>
        <v>0</v>
      </c>
    </row>
    <row r="136" spans="4:16" hidden="1" outlineLevel="1">
      <c r="D136" s="236" t="s">
        <v>380</v>
      </c>
      <c r="G136" s="452">
        <f t="shared" ref="G136:N143" si="54">G100*G$52</f>
        <v>0</v>
      </c>
      <c r="H136" s="452">
        <f t="shared" si="54"/>
        <v>0</v>
      </c>
      <c r="I136" s="452">
        <f t="shared" si="54"/>
        <v>0</v>
      </c>
      <c r="J136" s="452">
        <f t="shared" si="54"/>
        <v>0</v>
      </c>
      <c r="K136" s="452">
        <f t="shared" si="54"/>
        <v>0</v>
      </c>
      <c r="L136" s="452">
        <f t="shared" si="54"/>
        <v>0</v>
      </c>
      <c r="M136" s="452">
        <f t="shared" si="54"/>
        <v>0</v>
      </c>
      <c r="N136" s="452">
        <f t="shared" si="54"/>
        <v>0</v>
      </c>
      <c r="O136" s="452">
        <f t="shared" si="52"/>
        <v>0</v>
      </c>
      <c r="P136" s="452">
        <f t="shared" si="53"/>
        <v>0</v>
      </c>
    </row>
    <row r="137" spans="4:16" hidden="1" outlineLevel="1">
      <c r="D137" s="236" t="s">
        <v>381</v>
      </c>
      <c r="G137" s="452">
        <f t="shared" si="54"/>
        <v>0</v>
      </c>
      <c r="H137" s="452">
        <f t="shared" si="54"/>
        <v>0</v>
      </c>
      <c r="I137" s="452">
        <f t="shared" si="54"/>
        <v>0</v>
      </c>
      <c r="J137" s="452">
        <f t="shared" si="54"/>
        <v>0</v>
      </c>
      <c r="K137" s="452">
        <f t="shared" si="54"/>
        <v>0</v>
      </c>
      <c r="L137" s="452">
        <f t="shared" si="54"/>
        <v>0</v>
      </c>
      <c r="M137" s="452">
        <f t="shared" si="54"/>
        <v>0</v>
      </c>
      <c r="N137" s="452">
        <f t="shared" si="54"/>
        <v>0</v>
      </c>
      <c r="O137" s="452">
        <f t="shared" si="52"/>
        <v>0</v>
      </c>
      <c r="P137" s="452">
        <f t="shared" si="53"/>
        <v>0</v>
      </c>
    </row>
    <row r="138" spans="4:16" hidden="1" outlineLevel="1">
      <c r="D138" s="236" t="s">
        <v>382</v>
      </c>
      <c r="G138" s="452">
        <f t="shared" si="54"/>
        <v>0</v>
      </c>
      <c r="H138" s="452">
        <f t="shared" si="54"/>
        <v>0</v>
      </c>
      <c r="I138" s="452">
        <f t="shared" si="54"/>
        <v>0</v>
      </c>
      <c r="J138" s="452">
        <f t="shared" si="54"/>
        <v>0</v>
      </c>
      <c r="K138" s="452">
        <f t="shared" si="54"/>
        <v>0</v>
      </c>
      <c r="L138" s="452">
        <f t="shared" si="54"/>
        <v>0</v>
      </c>
      <c r="M138" s="452">
        <f t="shared" si="54"/>
        <v>0</v>
      </c>
      <c r="N138" s="452">
        <f t="shared" si="54"/>
        <v>0</v>
      </c>
      <c r="O138" s="452">
        <f t="shared" si="52"/>
        <v>0</v>
      </c>
      <c r="P138" s="452">
        <f t="shared" si="53"/>
        <v>0</v>
      </c>
    </row>
    <row r="139" spans="4:16" hidden="1" outlineLevel="1">
      <c r="D139" s="236" t="s">
        <v>383</v>
      </c>
      <c r="G139" s="452">
        <f t="shared" si="54"/>
        <v>1069.7669603712416</v>
      </c>
      <c r="H139" s="452">
        <f t="shared" si="54"/>
        <v>2210.4908754971707</v>
      </c>
      <c r="I139" s="452">
        <f t="shared" si="54"/>
        <v>0</v>
      </c>
      <c r="J139" s="452">
        <f t="shared" si="54"/>
        <v>0</v>
      </c>
      <c r="K139" s="452">
        <f t="shared" si="54"/>
        <v>0</v>
      </c>
      <c r="L139" s="452">
        <f t="shared" si="54"/>
        <v>0</v>
      </c>
      <c r="M139" s="452">
        <f t="shared" si="54"/>
        <v>0</v>
      </c>
      <c r="N139" s="452">
        <f t="shared" si="54"/>
        <v>0</v>
      </c>
      <c r="O139" s="452">
        <f t="shared" si="52"/>
        <v>3280.2578358684123</v>
      </c>
      <c r="P139" s="452">
        <f t="shared" si="53"/>
        <v>0</v>
      </c>
    </row>
    <row r="140" spans="4:16" hidden="1" outlineLevel="1">
      <c r="D140" s="236" t="s">
        <v>384</v>
      </c>
      <c r="G140" s="452">
        <f t="shared" si="54"/>
        <v>0</v>
      </c>
      <c r="H140" s="452">
        <f t="shared" si="54"/>
        <v>0</v>
      </c>
      <c r="I140" s="452">
        <f t="shared" si="54"/>
        <v>0</v>
      </c>
      <c r="J140" s="452">
        <f t="shared" si="54"/>
        <v>0</v>
      </c>
      <c r="K140" s="452">
        <f t="shared" si="54"/>
        <v>0</v>
      </c>
      <c r="L140" s="452">
        <f t="shared" si="54"/>
        <v>0</v>
      </c>
      <c r="M140" s="452">
        <f t="shared" si="54"/>
        <v>0</v>
      </c>
      <c r="N140" s="452">
        <f t="shared" si="54"/>
        <v>0</v>
      </c>
      <c r="O140" s="452">
        <f t="shared" si="52"/>
        <v>0</v>
      </c>
      <c r="P140" s="452">
        <f t="shared" si="53"/>
        <v>0</v>
      </c>
    </row>
    <row r="141" spans="4:16" hidden="1" outlineLevel="1">
      <c r="D141" s="236" t="s">
        <v>385</v>
      </c>
      <c r="G141" s="452">
        <f t="shared" si="54"/>
        <v>0</v>
      </c>
      <c r="H141" s="452">
        <f t="shared" si="54"/>
        <v>0</v>
      </c>
      <c r="I141" s="452">
        <f t="shared" si="54"/>
        <v>0</v>
      </c>
      <c r="J141" s="452">
        <f t="shared" si="54"/>
        <v>0</v>
      </c>
      <c r="K141" s="452">
        <f t="shared" si="54"/>
        <v>0</v>
      </c>
      <c r="L141" s="452">
        <f t="shared" si="54"/>
        <v>0</v>
      </c>
      <c r="M141" s="452">
        <f t="shared" si="54"/>
        <v>0</v>
      </c>
      <c r="N141" s="452">
        <f t="shared" si="54"/>
        <v>0</v>
      </c>
      <c r="O141" s="452">
        <f t="shared" si="52"/>
        <v>0</v>
      </c>
      <c r="P141" s="452">
        <f t="shared" si="53"/>
        <v>0</v>
      </c>
    </row>
    <row r="142" spans="4:16" hidden="1" outlineLevel="1">
      <c r="D142" s="236" t="s">
        <v>386</v>
      </c>
      <c r="G142" s="452">
        <f t="shared" si="54"/>
        <v>0</v>
      </c>
      <c r="H142" s="452">
        <f t="shared" si="54"/>
        <v>0</v>
      </c>
      <c r="I142" s="452">
        <f t="shared" si="54"/>
        <v>0</v>
      </c>
      <c r="J142" s="452">
        <f t="shared" si="54"/>
        <v>0</v>
      </c>
      <c r="K142" s="452">
        <f t="shared" si="54"/>
        <v>0</v>
      </c>
      <c r="L142" s="452">
        <f t="shared" si="54"/>
        <v>0</v>
      </c>
      <c r="M142" s="452">
        <f t="shared" si="54"/>
        <v>0</v>
      </c>
      <c r="N142" s="452">
        <f t="shared" si="54"/>
        <v>0</v>
      </c>
      <c r="O142" s="452">
        <f t="shared" si="52"/>
        <v>0</v>
      </c>
      <c r="P142" s="452">
        <f t="shared" si="53"/>
        <v>0</v>
      </c>
    </row>
    <row r="143" spans="4:16" hidden="1" outlineLevel="1">
      <c r="D143" s="236" t="s">
        <v>387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6" t="s">
        <v>442</v>
      </c>
      <c r="G144" s="452">
        <f>SUM(G135:G143)</f>
        <v>1069.7669603712416</v>
      </c>
      <c r="H144" s="452">
        <f t="shared" ref="H144:P144" si="55">SUM(H135:H143)</f>
        <v>2210.4908754971707</v>
      </c>
      <c r="I144" s="452">
        <f t="shared" si="55"/>
        <v>0</v>
      </c>
      <c r="J144" s="452">
        <f t="shared" si="55"/>
        <v>0</v>
      </c>
      <c r="K144" s="452">
        <f t="shared" si="55"/>
        <v>0</v>
      </c>
      <c r="L144" s="452">
        <f t="shared" si="55"/>
        <v>0</v>
      </c>
      <c r="M144" s="452">
        <f t="shared" si="55"/>
        <v>0</v>
      </c>
      <c r="N144" s="452">
        <f t="shared" si="55"/>
        <v>0</v>
      </c>
      <c r="O144" s="452">
        <f t="shared" si="55"/>
        <v>3280.2578358684123</v>
      </c>
      <c r="P144" s="452">
        <f t="shared" si="55"/>
        <v>0</v>
      </c>
    </row>
    <row r="145" spans="4:16" hidden="1" outlineLevel="1" collapsed="1"/>
    <row r="146" spans="4:16" hidden="1" outlineLevel="1">
      <c r="D146" s="236" t="s">
        <v>454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453</v>
      </c>
    </row>
    <row r="147" spans="4:16" hidden="1" outlineLevel="1">
      <c r="D147" s="236" t="s">
        <v>379</v>
      </c>
      <c r="G147" s="452">
        <f t="shared" ref="G147:N155" si="56">G111+G123+G135</f>
        <v>0</v>
      </c>
      <c r="H147" s="452">
        <f t="shared" si="56"/>
        <v>0</v>
      </c>
      <c r="I147" s="452">
        <f t="shared" si="56"/>
        <v>0</v>
      </c>
      <c r="J147" s="452">
        <f t="shared" si="56"/>
        <v>0</v>
      </c>
      <c r="K147" s="452">
        <f t="shared" si="56"/>
        <v>0</v>
      </c>
      <c r="L147" s="452">
        <f t="shared" si="56"/>
        <v>0</v>
      </c>
      <c r="M147" s="452">
        <f t="shared" si="56"/>
        <v>0</v>
      </c>
      <c r="N147" s="452">
        <f t="shared" si="56"/>
        <v>0</v>
      </c>
      <c r="O147" s="452">
        <f t="shared" ref="O147:O155" si="57">SUM(F147:N147)</f>
        <v>0</v>
      </c>
      <c r="P147" s="452">
        <f t="shared" ref="P147:P155" si="58">SUM(I147:M147)</f>
        <v>0</v>
      </c>
    </row>
    <row r="148" spans="4:16" hidden="1" outlineLevel="1">
      <c r="D148" s="236" t="s">
        <v>380</v>
      </c>
      <c r="G148" s="452">
        <f t="shared" si="56"/>
        <v>0</v>
      </c>
      <c r="H148" s="452">
        <f t="shared" si="56"/>
        <v>0</v>
      </c>
      <c r="I148" s="452">
        <f t="shared" si="56"/>
        <v>0</v>
      </c>
      <c r="J148" s="452">
        <f t="shared" si="56"/>
        <v>0</v>
      </c>
      <c r="K148" s="452">
        <f t="shared" si="56"/>
        <v>0</v>
      </c>
      <c r="L148" s="452">
        <f t="shared" si="56"/>
        <v>0</v>
      </c>
      <c r="M148" s="452">
        <f t="shared" si="56"/>
        <v>0</v>
      </c>
      <c r="N148" s="452">
        <f t="shared" si="56"/>
        <v>0</v>
      </c>
      <c r="O148" s="452">
        <f t="shared" si="57"/>
        <v>0</v>
      </c>
      <c r="P148" s="452">
        <f t="shared" si="58"/>
        <v>0</v>
      </c>
    </row>
    <row r="149" spans="4:16" hidden="1" outlineLevel="1">
      <c r="D149" s="236" t="s">
        <v>381</v>
      </c>
      <c r="G149" s="452">
        <f t="shared" si="56"/>
        <v>0</v>
      </c>
      <c r="H149" s="452">
        <f t="shared" si="56"/>
        <v>0</v>
      </c>
      <c r="I149" s="452">
        <f t="shared" si="56"/>
        <v>0</v>
      </c>
      <c r="J149" s="452">
        <f t="shared" si="56"/>
        <v>0</v>
      </c>
      <c r="K149" s="452">
        <f t="shared" si="56"/>
        <v>0</v>
      </c>
      <c r="L149" s="452">
        <f t="shared" si="56"/>
        <v>0</v>
      </c>
      <c r="M149" s="452">
        <f t="shared" si="56"/>
        <v>0</v>
      </c>
      <c r="N149" s="452">
        <f t="shared" si="56"/>
        <v>0</v>
      </c>
      <c r="O149" s="452">
        <f t="shared" si="57"/>
        <v>0</v>
      </c>
      <c r="P149" s="452">
        <f t="shared" si="58"/>
        <v>0</v>
      </c>
    </row>
    <row r="150" spans="4:16" hidden="1" outlineLevel="1">
      <c r="D150" s="236" t="s">
        <v>382</v>
      </c>
      <c r="G150" s="452">
        <f t="shared" si="56"/>
        <v>0</v>
      </c>
      <c r="H150" s="452">
        <f t="shared" si="56"/>
        <v>0</v>
      </c>
      <c r="I150" s="452">
        <f t="shared" si="56"/>
        <v>0</v>
      </c>
      <c r="J150" s="452">
        <f t="shared" si="56"/>
        <v>0</v>
      </c>
      <c r="K150" s="452">
        <f t="shared" si="56"/>
        <v>0</v>
      </c>
      <c r="L150" s="452">
        <f t="shared" si="56"/>
        <v>0</v>
      </c>
      <c r="M150" s="452">
        <f t="shared" si="56"/>
        <v>0</v>
      </c>
      <c r="N150" s="452">
        <f t="shared" si="56"/>
        <v>0</v>
      </c>
      <c r="O150" s="452">
        <f t="shared" si="57"/>
        <v>0</v>
      </c>
      <c r="P150" s="452">
        <f t="shared" si="58"/>
        <v>0</v>
      </c>
    </row>
    <row r="151" spans="4:16" hidden="1" outlineLevel="1">
      <c r="D151" s="236" t="s">
        <v>383</v>
      </c>
      <c r="G151" s="452">
        <f t="shared" si="56"/>
        <v>2136.4176291788085</v>
      </c>
      <c r="H151" s="452">
        <f t="shared" si="56"/>
        <v>4402.9404935194088</v>
      </c>
      <c r="I151" s="452">
        <f t="shared" si="56"/>
        <v>0</v>
      </c>
      <c r="J151" s="452">
        <f t="shared" si="56"/>
        <v>0</v>
      </c>
      <c r="K151" s="452">
        <f t="shared" si="56"/>
        <v>0</v>
      </c>
      <c r="L151" s="452">
        <f t="shared" si="56"/>
        <v>0</v>
      </c>
      <c r="M151" s="452">
        <f t="shared" si="56"/>
        <v>0</v>
      </c>
      <c r="N151" s="452">
        <f t="shared" si="56"/>
        <v>0</v>
      </c>
      <c r="O151" s="452">
        <f t="shared" si="57"/>
        <v>6539.3581226982169</v>
      </c>
      <c r="P151" s="452">
        <f t="shared" si="58"/>
        <v>0</v>
      </c>
    </row>
    <row r="152" spans="4:16" hidden="1" outlineLevel="1">
      <c r="D152" s="236" t="s">
        <v>384</v>
      </c>
      <c r="G152" s="452">
        <f t="shared" si="56"/>
        <v>0</v>
      </c>
      <c r="H152" s="452">
        <f t="shared" si="56"/>
        <v>0</v>
      </c>
      <c r="I152" s="452">
        <f t="shared" si="56"/>
        <v>0</v>
      </c>
      <c r="J152" s="452">
        <f t="shared" si="56"/>
        <v>0</v>
      </c>
      <c r="K152" s="452">
        <f t="shared" si="56"/>
        <v>0</v>
      </c>
      <c r="L152" s="452">
        <f t="shared" si="56"/>
        <v>0</v>
      </c>
      <c r="M152" s="452">
        <f t="shared" si="56"/>
        <v>0</v>
      </c>
      <c r="N152" s="452">
        <f t="shared" si="56"/>
        <v>0</v>
      </c>
      <c r="O152" s="452">
        <f t="shared" si="57"/>
        <v>0</v>
      </c>
      <c r="P152" s="452">
        <f t="shared" si="58"/>
        <v>0</v>
      </c>
    </row>
    <row r="153" spans="4:16" hidden="1" outlineLevel="1">
      <c r="D153" s="236" t="s">
        <v>385</v>
      </c>
      <c r="G153" s="452">
        <f t="shared" si="56"/>
        <v>0</v>
      </c>
      <c r="H153" s="452">
        <f t="shared" si="56"/>
        <v>0</v>
      </c>
      <c r="I153" s="452">
        <f t="shared" si="56"/>
        <v>0</v>
      </c>
      <c r="J153" s="452">
        <f t="shared" si="56"/>
        <v>0</v>
      </c>
      <c r="K153" s="452">
        <f t="shared" si="56"/>
        <v>0</v>
      </c>
      <c r="L153" s="452">
        <f t="shared" si="56"/>
        <v>0</v>
      </c>
      <c r="M153" s="452">
        <f t="shared" si="56"/>
        <v>0</v>
      </c>
      <c r="N153" s="452">
        <f t="shared" si="56"/>
        <v>0</v>
      </c>
      <c r="O153" s="452">
        <f t="shared" si="57"/>
        <v>0</v>
      </c>
      <c r="P153" s="452">
        <f t="shared" si="58"/>
        <v>0</v>
      </c>
    </row>
    <row r="154" spans="4:16" hidden="1" outlineLevel="1">
      <c r="D154" s="236" t="s">
        <v>386</v>
      </c>
      <c r="G154" s="452">
        <f t="shared" si="56"/>
        <v>0</v>
      </c>
      <c r="H154" s="452">
        <f t="shared" si="56"/>
        <v>0</v>
      </c>
      <c r="I154" s="452">
        <f t="shared" si="56"/>
        <v>0</v>
      </c>
      <c r="J154" s="452">
        <f t="shared" si="56"/>
        <v>0</v>
      </c>
      <c r="K154" s="452">
        <f t="shared" si="56"/>
        <v>0</v>
      </c>
      <c r="L154" s="452">
        <f t="shared" si="56"/>
        <v>0</v>
      </c>
      <c r="M154" s="452">
        <f t="shared" si="56"/>
        <v>0</v>
      </c>
      <c r="N154" s="452">
        <f t="shared" si="56"/>
        <v>0</v>
      </c>
      <c r="O154" s="452">
        <f t="shared" si="57"/>
        <v>0</v>
      </c>
      <c r="P154" s="452">
        <f t="shared" si="58"/>
        <v>0</v>
      </c>
    </row>
    <row r="155" spans="4:16" hidden="1" outlineLevel="1">
      <c r="D155" s="236" t="s">
        <v>387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6" t="s">
        <v>454</v>
      </c>
      <c r="G156" s="452">
        <f>SUM(G147:G155)</f>
        <v>2136.4176291788085</v>
      </c>
      <c r="H156" s="452">
        <f t="shared" ref="H156:N156" si="59">SUM(H147:H155)</f>
        <v>4402.9404935194088</v>
      </c>
      <c r="I156" s="452">
        <f t="shared" si="59"/>
        <v>0</v>
      </c>
      <c r="J156" s="452">
        <f t="shared" si="59"/>
        <v>0</v>
      </c>
      <c r="K156" s="452">
        <f t="shared" si="59"/>
        <v>0</v>
      </c>
      <c r="L156" s="452">
        <f t="shared" si="59"/>
        <v>0</v>
      </c>
      <c r="M156" s="452">
        <f t="shared" si="59"/>
        <v>0</v>
      </c>
      <c r="N156" s="452">
        <f t="shared" si="59"/>
        <v>0</v>
      </c>
      <c r="O156" s="452">
        <f t="shared" ref="O156:P156" si="60">SUM(O147:O155)</f>
        <v>6539.3581226982169</v>
      </c>
      <c r="P156" s="452">
        <f t="shared" si="60"/>
        <v>0</v>
      </c>
    </row>
    <row r="157" spans="4:16" collapsed="1"/>
  </sheetData>
  <mergeCells count="1">
    <mergeCell ref="C13:C14"/>
  </mergeCells>
  <conditionalFormatting sqref="R14">
    <cfRule type="cellIs" dxfId="87" priority="4" operator="equal">
      <formula>"Error"</formula>
    </cfRule>
  </conditionalFormatting>
  <conditionalFormatting sqref="R11">
    <cfRule type="cellIs" dxfId="86" priority="3" operator="equal">
      <formula>"Error"</formula>
    </cfRule>
  </conditionalFormatting>
  <conditionalFormatting sqref="R54">
    <cfRule type="cellIs" dxfId="8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I8" sqref="I8"/>
    </sheetView>
  </sheetViews>
  <sheetFormatPr defaultRowHeight="15" outlineLevelRow="1"/>
  <cols>
    <col min="1" max="1" width="4" style="236" customWidth="1"/>
    <col min="2" max="2" width="6.5703125" style="236" customWidth="1"/>
    <col min="3" max="3" width="26.42578125" style="236" customWidth="1"/>
    <col min="4" max="4" width="25.5703125" style="236" customWidth="1"/>
    <col min="5" max="5" width="21.42578125" style="236" customWidth="1"/>
    <col min="6" max="6" width="14.7109375" style="236" customWidth="1"/>
    <col min="7" max="9" width="12.140625" style="236" customWidth="1"/>
    <col min="10" max="10" width="11.28515625" style="236" customWidth="1"/>
    <col min="11" max="11" width="12.7109375" style="236" customWidth="1"/>
    <col min="12" max="14" width="11.28515625" style="236" customWidth="1"/>
    <col min="15" max="15" width="12.28515625" style="236" customWidth="1"/>
    <col min="16" max="16" width="12.5703125" style="236" customWidth="1"/>
    <col min="17" max="19" width="9.140625" style="236"/>
    <col min="20" max="20" width="11.85546875" style="236" customWidth="1"/>
    <col min="21" max="16384" width="9.140625" style="236"/>
  </cols>
  <sheetData>
    <row r="1" spans="1:21">
      <c r="B1" s="574" t="s">
        <v>294</v>
      </c>
      <c r="C1" s="484" t="s">
        <v>290</v>
      </c>
    </row>
    <row r="2" spans="1:21">
      <c r="A2" s="250"/>
      <c r="B2" s="250"/>
      <c r="C2" s="572" t="s">
        <v>293</v>
      </c>
    </row>
    <row r="3" spans="1:21" ht="18.75">
      <c r="A3" s="250"/>
      <c r="B3" s="250"/>
      <c r="D3" s="339">
        <f>Project_Inputs!B23</f>
        <v>0</v>
      </c>
      <c r="E3" s="248"/>
      <c r="F3" s="249" t="s">
        <v>63</v>
      </c>
      <c r="G3" s="249">
        <f>Project_Inputs!F23</f>
        <v>0</v>
      </c>
      <c r="H3" s="248"/>
    </row>
    <row r="4" spans="1:21" ht="18.75">
      <c r="A4" s="250"/>
      <c r="B4" s="250"/>
      <c r="C4" s="485" t="s">
        <v>15</v>
      </c>
      <c r="D4" s="339" t="str">
        <f>Project_Inputs!D23</f>
        <v>Other station transformer replacement</v>
      </c>
      <c r="E4" s="486"/>
      <c r="F4" s="486"/>
      <c r="G4" s="486"/>
    </row>
    <row r="5" spans="1:21">
      <c r="A5" s="250"/>
      <c r="B5" s="250"/>
      <c r="D5" s="248"/>
    </row>
    <row r="6" spans="1:21">
      <c r="A6" s="250"/>
      <c r="B6" s="250"/>
      <c r="C6" s="236" t="s">
        <v>20</v>
      </c>
      <c r="D6" s="338" t="str">
        <f>Project_Inputs!H23</f>
        <v>Network</v>
      </c>
      <c r="E6" s="486"/>
      <c r="F6" s="10"/>
      <c r="G6" s="9" t="s">
        <v>269</v>
      </c>
      <c r="H6" s="248"/>
      <c r="I6" s="487"/>
      <c r="J6" s="487"/>
      <c r="K6" s="487"/>
      <c r="L6" s="487"/>
      <c r="M6" s="487"/>
      <c r="N6" s="487"/>
    </row>
    <row r="7" spans="1:21">
      <c r="A7" s="250"/>
      <c r="B7" s="250"/>
      <c r="C7" s="236" t="s">
        <v>21</v>
      </c>
      <c r="D7" s="338" t="str">
        <f>Project_Inputs!I23</f>
        <v>Replacement - Major Station</v>
      </c>
      <c r="E7" s="486"/>
      <c r="F7" s="486"/>
      <c r="G7" s="486"/>
      <c r="I7" s="487"/>
      <c r="J7" s="487"/>
      <c r="K7" s="487"/>
      <c r="L7" s="487"/>
      <c r="M7" s="487"/>
      <c r="N7" s="487"/>
    </row>
    <row r="8" spans="1:21">
      <c r="A8" s="250"/>
      <c r="B8" s="250"/>
      <c r="C8" s="236" t="s">
        <v>13</v>
      </c>
      <c r="D8" s="338" t="s">
        <v>14</v>
      </c>
      <c r="E8" s="486"/>
      <c r="F8" s="486"/>
      <c r="G8" s="486"/>
      <c r="I8" s="488"/>
      <c r="J8" s="488"/>
      <c r="K8" s="488"/>
      <c r="L8" s="488"/>
      <c r="M8" s="487"/>
      <c r="N8" s="487"/>
    </row>
    <row r="9" spans="1:21">
      <c r="A9" s="250"/>
      <c r="B9" s="250"/>
      <c r="C9" s="236" t="s">
        <v>278</v>
      </c>
      <c r="D9" s="338" t="str">
        <f>Project_Inputs!J23</f>
        <v>Repex_OHD</v>
      </c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489" t="s">
        <v>265</v>
      </c>
      <c r="P9" s="490" t="s">
        <v>231</v>
      </c>
    </row>
    <row r="10" spans="1:21">
      <c r="A10" s="250"/>
      <c r="B10" s="250"/>
      <c r="E10" s="491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492" t="s">
        <v>16</v>
      </c>
      <c r="P10" s="493" t="s">
        <v>16</v>
      </c>
      <c r="R10" s="495" t="s">
        <v>50</v>
      </c>
      <c r="T10" s="495"/>
      <c r="U10" s="250"/>
    </row>
    <row r="11" spans="1:21">
      <c r="A11" s="250"/>
      <c r="B11" s="250"/>
      <c r="C11" s="257" t="s">
        <v>22</v>
      </c>
      <c r="D11" s="353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9613.3376854882408</v>
      </c>
      <c r="G11" s="319">
        <f>IF(G$10="Prior",SUMIFS(Project_Inputs!$W$5:$W$50,Project_Inputs!$D$5:$D$50,$D$4),SUMIFS(Project_Inputs!M$5:M$50,Project_Inputs!$D$5:$D$50,$D$4))</f>
        <v>887.55</v>
      </c>
      <c r="H11" s="389">
        <f>IF(H$10="Prior",SUMIFS(Project_Inputs!$W$5:$W$50,Project_Inputs!$D$5:$D$50,$D$4),SUMIFS(Project_Inputs!N$5:N$50,Project_Inputs!$D$5:$D$50,$D$4))</f>
        <v>881.54771073163431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496">
        <f>SUM(F11:N11)</f>
        <v>11382.435396219875</v>
      </c>
      <c r="P11" s="497">
        <f t="shared" ref="P11" si="0">SUM(I11:M11)</f>
        <v>0</v>
      </c>
      <c r="R11" s="608" t="str">
        <f>IF(O11=Project_Inputs!V23,"ok","error")</f>
        <v>ok</v>
      </c>
      <c r="T11" s="250"/>
      <c r="U11" s="250"/>
    </row>
    <row r="12" spans="1:21" ht="15" hidden="1" customHeight="1">
      <c r="A12" s="250"/>
      <c r="B12" s="250"/>
      <c r="C12" s="482"/>
      <c r="D12" s="350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496"/>
      <c r="P12" s="497"/>
    </row>
    <row r="13" spans="1:21">
      <c r="A13" s="250"/>
      <c r="B13" s="250"/>
      <c r="C13" s="1006" t="s">
        <v>284</v>
      </c>
      <c r="D13" s="350" t="s">
        <v>65</v>
      </c>
      <c r="E13" s="313"/>
      <c r="F13" s="336" t="s">
        <v>132</v>
      </c>
      <c r="G13" s="10" t="s">
        <v>132</v>
      </c>
      <c r="H13" s="391" t="s">
        <v>132</v>
      </c>
      <c r="I13" s="401"/>
      <c r="J13" s="10"/>
      <c r="K13" s="10"/>
      <c r="L13" s="10"/>
      <c r="M13" s="10"/>
      <c r="N13" s="337"/>
      <c r="O13" s="498"/>
      <c r="P13" s="258"/>
    </row>
    <row r="14" spans="1:21">
      <c r="A14" s="250"/>
      <c r="B14" s="250"/>
      <c r="C14" s="1006"/>
      <c r="D14" s="350" t="str">
        <f>"Direct Expenditure (As Commissioned) - "&amp;Assumptions!C7</f>
        <v>Direct Expenditure (As Commissioned) - $ 2015/16</v>
      </c>
      <c r="E14" s="313"/>
      <c r="F14" s="446">
        <f>IF($G$3="Yes",SUMIFS(Project_Inputs!AJ$5:AJ$50,Project_Inputs!$D$5:$D$50,$D$4),IF(AND(F$13="X",F$10="Prior"),F11,IF(F$13="X",SUM($F11:F11)-SUM(E14:$F14),0)))</f>
        <v>9613.3376854882408</v>
      </c>
      <c r="G14" s="447">
        <f>IF($G$3="Yes",SUMIFS(Project_Inputs!AK$5:AK$50,Project_Inputs!$D$5:$D$50,$D$4),IF(AND(G$13="X",G$10="Prior"),G11,IF(G$13="X",SUM($F11:G11)-SUM(F14:$F14),0)))</f>
        <v>887.54999999999927</v>
      </c>
      <c r="H14" s="447">
        <f>IF($G$3="Yes",SUMIFS(Project_Inputs!AL$5:AL$50,Project_Inputs!$D$5:$D$50,$D$4),IF(AND(H$13="X",H$10="Prior"),H11,IF(H$13="X",SUM($F11:H11)-SUM($F14:G14),0)))</f>
        <v>881.54771073163465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99">
        <f>SUM(F14:N14)</f>
        <v>11382.435396219875</v>
      </c>
      <c r="P14" s="500">
        <f>SUM(I14:M14)</f>
        <v>0</v>
      </c>
      <c r="R14" s="607" t="str">
        <f>IF(AND(O$11&lt;&gt;0,O$14=0),"Error","ok")</f>
        <v>ok</v>
      </c>
    </row>
    <row r="15" spans="1:21">
      <c r="A15" s="250"/>
      <c r="B15" s="250"/>
      <c r="C15" s="259"/>
      <c r="D15" s="354"/>
      <c r="E15" s="501"/>
      <c r="F15" s="327"/>
      <c r="G15" s="328"/>
      <c r="H15" s="328"/>
      <c r="I15" s="402"/>
      <c r="J15" s="328"/>
      <c r="K15" s="328"/>
      <c r="L15" s="328"/>
      <c r="M15" s="328"/>
      <c r="N15" s="329"/>
      <c r="O15" s="502"/>
      <c r="P15" s="503"/>
    </row>
    <row r="16" spans="1:21">
      <c r="A16" s="250"/>
      <c r="B16" s="250"/>
      <c r="C16" s="258"/>
      <c r="D16" s="504"/>
      <c r="E16" s="313"/>
      <c r="F16" s="325"/>
      <c r="G16" s="326"/>
      <c r="H16" s="330"/>
      <c r="I16" s="403"/>
      <c r="J16" s="330"/>
      <c r="K16" s="330"/>
      <c r="L16" s="330"/>
      <c r="M16" s="330"/>
      <c r="N16" s="331"/>
      <c r="O16" s="505"/>
      <c r="P16" s="258"/>
    </row>
    <row r="17" spans="1:27">
      <c r="A17" s="250"/>
      <c r="B17" s="250"/>
      <c r="C17" s="258" t="s">
        <v>2</v>
      </c>
      <c r="D17" s="350" t="s">
        <v>3</v>
      </c>
      <c r="E17" s="506"/>
      <c r="F17" s="340"/>
      <c r="G17" s="341"/>
      <c r="H17" s="392"/>
      <c r="I17" s="404"/>
      <c r="J17" s="341"/>
      <c r="K17" s="341"/>
      <c r="L17" s="341"/>
      <c r="M17" s="341"/>
      <c r="N17" s="342"/>
      <c r="O17" s="505"/>
      <c r="P17" s="258"/>
    </row>
    <row r="18" spans="1:27">
      <c r="A18" s="250"/>
      <c r="B18" s="250"/>
      <c r="C18" s="258"/>
      <c r="D18" s="350" t="s">
        <v>4</v>
      </c>
      <c r="E18" s="506"/>
      <c r="F18" s="340"/>
      <c r="G18" s="341"/>
      <c r="H18" s="392"/>
      <c r="I18" s="404"/>
      <c r="J18" s="341"/>
      <c r="K18" s="341"/>
      <c r="L18" s="341"/>
      <c r="M18" s="341"/>
      <c r="N18" s="342"/>
      <c r="O18" s="505"/>
      <c r="P18" s="258"/>
    </row>
    <row r="19" spans="1:27">
      <c r="A19" s="250"/>
      <c r="B19" s="250"/>
      <c r="C19" s="258"/>
      <c r="D19" s="350" t="s">
        <v>5</v>
      </c>
      <c r="E19" s="506"/>
      <c r="F19" s="340">
        <v>1</v>
      </c>
      <c r="G19" s="341">
        <v>1</v>
      </c>
      <c r="H19" s="392">
        <v>1</v>
      </c>
      <c r="I19" s="404">
        <v>1</v>
      </c>
      <c r="J19" s="341">
        <v>1</v>
      </c>
      <c r="K19" s="341">
        <v>1</v>
      </c>
      <c r="L19" s="341">
        <v>1</v>
      </c>
      <c r="M19" s="341">
        <v>1</v>
      </c>
      <c r="N19" s="342">
        <v>1</v>
      </c>
      <c r="O19" s="505"/>
      <c r="P19" s="258"/>
    </row>
    <row r="20" spans="1:27">
      <c r="A20" s="250"/>
      <c r="B20" s="250"/>
      <c r="C20" s="258"/>
      <c r="D20" s="350" t="s">
        <v>6</v>
      </c>
      <c r="E20" s="506"/>
      <c r="F20" s="340"/>
      <c r="G20" s="341"/>
      <c r="H20" s="392"/>
      <c r="I20" s="404"/>
      <c r="J20" s="341"/>
      <c r="K20" s="341"/>
      <c r="L20" s="341"/>
      <c r="M20" s="341"/>
      <c r="N20" s="342"/>
      <c r="O20" s="505"/>
      <c r="P20" s="258"/>
    </row>
    <row r="21" spans="1:27">
      <c r="A21" s="250"/>
      <c r="B21" s="250"/>
      <c r="C21" s="258"/>
      <c r="D21" s="350" t="s">
        <v>7</v>
      </c>
      <c r="E21" s="506"/>
      <c r="F21" s="340"/>
      <c r="G21" s="341"/>
      <c r="H21" s="392"/>
      <c r="I21" s="404"/>
      <c r="J21" s="341"/>
      <c r="K21" s="341"/>
      <c r="L21" s="341"/>
      <c r="M21" s="341"/>
      <c r="N21" s="342"/>
      <c r="O21" s="505"/>
      <c r="P21" s="258"/>
      <c r="U21" s="507"/>
      <c r="V21" s="507"/>
      <c r="W21" s="507"/>
      <c r="X21" s="507"/>
      <c r="Y21" s="507"/>
      <c r="Z21" s="507"/>
      <c r="AA21" s="507"/>
    </row>
    <row r="22" spans="1:27">
      <c r="A22" s="250"/>
      <c r="B22" s="250"/>
      <c r="C22" s="258"/>
      <c r="D22" s="350" t="s">
        <v>8</v>
      </c>
      <c r="E22" s="506"/>
      <c r="F22" s="340"/>
      <c r="G22" s="341"/>
      <c r="H22" s="392"/>
      <c r="I22" s="404"/>
      <c r="J22" s="341"/>
      <c r="K22" s="341"/>
      <c r="L22" s="341"/>
      <c r="M22" s="341"/>
      <c r="N22" s="342"/>
      <c r="O22" s="505"/>
      <c r="P22" s="258"/>
    </row>
    <row r="23" spans="1:27">
      <c r="A23" s="250"/>
      <c r="B23" s="250"/>
      <c r="C23" s="258"/>
      <c r="D23" s="350" t="s">
        <v>9</v>
      </c>
      <c r="E23" s="506"/>
      <c r="F23" s="340"/>
      <c r="G23" s="341"/>
      <c r="H23" s="392"/>
      <c r="I23" s="404"/>
      <c r="J23" s="341"/>
      <c r="K23" s="341"/>
      <c r="L23" s="341"/>
      <c r="M23" s="341"/>
      <c r="N23" s="342"/>
      <c r="O23" s="505"/>
      <c r="P23" s="258"/>
    </row>
    <row r="24" spans="1:27">
      <c r="A24" s="250"/>
      <c r="B24" s="250"/>
      <c r="C24" s="258"/>
      <c r="D24" s="350" t="s">
        <v>10</v>
      </c>
      <c r="E24" s="506"/>
      <c r="F24" s="340"/>
      <c r="G24" s="341"/>
      <c r="H24" s="392"/>
      <c r="I24" s="404"/>
      <c r="J24" s="341"/>
      <c r="K24" s="341"/>
      <c r="L24" s="341"/>
      <c r="M24" s="341"/>
      <c r="N24" s="342"/>
      <c r="O24" s="505"/>
      <c r="P24" s="258"/>
    </row>
    <row r="25" spans="1:27">
      <c r="A25" s="250"/>
      <c r="B25" s="250"/>
      <c r="C25" s="258"/>
      <c r="D25" s="350" t="s">
        <v>11</v>
      </c>
      <c r="E25" s="506"/>
      <c r="F25" s="340"/>
      <c r="G25" s="341"/>
      <c r="H25" s="392"/>
      <c r="I25" s="404"/>
      <c r="J25" s="341"/>
      <c r="K25" s="341"/>
      <c r="L25" s="341"/>
      <c r="M25" s="341"/>
      <c r="N25" s="342"/>
      <c r="O25" s="505"/>
      <c r="P25" s="258"/>
      <c r="T25" s="507"/>
    </row>
    <row r="26" spans="1:27">
      <c r="A26" s="250"/>
      <c r="B26" s="250"/>
      <c r="C26" s="258"/>
      <c r="D26" s="350" t="s">
        <v>12</v>
      </c>
      <c r="E26" s="506"/>
      <c r="F26" s="340"/>
      <c r="G26" s="341"/>
      <c r="H26" s="392"/>
      <c r="I26" s="404"/>
      <c r="J26" s="341"/>
      <c r="K26" s="341"/>
      <c r="L26" s="341"/>
      <c r="M26" s="341"/>
      <c r="N26" s="342"/>
      <c r="O26" s="505"/>
      <c r="P26" s="258"/>
      <c r="T26" s="507"/>
    </row>
    <row r="27" spans="1:27">
      <c r="A27" s="250"/>
      <c r="B27" s="250"/>
      <c r="C27" s="259"/>
      <c r="D27" s="464"/>
      <c r="E27" s="508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509"/>
      <c r="P27" s="259"/>
      <c r="T27" s="507"/>
    </row>
    <row r="28" spans="1:27">
      <c r="A28" s="250"/>
      <c r="B28" s="250"/>
      <c r="C28" s="257"/>
      <c r="D28" s="302"/>
      <c r="E28" s="510"/>
      <c r="F28" s="333"/>
      <c r="G28" s="334"/>
      <c r="H28" s="394"/>
      <c r="I28" s="406"/>
      <c r="J28" s="334"/>
      <c r="K28" s="334"/>
      <c r="L28" s="334"/>
      <c r="M28" s="334"/>
      <c r="N28" s="335"/>
      <c r="O28" s="505"/>
      <c r="P28" s="258"/>
      <c r="T28" s="507"/>
    </row>
    <row r="29" spans="1:27">
      <c r="A29" s="250"/>
      <c r="B29" s="250"/>
      <c r="C29" s="258" t="s">
        <v>58</v>
      </c>
      <c r="D29" s="350" t="s">
        <v>0</v>
      </c>
      <c r="E29" s="506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505"/>
      <c r="P29" s="258"/>
      <c r="T29" s="507"/>
    </row>
    <row r="30" spans="1:27">
      <c r="A30" s="250"/>
      <c r="B30" s="250"/>
      <c r="C30" s="258"/>
      <c r="D30" s="350" t="s">
        <v>1</v>
      </c>
      <c r="E30" s="506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505"/>
      <c r="P30" s="258"/>
      <c r="T30" s="507"/>
    </row>
    <row r="31" spans="1:27">
      <c r="A31" s="250"/>
      <c r="B31" s="250"/>
      <c r="C31" s="258"/>
      <c r="D31" s="350" t="s">
        <v>57</v>
      </c>
      <c r="E31" s="506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1"/>
      <c r="P31" s="258"/>
      <c r="T31" s="507"/>
    </row>
    <row r="32" spans="1:27">
      <c r="A32" s="250"/>
      <c r="B32" s="250"/>
      <c r="C32" s="259"/>
      <c r="D32" s="464"/>
      <c r="E32" s="508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5"/>
      <c r="P32" s="259"/>
    </row>
    <row r="33" spans="1:21">
      <c r="A33" s="250"/>
      <c r="B33" s="250"/>
      <c r="C33" s="258" t="s">
        <v>59</v>
      </c>
      <c r="D33" s="271"/>
      <c r="E33" s="313"/>
      <c r="F33" s="511"/>
      <c r="G33" s="250"/>
      <c r="H33" s="250"/>
      <c r="I33" s="512"/>
      <c r="J33" s="290"/>
      <c r="K33" s="290"/>
      <c r="L33" s="290"/>
      <c r="M33" s="290"/>
      <c r="N33" s="346"/>
      <c r="O33" s="511"/>
      <c r="P33" s="258"/>
      <c r="Q33" s="250"/>
      <c r="R33" s="250"/>
      <c r="S33" s="250"/>
      <c r="T33" s="250"/>
      <c r="U33" s="250"/>
    </row>
    <row r="34" spans="1:21">
      <c r="A34" s="250"/>
      <c r="B34" s="250"/>
      <c r="C34" s="258" t="s">
        <v>266</v>
      </c>
      <c r="D34" s="350" t="s">
        <v>3</v>
      </c>
      <c r="E34" s="313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512">
        <f>IF(I$10="Prior",0,(I$11*I$31*I17)*(Assumptions!I54-1))</f>
        <v>0</v>
      </c>
      <c r="J34" s="290">
        <f>IF(J$10="Prior",0,(J$11*J$31*J17)*(Assumptions!J54-1))</f>
        <v>0</v>
      </c>
      <c r="K34" s="290">
        <f>IF(K$10="Prior",0,(K$11*K$31*K17)*(Assumptions!K54-1))</f>
        <v>0</v>
      </c>
      <c r="L34" s="290">
        <f>IF(L$10="Prior",0,(L$11*L$31*L17)*(Assumptions!L54-1))</f>
        <v>0</v>
      </c>
      <c r="M34" s="290">
        <f>IF(M$10="Prior",0,(M$11*M$31*M17)*(Assumptions!M54-1))</f>
        <v>0</v>
      </c>
      <c r="N34" s="346">
        <f>IF(N$10="Prior",0,(N$11*N$31*N17)*(Assumptions!N54-1))</f>
        <v>0</v>
      </c>
      <c r="O34" s="513">
        <f t="shared" ref="O34:O43" si="3">SUM(F34:N34)</f>
        <v>0</v>
      </c>
      <c r="P34" s="514">
        <f t="shared" ref="P34:P43" si="4">SUM(I34:M34)</f>
        <v>0</v>
      </c>
      <c r="Q34" s="250"/>
      <c r="R34" s="250"/>
      <c r="S34" s="250"/>
      <c r="T34" s="250"/>
      <c r="U34" s="250"/>
    </row>
    <row r="35" spans="1:21">
      <c r="A35" s="250"/>
      <c r="B35" s="250"/>
      <c r="C35" s="258"/>
      <c r="D35" s="350" t="s">
        <v>4</v>
      </c>
      <c r="E35" s="313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512">
        <f>IF(I$10="Prior",0,(I$11*I$31*I18)*(Assumptions!I55-1))</f>
        <v>0</v>
      </c>
      <c r="J35" s="290">
        <f>IF(J$10="Prior",0,(J$11*J$31*J18)*(Assumptions!J55-1))</f>
        <v>0</v>
      </c>
      <c r="K35" s="290">
        <f>IF(K$10="Prior",0,(K$11*K$31*K18)*(Assumptions!K55-1))</f>
        <v>0</v>
      </c>
      <c r="L35" s="290">
        <f>IF(L$10="Prior",0,(L$11*L$31*L18)*(Assumptions!L55-1))</f>
        <v>0</v>
      </c>
      <c r="M35" s="290">
        <f>IF(M$10="Prior",0,(M$11*M$31*M18)*(Assumptions!M55-1))</f>
        <v>0</v>
      </c>
      <c r="N35" s="346">
        <f>IF(N$10="Prior",0,(N$11*N$31*N18)*(Assumptions!N55-1))</f>
        <v>0</v>
      </c>
      <c r="O35" s="513">
        <f t="shared" si="3"/>
        <v>0</v>
      </c>
      <c r="P35" s="514">
        <f t="shared" si="4"/>
        <v>0</v>
      </c>
      <c r="Q35" s="515"/>
      <c r="R35" s="515"/>
      <c r="S35" s="515"/>
      <c r="T35" s="515"/>
    </row>
    <row r="36" spans="1:21">
      <c r="A36" s="250"/>
      <c r="B36" s="250"/>
      <c r="C36" s="258"/>
      <c r="D36" s="350" t="s">
        <v>5</v>
      </c>
      <c r="E36" s="313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512">
        <f>IF(I$10="Prior",0,(I$11*I$31*I19)*(Assumptions!I56-1))</f>
        <v>0</v>
      </c>
      <c r="J36" s="290">
        <f>IF(J$10="Prior",0,(J$11*J$31*J19)*(Assumptions!J56-1))</f>
        <v>0</v>
      </c>
      <c r="K36" s="290">
        <f>IF(K$10="Prior",0,(K$11*K$31*K19)*(Assumptions!K56-1))</f>
        <v>0</v>
      </c>
      <c r="L36" s="290">
        <f>IF(L$10="Prior",0,(L$11*L$31*L19)*(Assumptions!L56-1))</f>
        <v>0</v>
      </c>
      <c r="M36" s="290">
        <f>IF(M$10="Prior",0,(M$11*M$31*M19)*(Assumptions!M56-1))</f>
        <v>0</v>
      </c>
      <c r="N36" s="346">
        <f>IF(N$10="Prior",0,(N$11*N$31*N19)*(Assumptions!N56-1))</f>
        <v>0</v>
      </c>
      <c r="O36" s="513">
        <f t="shared" si="3"/>
        <v>0</v>
      </c>
      <c r="P36" s="514">
        <f t="shared" si="4"/>
        <v>0</v>
      </c>
    </row>
    <row r="37" spans="1:21">
      <c r="A37" s="250"/>
      <c r="B37" s="250"/>
      <c r="C37" s="258"/>
      <c r="D37" s="350" t="s">
        <v>6</v>
      </c>
      <c r="E37" s="313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512">
        <f>IF(I$10="Prior",0,(I$11*I$31*I20)*(Assumptions!I57-1))</f>
        <v>0</v>
      </c>
      <c r="J37" s="290">
        <f>IF(J$10="Prior",0,(J$11*J$31*J20)*(Assumptions!J57-1))</f>
        <v>0</v>
      </c>
      <c r="K37" s="290">
        <f>IF(K$10="Prior",0,(K$11*K$31*K20)*(Assumptions!K57-1))</f>
        <v>0</v>
      </c>
      <c r="L37" s="290">
        <f>IF(L$10="Prior",0,(L$11*L$31*L20)*(Assumptions!L57-1))</f>
        <v>0</v>
      </c>
      <c r="M37" s="290">
        <f>IF(M$10="Prior",0,(M$11*M$31*M20)*(Assumptions!M57-1))</f>
        <v>0</v>
      </c>
      <c r="N37" s="346">
        <f>IF(N$10="Prior",0,(N$11*N$31*N20)*(Assumptions!N57-1))</f>
        <v>0</v>
      </c>
      <c r="O37" s="513">
        <f t="shared" si="3"/>
        <v>0</v>
      </c>
      <c r="P37" s="514">
        <f t="shared" si="4"/>
        <v>0</v>
      </c>
    </row>
    <row r="38" spans="1:21">
      <c r="A38" s="250"/>
      <c r="B38" s="250"/>
      <c r="C38" s="258"/>
      <c r="D38" s="350" t="s">
        <v>7</v>
      </c>
      <c r="E38" s="313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512">
        <f>IF(I$10="Prior",0,(I$11*I$31*I21)*(Assumptions!I58-1))</f>
        <v>0</v>
      </c>
      <c r="J38" s="290">
        <f>IF(J$10="Prior",0,(J$11*J$31*J21)*(Assumptions!J58-1))</f>
        <v>0</v>
      </c>
      <c r="K38" s="290">
        <f>IF(K$10="Prior",0,(K$11*K$31*K21)*(Assumptions!K58-1))</f>
        <v>0</v>
      </c>
      <c r="L38" s="290">
        <f>IF(L$10="Prior",0,(L$11*L$31*L21)*(Assumptions!L58-1))</f>
        <v>0</v>
      </c>
      <c r="M38" s="290">
        <f>IF(M$10="Prior",0,(M$11*M$31*M21)*(Assumptions!M58-1))</f>
        <v>0</v>
      </c>
      <c r="N38" s="346">
        <f>IF(N$10="Prior",0,(N$11*N$31*N21)*(Assumptions!N58-1))</f>
        <v>0</v>
      </c>
      <c r="O38" s="513">
        <f t="shared" si="3"/>
        <v>0</v>
      </c>
      <c r="P38" s="514">
        <f t="shared" si="4"/>
        <v>0</v>
      </c>
      <c r="Q38" s="516"/>
      <c r="R38" s="516"/>
      <c r="S38" s="516"/>
      <c r="T38" s="516"/>
    </row>
    <row r="39" spans="1:21">
      <c r="A39" s="250"/>
      <c r="B39" s="250"/>
      <c r="C39" s="258"/>
      <c r="D39" s="350" t="s">
        <v>8</v>
      </c>
      <c r="E39" s="313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512">
        <f>IF(I$10="Prior",0,(I$11*I$31*I22)*(Assumptions!I59-1))</f>
        <v>0</v>
      </c>
      <c r="J39" s="290">
        <f>IF(J$10="Prior",0,(J$11*J$31*J22)*(Assumptions!J59-1))</f>
        <v>0</v>
      </c>
      <c r="K39" s="290">
        <f>IF(K$10="Prior",0,(K$11*K$31*K22)*(Assumptions!K59-1))</f>
        <v>0</v>
      </c>
      <c r="L39" s="290">
        <f>IF(L$10="Prior",0,(L$11*L$31*L22)*(Assumptions!L59-1))</f>
        <v>0</v>
      </c>
      <c r="M39" s="290">
        <f>IF(M$10="Prior",0,(M$11*M$31*M22)*(Assumptions!M59-1))</f>
        <v>0</v>
      </c>
      <c r="N39" s="346">
        <f>IF(N$10="Prior",0,(N$11*N$31*N22)*(Assumptions!N59-1))</f>
        <v>0</v>
      </c>
      <c r="O39" s="513">
        <f t="shared" si="3"/>
        <v>0</v>
      </c>
      <c r="P39" s="514">
        <f t="shared" si="4"/>
        <v>0</v>
      </c>
    </row>
    <row r="40" spans="1:21">
      <c r="A40" s="250"/>
      <c r="B40" s="250"/>
      <c r="C40" s="258"/>
      <c r="D40" s="350" t="s">
        <v>9</v>
      </c>
      <c r="E40" s="313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512">
        <f>IF(I$10="Prior",0,(I$11*I$31*I23)*(Assumptions!I60-1))</f>
        <v>0</v>
      </c>
      <c r="J40" s="290">
        <f>IF(J$10="Prior",0,(J$11*J$31*J23)*(Assumptions!J60-1))</f>
        <v>0</v>
      </c>
      <c r="K40" s="290">
        <f>IF(K$10="Prior",0,(K$11*K$31*K23)*(Assumptions!K60-1))</f>
        <v>0</v>
      </c>
      <c r="L40" s="290">
        <f>IF(L$10="Prior",0,(L$11*L$31*L23)*(Assumptions!L60-1))</f>
        <v>0</v>
      </c>
      <c r="M40" s="290">
        <f>IF(M$10="Prior",0,(M$11*M$31*M23)*(Assumptions!M60-1))</f>
        <v>0</v>
      </c>
      <c r="N40" s="346">
        <f>IF(N$10="Prior",0,(N$11*N$31*N23)*(Assumptions!N60-1))</f>
        <v>0</v>
      </c>
      <c r="O40" s="513">
        <f t="shared" si="3"/>
        <v>0</v>
      </c>
      <c r="P40" s="514">
        <f t="shared" si="4"/>
        <v>0</v>
      </c>
    </row>
    <row r="41" spans="1:21">
      <c r="A41" s="250"/>
      <c r="B41" s="250"/>
      <c r="C41" s="258"/>
      <c r="D41" s="350" t="s">
        <v>10</v>
      </c>
      <c r="E41" s="313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512">
        <f>IF(I$10="Prior",0,(I$11*I$31*I24)*(Assumptions!I61-1))</f>
        <v>0</v>
      </c>
      <c r="J41" s="290">
        <f>IF(J$10="Prior",0,(J$11*J$31*J24)*(Assumptions!J61-1))</f>
        <v>0</v>
      </c>
      <c r="K41" s="290">
        <f>IF(K$10="Prior",0,(K$11*K$31*K24)*(Assumptions!K61-1))</f>
        <v>0</v>
      </c>
      <c r="L41" s="290">
        <f>IF(L$10="Prior",0,(L$11*L$31*L24)*(Assumptions!L61-1))</f>
        <v>0</v>
      </c>
      <c r="M41" s="290">
        <f>IF(M$10="Prior",0,(M$11*M$31*M24)*(Assumptions!M61-1))</f>
        <v>0</v>
      </c>
      <c r="N41" s="346">
        <f>IF(N$10="Prior",0,(N$11*N$31*N24)*(Assumptions!N61-1))</f>
        <v>0</v>
      </c>
      <c r="O41" s="513">
        <f t="shared" si="3"/>
        <v>0</v>
      </c>
      <c r="P41" s="514">
        <f t="shared" si="4"/>
        <v>0</v>
      </c>
      <c r="Q41" s="516"/>
      <c r="R41" s="516"/>
      <c r="S41" s="516"/>
      <c r="T41" s="516"/>
    </row>
    <row r="42" spans="1:21">
      <c r="A42" s="250"/>
      <c r="B42" s="250"/>
      <c r="C42" s="258"/>
      <c r="D42" s="350" t="s">
        <v>11</v>
      </c>
      <c r="E42" s="313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512">
        <f>IF(I$10="Prior",0,(I$11*I$31*I25)*(Assumptions!I62-1))</f>
        <v>0</v>
      </c>
      <c r="J42" s="290">
        <f>IF(J$10="Prior",0,(J$11*J$31*J25)*(Assumptions!J62-1))</f>
        <v>0</v>
      </c>
      <c r="K42" s="290">
        <f>IF(K$10="Prior",0,(K$11*K$31*K25)*(Assumptions!K62-1))</f>
        <v>0</v>
      </c>
      <c r="L42" s="290">
        <f>IF(L$10="Prior",0,(L$11*L$31*L25)*(Assumptions!L62-1))</f>
        <v>0</v>
      </c>
      <c r="M42" s="290">
        <f>IF(M$10="Prior",0,(M$11*M$31*M25)*(Assumptions!M62-1))</f>
        <v>0</v>
      </c>
      <c r="N42" s="346">
        <f>IF(N$10="Prior",0,(N$11*N$31*N25)*(Assumptions!N62-1))</f>
        <v>0</v>
      </c>
      <c r="O42" s="513">
        <f t="shared" si="3"/>
        <v>0</v>
      </c>
      <c r="P42" s="514">
        <f t="shared" si="4"/>
        <v>0</v>
      </c>
    </row>
    <row r="43" spans="1:21">
      <c r="A43" s="250"/>
      <c r="B43" s="250"/>
      <c r="C43" s="258"/>
      <c r="D43" s="350" t="s">
        <v>12</v>
      </c>
      <c r="E43" s="313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512">
        <f>IF(I$10="Prior",0,(I$11*I$31*I26)*(Assumptions!I63-1))</f>
        <v>0</v>
      </c>
      <c r="J43" s="290">
        <f>IF(J$10="Prior",0,(J$11*J$31*J26)*(Assumptions!J63-1))</f>
        <v>0</v>
      </c>
      <c r="K43" s="290">
        <f>IF(K$10="Prior",0,(K$11*K$31*K26)*(Assumptions!K63-1))</f>
        <v>0</v>
      </c>
      <c r="L43" s="290">
        <f>IF(L$10="Prior",0,(L$11*L$31*L26)*(Assumptions!L63-1))</f>
        <v>0</v>
      </c>
      <c r="M43" s="290">
        <f>IF(M$10="Prior",0,(M$11*M$31*M26)*(Assumptions!M63-1))</f>
        <v>0</v>
      </c>
      <c r="N43" s="346">
        <f>IF(N$10="Prior",0,(N$11*N$31*N26)*(Assumptions!N63-1))</f>
        <v>0</v>
      </c>
      <c r="O43" s="513">
        <f t="shared" si="3"/>
        <v>0</v>
      </c>
      <c r="P43" s="514">
        <f t="shared" si="4"/>
        <v>0</v>
      </c>
    </row>
    <row r="44" spans="1:21">
      <c r="A44" s="250"/>
      <c r="B44" s="250"/>
      <c r="C44" s="258"/>
      <c r="D44" s="465" t="s">
        <v>61</v>
      </c>
      <c r="E44" s="517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518">
        <f t="shared" si="5"/>
        <v>0</v>
      </c>
      <c r="J44" s="253">
        <f t="shared" si="5"/>
        <v>0</v>
      </c>
      <c r="K44" s="253">
        <f t="shared" si="5"/>
        <v>0</v>
      </c>
      <c r="L44" s="253">
        <f t="shared" si="5"/>
        <v>0</v>
      </c>
      <c r="M44" s="253">
        <f t="shared" si="5"/>
        <v>0</v>
      </c>
      <c r="N44" s="519">
        <f t="shared" si="5"/>
        <v>0</v>
      </c>
      <c r="O44" s="520">
        <f>SUM(O34:O43)</f>
        <v>0</v>
      </c>
      <c r="P44" s="521">
        <f>SUM(P34:P43)</f>
        <v>0</v>
      </c>
      <c r="Q44" s="516"/>
      <c r="R44" s="516"/>
      <c r="S44" s="516"/>
      <c r="T44" s="516"/>
    </row>
    <row r="45" spans="1:21">
      <c r="A45" s="250"/>
      <c r="B45" s="250"/>
      <c r="C45" s="258"/>
      <c r="D45" s="284"/>
      <c r="E45" s="250"/>
      <c r="F45" s="293"/>
      <c r="G45" s="287"/>
      <c r="H45" s="287"/>
      <c r="I45" s="522"/>
      <c r="J45" s="523"/>
      <c r="K45" s="523"/>
      <c r="L45" s="523"/>
      <c r="M45" s="523"/>
      <c r="N45" s="524"/>
      <c r="O45" s="511"/>
      <c r="P45" s="258"/>
    </row>
    <row r="46" spans="1:21">
      <c r="A46" s="250"/>
      <c r="B46" s="250"/>
      <c r="C46" s="258" t="s">
        <v>165</v>
      </c>
      <c r="D46" s="352" t="s">
        <v>270</v>
      </c>
      <c r="E46" s="250"/>
      <c r="F46" s="291">
        <f>IF(F$10="Prior",0,(F11*F29)*(Assumptions!F28-1))</f>
        <v>0</v>
      </c>
      <c r="G46" s="290">
        <f>IF(G$10="Prior",0,(G11*G29)*(Assumptions!G28-1))</f>
        <v>0.52143562500000662</v>
      </c>
      <c r="H46" s="290">
        <f>IF(H$10="Prior",0,(H11*H29)*(Assumptions!H28-1))</f>
        <v>1.1031489703860713</v>
      </c>
      <c r="I46" s="512">
        <f>IF(I$10="Prior",0,(I11*I29)*(Assumptions!I28-1))</f>
        <v>0</v>
      </c>
      <c r="J46" s="290">
        <f>IF(J$10="Prior",0,(J11*J29)*(Assumptions!J28-1))</f>
        <v>0</v>
      </c>
      <c r="K46" s="290">
        <f>IF(K$10="Prior",0,(K11*K29)*(Assumptions!K28-1))</f>
        <v>0</v>
      </c>
      <c r="L46" s="290">
        <f>IF(L$10="Prior",0,(L11*L29)*(Assumptions!L28-1))</f>
        <v>0</v>
      </c>
      <c r="M46" s="290">
        <f>IF(M$10="Prior",0,(M11*M29)*(Assumptions!M28-1))</f>
        <v>0</v>
      </c>
      <c r="N46" s="346">
        <f>IF(N$10="Prior",0,(N11*N29)*(Assumptions!N28-1))</f>
        <v>0</v>
      </c>
      <c r="O46" s="294">
        <f t="shared" ref="O46:O47" si="6">SUM(F46:N46)</f>
        <v>1.6245845953860778</v>
      </c>
      <c r="P46" s="497">
        <f t="shared" ref="P46:P47" si="7">SUM(I46:M46)</f>
        <v>0</v>
      </c>
    </row>
    <row r="47" spans="1:21">
      <c r="A47" s="250"/>
      <c r="B47" s="250"/>
      <c r="C47" s="258"/>
      <c r="D47" s="352" t="s">
        <v>271</v>
      </c>
      <c r="E47" s="250"/>
      <c r="F47" s="294">
        <f>IF(F$10="Prior",0,(F11*F30)*(Assumptions!F30-1))</f>
        <v>0</v>
      </c>
      <c r="G47" s="290">
        <f>IF(G$10="Prior",0,(G11*G30)*(Assumptions!G30-1))</f>
        <v>1.8194774999999965</v>
      </c>
      <c r="H47" s="290">
        <f>IF(H$10="Prior",0,(H11*H30)*(Assumptions!H30-1))</f>
        <v>4.7392721186447613</v>
      </c>
      <c r="I47" s="512">
        <f>IF(I$10="Prior",0,(I11*I30)*(Assumptions!I30-1))</f>
        <v>0</v>
      </c>
      <c r="J47" s="290">
        <f>IF(J$10="Prior",0,(J11*J30)*(Assumptions!J30-1))</f>
        <v>0</v>
      </c>
      <c r="K47" s="290">
        <f>IF(K$10="Prior",0,(K11*K30)*(Assumptions!K30-1))</f>
        <v>0</v>
      </c>
      <c r="L47" s="290">
        <f>IF(L$10="Prior",0,(L11*L30)*(Assumptions!L30-1))</f>
        <v>0</v>
      </c>
      <c r="M47" s="290">
        <f>IF(M$10="Prior",0,(M11*M30)*(Assumptions!M30-1))</f>
        <v>0</v>
      </c>
      <c r="N47" s="346">
        <f>IF(N$10="Prior",0,(N11*N30)*(Assumptions!N30-1))</f>
        <v>0</v>
      </c>
      <c r="O47" s="294">
        <f t="shared" si="6"/>
        <v>6.5587496186447574</v>
      </c>
      <c r="P47" s="497">
        <f t="shared" si="7"/>
        <v>0</v>
      </c>
    </row>
    <row r="48" spans="1:21">
      <c r="A48" s="250"/>
      <c r="B48" s="250"/>
      <c r="C48" s="258"/>
      <c r="D48" s="465" t="s">
        <v>273</v>
      </c>
      <c r="E48" s="525"/>
      <c r="F48" s="292">
        <f>SUM(F46:F47)</f>
        <v>0</v>
      </c>
      <c r="G48" s="253">
        <f t="shared" ref="G48:N48" si="8">SUM(G46:G47)</f>
        <v>2.3409131250000033</v>
      </c>
      <c r="H48" s="253">
        <f t="shared" si="8"/>
        <v>5.8424210890308323</v>
      </c>
      <c r="I48" s="518">
        <f t="shared" si="8"/>
        <v>0</v>
      </c>
      <c r="J48" s="253">
        <f t="shared" si="8"/>
        <v>0</v>
      </c>
      <c r="K48" s="253">
        <f t="shared" si="8"/>
        <v>0</v>
      </c>
      <c r="L48" s="253">
        <f t="shared" si="8"/>
        <v>0</v>
      </c>
      <c r="M48" s="253">
        <f t="shared" si="8"/>
        <v>0</v>
      </c>
      <c r="N48" s="519">
        <f t="shared" si="8"/>
        <v>0</v>
      </c>
      <c r="O48" s="520">
        <f>SUM(O46:O47)</f>
        <v>8.1833342140308361</v>
      </c>
      <c r="P48" s="526">
        <f>SUM(P46:P47)</f>
        <v>0</v>
      </c>
    </row>
    <row r="49" spans="1:18">
      <c r="A49" s="250"/>
      <c r="B49" s="250"/>
      <c r="C49" s="439"/>
      <c r="D49" s="465" t="s">
        <v>60</v>
      </c>
      <c r="E49" s="525"/>
      <c r="F49" s="292">
        <f t="shared" ref="F49:N49" si="9">F44+F48</f>
        <v>0</v>
      </c>
      <c r="G49" s="253">
        <f t="shared" si="9"/>
        <v>2.3409131250000033</v>
      </c>
      <c r="H49" s="253">
        <f t="shared" si="9"/>
        <v>5.8424210890308323</v>
      </c>
      <c r="I49" s="518">
        <f t="shared" si="9"/>
        <v>0</v>
      </c>
      <c r="J49" s="253">
        <f t="shared" si="9"/>
        <v>0</v>
      </c>
      <c r="K49" s="253">
        <f t="shared" si="9"/>
        <v>0</v>
      </c>
      <c r="L49" s="253">
        <f t="shared" si="9"/>
        <v>0</v>
      </c>
      <c r="M49" s="253">
        <f t="shared" si="9"/>
        <v>0</v>
      </c>
      <c r="N49" s="519">
        <f t="shared" si="9"/>
        <v>0</v>
      </c>
      <c r="O49" s="520">
        <f>O44+O48</f>
        <v>8.1833342140308361</v>
      </c>
      <c r="P49" s="521">
        <f>P44+P48</f>
        <v>0</v>
      </c>
    </row>
    <row r="50" spans="1:18">
      <c r="A50" s="250"/>
      <c r="B50" s="250"/>
      <c r="C50" s="260"/>
      <c r="D50" s="386" t="s">
        <v>283</v>
      </c>
      <c r="E50" s="527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528">
        <f t="shared" si="10"/>
        <v>0</v>
      </c>
      <c r="J50" s="441">
        <f t="shared" si="10"/>
        <v>0</v>
      </c>
      <c r="K50" s="441">
        <f t="shared" si="10"/>
        <v>0</v>
      </c>
      <c r="L50" s="441">
        <f t="shared" si="10"/>
        <v>0</v>
      </c>
      <c r="M50" s="441">
        <f t="shared" si="10"/>
        <v>0</v>
      </c>
      <c r="N50" s="529">
        <f t="shared" si="10"/>
        <v>0</v>
      </c>
      <c r="O50" s="529">
        <f t="shared" si="10"/>
        <v>7.1894405100234829E-4</v>
      </c>
      <c r="P50" s="529">
        <f t="shared" si="10"/>
        <v>0</v>
      </c>
    </row>
    <row r="51" spans="1:18">
      <c r="A51" s="250"/>
      <c r="B51" s="250"/>
      <c r="C51" s="310" t="s">
        <v>277</v>
      </c>
      <c r="D51" s="353" t="s">
        <v>17</v>
      </c>
      <c r="E51" s="530"/>
      <c r="F51" s="343">
        <f>(F29*F$11+F46)*Assumptions!$G$21</f>
        <v>977.59693380622912</v>
      </c>
      <c r="G51" s="344">
        <f>(G29*G$11+G46)*Assumptions!$G$21</f>
        <v>90.786751265272571</v>
      </c>
      <c r="H51" s="344">
        <f>(H29*H$11+H46)*Assumptions!$G$21</f>
        <v>90.767922450301285</v>
      </c>
      <c r="I51" s="531">
        <f>(I29*I$11+I46)*Assumptions!$G$21</f>
        <v>0</v>
      </c>
      <c r="J51" s="344">
        <f>(J29*J$11+J46)*Assumptions!$G$21</f>
        <v>0</v>
      </c>
      <c r="K51" s="344">
        <f>(K29*K$11+K46)*Assumptions!$G$21</f>
        <v>0</v>
      </c>
      <c r="L51" s="344">
        <f>(L29*L$11+L46)*Assumptions!$G$21</f>
        <v>0</v>
      </c>
      <c r="M51" s="344">
        <f>(M29*M$11+M46)*Assumptions!$G$21</f>
        <v>0</v>
      </c>
      <c r="N51" s="345">
        <f>(N29*N$11+N46)*Assumptions!$G$21</f>
        <v>0</v>
      </c>
      <c r="O51" s="532">
        <f t="shared" ref="O51:O53" si="11">SUM(F51:N51)</f>
        <v>1159.151607521803</v>
      </c>
      <c r="P51" s="533">
        <f>SUM(I51:M51)</f>
        <v>0</v>
      </c>
    </row>
    <row r="52" spans="1:18">
      <c r="A52" s="250"/>
      <c r="B52" s="250"/>
      <c r="C52" s="258" t="s">
        <v>25</v>
      </c>
      <c r="D52" s="350" t="s">
        <v>19</v>
      </c>
      <c r="E52" s="313"/>
      <c r="F52" s="294">
        <f>(F30*F$11+F47)*Assumptions!$G$21</f>
        <v>4887.9846690311451</v>
      </c>
      <c r="G52" s="290">
        <f>(G30*G$11+G47)*Assumptions!$G$21</f>
        <v>453.13272993890979</v>
      </c>
      <c r="H52" s="290">
        <f>(H30*H$11+H47)*Assumptions!$G$21</f>
        <v>453.05000370130432</v>
      </c>
      <c r="I52" s="512">
        <f>(I30*I$11+I47)*Assumptions!$G$21</f>
        <v>0</v>
      </c>
      <c r="J52" s="290">
        <f>(J30*J$11+J47)*Assumptions!$G$21</f>
        <v>0</v>
      </c>
      <c r="K52" s="290">
        <f>(K30*K$11+K47)*Assumptions!$G$21</f>
        <v>0</v>
      </c>
      <c r="L52" s="290">
        <f>(L30*L$11+L47)*Assumptions!$G$21</f>
        <v>0</v>
      </c>
      <c r="M52" s="290">
        <f>(M30*M$11+M47)*Assumptions!$G$21</f>
        <v>0</v>
      </c>
      <c r="N52" s="346">
        <f>(N30*N$11+N47)*Assumptions!$G$21</f>
        <v>0</v>
      </c>
      <c r="O52" s="534">
        <f t="shared" si="11"/>
        <v>5794.167402671359</v>
      </c>
      <c r="P52" s="535">
        <f>SUM(I52:M52)</f>
        <v>0</v>
      </c>
    </row>
    <row r="53" spans="1:18">
      <c r="A53" s="250"/>
      <c r="B53" s="250"/>
      <c r="C53" s="258"/>
      <c r="D53" s="350" t="s">
        <v>18</v>
      </c>
      <c r="E53" s="313"/>
      <c r="F53" s="294">
        <f>(F31*F$11+F$44)*Assumptions!$G$21</f>
        <v>3910.3877352249165</v>
      </c>
      <c r="G53" s="290">
        <f>(G31*G$11+G$44)*Assumptions!$G$21</f>
        <v>361.02597744360901</v>
      </c>
      <c r="H53" s="290">
        <f>(H31*H$11+H$44)*Assumptions!$G$21</f>
        <v>358.5844447412137</v>
      </c>
      <c r="I53" s="512">
        <f>(I31*I$11+I$44)*Assumptions!$G$21</f>
        <v>0</v>
      </c>
      <c r="J53" s="290">
        <f>(J31*J$11+J$44)*Assumptions!$G$21</f>
        <v>0</v>
      </c>
      <c r="K53" s="290">
        <f>(K31*K$11+K$44)*Assumptions!$G$21</f>
        <v>0</v>
      </c>
      <c r="L53" s="290">
        <f>(L31*L$11+L$44)*Assumptions!$G$21</f>
        <v>0</v>
      </c>
      <c r="M53" s="290">
        <f>(M31*M$11+M$44)*Assumptions!$G$21</f>
        <v>0</v>
      </c>
      <c r="N53" s="346">
        <f>(N31*N$11+N$44)*Assumptions!$G$21</f>
        <v>0</v>
      </c>
      <c r="O53" s="534">
        <f t="shared" si="11"/>
        <v>4629.9981574097392</v>
      </c>
      <c r="P53" s="535">
        <f>SUM(I53:M53)</f>
        <v>0</v>
      </c>
    </row>
    <row r="54" spans="1:18">
      <c r="A54" s="250"/>
      <c r="B54" s="250"/>
      <c r="C54" s="536"/>
      <c r="D54" s="537" t="str">
        <f>"Total Direct - As Incurred "&amp;Assumptions!$C$8</f>
        <v>Total Direct - As Incurred $ Mar 2017</v>
      </c>
      <c r="E54" s="517"/>
      <c r="F54" s="292">
        <f t="shared" ref="F54:P54" si="12">+SUM(F51:F53)</f>
        <v>9775.9693380622903</v>
      </c>
      <c r="G54" s="253">
        <f t="shared" si="12"/>
        <v>904.94545864779138</v>
      </c>
      <c r="H54" s="253">
        <f t="shared" si="12"/>
        <v>902.40237089281936</v>
      </c>
      <c r="I54" s="411">
        <f t="shared" si="12"/>
        <v>0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11583.317167602901</v>
      </c>
      <c r="P54" s="428">
        <f t="shared" si="12"/>
        <v>0</v>
      </c>
      <c r="R54" s="616" t="str">
        <f>IF(ROUND(O11*(1+O50)*Assumptions!$G$21,0)-ROUND(O54,0)&lt;&gt;0,"Error","ok")</f>
        <v>ok</v>
      </c>
    </row>
    <row r="55" spans="1:18">
      <c r="A55" s="250"/>
      <c r="B55" s="250"/>
      <c r="C55" s="257"/>
      <c r="D55" s="302"/>
      <c r="E55" s="510"/>
      <c r="F55" s="296"/>
      <c r="G55" s="297"/>
      <c r="H55" s="395"/>
      <c r="I55" s="412"/>
      <c r="J55" s="303"/>
      <c r="K55" s="303"/>
      <c r="L55" s="303"/>
      <c r="M55" s="303"/>
      <c r="N55" s="304"/>
      <c r="O55" s="511"/>
      <c r="P55" s="258"/>
    </row>
    <row r="56" spans="1:18">
      <c r="A56" s="250"/>
      <c r="B56" s="250"/>
      <c r="C56" s="258" t="s">
        <v>274</v>
      </c>
      <c r="D56" s="350" t="s">
        <v>272</v>
      </c>
      <c r="E56" s="506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511"/>
      <c r="P56" s="538"/>
    </row>
    <row r="57" spans="1:18">
      <c r="A57" s="250"/>
      <c r="B57" s="250"/>
      <c r="C57" s="258"/>
      <c r="D57" s="350" t="s">
        <v>267</v>
      </c>
      <c r="E57" s="506"/>
      <c r="F57" s="294">
        <f>F54*F56</f>
        <v>782.87642808568592</v>
      </c>
      <c r="G57" s="290">
        <f t="shared" ref="G57:N57" si="13">G54*G56</f>
        <v>53.79428841627</v>
      </c>
      <c r="H57" s="290">
        <f t="shared" si="13"/>
        <v>65.508715049621429</v>
      </c>
      <c r="I57" s="512">
        <f t="shared" si="13"/>
        <v>0</v>
      </c>
      <c r="J57" s="290">
        <f t="shared" si="13"/>
        <v>0</v>
      </c>
      <c r="K57" s="290">
        <f t="shared" si="13"/>
        <v>0</v>
      </c>
      <c r="L57" s="290">
        <f t="shared" si="13"/>
        <v>0</v>
      </c>
      <c r="M57" s="290">
        <f t="shared" si="13"/>
        <v>0</v>
      </c>
      <c r="N57" s="346">
        <f t="shared" si="13"/>
        <v>0</v>
      </c>
      <c r="O57" s="294">
        <f>SUM(F57:N57)</f>
        <v>902.1794315515773</v>
      </c>
      <c r="P57" s="497">
        <f>SUM(I57:M57)</f>
        <v>0</v>
      </c>
    </row>
    <row r="58" spans="1:18">
      <c r="A58" s="250"/>
      <c r="B58" s="250"/>
      <c r="C58" s="259"/>
      <c r="D58" s="305"/>
      <c r="E58" s="312"/>
      <c r="F58" s="511"/>
      <c r="G58" s="250"/>
      <c r="H58" s="250"/>
      <c r="I58" s="539"/>
      <c r="J58" s="250"/>
      <c r="K58" s="250"/>
      <c r="L58" s="250"/>
      <c r="M58" s="250"/>
      <c r="N58" s="454"/>
      <c r="O58" s="511"/>
      <c r="P58" s="258"/>
    </row>
    <row r="59" spans="1:18">
      <c r="A59" s="250"/>
      <c r="B59" s="250"/>
      <c r="C59" s="536"/>
      <c r="D59" s="537" t="str">
        <f>"Total incl Overhead - As Incurred "&amp;Assumptions!$C$8</f>
        <v>Total incl Overhead - As Incurred $ Mar 2017</v>
      </c>
      <c r="E59" s="517"/>
      <c r="F59" s="292">
        <f t="shared" ref="F59:M59" si="14">F54+F57</f>
        <v>10558.845766147977</v>
      </c>
      <c r="G59" s="253">
        <f t="shared" si="14"/>
        <v>958.73974706406136</v>
      </c>
      <c r="H59" s="253">
        <f t="shared" si="14"/>
        <v>967.91108594244076</v>
      </c>
      <c r="I59" s="411">
        <f t="shared" si="14"/>
        <v>0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12485.49659915448</v>
      </c>
      <c r="P59" s="429">
        <f t="shared" si="15"/>
        <v>0</v>
      </c>
    </row>
    <row r="60" spans="1:18" hidden="1" outlineLevel="1">
      <c r="A60" s="250"/>
      <c r="B60" s="250"/>
      <c r="C60" s="250"/>
      <c r="D60" s="313" t="s">
        <v>263</v>
      </c>
      <c r="E60" s="313"/>
      <c r="F60" s="290">
        <f>F57</f>
        <v>782.87642808568592</v>
      </c>
      <c r="G60" s="290">
        <f t="shared" ref="G60:N60" si="16">G57+F60</f>
        <v>836.67071650195589</v>
      </c>
      <c r="H60" s="290">
        <f t="shared" si="16"/>
        <v>902.1794315515773</v>
      </c>
      <c r="I60" s="290">
        <f t="shared" si="16"/>
        <v>902.1794315515773</v>
      </c>
      <c r="J60" s="290">
        <f t="shared" si="16"/>
        <v>902.1794315515773</v>
      </c>
      <c r="K60" s="290">
        <f t="shared" si="16"/>
        <v>902.1794315515773</v>
      </c>
      <c r="L60" s="290">
        <f t="shared" si="16"/>
        <v>902.1794315515773</v>
      </c>
      <c r="M60" s="290">
        <f t="shared" si="16"/>
        <v>902.1794315515773</v>
      </c>
      <c r="N60" s="290">
        <f t="shared" si="16"/>
        <v>902.1794315515773</v>
      </c>
    </row>
    <row r="61" spans="1:18" hidden="1" outlineLevel="1" collapsed="1">
      <c r="A61" s="250"/>
      <c r="B61" s="250"/>
      <c r="D61" s="251" t="s">
        <v>288</v>
      </c>
      <c r="E61" s="251"/>
      <c r="F61" s="252">
        <f>F49</f>
        <v>0</v>
      </c>
      <c r="G61" s="252">
        <f>G49+F61</f>
        <v>2.3409131250000033</v>
      </c>
      <c r="H61" s="252">
        <f t="shared" ref="H61:N61" si="17">H49+G61</f>
        <v>8.1833342140308361</v>
      </c>
      <c r="I61" s="252">
        <f t="shared" si="17"/>
        <v>8.1833342140308361</v>
      </c>
      <c r="J61" s="252">
        <f t="shared" si="17"/>
        <v>8.1833342140308361</v>
      </c>
      <c r="K61" s="252">
        <f t="shared" si="17"/>
        <v>8.1833342140308361</v>
      </c>
      <c r="L61" s="252">
        <f t="shared" si="17"/>
        <v>8.1833342140308361</v>
      </c>
      <c r="M61" s="252">
        <f t="shared" si="17"/>
        <v>8.1833342140308361</v>
      </c>
      <c r="N61" s="252">
        <f t="shared" si="17"/>
        <v>8.1833342140308361</v>
      </c>
    </row>
    <row r="62" spans="1:18" collapsed="1">
      <c r="A62" s="250"/>
      <c r="B62" s="250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  <c r="P62" s="248"/>
    </row>
    <row r="63" spans="1:18">
      <c r="A63" s="250"/>
      <c r="B63" s="250"/>
      <c r="C63" s="540" t="s">
        <v>275</v>
      </c>
      <c r="D63" s="541"/>
      <c r="E63" s="541"/>
      <c r="F63" s="542"/>
      <c r="G63" s="542"/>
      <c r="H63" s="542"/>
      <c r="I63" s="542"/>
      <c r="J63" s="542"/>
      <c r="K63" s="542"/>
      <c r="L63" s="542"/>
      <c r="M63" s="542"/>
      <c r="N63" s="542"/>
      <c r="O63" s="543"/>
      <c r="P63" s="544"/>
    </row>
    <row r="64" spans="1:18">
      <c r="A64" s="250"/>
      <c r="B64" s="250"/>
      <c r="C64" s="257" t="s">
        <v>23</v>
      </c>
      <c r="D64" s="353" t="s">
        <v>3</v>
      </c>
      <c r="E64" s="530"/>
      <c r="F64" s="343">
        <f t="shared" ref="F64:N73" si="18">F$59*F17</f>
        <v>0</v>
      </c>
      <c r="G64" s="344">
        <f t="shared" si="18"/>
        <v>0</v>
      </c>
      <c r="H64" s="344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345">
        <f t="shared" si="18"/>
        <v>0</v>
      </c>
      <c r="O64" s="532">
        <f>SUM(F64:N64)</f>
        <v>0</v>
      </c>
      <c r="P64" s="430">
        <f>SUM(I64:M64)</f>
        <v>0</v>
      </c>
    </row>
    <row r="65" spans="1:16">
      <c r="A65" s="250"/>
      <c r="B65" s="250"/>
      <c r="C65" s="258" t="s">
        <v>24</v>
      </c>
      <c r="D65" s="350" t="s">
        <v>4</v>
      </c>
      <c r="E65" s="313"/>
      <c r="F65" s="294">
        <f t="shared" si="18"/>
        <v>0</v>
      </c>
      <c r="G65" s="290">
        <f t="shared" si="18"/>
        <v>0</v>
      </c>
      <c r="H65" s="290">
        <f t="shared" si="18"/>
        <v>0</v>
      </c>
      <c r="I65" s="416">
        <f t="shared" si="18"/>
        <v>0</v>
      </c>
      <c r="J65" s="381">
        <f t="shared" si="18"/>
        <v>0</v>
      </c>
      <c r="K65" s="381">
        <f t="shared" si="18"/>
        <v>0</v>
      </c>
      <c r="L65" s="381">
        <f t="shared" si="18"/>
        <v>0</v>
      </c>
      <c r="M65" s="381">
        <f t="shared" si="18"/>
        <v>0</v>
      </c>
      <c r="N65" s="346">
        <f t="shared" si="18"/>
        <v>0</v>
      </c>
      <c r="O65" s="534">
        <f t="shared" ref="O65:O73" si="19">SUM(F65:N65)</f>
        <v>0</v>
      </c>
      <c r="P65" s="431">
        <f t="shared" ref="P65:P73" si="20">SUM(I65:M65)</f>
        <v>0</v>
      </c>
    </row>
    <row r="66" spans="1:16">
      <c r="A66" s="250"/>
      <c r="B66" s="250"/>
      <c r="C66" s="258" t="s">
        <v>25</v>
      </c>
      <c r="D66" s="350" t="s">
        <v>5</v>
      </c>
      <c r="E66" s="313"/>
      <c r="F66" s="294">
        <f t="shared" si="18"/>
        <v>10558.845766147977</v>
      </c>
      <c r="G66" s="290">
        <f t="shared" si="18"/>
        <v>958.73974706406136</v>
      </c>
      <c r="H66" s="290">
        <f t="shared" si="18"/>
        <v>967.91108594244076</v>
      </c>
      <c r="I66" s="416">
        <f t="shared" si="18"/>
        <v>0</v>
      </c>
      <c r="J66" s="381">
        <f t="shared" si="18"/>
        <v>0</v>
      </c>
      <c r="K66" s="381">
        <f t="shared" si="18"/>
        <v>0</v>
      </c>
      <c r="L66" s="381">
        <f t="shared" si="18"/>
        <v>0</v>
      </c>
      <c r="M66" s="381">
        <f t="shared" si="18"/>
        <v>0</v>
      </c>
      <c r="N66" s="346">
        <f t="shared" si="18"/>
        <v>0</v>
      </c>
      <c r="O66" s="534">
        <f t="shared" si="19"/>
        <v>12485.496599154478</v>
      </c>
      <c r="P66" s="431">
        <f t="shared" si="20"/>
        <v>0</v>
      </c>
    </row>
    <row r="67" spans="1:16">
      <c r="A67" s="250"/>
      <c r="B67" s="250"/>
      <c r="C67" s="258"/>
      <c r="D67" s="350" t="s">
        <v>6</v>
      </c>
      <c r="E67" s="313"/>
      <c r="F67" s="294">
        <f t="shared" si="18"/>
        <v>0</v>
      </c>
      <c r="G67" s="290">
        <f t="shared" si="18"/>
        <v>0</v>
      </c>
      <c r="H67" s="290">
        <f t="shared" si="18"/>
        <v>0</v>
      </c>
      <c r="I67" s="416">
        <f t="shared" si="18"/>
        <v>0</v>
      </c>
      <c r="J67" s="381">
        <f t="shared" si="18"/>
        <v>0</v>
      </c>
      <c r="K67" s="381">
        <f t="shared" si="18"/>
        <v>0</v>
      </c>
      <c r="L67" s="381">
        <f t="shared" si="18"/>
        <v>0</v>
      </c>
      <c r="M67" s="381">
        <f t="shared" si="18"/>
        <v>0</v>
      </c>
      <c r="N67" s="346">
        <f t="shared" si="18"/>
        <v>0</v>
      </c>
      <c r="O67" s="534">
        <f t="shared" si="19"/>
        <v>0</v>
      </c>
      <c r="P67" s="431">
        <f t="shared" si="20"/>
        <v>0</v>
      </c>
    </row>
    <row r="68" spans="1:16">
      <c r="A68" s="250"/>
      <c r="B68" s="250"/>
      <c r="C68" s="258"/>
      <c r="D68" s="350" t="s">
        <v>7</v>
      </c>
      <c r="E68" s="313"/>
      <c r="F68" s="294">
        <f t="shared" si="18"/>
        <v>0</v>
      </c>
      <c r="G68" s="290">
        <f t="shared" si="18"/>
        <v>0</v>
      </c>
      <c r="H68" s="290">
        <f t="shared" si="18"/>
        <v>0</v>
      </c>
      <c r="I68" s="416">
        <f t="shared" si="18"/>
        <v>0</v>
      </c>
      <c r="J68" s="381">
        <f t="shared" si="18"/>
        <v>0</v>
      </c>
      <c r="K68" s="381">
        <f t="shared" si="18"/>
        <v>0</v>
      </c>
      <c r="L68" s="381">
        <f t="shared" si="18"/>
        <v>0</v>
      </c>
      <c r="M68" s="381">
        <f t="shared" si="18"/>
        <v>0</v>
      </c>
      <c r="N68" s="346">
        <f t="shared" si="18"/>
        <v>0</v>
      </c>
      <c r="O68" s="534">
        <f t="shared" si="19"/>
        <v>0</v>
      </c>
      <c r="P68" s="431">
        <f t="shared" si="20"/>
        <v>0</v>
      </c>
    </row>
    <row r="69" spans="1:16">
      <c r="A69" s="250"/>
      <c r="B69" s="250"/>
      <c r="C69" s="258"/>
      <c r="D69" s="350" t="s">
        <v>8</v>
      </c>
      <c r="E69" s="313"/>
      <c r="F69" s="294">
        <f t="shared" si="18"/>
        <v>0</v>
      </c>
      <c r="G69" s="290">
        <f t="shared" si="18"/>
        <v>0</v>
      </c>
      <c r="H69" s="290">
        <f t="shared" si="18"/>
        <v>0</v>
      </c>
      <c r="I69" s="416">
        <f t="shared" si="18"/>
        <v>0</v>
      </c>
      <c r="J69" s="381">
        <f t="shared" si="18"/>
        <v>0</v>
      </c>
      <c r="K69" s="381">
        <f t="shared" si="18"/>
        <v>0</v>
      </c>
      <c r="L69" s="381">
        <f t="shared" si="18"/>
        <v>0</v>
      </c>
      <c r="M69" s="381">
        <f t="shared" si="18"/>
        <v>0</v>
      </c>
      <c r="N69" s="346">
        <f t="shared" si="18"/>
        <v>0</v>
      </c>
      <c r="O69" s="534">
        <f t="shared" si="19"/>
        <v>0</v>
      </c>
      <c r="P69" s="431">
        <f t="shared" si="20"/>
        <v>0</v>
      </c>
    </row>
    <row r="70" spans="1:16">
      <c r="A70" s="250"/>
      <c r="B70" s="250"/>
      <c r="C70" s="258"/>
      <c r="D70" s="350" t="s">
        <v>9</v>
      </c>
      <c r="E70" s="313"/>
      <c r="F70" s="294">
        <f t="shared" si="18"/>
        <v>0</v>
      </c>
      <c r="G70" s="290">
        <f t="shared" si="18"/>
        <v>0</v>
      </c>
      <c r="H70" s="290">
        <f t="shared" si="18"/>
        <v>0</v>
      </c>
      <c r="I70" s="416">
        <f t="shared" si="18"/>
        <v>0</v>
      </c>
      <c r="J70" s="381">
        <f t="shared" si="18"/>
        <v>0</v>
      </c>
      <c r="K70" s="381">
        <f t="shared" si="18"/>
        <v>0</v>
      </c>
      <c r="L70" s="381">
        <f t="shared" si="18"/>
        <v>0</v>
      </c>
      <c r="M70" s="381">
        <f t="shared" si="18"/>
        <v>0</v>
      </c>
      <c r="N70" s="346">
        <f t="shared" si="18"/>
        <v>0</v>
      </c>
      <c r="O70" s="534">
        <f t="shared" si="19"/>
        <v>0</v>
      </c>
      <c r="P70" s="431">
        <f t="shared" si="20"/>
        <v>0</v>
      </c>
    </row>
    <row r="71" spans="1:16">
      <c r="A71" s="250"/>
      <c r="B71" s="250"/>
      <c r="C71" s="258"/>
      <c r="D71" s="350" t="s">
        <v>10</v>
      </c>
      <c r="E71" s="313"/>
      <c r="F71" s="294">
        <f t="shared" si="18"/>
        <v>0</v>
      </c>
      <c r="G71" s="290">
        <f t="shared" si="18"/>
        <v>0</v>
      </c>
      <c r="H71" s="290">
        <f t="shared" si="18"/>
        <v>0</v>
      </c>
      <c r="I71" s="416">
        <f t="shared" si="18"/>
        <v>0</v>
      </c>
      <c r="J71" s="381">
        <f t="shared" si="18"/>
        <v>0</v>
      </c>
      <c r="K71" s="381">
        <f t="shared" si="18"/>
        <v>0</v>
      </c>
      <c r="L71" s="381">
        <f t="shared" si="18"/>
        <v>0</v>
      </c>
      <c r="M71" s="381">
        <f t="shared" si="18"/>
        <v>0</v>
      </c>
      <c r="N71" s="346">
        <f t="shared" si="18"/>
        <v>0</v>
      </c>
      <c r="O71" s="534">
        <f t="shared" si="19"/>
        <v>0</v>
      </c>
      <c r="P71" s="431">
        <f t="shared" si="20"/>
        <v>0</v>
      </c>
    </row>
    <row r="72" spans="1:16">
      <c r="A72" s="250"/>
      <c r="B72" s="250"/>
      <c r="C72" s="258"/>
      <c r="D72" s="350" t="s">
        <v>11</v>
      </c>
      <c r="E72" s="313"/>
      <c r="F72" s="294">
        <f t="shared" si="18"/>
        <v>0</v>
      </c>
      <c r="G72" s="290">
        <f t="shared" si="18"/>
        <v>0</v>
      </c>
      <c r="H72" s="290">
        <f t="shared" si="18"/>
        <v>0</v>
      </c>
      <c r="I72" s="416">
        <f t="shared" si="18"/>
        <v>0</v>
      </c>
      <c r="J72" s="381">
        <f t="shared" si="18"/>
        <v>0</v>
      </c>
      <c r="K72" s="381">
        <f t="shared" si="18"/>
        <v>0</v>
      </c>
      <c r="L72" s="381">
        <f t="shared" si="18"/>
        <v>0</v>
      </c>
      <c r="M72" s="381">
        <f t="shared" si="18"/>
        <v>0</v>
      </c>
      <c r="N72" s="346">
        <f t="shared" si="18"/>
        <v>0</v>
      </c>
      <c r="O72" s="534">
        <f t="shared" si="19"/>
        <v>0</v>
      </c>
      <c r="P72" s="431">
        <f t="shared" si="20"/>
        <v>0</v>
      </c>
    </row>
    <row r="73" spans="1:16">
      <c r="A73" s="250"/>
      <c r="B73" s="250"/>
      <c r="C73" s="259"/>
      <c r="D73" s="354" t="s">
        <v>12</v>
      </c>
      <c r="E73" s="546"/>
      <c r="F73" s="294">
        <f t="shared" si="18"/>
        <v>0</v>
      </c>
      <c r="G73" s="290">
        <f t="shared" si="18"/>
        <v>0</v>
      </c>
      <c r="H73" s="290">
        <f t="shared" si="18"/>
        <v>0</v>
      </c>
      <c r="I73" s="416">
        <f t="shared" si="18"/>
        <v>0</v>
      </c>
      <c r="J73" s="381">
        <f t="shared" si="18"/>
        <v>0</v>
      </c>
      <c r="K73" s="381">
        <f t="shared" si="18"/>
        <v>0</v>
      </c>
      <c r="L73" s="381">
        <f t="shared" si="18"/>
        <v>0</v>
      </c>
      <c r="M73" s="381">
        <f t="shared" si="18"/>
        <v>0</v>
      </c>
      <c r="N73" s="346">
        <f t="shared" si="18"/>
        <v>0</v>
      </c>
      <c r="O73" s="534">
        <f t="shared" si="19"/>
        <v>0</v>
      </c>
      <c r="P73" s="431">
        <f t="shared" si="20"/>
        <v>0</v>
      </c>
    </row>
    <row r="74" spans="1:16">
      <c r="A74" s="250"/>
      <c r="B74" s="250"/>
      <c r="C74" s="536"/>
      <c r="D74" s="537" t="str">
        <f>"Total incl Overhead - As Incurred "&amp;Assumptions!$C$8</f>
        <v>Total incl Overhead - As Incurred $ Mar 2017</v>
      </c>
      <c r="E74" s="517"/>
      <c r="F74" s="292">
        <f>+SUM(F64:F73)</f>
        <v>10558.845766147977</v>
      </c>
      <c r="G74" s="253">
        <f t="shared" ref="G74:N74" si="21">+SUM(G64:G73)</f>
        <v>958.73974706406136</v>
      </c>
      <c r="H74" s="253">
        <f t="shared" si="21"/>
        <v>967.91108594244076</v>
      </c>
      <c r="I74" s="411">
        <f t="shared" si="21"/>
        <v>0</v>
      </c>
      <c r="J74" s="382">
        <f t="shared" si="21"/>
        <v>0</v>
      </c>
      <c r="K74" s="382">
        <f t="shared" si="21"/>
        <v>0</v>
      </c>
      <c r="L74" s="382">
        <f t="shared" si="21"/>
        <v>0</v>
      </c>
      <c r="M74" s="382">
        <f t="shared" si="21"/>
        <v>0</v>
      </c>
      <c r="N74" s="519">
        <f t="shared" si="21"/>
        <v>0</v>
      </c>
      <c r="O74" s="292">
        <f>SUM(O64:O73)</f>
        <v>12485.496599154478</v>
      </c>
      <c r="P74" s="428">
        <f>SUM(P64:P73)</f>
        <v>0</v>
      </c>
    </row>
    <row r="75" spans="1:16">
      <c r="B75" s="250"/>
      <c r="E75" s="547" t="s">
        <v>50</v>
      </c>
      <c r="F75" s="548">
        <f>F74-F59</f>
        <v>0</v>
      </c>
      <c r="G75" s="548">
        <f t="shared" ref="G75:P75" si="22">G74-G59</f>
        <v>0</v>
      </c>
      <c r="H75" s="548">
        <f t="shared" si="22"/>
        <v>0</v>
      </c>
      <c r="I75" s="548">
        <f t="shared" si="22"/>
        <v>0</v>
      </c>
      <c r="J75" s="548">
        <f t="shared" si="22"/>
        <v>0</v>
      </c>
      <c r="K75" s="548">
        <f t="shared" si="22"/>
        <v>0</v>
      </c>
      <c r="L75" s="548">
        <f t="shared" si="22"/>
        <v>0</v>
      </c>
      <c r="M75" s="548">
        <f t="shared" si="22"/>
        <v>0</v>
      </c>
      <c r="N75" s="548">
        <f t="shared" si="22"/>
        <v>0</v>
      </c>
      <c r="O75" s="548">
        <f t="shared" si="22"/>
        <v>0</v>
      </c>
      <c r="P75" s="548">
        <f t="shared" si="22"/>
        <v>0</v>
      </c>
    </row>
    <row r="76" spans="1:16" hidden="1" outlineLevel="1">
      <c r="A76" s="250"/>
      <c r="B76" s="250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344">
        <f t="shared" ref="F76:N76" si="23">F14</f>
        <v>9613.3376854882408</v>
      </c>
      <c r="G76" s="344">
        <f t="shared" si="23"/>
        <v>887.54999999999927</v>
      </c>
      <c r="H76" s="344">
        <f t="shared" si="23"/>
        <v>881.54771073163465</v>
      </c>
      <c r="I76" s="531">
        <f t="shared" si="23"/>
        <v>0</v>
      </c>
      <c r="J76" s="344">
        <f t="shared" si="23"/>
        <v>0</v>
      </c>
      <c r="K76" s="344">
        <f t="shared" si="23"/>
        <v>0</v>
      </c>
      <c r="L76" s="344">
        <f t="shared" si="23"/>
        <v>0</v>
      </c>
      <c r="M76" s="344">
        <f t="shared" si="23"/>
        <v>0</v>
      </c>
      <c r="N76" s="345">
        <f t="shared" si="23"/>
        <v>0</v>
      </c>
      <c r="O76" s="549">
        <f>SUM(F76:N76)</f>
        <v>11382.435396219875</v>
      </c>
      <c r="P76" s="545">
        <f t="shared" ref="P76:P80" si="24">SUM(I76:M76)</f>
        <v>0</v>
      </c>
    </row>
    <row r="77" spans="1:16" hidden="1" outlineLevel="1">
      <c r="A77" s="250"/>
      <c r="B77" s="250"/>
      <c r="C77" s="453"/>
      <c r="D77" s="350" t="str">
        <f>"Labour &amp; Material Escalation - "&amp;Assumptions!C7</f>
        <v>Labour &amp; Material Escalation - $ 2015/16</v>
      </c>
      <c r="E77" s="454"/>
      <c r="F77" s="290">
        <f>IF(F$10="Prior",0,IF(AND(F76&lt;&gt;0,SUM(E76:$F76)=0),F76/SUM($F$76:F76)*F61,IF(F76&lt;&gt;0,SUM($F$76:F76)/SUM($F$11:F11)*F61-E83,0)))</f>
        <v>0</v>
      </c>
      <c r="G77" s="290">
        <f>IF(G$10="Prior",0,IF(AND(G76&lt;&gt;0,SUM($F76:F76)=0),G76/SUM($F$76:G76)*G61,IF(G76&lt;&gt;0,SUM($F$76:G76)/SUM($F$11:G11)*G61-F83,0)))</f>
        <v>2.3409131250000033</v>
      </c>
      <c r="H77" s="290">
        <f>IF(H$10="Prior",0,IF(AND(H76&lt;&gt;0,SUM($F76:G76)=0),H76/SUM($F$76:H76)*H61,IF(H76&lt;&gt;0,SUM($F$76:H76)/SUM($F$11:H11)*H61-G83,0)))</f>
        <v>5.8424210890308323</v>
      </c>
      <c r="I77" s="512">
        <f>IF(I$10="Prior",0,IF(AND(I76&lt;&gt;0,SUM($F76:H76)=0),I76/SUM($F$76:I76)*I61,IF(I76&lt;&gt;0,SUM($F$76:I76)/SUM($F$11:I11)*I61-H83,0)))</f>
        <v>0</v>
      </c>
      <c r="J77" s="290">
        <f>IF(J$10="Prior",0,IF(AND(J76&lt;&gt;0,SUM($F76:I76)=0),J76/SUM($F$76:J76)*J61,IF(J76&lt;&gt;0,SUM($F$76:J76)/SUM($F$11:J11)*J61-I83,0)))</f>
        <v>0</v>
      </c>
      <c r="K77" s="290">
        <f>IF(K$10="Prior",0,IF(AND(K76&lt;&gt;0,SUM($F76:J76)=0),K76/SUM($F$76:K76)*K61,IF(K76&lt;&gt;0,SUM($F$76:K76)/SUM($F$11:K11)*K61-J83,0)))</f>
        <v>0</v>
      </c>
      <c r="L77" s="290">
        <f>IF(L$10="Prior",0,IF(AND(L76&lt;&gt;0,SUM($F76:K76)=0),L76/SUM($F$76:L76)*L61,IF(L76&lt;&gt;0,SUM($F$76:L76)/SUM($F$11:L11)*L61-K83,0)))</f>
        <v>0</v>
      </c>
      <c r="M77" s="290">
        <f>IF(M$10="Prior",0,IF(AND(M76&lt;&gt;0,SUM($F76:L76)=0),M76/SUM($F$76:M76)*M61,IF(M76&lt;&gt;0,SUM($F$76:M76)/SUM($F$11:M11)*M61-L83,0)))</f>
        <v>0</v>
      </c>
      <c r="N77" s="346">
        <f>IF(N$10="Prior",0,IF(AND(N76&lt;&gt;0,SUM($F76:M76)=0),N76/SUM($F$76:N76)*N61,IF(N76&lt;&gt;0,SUM($F$76:N76)/SUM($F$11:N11)*N61-M83,0)))</f>
        <v>0</v>
      </c>
      <c r="O77" s="550">
        <f>SUM(F77:N77)</f>
        <v>8.1833342140308361</v>
      </c>
      <c r="P77" s="551">
        <f t="shared" si="24"/>
        <v>0</v>
      </c>
    </row>
    <row r="78" spans="1:16" hidden="1" outlineLevel="1">
      <c r="A78" s="250"/>
      <c r="B78" s="250"/>
      <c r="C78" s="453"/>
      <c r="D78" s="470" t="str">
        <f>"Total Direct Expenditure - "&amp;Assumptions!C7</f>
        <v>Total Direct Expenditure - $ 2015/16</v>
      </c>
      <c r="E78" s="471"/>
      <c r="F78" s="552">
        <f>SUM(F76:F77)</f>
        <v>9613.3376854882408</v>
      </c>
      <c r="G78" s="553">
        <f t="shared" ref="G78:N78" si="25">SUM(G76:G77)</f>
        <v>889.89091312499932</v>
      </c>
      <c r="H78" s="553">
        <f t="shared" si="25"/>
        <v>887.39013182066549</v>
      </c>
      <c r="I78" s="554">
        <f t="shared" si="25"/>
        <v>0</v>
      </c>
      <c r="J78" s="553">
        <f t="shared" si="25"/>
        <v>0</v>
      </c>
      <c r="K78" s="553">
        <f t="shared" si="25"/>
        <v>0</v>
      </c>
      <c r="L78" s="553">
        <f t="shared" si="25"/>
        <v>0</v>
      </c>
      <c r="M78" s="553">
        <f t="shared" si="25"/>
        <v>0</v>
      </c>
      <c r="N78" s="555">
        <f t="shared" si="25"/>
        <v>0</v>
      </c>
      <c r="O78" s="556">
        <f>SUM(F78:N78)</f>
        <v>11390.618730433907</v>
      </c>
      <c r="P78" s="557">
        <f t="shared" si="24"/>
        <v>0</v>
      </c>
    </row>
    <row r="79" spans="1:16" hidden="1" outlineLevel="1">
      <c r="A79" s="250"/>
      <c r="B79" s="250"/>
      <c r="C79" s="453"/>
      <c r="D79" s="470" t="str">
        <f>"Total Direct Expenditure - "&amp;Assumptions!C8</f>
        <v>Total Direct Expenditure - $ Mar 2017</v>
      </c>
      <c r="E79" s="471"/>
      <c r="F79" s="552">
        <f>F78*Assumptions!$G$21</f>
        <v>9775.9693380622903</v>
      </c>
      <c r="G79" s="553">
        <f>G78*Assumptions!$G$21</f>
        <v>904.9454586477907</v>
      </c>
      <c r="H79" s="553">
        <f>H78*Assumptions!$G$21</f>
        <v>902.4023708928197</v>
      </c>
      <c r="I79" s="554">
        <f>I78*Assumptions!$G$21</f>
        <v>0</v>
      </c>
      <c r="J79" s="553">
        <f>J78*Assumptions!$G$21</f>
        <v>0</v>
      </c>
      <c r="K79" s="553">
        <f>K78*Assumptions!$G$21</f>
        <v>0</v>
      </c>
      <c r="L79" s="553">
        <f>L78*Assumptions!$G$21</f>
        <v>0</v>
      </c>
      <c r="M79" s="553">
        <f>M78*Assumptions!$G$21</f>
        <v>0</v>
      </c>
      <c r="N79" s="555">
        <f>N78*Assumptions!$G$21</f>
        <v>0</v>
      </c>
      <c r="O79" s="556">
        <f>SUM(F79:N79)</f>
        <v>11583.317167602901</v>
      </c>
      <c r="P79" s="557">
        <f t="shared" si="24"/>
        <v>0</v>
      </c>
    </row>
    <row r="80" spans="1:16" hidden="1" outlineLevel="1">
      <c r="A80" s="250"/>
      <c r="B80" s="250"/>
      <c r="C80" s="258"/>
      <c r="D80" s="354" t="s">
        <v>264</v>
      </c>
      <c r="E80" s="312"/>
      <c r="F80" s="290">
        <f>IF(F$10="Prior",F79*F56,IF(AND(F79&lt;&gt;0,SUM(E79:$F79)=0),F79/SUM($F$54:F54)*F60,IF(F79&lt;&gt;0,SUM($F$79:F79)/SUM($F$54:F54)*F60-E82,0)))</f>
        <v>782.87642808568592</v>
      </c>
      <c r="G80" s="290">
        <f>IF(G$10="Prior",G79*G56,IF(AND(G79&lt;&gt;0,SUM($F79:F79)=0),G79/SUM($F$54:G54)*G60,IF(G79&lt;&gt;0,SUM($F$79:G79)/SUM($F$54:G54)*G60-F82,0)))</f>
        <v>53.794288416269978</v>
      </c>
      <c r="H80" s="290">
        <f>IF(H$10="Prior",H79*H56,IF(AND(H79&lt;&gt;0,SUM($F79:G79)=0),H79/SUM($F$54:H54)*H60,IF(H79&lt;&gt;0,SUM($F$79:H79)/SUM($F$54:H54)*H60-G82,0)))</f>
        <v>65.508715049621401</v>
      </c>
      <c r="I80" s="512">
        <f>IF(I$10="Prior",I79*I56,IF(AND(I79&lt;&gt;0,SUM($F79:H79)=0),I79/SUM($F$54:I54)*I60,IF(I79&lt;&gt;0,SUM($F$79:I79)/SUM($F$54:I54)*I60-H82,0)))</f>
        <v>0</v>
      </c>
      <c r="J80" s="290">
        <f>IF(J$10="Prior",J79*J56,IF(AND(J79&lt;&gt;0,SUM($F79:I79)=0),J79/SUM($F$54:J54)*J60,IF(J79&lt;&gt;0,SUM($F$79:J79)/SUM($F$54:J54)*J60-I82,0)))</f>
        <v>0</v>
      </c>
      <c r="K80" s="290">
        <f>IF(K$10="Prior",K79*K56,IF(AND(K79&lt;&gt;0,SUM($F79:J79)=0),K79/SUM($F$54:K54)*K60,IF(K79&lt;&gt;0,SUM($F$79:K79)/SUM($F$54:K54)*K60-J82,0)))</f>
        <v>0</v>
      </c>
      <c r="L80" s="290">
        <f>IF(L$10="Prior",L79*L56,IF(AND(L79&lt;&gt;0,SUM($F79:K79)=0),L79/SUM($F$54:L54)*L60,IF(L79&lt;&gt;0,SUM($F$79:L79)/SUM($F$54:L54)*L60-K82,0)))</f>
        <v>0</v>
      </c>
      <c r="M80" s="290">
        <f>IF(M$10="Prior",M79*M56,IF(AND(M79&lt;&gt;0,SUM($F79:L79)=0),M79/SUM($F$54:M54)*M60,IF(M79&lt;&gt;0,SUM($F$79:M79)/SUM($F$54:M54)*M60-L82,0)))</f>
        <v>0</v>
      </c>
      <c r="N80" s="346">
        <f>IF(N$10="Prior",N79*N56,IF(AND(N79&lt;&gt;0,SUM($F79:M79)=0),N79/SUM($F$54:N54)*N60,IF(N79&lt;&gt;0,SUM($F$79:N79)/SUM($F$54:N54)*N60-M82,0)))</f>
        <v>0</v>
      </c>
      <c r="O80" s="550">
        <f>SUM(F80:N80)</f>
        <v>902.1794315515773</v>
      </c>
      <c r="P80" s="497">
        <f t="shared" si="24"/>
        <v>0</v>
      </c>
    </row>
    <row r="81" spans="1:17" hidden="1" outlineLevel="1">
      <c r="A81" s="250"/>
      <c r="B81" s="250"/>
      <c r="C81" s="536"/>
      <c r="D81" s="537" t="str">
        <f>"Total incl Overhead - As commissioned "&amp;Assumptions!$C$8</f>
        <v>Total incl Overhead - As commissioned $ Mar 2017</v>
      </c>
      <c r="E81" s="517"/>
      <c r="F81" s="558">
        <f>SUM(F79:F80)</f>
        <v>10558.845766147977</v>
      </c>
      <c r="G81" s="559">
        <f t="shared" ref="G81:P81" si="26">SUM(G79:G80)</f>
        <v>958.73974706406068</v>
      </c>
      <c r="H81" s="559">
        <f t="shared" si="26"/>
        <v>967.9110859424411</v>
      </c>
      <c r="I81" s="560">
        <f t="shared" si="26"/>
        <v>0</v>
      </c>
      <c r="J81" s="559">
        <f t="shared" si="26"/>
        <v>0</v>
      </c>
      <c r="K81" s="559">
        <f t="shared" si="26"/>
        <v>0</v>
      </c>
      <c r="L81" s="559">
        <f t="shared" si="26"/>
        <v>0</v>
      </c>
      <c r="M81" s="559">
        <f t="shared" si="26"/>
        <v>0</v>
      </c>
      <c r="N81" s="561">
        <f t="shared" si="26"/>
        <v>0</v>
      </c>
      <c r="O81" s="562">
        <f t="shared" si="26"/>
        <v>12485.49659915448</v>
      </c>
      <c r="P81" s="563">
        <f t="shared" si="26"/>
        <v>0</v>
      </c>
    </row>
    <row r="82" spans="1:17" hidden="1" outlineLevel="1">
      <c r="A82" s="250"/>
      <c r="B82" s="250"/>
      <c r="C82" s="250"/>
      <c r="D82" s="251" t="s">
        <v>286</v>
      </c>
      <c r="E82" s="251"/>
      <c r="F82" s="252">
        <f>F80</f>
        <v>782.87642808568592</v>
      </c>
      <c r="G82" s="252">
        <f t="shared" ref="G82:N82" si="27">G80+F82</f>
        <v>836.67071650195589</v>
      </c>
      <c r="H82" s="252">
        <f t="shared" si="27"/>
        <v>902.1794315515773</v>
      </c>
      <c r="I82" s="252">
        <f t="shared" si="27"/>
        <v>902.1794315515773</v>
      </c>
      <c r="J82" s="252">
        <f t="shared" si="27"/>
        <v>902.1794315515773</v>
      </c>
      <c r="K82" s="252">
        <f t="shared" si="27"/>
        <v>902.1794315515773</v>
      </c>
      <c r="L82" s="252">
        <f t="shared" si="27"/>
        <v>902.1794315515773</v>
      </c>
      <c r="M82" s="252">
        <f t="shared" si="27"/>
        <v>902.1794315515773</v>
      </c>
      <c r="N82" s="252">
        <f t="shared" si="27"/>
        <v>902.1794315515773</v>
      </c>
      <c r="O82" s="543"/>
    </row>
    <row r="83" spans="1:17" hidden="1" outlineLevel="1">
      <c r="A83" s="250"/>
      <c r="B83" s="250"/>
      <c r="C83" s="250"/>
      <c r="D83" s="251" t="s">
        <v>287</v>
      </c>
      <c r="E83" s="251"/>
      <c r="F83" s="252">
        <f>F77</f>
        <v>0</v>
      </c>
      <c r="G83" s="252">
        <f t="shared" ref="G83:N83" si="28">G77+F83</f>
        <v>2.3409131250000033</v>
      </c>
      <c r="H83" s="252">
        <f t="shared" si="28"/>
        <v>8.1833342140308361</v>
      </c>
      <c r="I83" s="252">
        <f t="shared" si="28"/>
        <v>8.1833342140308361</v>
      </c>
      <c r="J83" s="252">
        <f t="shared" si="28"/>
        <v>8.1833342140308361</v>
      </c>
      <c r="K83" s="252">
        <f t="shared" si="28"/>
        <v>8.1833342140308361</v>
      </c>
      <c r="L83" s="252">
        <f t="shared" si="28"/>
        <v>8.1833342140308361</v>
      </c>
      <c r="M83" s="252">
        <f t="shared" si="28"/>
        <v>8.1833342140308361</v>
      </c>
      <c r="N83" s="252">
        <f t="shared" si="28"/>
        <v>8.1833342140308361</v>
      </c>
      <c r="O83" s="543"/>
    </row>
    <row r="84" spans="1:17" collapsed="1">
      <c r="A84" s="250"/>
      <c r="B84" s="250"/>
      <c r="C84" s="540" t="s">
        <v>276</v>
      </c>
    </row>
    <row r="85" spans="1:17">
      <c r="B85" s="250"/>
      <c r="C85" s="257" t="s">
        <v>23</v>
      </c>
      <c r="D85" s="353" t="s">
        <v>3</v>
      </c>
      <c r="E85" s="530"/>
      <c r="F85" s="343">
        <f t="shared" ref="F85:N94" si="29">IF($O$74=0,0,F$81/$O$81*$O$74*F17)</f>
        <v>0</v>
      </c>
      <c r="G85" s="344">
        <f t="shared" si="29"/>
        <v>0</v>
      </c>
      <c r="H85" s="344">
        <f t="shared" si="29"/>
        <v>0</v>
      </c>
      <c r="I85" s="415">
        <f t="shared" si="29"/>
        <v>0</v>
      </c>
      <c r="J85" s="380">
        <f t="shared" si="29"/>
        <v>0</v>
      </c>
      <c r="K85" s="380">
        <f t="shared" si="29"/>
        <v>0</v>
      </c>
      <c r="L85" s="380">
        <f t="shared" si="29"/>
        <v>0</v>
      </c>
      <c r="M85" s="380">
        <f t="shared" si="29"/>
        <v>0</v>
      </c>
      <c r="N85" s="345">
        <f t="shared" si="29"/>
        <v>0</v>
      </c>
      <c r="O85" s="532">
        <f>SUM(F85:N85)</f>
        <v>0</v>
      </c>
      <c r="P85" s="430">
        <f t="shared" ref="P85:P94" si="30">SUM(I85:M85)</f>
        <v>0</v>
      </c>
    </row>
    <row r="86" spans="1:17">
      <c r="C86" s="258" t="s">
        <v>24</v>
      </c>
      <c r="D86" s="350" t="s">
        <v>4</v>
      </c>
      <c r="E86" s="313"/>
      <c r="F86" s="294">
        <f t="shared" si="29"/>
        <v>0</v>
      </c>
      <c r="G86" s="290">
        <f t="shared" si="29"/>
        <v>0</v>
      </c>
      <c r="H86" s="290">
        <f t="shared" si="29"/>
        <v>0</v>
      </c>
      <c r="I86" s="416">
        <f t="shared" si="29"/>
        <v>0</v>
      </c>
      <c r="J86" s="381">
        <f t="shared" si="29"/>
        <v>0</v>
      </c>
      <c r="K86" s="381">
        <f t="shared" si="29"/>
        <v>0</v>
      </c>
      <c r="L86" s="381">
        <f t="shared" si="29"/>
        <v>0</v>
      </c>
      <c r="M86" s="381">
        <f t="shared" si="29"/>
        <v>0</v>
      </c>
      <c r="N86" s="346">
        <f t="shared" si="29"/>
        <v>0</v>
      </c>
      <c r="O86" s="534">
        <f t="shared" ref="O86:O94" si="31">SUM(F86:N86)</f>
        <v>0</v>
      </c>
      <c r="P86" s="431">
        <f t="shared" si="30"/>
        <v>0</v>
      </c>
    </row>
    <row r="87" spans="1:17">
      <c r="C87" s="258" t="s">
        <v>26</v>
      </c>
      <c r="D87" s="350" t="s">
        <v>5</v>
      </c>
      <c r="E87" s="313"/>
      <c r="F87" s="294">
        <f t="shared" si="29"/>
        <v>10558.845766147975</v>
      </c>
      <c r="G87" s="290">
        <f t="shared" si="29"/>
        <v>958.73974706406045</v>
      </c>
      <c r="H87" s="290">
        <f t="shared" si="29"/>
        <v>967.91108594244088</v>
      </c>
      <c r="I87" s="416">
        <f t="shared" si="29"/>
        <v>0</v>
      </c>
      <c r="J87" s="381">
        <f t="shared" si="29"/>
        <v>0</v>
      </c>
      <c r="K87" s="381">
        <f t="shared" si="29"/>
        <v>0</v>
      </c>
      <c r="L87" s="381">
        <f t="shared" si="29"/>
        <v>0</v>
      </c>
      <c r="M87" s="381">
        <f t="shared" si="29"/>
        <v>0</v>
      </c>
      <c r="N87" s="346">
        <f t="shared" si="29"/>
        <v>0</v>
      </c>
      <c r="O87" s="534">
        <f t="shared" si="31"/>
        <v>12485.496599154478</v>
      </c>
      <c r="P87" s="431">
        <f t="shared" si="30"/>
        <v>0</v>
      </c>
    </row>
    <row r="88" spans="1:17">
      <c r="C88" s="258"/>
      <c r="D88" s="350" t="s">
        <v>6</v>
      </c>
      <c r="E88" s="313"/>
      <c r="F88" s="294">
        <f t="shared" si="29"/>
        <v>0</v>
      </c>
      <c r="G88" s="290">
        <f t="shared" si="29"/>
        <v>0</v>
      </c>
      <c r="H88" s="290">
        <f t="shared" si="29"/>
        <v>0</v>
      </c>
      <c r="I88" s="416">
        <f t="shared" si="29"/>
        <v>0</v>
      </c>
      <c r="J88" s="381">
        <f t="shared" si="29"/>
        <v>0</v>
      </c>
      <c r="K88" s="381">
        <f t="shared" si="29"/>
        <v>0</v>
      </c>
      <c r="L88" s="381">
        <f t="shared" si="29"/>
        <v>0</v>
      </c>
      <c r="M88" s="381">
        <f t="shared" si="29"/>
        <v>0</v>
      </c>
      <c r="N88" s="346">
        <f t="shared" si="29"/>
        <v>0</v>
      </c>
      <c r="O88" s="534">
        <f t="shared" si="31"/>
        <v>0</v>
      </c>
      <c r="P88" s="431">
        <f t="shared" si="30"/>
        <v>0</v>
      </c>
    </row>
    <row r="89" spans="1:17">
      <c r="C89" s="258"/>
      <c r="D89" s="350" t="s">
        <v>7</v>
      </c>
      <c r="E89" s="313"/>
      <c r="F89" s="294">
        <f t="shared" si="29"/>
        <v>0</v>
      </c>
      <c r="G89" s="290">
        <f t="shared" si="29"/>
        <v>0</v>
      </c>
      <c r="H89" s="290">
        <f t="shared" si="29"/>
        <v>0</v>
      </c>
      <c r="I89" s="416">
        <f t="shared" si="29"/>
        <v>0</v>
      </c>
      <c r="J89" s="381">
        <f t="shared" si="29"/>
        <v>0</v>
      </c>
      <c r="K89" s="381">
        <f t="shared" si="29"/>
        <v>0</v>
      </c>
      <c r="L89" s="381">
        <f t="shared" si="29"/>
        <v>0</v>
      </c>
      <c r="M89" s="381">
        <f t="shared" si="29"/>
        <v>0</v>
      </c>
      <c r="N89" s="346">
        <f t="shared" si="29"/>
        <v>0</v>
      </c>
      <c r="O89" s="534">
        <f t="shared" si="31"/>
        <v>0</v>
      </c>
      <c r="P89" s="431">
        <f t="shared" si="30"/>
        <v>0</v>
      </c>
    </row>
    <row r="90" spans="1:17">
      <c r="C90" s="258"/>
      <c r="D90" s="350" t="s">
        <v>8</v>
      </c>
      <c r="E90" s="313"/>
      <c r="F90" s="294">
        <f t="shared" si="29"/>
        <v>0</v>
      </c>
      <c r="G90" s="290">
        <f t="shared" si="29"/>
        <v>0</v>
      </c>
      <c r="H90" s="290">
        <f t="shared" si="29"/>
        <v>0</v>
      </c>
      <c r="I90" s="416">
        <f t="shared" si="29"/>
        <v>0</v>
      </c>
      <c r="J90" s="381">
        <f t="shared" si="29"/>
        <v>0</v>
      </c>
      <c r="K90" s="381">
        <f t="shared" si="29"/>
        <v>0</v>
      </c>
      <c r="L90" s="381">
        <f t="shared" si="29"/>
        <v>0</v>
      </c>
      <c r="M90" s="381">
        <f t="shared" si="29"/>
        <v>0</v>
      </c>
      <c r="N90" s="346">
        <f t="shared" si="29"/>
        <v>0</v>
      </c>
      <c r="O90" s="534">
        <f t="shared" si="31"/>
        <v>0</v>
      </c>
      <c r="P90" s="431">
        <f t="shared" si="30"/>
        <v>0</v>
      </c>
    </row>
    <row r="91" spans="1:17">
      <c r="C91" s="258"/>
      <c r="D91" s="350" t="s">
        <v>9</v>
      </c>
      <c r="E91" s="313"/>
      <c r="F91" s="294">
        <f t="shared" si="29"/>
        <v>0</v>
      </c>
      <c r="G91" s="290">
        <f t="shared" si="29"/>
        <v>0</v>
      </c>
      <c r="H91" s="290">
        <f t="shared" si="29"/>
        <v>0</v>
      </c>
      <c r="I91" s="416">
        <f t="shared" si="29"/>
        <v>0</v>
      </c>
      <c r="J91" s="381">
        <f t="shared" si="29"/>
        <v>0</v>
      </c>
      <c r="K91" s="381">
        <f t="shared" si="29"/>
        <v>0</v>
      </c>
      <c r="L91" s="381">
        <f t="shared" si="29"/>
        <v>0</v>
      </c>
      <c r="M91" s="381">
        <f t="shared" si="29"/>
        <v>0</v>
      </c>
      <c r="N91" s="346">
        <f t="shared" si="29"/>
        <v>0</v>
      </c>
      <c r="O91" s="534">
        <f t="shared" si="31"/>
        <v>0</v>
      </c>
      <c r="P91" s="431">
        <f t="shared" si="30"/>
        <v>0</v>
      </c>
    </row>
    <row r="92" spans="1:17">
      <c r="C92" s="258"/>
      <c r="D92" s="350" t="s">
        <v>10</v>
      </c>
      <c r="E92" s="313"/>
      <c r="F92" s="294">
        <f t="shared" si="29"/>
        <v>0</v>
      </c>
      <c r="G92" s="290">
        <f t="shared" si="29"/>
        <v>0</v>
      </c>
      <c r="H92" s="290">
        <f t="shared" si="29"/>
        <v>0</v>
      </c>
      <c r="I92" s="416">
        <f t="shared" si="29"/>
        <v>0</v>
      </c>
      <c r="J92" s="381">
        <f t="shared" si="29"/>
        <v>0</v>
      </c>
      <c r="K92" s="381">
        <f t="shared" si="29"/>
        <v>0</v>
      </c>
      <c r="L92" s="381">
        <f t="shared" si="29"/>
        <v>0</v>
      </c>
      <c r="M92" s="381">
        <f t="shared" si="29"/>
        <v>0</v>
      </c>
      <c r="N92" s="346">
        <f t="shared" si="29"/>
        <v>0</v>
      </c>
      <c r="O92" s="534">
        <f t="shared" si="31"/>
        <v>0</v>
      </c>
      <c r="P92" s="431">
        <f t="shared" si="30"/>
        <v>0</v>
      </c>
    </row>
    <row r="93" spans="1:17">
      <c r="C93" s="258"/>
      <c r="D93" s="350" t="s">
        <v>11</v>
      </c>
      <c r="E93" s="313"/>
      <c r="F93" s="294">
        <f t="shared" si="29"/>
        <v>0</v>
      </c>
      <c r="G93" s="290">
        <f t="shared" si="29"/>
        <v>0</v>
      </c>
      <c r="H93" s="290">
        <f t="shared" si="29"/>
        <v>0</v>
      </c>
      <c r="I93" s="416">
        <f t="shared" si="29"/>
        <v>0</v>
      </c>
      <c r="J93" s="381">
        <f t="shared" si="29"/>
        <v>0</v>
      </c>
      <c r="K93" s="381">
        <f t="shared" si="29"/>
        <v>0</v>
      </c>
      <c r="L93" s="381">
        <f t="shared" si="29"/>
        <v>0</v>
      </c>
      <c r="M93" s="381">
        <f t="shared" si="29"/>
        <v>0</v>
      </c>
      <c r="N93" s="346">
        <f t="shared" si="29"/>
        <v>0</v>
      </c>
      <c r="O93" s="534">
        <f t="shared" si="31"/>
        <v>0</v>
      </c>
      <c r="P93" s="431">
        <f t="shared" si="30"/>
        <v>0</v>
      </c>
    </row>
    <row r="94" spans="1:17">
      <c r="C94" s="258"/>
      <c r="D94" s="350" t="s">
        <v>12</v>
      </c>
      <c r="E94" s="313"/>
      <c r="F94" s="294">
        <f t="shared" si="29"/>
        <v>0</v>
      </c>
      <c r="G94" s="290">
        <f t="shared" si="29"/>
        <v>0</v>
      </c>
      <c r="H94" s="290">
        <f t="shared" si="29"/>
        <v>0</v>
      </c>
      <c r="I94" s="416">
        <f t="shared" si="29"/>
        <v>0</v>
      </c>
      <c r="J94" s="381">
        <f t="shared" si="29"/>
        <v>0</v>
      </c>
      <c r="K94" s="381">
        <f t="shared" si="29"/>
        <v>0</v>
      </c>
      <c r="L94" s="381">
        <f t="shared" si="29"/>
        <v>0</v>
      </c>
      <c r="M94" s="381">
        <f t="shared" si="29"/>
        <v>0</v>
      </c>
      <c r="N94" s="346">
        <f t="shared" si="29"/>
        <v>0</v>
      </c>
      <c r="O94" s="534">
        <f t="shared" si="31"/>
        <v>0</v>
      </c>
      <c r="P94" s="431">
        <f t="shared" si="30"/>
        <v>0</v>
      </c>
    </row>
    <row r="95" spans="1:17">
      <c r="C95" s="536"/>
      <c r="D95" s="537" t="str">
        <f>"Total incl Overhead - As commissioned "&amp;Assumptions!$C$8</f>
        <v>Total incl Overhead - As commissioned $ Mar 2017</v>
      </c>
      <c r="E95" s="517"/>
      <c r="F95" s="292">
        <f>+SUM(F85:F94)</f>
        <v>10558.845766147975</v>
      </c>
      <c r="G95" s="253">
        <f t="shared" ref="G95" si="32">+SUM(G85:G94)</f>
        <v>958.73974706406045</v>
      </c>
      <c r="H95" s="253">
        <f t="shared" ref="H95:N95" si="33">+SUM(H85:H94)</f>
        <v>967.91108594244088</v>
      </c>
      <c r="I95" s="411">
        <f t="shared" si="33"/>
        <v>0</v>
      </c>
      <c r="J95" s="382">
        <f t="shared" si="33"/>
        <v>0</v>
      </c>
      <c r="K95" s="382">
        <f t="shared" si="33"/>
        <v>0</v>
      </c>
      <c r="L95" s="382">
        <f t="shared" si="33"/>
        <v>0</v>
      </c>
      <c r="M95" s="382">
        <f t="shared" si="33"/>
        <v>0</v>
      </c>
      <c r="N95" s="286">
        <f t="shared" si="33"/>
        <v>0</v>
      </c>
      <c r="O95" s="292">
        <f>SUM(O85:O94)</f>
        <v>12485.496599154478</v>
      </c>
      <c r="P95" s="428">
        <f>SUM(P85:P94)</f>
        <v>0</v>
      </c>
      <c r="Q95" s="564"/>
    </row>
    <row r="96" spans="1:17">
      <c r="E96" s="547" t="s">
        <v>50</v>
      </c>
      <c r="F96" s="452">
        <f>F95-F81</f>
        <v>0</v>
      </c>
      <c r="G96" s="452">
        <f t="shared" ref="G96:P96" si="34">G95-G81</f>
        <v>0</v>
      </c>
      <c r="H96" s="452">
        <f t="shared" si="34"/>
        <v>0</v>
      </c>
      <c r="I96" s="452">
        <f t="shared" si="34"/>
        <v>0</v>
      </c>
      <c r="J96" s="452">
        <f t="shared" si="34"/>
        <v>0</v>
      </c>
      <c r="K96" s="452">
        <f t="shared" si="34"/>
        <v>0</v>
      </c>
      <c r="L96" s="452">
        <f t="shared" si="34"/>
        <v>0</v>
      </c>
      <c r="M96" s="452">
        <f t="shared" si="34"/>
        <v>0</v>
      </c>
      <c r="N96" s="452">
        <f t="shared" si="34"/>
        <v>0</v>
      </c>
      <c r="O96" s="452">
        <f t="shared" si="34"/>
        <v>0</v>
      </c>
      <c r="P96" s="452">
        <f t="shared" si="34"/>
        <v>0</v>
      </c>
    </row>
    <row r="97" spans="3:16">
      <c r="C97" s="565"/>
      <c r="D97" s="251"/>
      <c r="F97" s="252"/>
      <c r="G97" s="252"/>
      <c r="H97" s="252"/>
      <c r="I97" s="252"/>
      <c r="J97" s="252"/>
      <c r="K97" s="252"/>
      <c r="L97" s="252"/>
      <c r="M97" s="252"/>
      <c r="N97" s="252"/>
      <c r="O97" s="566">
        <f>O95-O74</f>
        <v>0</v>
      </c>
      <c r="P97" s="565"/>
    </row>
    <row r="98" spans="3:16" hidden="1" outlineLevel="1">
      <c r="C98" s="236" t="s">
        <v>452</v>
      </c>
      <c r="F98" s="452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6" t="s">
        <v>451</v>
      </c>
      <c r="D99" s="236" t="s">
        <v>379</v>
      </c>
      <c r="F99" s="252"/>
      <c r="G99" s="487">
        <f>0.5*G21</f>
        <v>0</v>
      </c>
      <c r="H99" s="487">
        <f t="shared" ref="H99:N99" si="35">0.5*H21</f>
        <v>0</v>
      </c>
      <c r="I99" s="487">
        <f t="shared" si="35"/>
        <v>0</v>
      </c>
      <c r="J99" s="487">
        <f t="shared" si="35"/>
        <v>0</v>
      </c>
      <c r="K99" s="487">
        <f t="shared" si="35"/>
        <v>0</v>
      </c>
      <c r="L99" s="487">
        <f t="shared" si="35"/>
        <v>0</v>
      </c>
      <c r="M99" s="487">
        <f t="shared" si="35"/>
        <v>0</v>
      </c>
      <c r="N99" s="487">
        <f t="shared" si="35"/>
        <v>0</v>
      </c>
    </row>
    <row r="100" spans="3:16" hidden="1" outlineLevel="1">
      <c r="D100" s="236" t="s">
        <v>380</v>
      </c>
      <c r="F100" s="452"/>
      <c r="G100" s="487">
        <v>0</v>
      </c>
      <c r="H100" s="487">
        <v>0</v>
      </c>
      <c r="I100" s="487">
        <v>0</v>
      </c>
      <c r="J100" s="487">
        <v>0</v>
      </c>
      <c r="K100" s="487">
        <v>0</v>
      </c>
      <c r="L100" s="487">
        <v>0</v>
      </c>
      <c r="M100" s="487">
        <v>0</v>
      </c>
      <c r="N100" s="487">
        <v>0</v>
      </c>
    </row>
    <row r="101" spans="3:16" hidden="1" outlineLevel="1">
      <c r="D101" s="236" t="s">
        <v>381</v>
      </c>
      <c r="G101" s="487">
        <f>0.5*G21</f>
        <v>0</v>
      </c>
      <c r="H101" s="487">
        <f t="shared" ref="H101:N101" si="36">0.5*H21</f>
        <v>0</v>
      </c>
      <c r="I101" s="487">
        <f t="shared" si="36"/>
        <v>0</v>
      </c>
      <c r="J101" s="487">
        <f t="shared" si="36"/>
        <v>0</v>
      </c>
      <c r="K101" s="487">
        <f t="shared" si="36"/>
        <v>0</v>
      </c>
      <c r="L101" s="487">
        <f t="shared" si="36"/>
        <v>0</v>
      </c>
      <c r="M101" s="487">
        <f t="shared" si="36"/>
        <v>0</v>
      </c>
      <c r="N101" s="487">
        <f t="shared" si="36"/>
        <v>0</v>
      </c>
    </row>
    <row r="102" spans="3:16" hidden="1" outlineLevel="1">
      <c r="D102" s="236" t="s">
        <v>382</v>
      </c>
      <c r="F102" s="452"/>
      <c r="G102" s="487">
        <v>0</v>
      </c>
      <c r="H102" s="487">
        <v>0</v>
      </c>
      <c r="I102" s="487">
        <v>0</v>
      </c>
      <c r="J102" s="487">
        <v>0</v>
      </c>
      <c r="K102" s="487">
        <v>0</v>
      </c>
      <c r="L102" s="487">
        <v>0</v>
      </c>
      <c r="M102" s="487">
        <v>0</v>
      </c>
      <c r="N102" s="487">
        <v>0</v>
      </c>
    </row>
    <row r="103" spans="3:16" hidden="1" outlineLevel="1">
      <c r="D103" s="236" t="s">
        <v>383</v>
      </c>
      <c r="F103" s="452"/>
      <c r="G103" s="487">
        <f>G18</f>
        <v>0</v>
      </c>
      <c r="H103" s="487">
        <f t="shared" ref="H103:N105" si="37">H18</f>
        <v>0</v>
      </c>
      <c r="I103" s="487">
        <f t="shared" si="37"/>
        <v>0</v>
      </c>
      <c r="J103" s="487">
        <f t="shared" si="37"/>
        <v>0</v>
      </c>
      <c r="K103" s="487">
        <f t="shared" si="37"/>
        <v>0</v>
      </c>
      <c r="L103" s="487">
        <f t="shared" si="37"/>
        <v>0</v>
      </c>
      <c r="M103" s="487">
        <f t="shared" si="37"/>
        <v>0</v>
      </c>
      <c r="N103" s="487">
        <f t="shared" si="37"/>
        <v>0</v>
      </c>
    </row>
    <row r="104" spans="3:16" hidden="1" outlineLevel="1">
      <c r="D104" s="236" t="s">
        <v>384</v>
      </c>
      <c r="G104" s="487">
        <f>G19</f>
        <v>1</v>
      </c>
      <c r="H104" s="487">
        <f t="shared" si="37"/>
        <v>1</v>
      </c>
      <c r="I104" s="487">
        <f t="shared" si="37"/>
        <v>1</v>
      </c>
      <c r="J104" s="487">
        <f t="shared" si="37"/>
        <v>1</v>
      </c>
      <c r="K104" s="487">
        <f t="shared" si="37"/>
        <v>1</v>
      </c>
      <c r="L104" s="487">
        <f t="shared" si="37"/>
        <v>1</v>
      </c>
      <c r="M104" s="487">
        <f t="shared" si="37"/>
        <v>1</v>
      </c>
      <c r="N104" s="487">
        <f t="shared" si="37"/>
        <v>1</v>
      </c>
    </row>
    <row r="105" spans="3:16" hidden="1" outlineLevel="1">
      <c r="D105" s="236" t="s">
        <v>385</v>
      </c>
      <c r="G105" s="487">
        <f>G20</f>
        <v>0</v>
      </c>
      <c r="H105" s="487">
        <f t="shared" si="37"/>
        <v>0</v>
      </c>
      <c r="I105" s="487">
        <f t="shared" si="37"/>
        <v>0</v>
      </c>
      <c r="J105" s="487">
        <f t="shared" si="37"/>
        <v>0</v>
      </c>
      <c r="K105" s="487">
        <f t="shared" si="37"/>
        <v>0</v>
      </c>
      <c r="L105" s="487">
        <f t="shared" si="37"/>
        <v>0</v>
      </c>
      <c r="M105" s="487">
        <f t="shared" si="37"/>
        <v>0</v>
      </c>
      <c r="N105" s="487">
        <f t="shared" si="37"/>
        <v>0</v>
      </c>
    </row>
    <row r="106" spans="3:16" hidden="1" outlineLevel="1">
      <c r="D106" s="236" t="s">
        <v>386</v>
      </c>
      <c r="G106" s="487">
        <f>G17+G23</f>
        <v>0</v>
      </c>
      <c r="H106" s="487">
        <f t="shared" ref="H106:N106" si="38">H17+H23</f>
        <v>0</v>
      </c>
      <c r="I106" s="487">
        <f t="shared" si="38"/>
        <v>0</v>
      </c>
      <c r="J106" s="487">
        <f t="shared" si="38"/>
        <v>0</v>
      </c>
      <c r="K106" s="487">
        <f t="shared" si="38"/>
        <v>0</v>
      </c>
      <c r="L106" s="487">
        <f t="shared" si="38"/>
        <v>0</v>
      </c>
      <c r="M106" s="487">
        <f t="shared" si="38"/>
        <v>0</v>
      </c>
      <c r="N106" s="487">
        <f t="shared" si="38"/>
        <v>0</v>
      </c>
    </row>
    <row r="107" spans="3:16" hidden="1" outlineLevel="1">
      <c r="D107" s="236" t="s">
        <v>387</v>
      </c>
      <c r="G107" s="487">
        <f>G22</f>
        <v>0</v>
      </c>
      <c r="H107" s="487">
        <f t="shared" ref="H107:N107" si="39">H22</f>
        <v>0</v>
      </c>
      <c r="I107" s="487">
        <f t="shared" si="39"/>
        <v>0</v>
      </c>
      <c r="J107" s="487">
        <f t="shared" si="39"/>
        <v>0</v>
      </c>
      <c r="K107" s="487">
        <f t="shared" si="39"/>
        <v>0</v>
      </c>
      <c r="L107" s="487">
        <f t="shared" si="39"/>
        <v>0</v>
      </c>
      <c r="M107" s="487">
        <f t="shared" si="39"/>
        <v>0</v>
      </c>
      <c r="N107" s="487">
        <f t="shared" si="39"/>
        <v>0</v>
      </c>
    </row>
    <row r="108" spans="3:16" hidden="1" outlineLevel="1">
      <c r="D108" s="236" t="s">
        <v>16</v>
      </c>
      <c r="G108" s="487">
        <f>SUM(G99:G107)</f>
        <v>1</v>
      </c>
      <c r="H108" s="487">
        <f t="shared" ref="H108:N108" si="40">SUM(H99:H107)</f>
        <v>1</v>
      </c>
      <c r="I108" s="487">
        <f t="shared" si="40"/>
        <v>1</v>
      </c>
      <c r="J108" s="487">
        <f t="shared" si="40"/>
        <v>1</v>
      </c>
      <c r="K108" s="487">
        <f t="shared" si="40"/>
        <v>1</v>
      </c>
      <c r="L108" s="487">
        <f t="shared" si="40"/>
        <v>1</v>
      </c>
      <c r="M108" s="487">
        <f t="shared" si="40"/>
        <v>1</v>
      </c>
      <c r="N108" s="487">
        <f t="shared" si="40"/>
        <v>1</v>
      </c>
    </row>
    <row r="109" spans="3:16" hidden="1" outlineLevel="1"/>
    <row r="110" spans="3:16" hidden="1" outlineLevel="1">
      <c r="C110" s="236" t="s">
        <v>443</v>
      </c>
      <c r="D110" s="236" t="s">
        <v>445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7" t="s">
        <v>16</v>
      </c>
      <c r="P110" s="807" t="s">
        <v>453</v>
      </c>
    </row>
    <row r="111" spans="3:16" hidden="1" outlineLevel="1">
      <c r="C111" s="236" t="s">
        <v>444</v>
      </c>
      <c r="D111" s="236" t="s">
        <v>379</v>
      </c>
      <c r="G111" s="452">
        <f>G99*G$53</f>
        <v>0</v>
      </c>
      <c r="H111" s="452">
        <f t="shared" ref="H111:N111" si="41">H99*H$53</f>
        <v>0</v>
      </c>
      <c r="I111" s="452">
        <f t="shared" si="41"/>
        <v>0</v>
      </c>
      <c r="J111" s="452">
        <f t="shared" si="41"/>
        <v>0</v>
      </c>
      <c r="K111" s="452">
        <f t="shared" si="41"/>
        <v>0</v>
      </c>
      <c r="L111" s="452">
        <f t="shared" si="41"/>
        <v>0</v>
      </c>
      <c r="M111" s="452">
        <f t="shared" si="41"/>
        <v>0</v>
      </c>
      <c r="N111" s="452">
        <f t="shared" si="41"/>
        <v>0</v>
      </c>
      <c r="O111" s="452">
        <f t="shared" ref="O111:O119" si="42">SUM(F111:N111)</f>
        <v>0</v>
      </c>
      <c r="P111" s="452">
        <f t="shared" ref="P111:P119" si="43">SUM(I111:M111)</f>
        <v>0</v>
      </c>
    </row>
    <row r="112" spans="3:16" hidden="1" outlineLevel="1">
      <c r="D112" s="236" t="s">
        <v>380</v>
      </c>
      <c r="G112" s="452">
        <f t="shared" ref="G112:N119" si="44">G100*G$53</f>
        <v>0</v>
      </c>
      <c r="H112" s="452">
        <f t="shared" si="44"/>
        <v>0</v>
      </c>
      <c r="I112" s="452">
        <f t="shared" si="44"/>
        <v>0</v>
      </c>
      <c r="J112" s="452">
        <f t="shared" si="44"/>
        <v>0</v>
      </c>
      <c r="K112" s="452">
        <f t="shared" si="44"/>
        <v>0</v>
      </c>
      <c r="L112" s="452">
        <f t="shared" si="44"/>
        <v>0</v>
      </c>
      <c r="M112" s="452">
        <f t="shared" si="44"/>
        <v>0</v>
      </c>
      <c r="N112" s="452">
        <f t="shared" si="44"/>
        <v>0</v>
      </c>
      <c r="O112" s="452">
        <f t="shared" si="42"/>
        <v>0</v>
      </c>
      <c r="P112" s="452">
        <f t="shared" si="43"/>
        <v>0</v>
      </c>
    </row>
    <row r="113" spans="4:16" hidden="1" outlineLevel="1">
      <c r="D113" s="236" t="s">
        <v>381</v>
      </c>
      <c r="G113" s="452">
        <f t="shared" si="44"/>
        <v>0</v>
      </c>
      <c r="H113" s="452">
        <f t="shared" si="44"/>
        <v>0</v>
      </c>
      <c r="I113" s="452">
        <f t="shared" si="44"/>
        <v>0</v>
      </c>
      <c r="J113" s="452">
        <f t="shared" si="44"/>
        <v>0</v>
      </c>
      <c r="K113" s="452">
        <f t="shared" si="44"/>
        <v>0</v>
      </c>
      <c r="L113" s="452">
        <f t="shared" si="44"/>
        <v>0</v>
      </c>
      <c r="M113" s="452">
        <f t="shared" si="44"/>
        <v>0</v>
      </c>
      <c r="N113" s="452">
        <f t="shared" si="44"/>
        <v>0</v>
      </c>
      <c r="O113" s="452">
        <f t="shared" si="42"/>
        <v>0</v>
      </c>
      <c r="P113" s="452">
        <f t="shared" si="43"/>
        <v>0</v>
      </c>
    </row>
    <row r="114" spans="4:16" hidden="1" outlineLevel="1">
      <c r="D114" s="236" t="s">
        <v>382</v>
      </c>
      <c r="G114" s="452">
        <f t="shared" si="44"/>
        <v>0</v>
      </c>
      <c r="H114" s="452">
        <f t="shared" si="44"/>
        <v>0</v>
      </c>
      <c r="I114" s="452">
        <f t="shared" si="44"/>
        <v>0</v>
      </c>
      <c r="J114" s="452">
        <f t="shared" si="44"/>
        <v>0</v>
      </c>
      <c r="K114" s="452">
        <f t="shared" si="44"/>
        <v>0</v>
      </c>
      <c r="L114" s="452">
        <f t="shared" si="44"/>
        <v>0</v>
      </c>
      <c r="M114" s="452">
        <f t="shared" si="44"/>
        <v>0</v>
      </c>
      <c r="N114" s="452">
        <f t="shared" si="44"/>
        <v>0</v>
      </c>
      <c r="O114" s="452">
        <f t="shared" si="42"/>
        <v>0</v>
      </c>
      <c r="P114" s="452">
        <f t="shared" si="43"/>
        <v>0</v>
      </c>
    </row>
    <row r="115" spans="4:16" hidden="1" outlineLevel="1">
      <c r="D115" s="236" t="s">
        <v>383</v>
      </c>
      <c r="G115" s="452">
        <f t="shared" si="44"/>
        <v>0</v>
      </c>
      <c r="H115" s="452">
        <f t="shared" si="44"/>
        <v>0</v>
      </c>
      <c r="I115" s="452">
        <f t="shared" si="44"/>
        <v>0</v>
      </c>
      <c r="J115" s="452">
        <f t="shared" si="44"/>
        <v>0</v>
      </c>
      <c r="K115" s="452">
        <f t="shared" si="44"/>
        <v>0</v>
      </c>
      <c r="L115" s="452">
        <f t="shared" si="44"/>
        <v>0</v>
      </c>
      <c r="M115" s="452">
        <f t="shared" si="44"/>
        <v>0</v>
      </c>
      <c r="N115" s="452">
        <f t="shared" si="44"/>
        <v>0</v>
      </c>
      <c r="O115" s="452">
        <f t="shared" si="42"/>
        <v>0</v>
      </c>
      <c r="P115" s="452">
        <f t="shared" si="43"/>
        <v>0</v>
      </c>
    </row>
    <row r="116" spans="4:16" hidden="1" outlineLevel="1">
      <c r="D116" s="236" t="s">
        <v>384</v>
      </c>
      <c r="G116" s="452">
        <f t="shared" si="44"/>
        <v>361.02597744360901</v>
      </c>
      <c r="H116" s="452">
        <f t="shared" si="44"/>
        <v>358.5844447412137</v>
      </c>
      <c r="I116" s="452">
        <f t="shared" si="44"/>
        <v>0</v>
      </c>
      <c r="J116" s="452">
        <f t="shared" si="44"/>
        <v>0</v>
      </c>
      <c r="K116" s="452">
        <f t="shared" si="44"/>
        <v>0</v>
      </c>
      <c r="L116" s="452">
        <f t="shared" si="44"/>
        <v>0</v>
      </c>
      <c r="M116" s="452">
        <f t="shared" si="44"/>
        <v>0</v>
      </c>
      <c r="N116" s="452">
        <f t="shared" si="44"/>
        <v>0</v>
      </c>
      <c r="O116" s="452">
        <f t="shared" si="42"/>
        <v>719.61042218482271</v>
      </c>
      <c r="P116" s="452">
        <f t="shared" si="43"/>
        <v>0</v>
      </c>
    </row>
    <row r="117" spans="4:16" hidden="1" outlineLevel="1">
      <c r="D117" s="236" t="s">
        <v>385</v>
      </c>
      <c r="G117" s="452">
        <f t="shared" si="44"/>
        <v>0</v>
      </c>
      <c r="H117" s="452">
        <f t="shared" si="44"/>
        <v>0</v>
      </c>
      <c r="I117" s="452">
        <f t="shared" si="44"/>
        <v>0</v>
      </c>
      <c r="J117" s="452">
        <f t="shared" si="44"/>
        <v>0</v>
      </c>
      <c r="K117" s="452">
        <f t="shared" si="44"/>
        <v>0</v>
      </c>
      <c r="L117" s="452">
        <f t="shared" si="44"/>
        <v>0</v>
      </c>
      <c r="M117" s="452">
        <f t="shared" si="44"/>
        <v>0</v>
      </c>
      <c r="N117" s="452">
        <f t="shared" si="44"/>
        <v>0</v>
      </c>
      <c r="O117" s="452">
        <f t="shared" si="42"/>
        <v>0</v>
      </c>
      <c r="P117" s="452">
        <f t="shared" si="43"/>
        <v>0</v>
      </c>
    </row>
    <row r="118" spans="4:16" hidden="1" outlineLevel="1">
      <c r="D118" s="236" t="s">
        <v>386</v>
      </c>
      <c r="G118" s="452">
        <f t="shared" si="44"/>
        <v>0</v>
      </c>
      <c r="H118" s="452">
        <f t="shared" si="44"/>
        <v>0</v>
      </c>
      <c r="I118" s="452">
        <f t="shared" si="44"/>
        <v>0</v>
      </c>
      <c r="J118" s="452">
        <f t="shared" si="44"/>
        <v>0</v>
      </c>
      <c r="K118" s="452">
        <f t="shared" si="44"/>
        <v>0</v>
      </c>
      <c r="L118" s="452">
        <f t="shared" si="44"/>
        <v>0</v>
      </c>
      <c r="M118" s="452">
        <f t="shared" si="44"/>
        <v>0</v>
      </c>
      <c r="N118" s="452">
        <f t="shared" si="44"/>
        <v>0</v>
      </c>
      <c r="O118" s="452">
        <f t="shared" si="42"/>
        <v>0</v>
      </c>
      <c r="P118" s="452">
        <f t="shared" si="43"/>
        <v>0</v>
      </c>
    </row>
    <row r="119" spans="4:16" hidden="1" outlineLevel="1">
      <c r="D119" s="236" t="s">
        <v>387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6" t="s">
        <v>440</v>
      </c>
      <c r="G120" s="452">
        <f>SUM(G111:G119)</f>
        <v>361.02597744360901</v>
      </c>
      <c r="H120" s="452">
        <f t="shared" ref="H120:P120" si="45">SUM(H111:H119)</f>
        <v>358.5844447412137</v>
      </c>
      <c r="I120" s="452">
        <f t="shared" si="45"/>
        <v>0</v>
      </c>
      <c r="J120" s="452">
        <f t="shared" si="45"/>
        <v>0</v>
      </c>
      <c r="K120" s="452">
        <f t="shared" si="45"/>
        <v>0</v>
      </c>
      <c r="L120" s="452">
        <f t="shared" si="45"/>
        <v>0</v>
      </c>
      <c r="M120" s="452">
        <f t="shared" si="45"/>
        <v>0</v>
      </c>
      <c r="N120" s="452">
        <f t="shared" si="45"/>
        <v>0</v>
      </c>
      <c r="O120" s="452">
        <f t="shared" si="45"/>
        <v>719.61042218482271</v>
      </c>
      <c r="P120" s="452">
        <f t="shared" si="45"/>
        <v>0</v>
      </c>
    </row>
    <row r="121" spans="4:16" hidden="1" outlineLevel="1"/>
    <row r="122" spans="4:16" hidden="1" outlineLevel="1">
      <c r="D122" s="236" t="s">
        <v>446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453</v>
      </c>
    </row>
    <row r="123" spans="4:16" hidden="1" outlineLevel="1">
      <c r="D123" s="236" t="s">
        <v>379</v>
      </c>
      <c r="G123" s="452">
        <f>G99*G$51</f>
        <v>0</v>
      </c>
      <c r="H123" s="452">
        <f t="shared" ref="H123:N123" si="46">H99*H$51</f>
        <v>0</v>
      </c>
      <c r="I123" s="452">
        <f t="shared" si="46"/>
        <v>0</v>
      </c>
      <c r="J123" s="452">
        <f t="shared" si="46"/>
        <v>0</v>
      </c>
      <c r="K123" s="452">
        <f t="shared" si="46"/>
        <v>0</v>
      </c>
      <c r="L123" s="452">
        <f t="shared" si="46"/>
        <v>0</v>
      </c>
      <c r="M123" s="452">
        <f t="shared" si="46"/>
        <v>0</v>
      </c>
      <c r="N123" s="452">
        <f t="shared" si="46"/>
        <v>0</v>
      </c>
      <c r="O123" s="452">
        <f t="shared" ref="O123:O131" si="47">SUM(F123:N123)</f>
        <v>0</v>
      </c>
      <c r="P123" s="452">
        <f t="shared" ref="P123:P131" si="48">SUM(I123:M123)</f>
        <v>0</v>
      </c>
    </row>
    <row r="124" spans="4:16" hidden="1" outlineLevel="1">
      <c r="D124" s="236" t="s">
        <v>380</v>
      </c>
      <c r="G124" s="452">
        <f t="shared" ref="G124:N131" si="49">G100*G$51</f>
        <v>0</v>
      </c>
      <c r="H124" s="452">
        <f t="shared" si="49"/>
        <v>0</v>
      </c>
      <c r="I124" s="452">
        <f t="shared" si="49"/>
        <v>0</v>
      </c>
      <c r="J124" s="452">
        <f t="shared" si="49"/>
        <v>0</v>
      </c>
      <c r="K124" s="452">
        <f t="shared" si="49"/>
        <v>0</v>
      </c>
      <c r="L124" s="452">
        <f t="shared" si="49"/>
        <v>0</v>
      </c>
      <c r="M124" s="452">
        <f t="shared" si="49"/>
        <v>0</v>
      </c>
      <c r="N124" s="452">
        <f t="shared" si="49"/>
        <v>0</v>
      </c>
      <c r="O124" s="452">
        <f t="shared" si="47"/>
        <v>0</v>
      </c>
      <c r="P124" s="452">
        <f t="shared" si="48"/>
        <v>0</v>
      </c>
    </row>
    <row r="125" spans="4:16" hidden="1" outlineLevel="1">
      <c r="D125" s="236" t="s">
        <v>381</v>
      </c>
      <c r="G125" s="452">
        <f t="shared" si="49"/>
        <v>0</v>
      </c>
      <c r="H125" s="452">
        <f t="shared" si="49"/>
        <v>0</v>
      </c>
      <c r="I125" s="452">
        <f t="shared" si="49"/>
        <v>0</v>
      </c>
      <c r="J125" s="452">
        <f t="shared" si="49"/>
        <v>0</v>
      </c>
      <c r="K125" s="452">
        <f t="shared" si="49"/>
        <v>0</v>
      </c>
      <c r="L125" s="452">
        <f t="shared" si="49"/>
        <v>0</v>
      </c>
      <c r="M125" s="452">
        <f t="shared" si="49"/>
        <v>0</v>
      </c>
      <c r="N125" s="452">
        <f t="shared" si="49"/>
        <v>0</v>
      </c>
      <c r="O125" s="452">
        <f t="shared" si="47"/>
        <v>0</v>
      </c>
      <c r="P125" s="452">
        <f t="shared" si="48"/>
        <v>0</v>
      </c>
    </row>
    <row r="126" spans="4:16" hidden="1" outlineLevel="1">
      <c r="D126" s="236" t="s">
        <v>382</v>
      </c>
      <c r="G126" s="452">
        <f t="shared" si="49"/>
        <v>0</v>
      </c>
      <c r="H126" s="452">
        <f t="shared" si="49"/>
        <v>0</v>
      </c>
      <c r="I126" s="452">
        <f t="shared" si="49"/>
        <v>0</v>
      </c>
      <c r="J126" s="452">
        <f t="shared" si="49"/>
        <v>0</v>
      </c>
      <c r="K126" s="452">
        <f t="shared" si="49"/>
        <v>0</v>
      </c>
      <c r="L126" s="452">
        <f t="shared" si="49"/>
        <v>0</v>
      </c>
      <c r="M126" s="452">
        <f t="shared" si="49"/>
        <v>0</v>
      </c>
      <c r="N126" s="452">
        <f t="shared" si="49"/>
        <v>0</v>
      </c>
      <c r="O126" s="452">
        <f t="shared" si="47"/>
        <v>0</v>
      </c>
      <c r="P126" s="452">
        <f t="shared" si="48"/>
        <v>0</v>
      </c>
    </row>
    <row r="127" spans="4:16" hidden="1" outlineLevel="1">
      <c r="D127" s="236" t="s">
        <v>383</v>
      </c>
      <c r="G127" s="452">
        <f t="shared" si="49"/>
        <v>0</v>
      </c>
      <c r="H127" s="452">
        <f t="shared" si="49"/>
        <v>0</v>
      </c>
      <c r="I127" s="452">
        <f t="shared" si="49"/>
        <v>0</v>
      </c>
      <c r="J127" s="452">
        <f t="shared" si="49"/>
        <v>0</v>
      </c>
      <c r="K127" s="452">
        <f t="shared" si="49"/>
        <v>0</v>
      </c>
      <c r="L127" s="452">
        <f t="shared" si="49"/>
        <v>0</v>
      </c>
      <c r="M127" s="452">
        <f t="shared" si="49"/>
        <v>0</v>
      </c>
      <c r="N127" s="452">
        <f t="shared" si="49"/>
        <v>0</v>
      </c>
      <c r="O127" s="452">
        <f t="shared" si="47"/>
        <v>0</v>
      </c>
      <c r="P127" s="452">
        <f t="shared" si="48"/>
        <v>0</v>
      </c>
    </row>
    <row r="128" spans="4:16" hidden="1" outlineLevel="1">
      <c r="D128" s="236" t="s">
        <v>384</v>
      </c>
      <c r="G128" s="452">
        <f t="shared" si="49"/>
        <v>90.786751265272571</v>
      </c>
      <c r="H128" s="452">
        <f t="shared" si="49"/>
        <v>90.767922450301285</v>
      </c>
      <c r="I128" s="452">
        <f t="shared" si="49"/>
        <v>0</v>
      </c>
      <c r="J128" s="452">
        <f t="shared" si="49"/>
        <v>0</v>
      </c>
      <c r="K128" s="452">
        <f t="shared" si="49"/>
        <v>0</v>
      </c>
      <c r="L128" s="452">
        <f t="shared" si="49"/>
        <v>0</v>
      </c>
      <c r="M128" s="452">
        <f t="shared" si="49"/>
        <v>0</v>
      </c>
      <c r="N128" s="452">
        <f t="shared" si="49"/>
        <v>0</v>
      </c>
      <c r="O128" s="452">
        <f t="shared" si="47"/>
        <v>181.55467371557387</v>
      </c>
      <c r="P128" s="452">
        <f t="shared" si="48"/>
        <v>0</v>
      </c>
    </row>
    <row r="129" spans="4:16" hidden="1" outlineLevel="1">
      <c r="D129" s="236" t="s">
        <v>385</v>
      </c>
      <c r="G129" s="452">
        <f t="shared" si="49"/>
        <v>0</v>
      </c>
      <c r="H129" s="452">
        <f t="shared" si="49"/>
        <v>0</v>
      </c>
      <c r="I129" s="452">
        <f t="shared" si="49"/>
        <v>0</v>
      </c>
      <c r="J129" s="452">
        <f t="shared" si="49"/>
        <v>0</v>
      </c>
      <c r="K129" s="452">
        <f t="shared" si="49"/>
        <v>0</v>
      </c>
      <c r="L129" s="452">
        <f t="shared" si="49"/>
        <v>0</v>
      </c>
      <c r="M129" s="452">
        <f t="shared" si="49"/>
        <v>0</v>
      </c>
      <c r="N129" s="452">
        <f t="shared" si="49"/>
        <v>0</v>
      </c>
      <c r="O129" s="452">
        <f t="shared" si="47"/>
        <v>0</v>
      </c>
      <c r="P129" s="452">
        <f t="shared" si="48"/>
        <v>0</v>
      </c>
    </row>
    <row r="130" spans="4:16" hidden="1" outlineLevel="1">
      <c r="D130" s="236" t="s">
        <v>386</v>
      </c>
      <c r="G130" s="452">
        <f t="shared" si="49"/>
        <v>0</v>
      </c>
      <c r="H130" s="452">
        <f t="shared" si="49"/>
        <v>0</v>
      </c>
      <c r="I130" s="452">
        <f t="shared" si="49"/>
        <v>0</v>
      </c>
      <c r="J130" s="452">
        <f t="shared" si="49"/>
        <v>0</v>
      </c>
      <c r="K130" s="452">
        <f t="shared" si="49"/>
        <v>0</v>
      </c>
      <c r="L130" s="452">
        <f t="shared" si="49"/>
        <v>0</v>
      </c>
      <c r="M130" s="452">
        <f t="shared" si="49"/>
        <v>0</v>
      </c>
      <c r="N130" s="452">
        <f t="shared" si="49"/>
        <v>0</v>
      </c>
      <c r="O130" s="452">
        <f t="shared" si="47"/>
        <v>0</v>
      </c>
      <c r="P130" s="452">
        <f t="shared" si="48"/>
        <v>0</v>
      </c>
    </row>
    <row r="131" spans="4:16" hidden="1" outlineLevel="1">
      <c r="D131" s="236" t="s">
        <v>387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6" t="s">
        <v>441</v>
      </c>
      <c r="G132" s="452">
        <f>SUM(G123:G131)</f>
        <v>90.786751265272571</v>
      </c>
      <c r="H132" s="452">
        <f t="shared" ref="H132:P132" si="50">SUM(H123:H131)</f>
        <v>90.767922450301285</v>
      </c>
      <c r="I132" s="452">
        <f t="shared" si="50"/>
        <v>0</v>
      </c>
      <c r="J132" s="452">
        <f t="shared" si="50"/>
        <v>0</v>
      </c>
      <c r="K132" s="452">
        <f t="shared" si="50"/>
        <v>0</v>
      </c>
      <c r="L132" s="452">
        <f t="shared" si="50"/>
        <v>0</v>
      </c>
      <c r="M132" s="452">
        <f t="shared" si="50"/>
        <v>0</v>
      </c>
      <c r="N132" s="452">
        <f t="shared" si="50"/>
        <v>0</v>
      </c>
      <c r="O132" s="452">
        <f t="shared" si="50"/>
        <v>181.55467371557387</v>
      </c>
      <c r="P132" s="452">
        <f t="shared" si="50"/>
        <v>0</v>
      </c>
    </row>
    <row r="133" spans="4:16" hidden="1" outlineLevel="1"/>
    <row r="134" spans="4:16" hidden="1" outlineLevel="1">
      <c r="D134" s="236" t="s">
        <v>447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453</v>
      </c>
    </row>
    <row r="135" spans="4:16" hidden="1" outlineLevel="1">
      <c r="D135" s="236" t="s">
        <v>379</v>
      </c>
      <c r="G135" s="452">
        <f>G99*G$52</f>
        <v>0</v>
      </c>
      <c r="H135" s="452">
        <f t="shared" ref="H135:N135" si="51">H99*H$52</f>
        <v>0</v>
      </c>
      <c r="I135" s="452">
        <f t="shared" si="51"/>
        <v>0</v>
      </c>
      <c r="J135" s="452">
        <f t="shared" si="51"/>
        <v>0</v>
      </c>
      <c r="K135" s="452">
        <f t="shared" si="51"/>
        <v>0</v>
      </c>
      <c r="L135" s="452">
        <f t="shared" si="51"/>
        <v>0</v>
      </c>
      <c r="M135" s="452">
        <f t="shared" si="51"/>
        <v>0</v>
      </c>
      <c r="N135" s="452">
        <f t="shared" si="51"/>
        <v>0</v>
      </c>
      <c r="O135" s="452">
        <f t="shared" ref="O135:O143" si="52">SUM(F135:N135)</f>
        <v>0</v>
      </c>
      <c r="P135" s="452">
        <f t="shared" ref="P135:P143" si="53">SUM(I135:M135)</f>
        <v>0</v>
      </c>
    </row>
    <row r="136" spans="4:16" hidden="1" outlineLevel="1">
      <c r="D136" s="236" t="s">
        <v>380</v>
      </c>
      <c r="G136" s="452">
        <f t="shared" ref="G136:N143" si="54">G100*G$52</f>
        <v>0</v>
      </c>
      <c r="H136" s="452">
        <f t="shared" si="54"/>
        <v>0</v>
      </c>
      <c r="I136" s="452">
        <f t="shared" si="54"/>
        <v>0</v>
      </c>
      <c r="J136" s="452">
        <f t="shared" si="54"/>
        <v>0</v>
      </c>
      <c r="K136" s="452">
        <f t="shared" si="54"/>
        <v>0</v>
      </c>
      <c r="L136" s="452">
        <f t="shared" si="54"/>
        <v>0</v>
      </c>
      <c r="M136" s="452">
        <f t="shared" si="54"/>
        <v>0</v>
      </c>
      <c r="N136" s="452">
        <f t="shared" si="54"/>
        <v>0</v>
      </c>
      <c r="O136" s="452">
        <f t="shared" si="52"/>
        <v>0</v>
      </c>
      <c r="P136" s="452">
        <f t="shared" si="53"/>
        <v>0</v>
      </c>
    </row>
    <row r="137" spans="4:16" hidden="1" outlineLevel="1">
      <c r="D137" s="236" t="s">
        <v>381</v>
      </c>
      <c r="G137" s="452">
        <f t="shared" si="54"/>
        <v>0</v>
      </c>
      <c r="H137" s="452">
        <f t="shared" si="54"/>
        <v>0</v>
      </c>
      <c r="I137" s="452">
        <f t="shared" si="54"/>
        <v>0</v>
      </c>
      <c r="J137" s="452">
        <f t="shared" si="54"/>
        <v>0</v>
      </c>
      <c r="K137" s="452">
        <f t="shared" si="54"/>
        <v>0</v>
      </c>
      <c r="L137" s="452">
        <f t="shared" si="54"/>
        <v>0</v>
      </c>
      <c r="M137" s="452">
        <f t="shared" si="54"/>
        <v>0</v>
      </c>
      <c r="N137" s="452">
        <f t="shared" si="54"/>
        <v>0</v>
      </c>
      <c r="O137" s="452">
        <f t="shared" si="52"/>
        <v>0</v>
      </c>
      <c r="P137" s="452">
        <f t="shared" si="53"/>
        <v>0</v>
      </c>
    </row>
    <row r="138" spans="4:16" hidden="1" outlineLevel="1">
      <c r="D138" s="236" t="s">
        <v>382</v>
      </c>
      <c r="G138" s="452">
        <f t="shared" si="54"/>
        <v>0</v>
      </c>
      <c r="H138" s="452">
        <f t="shared" si="54"/>
        <v>0</v>
      </c>
      <c r="I138" s="452">
        <f t="shared" si="54"/>
        <v>0</v>
      </c>
      <c r="J138" s="452">
        <f t="shared" si="54"/>
        <v>0</v>
      </c>
      <c r="K138" s="452">
        <f t="shared" si="54"/>
        <v>0</v>
      </c>
      <c r="L138" s="452">
        <f t="shared" si="54"/>
        <v>0</v>
      </c>
      <c r="M138" s="452">
        <f t="shared" si="54"/>
        <v>0</v>
      </c>
      <c r="N138" s="452">
        <f t="shared" si="54"/>
        <v>0</v>
      </c>
      <c r="O138" s="452">
        <f t="shared" si="52"/>
        <v>0</v>
      </c>
      <c r="P138" s="452">
        <f t="shared" si="53"/>
        <v>0</v>
      </c>
    </row>
    <row r="139" spans="4:16" hidden="1" outlineLevel="1">
      <c r="D139" s="236" t="s">
        <v>383</v>
      </c>
      <c r="G139" s="452">
        <f t="shared" si="54"/>
        <v>0</v>
      </c>
      <c r="H139" s="452">
        <f t="shared" si="54"/>
        <v>0</v>
      </c>
      <c r="I139" s="452">
        <f t="shared" si="54"/>
        <v>0</v>
      </c>
      <c r="J139" s="452">
        <f t="shared" si="54"/>
        <v>0</v>
      </c>
      <c r="K139" s="452">
        <f t="shared" si="54"/>
        <v>0</v>
      </c>
      <c r="L139" s="452">
        <f t="shared" si="54"/>
        <v>0</v>
      </c>
      <c r="M139" s="452">
        <f t="shared" si="54"/>
        <v>0</v>
      </c>
      <c r="N139" s="452">
        <f t="shared" si="54"/>
        <v>0</v>
      </c>
      <c r="O139" s="452">
        <f t="shared" si="52"/>
        <v>0</v>
      </c>
      <c r="P139" s="452">
        <f t="shared" si="53"/>
        <v>0</v>
      </c>
    </row>
    <row r="140" spans="4:16" hidden="1" outlineLevel="1">
      <c r="D140" s="236" t="s">
        <v>384</v>
      </c>
      <c r="G140" s="452">
        <f t="shared" si="54"/>
        <v>453.13272993890979</v>
      </c>
      <c r="H140" s="452">
        <f t="shared" si="54"/>
        <v>453.05000370130432</v>
      </c>
      <c r="I140" s="452">
        <f t="shared" si="54"/>
        <v>0</v>
      </c>
      <c r="J140" s="452">
        <f t="shared" si="54"/>
        <v>0</v>
      </c>
      <c r="K140" s="452">
        <f t="shared" si="54"/>
        <v>0</v>
      </c>
      <c r="L140" s="452">
        <f t="shared" si="54"/>
        <v>0</v>
      </c>
      <c r="M140" s="452">
        <f t="shared" si="54"/>
        <v>0</v>
      </c>
      <c r="N140" s="452">
        <f t="shared" si="54"/>
        <v>0</v>
      </c>
      <c r="O140" s="452">
        <f t="shared" si="52"/>
        <v>906.18273364021411</v>
      </c>
      <c r="P140" s="452">
        <f t="shared" si="53"/>
        <v>0</v>
      </c>
    </row>
    <row r="141" spans="4:16" hidden="1" outlineLevel="1">
      <c r="D141" s="236" t="s">
        <v>385</v>
      </c>
      <c r="G141" s="452">
        <f t="shared" si="54"/>
        <v>0</v>
      </c>
      <c r="H141" s="452">
        <f t="shared" si="54"/>
        <v>0</v>
      </c>
      <c r="I141" s="452">
        <f t="shared" si="54"/>
        <v>0</v>
      </c>
      <c r="J141" s="452">
        <f t="shared" si="54"/>
        <v>0</v>
      </c>
      <c r="K141" s="452">
        <f t="shared" si="54"/>
        <v>0</v>
      </c>
      <c r="L141" s="452">
        <f t="shared" si="54"/>
        <v>0</v>
      </c>
      <c r="M141" s="452">
        <f t="shared" si="54"/>
        <v>0</v>
      </c>
      <c r="N141" s="452">
        <f t="shared" si="54"/>
        <v>0</v>
      </c>
      <c r="O141" s="452">
        <f t="shared" si="52"/>
        <v>0</v>
      </c>
      <c r="P141" s="452">
        <f t="shared" si="53"/>
        <v>0</v>
      </c>
    </row>
    <row r="142" spans="4:16" hidden="1" outlineLevel="1">
      <c r="D142" s="236" t="s">
        <v>386</v>
      </c>
      <c r="G142" s="452">
        <f t="shared" si="54"/>
        <v>0</v>
      </c>
      <c r="H142" s="452">
        <f t="shared" si="54"/>
        <v>0</v>
      </c>
      <c r="I142" s="452">
        <f t="shared" si="54"/>
        <v>0</v>
      </c>
      <c r="J142" s="452">
        <f t="shared" si="54"/>
        <v>0</v>
      </c>
      <c r="K142" s="452">
        <f t="shared" si="54"/>
        <v>0</v>
      </c>
      <c r="L142" s="452">
        <f t="shared" si="54"/>
        <v>0</v>
      </c>
      <c r="M142" s="452">
        <f t="shared" si="54"/>
        <v>0</v>
      </c>
      <c r="N142" s="452">
        <f t="shared" si="54"/>
        <v>0</v>
      </c>
      <c r="O142" s="452">
        <f t="shared" si="52"/>
        <v>0</v>
      </c>
      <c r="P142" s="452">
        <f t="shared" si="53"/>
        <v>0</v>
      </c>
    </row>
    <row r="143" spans="4:16" hidden="1" outlineLevel="1">
      <c r="D143" s="236" t="s">
        <v>387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6" t="s">
        <v>442</v>
      </c>
      <c r="G144" s="452">
        <f>SUM(G135:G143)</f>
        <v>453.13272993890979</v>
      </c>
      <c r="H144" s="452">
        <f t="shared" ref="H144:P144" si="55">SUM(H135:H143)</f>
        <v>453.05000370130432</v>
      </c>
      <c r="I144" s="452">
        <f t="shared" si="55"/>
        <v>0</v>
      </c>
      <c r="J144" s="452">
        <f t="shared" si="55"/>
        <v>0</v>
      </c>
      <c r="K144" s="452">
        <f t="shared" si="55"/>
        <v>0</v>
      </c>
      <c r="L144" s="452">
        <f t="shared" si="55"/>
        <v>0</v>
      </c>
      <c r="M144" s="452">
        <f t="shared" si="55"/>
        <v>0</v>
      </c>
      <c r="N144" s="452">
        <f t="shared" si="55"/>
        <v>0</v>
      </c>
      <c r="O144" s="452">
        <f t="shared" si="55"/>
        <v>906.18273364021411</v>
      </c>
      <c r="P144" s="452">
        <f t="shared" si="55"/>
        <v>0</v>
      </c>
    </row>
    <row r="145" spans="4:16" hidden="1" outlineLevel="1" collapsed="1"/>
    <row r="146" spans="4:16" hidden="1" outlineLevel="1">
      <c r="D146" s="236" t="s">
        <v>454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453</v>
      </c>
    </row>
    <row r="147" spans="4:16" hidden="1" outlineLevel="1">
      <c r="D147" s="236" t="s">
        <v>379</v>
      </c>
      <c r="G147" s="452">
        <f t="shared" ref="G147:N155" si="56">G111+G123+G135</f>
        <v>0</v>
      </c>
      <c r="H147" s="452">
        <f t="shared" si="56"/>
        <v>0</v>
      </c>
      <c r="I147" s="452">
        <f t="shared" si="56"/>
        <v>0</v>
      </c>
      <c r="J147" s="452">
        <f t="shared" si="56"/>
        <v>0</v>
      </c>
      <c r="K147" s="452">
        <f t="shared" si="56"/>
        <v>0</v>
      </c>
      <c r="L147" s="452">
        <f t="shared" si="56"/>
        <v>0</v>
      </c>
      <c r="M147" s="452">
        <f t="shared" si="56"/>
        <v>0</v>
      </c>
      <c r="N147" s="452">
        <f t="shared" si="56"/>
        <v>0</v>
      </c>
      <c r="O147" s="452">
        <f t="shared" ref="O147:O155" si="57">SUM(F147:N147)</f>
        <v>0</v>
      </c>
      <c r="P147" s="452">
        <f t="shared" ref="P147:P155" si="58">SUM(I147:M147)</f>
        <v>0</v>
      </c>
    </row>
    <row r="148" spans="4:16" hidden="1" outlineLevel="1">
      <c r="D148" s="236" t="s">
        <v>380</v>
      </c>
      <c r="G148" s="452">
        <f t="shared" si="56"/>
        <v>0</v>
      </c>
      <c r="H148" s="452">
        <f t="shared" si="56"/>
        <v>0</v>
      </c>
      <c r="I148" s="452">
        <f t="shared" si="56"/>
        <v>0</v>
      </c>
      <c r="J148" s="452">
        <f t="shared" si="56"/>
        <v>0</v>
      </c>
      <c r="K148" s="452">
        <f t="shared" si="56"/>
        <v>0</v>
      </c>
      <c r="L148" s="452">
        <f t="shared" si="56"/>
        <v>0</v>
      </c>
      <c r="M148" s="452">
        <f t="shared" si="56"/>
        <v>0</v>
      </c>
      <c r="N148" s="452">
        <f t="shared" si="56"/>
        <v>0</v>
      </c>
      <c r="O148" s="452">
        <f t="shared" si="57"/>
        <v>0</v>
      </c>
      <c r="P148" s="452">
        <f t="shared" si="58"/>
        <v>0</v>
      </c>
    </row>
    <row r="149" spans="4:16" hidden="1" outlineLevel="1">
      <c r="D149" s="236" t="s">
        <v>381</v>
      </c>
      <c r="G149" s="452">
        <f t="shared" si="56"/>
        <v>0</v>
      </c>
      <c r="H149" s="452">
        <f t="shared" si="56"/>
        <v>0</v>
      </c>
      <c r="I149" s="452">
        <f t="shared" si="56"/>
        <v>0</v>
      </c>
      <c r="J149" s="452">
        <f t="shared" si="56"/>
        <v>0</v>
      </c>
      <c r="K149" s="452">
        <f t="shared" si="56"/>
        <v>0</v>
      </c>
      <c r="L149" s="452">
        <f t="shared" si="56"/>
        <v>0</v>
      </c>
      <c r="M149" s="452">
        <f t="shared" si="56"/>
        <v>0</v>
      </c>
      <c r="N149" s="452">
        <f t="shared" si="56"/>
        <v>0</v>
      </c>
      <c r="O149" s="452">
        <f t="shared" si="57"/>
        <v>0</v>
      </c>
      <c r="P149" s="452">
        <f t="shared" si="58"/>
        <v>0</v>
      </c>
    </row>
    <row r="150" spans="4:16" hidden="1" outlineLevel="1">
      <c r="D150" s="236" t="s">
        <v>382</v>
      </c>
      <c r="G150" s="452">
        <f t="shared" si="56"/>
        <v>0</v>
      </c>
      <c r="H150" s="452">
        <f t="shared" si="56"/>
        <v>0</v>
      </c>
      <c r="I150" s="452">
        <f t="shared" si="56"/>
        <v>0</v>
      </c>
      <c r="J150" s="452">
        <f t="shared" si="56"/>
        <v>0</v>
      </c>
      <c r="K150" s="452">
        <f t="shared" si="56"/>
        <v>0</v>
      </c>
      <c r="L150" s="452">
        <f t="shared" si="56"/>
        <v>0</v>
      </c>
      <c r="M150" s="452">
        <f t="shared" si="56"/>
        <v>0</v>
      </c>
      <c r="N150" s="452">
        <f t="shared" si="56"/>
        <v>0</v>
      </c>
      <c r="O150" s="452">
        <f t="shared" si="57"/>
        <v>0</v>
      </c>
      <c r="P150" s="452">
        <f t="shared" si="58"/>
        <v>0</v>
      </c>
    </row>
    <row r="151" spans="4:16" hidden="1" outlineLevel="1">
      <c r="D151" s="236" t="s">
        <v>383</v>
      </c>
      <c r="G151" s="452">
        <f t="shared" si="56"/>
        <v>0</v>
      </c>
      <c r="H151" s="452">
        <f t="shared" si="56"/>
        <v>0</v>
      </c>
      <c r="I151" s="452">
        <f t="shared" si="56"/>
        <v>0</v>
      </c>
      <c r="J151" s="452">
        <f t="shared" si="56"/>
        <v>0</v>
      </c>
      <c r="K151" s="452">
        <f t="shared" si="56"/>
        <v>0</v>
      </c>
      <c r="L151" s="452">
        <f t="shared" si="56"/>
        <v>0</v>
      </c>
      <c r="M151" s="452">
        <f t="shared" si="56"/>
        <v>0</v>
      </c>
      <c r="N151" s="452">
        <f t="shared" si="56"/>
        <v>0</v>
      </c>
      <c r="O151" s="452">
        <f t="shared" si="57"/>
        <v>0</v>
      </c>
      <c r="P151" s="452">
        <f t="shared" si="58"/>
        <v>0</v>
      </c>
    </row>
    <row r="152" spans="4:16" hidden="1" outlineLevel="1">
      <c r="D152" s="236" t="s">
        <v>384</v>
      </c>
      <c r="G152" s="452">
        <f t="shared" si="56"/>
        <v>904.94545864779138</v>
      </c>
      <c r="H152" s="452">
        <f t="shared" si="56"/>
        <v>902.40237089281936</v>
      </c>
      <c r="I152" s="452">
        <f t="shared" si="56"/>
        <v>0</v>
      </c>
      <c r="J152" s="452">
        <f t="shared" si="56"/>
        <v>0</v>
      </c>
      <c r="K152" s="452">
        <f t="shared" si="56"/>
        <v>0</v>
      </c>
      <c r="L152" s="452">
        <f t="shared" si="56"/>
        <v>0</v>
      </c>
      <c r="M152" s="452">
        <f t="shared" si="56"/>
        <v>0</v>
      </c>
      <c r="N152" s="452">
        <f t="shared" si="56"/>
        <v>0</v>
      </c>
      <c r="O152" s="452">
        <f t="shared" si="57"/>
        <v>1807.3478295406107</v>
      </c>
      <c r="P152" s="452">
        <f t="shared" si="58"/>
        <v>0</v>
      </c>
    </row>
    <row r="153" spans="4:16" hidden="1" outlineLevel="1">
      <c r="D153" s="236" t="s">
        <v>385</v>
      </c>
      <c r="G153" s="452">
        <f t="shared" si="56"/>
        <v>0</v>
      </c>
      <c r="H153" s="452">
        <f t="shared" si="56"/>
        <v>0</v>
      </c>
      <c r="I153" s="452">
        <f t="shared" si="56"/>
        <v>0</v>
      </c>
      <c r="J153" s="452">
        <f t="shared" si="56"/>
        <v>0</v>
      </c>
      <c r="K153" s="452">
        <f t="shared" si="56"/>
        <v>0</v>
      </c>
      <c r="L153" s="452">
        <f t="shared" si="56"/>
        <v>0</v>
      </c>
      <c r="M153" s="452">
        <f t="shared" si="56"/>
        <v>0</v>
      </c>
      <c r="N153" s="452">
        <f t="shared" si="56"/>
        <v>0</v>
      </c>
      <c r="O153" s="452">
        <f t="shared" si="57"/>
        <v>0</v>
      </c>
      <c r="P153" s="452">
        <f t="shared" si="58"/>
        <v>0</v>
      </c>
    </row>
    <row r="154" spans="4:16" hidden="1" outlineLevel="1">
      <c r="D154" s="236" t="s">
        <v>386</v>
      </c>
      <c r="G154" s="452">
        <f t="shared" si="56"/>
        <v>0</v>
      </c>
      <c r="H154" s="452">
        <f t="shared" si="56"/>
        <v>0</v>
      </c>
      <c r="I154" s="452">
        <f t="shared" si="56"/>
        <v>0</v>
      </c>
      <c r="J154" s="452">
        <f t="shared" si="56"/>
        <v>0</v>
      </c>
      <c r="K154" s="452">
        <f t="shared" si="56"/>
        <v>0</v>
      </c>
      <c r="L154" s="452">
        <f t="shared" si="56"/>
        <v>0</v>
      </c>
      <c r="M154" s="452">
        <f t="shared" si="56"/>
        <v>0</v>
      </c>
      <c r="N154" s="452">
        <f t="shared" si="56"/>
        <v>0</v>
      </c>
      <c r="O154" s="452">
        <f t="shared" si="57"/>
        <v>0</v>
      </c>
      <c r="P154" s="452">
        <f t="shared" si="58"/>
        <v>0</v>
      </c>
    </row>
    <row r="155" spans="4:16" hidden="1" outlineLevel="1">
      <c r="D155" s="236" t="s">
        <v>387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6" t="s">
        <v>454</v>
      </c>
      <c r="G156" s="452">
        <f>SUM(G147:G155)</f>
        <v>904.94545864779138</v>
      </c>
      <c r="H156" s="452">
        <f t="shared" ref="H156:N156" si="59">SUM(H147:H155)</f>
        <v>902.40237089281936</v>
      </c>
      <c r="I156" s="452">
        <f t="shared" si="59"/>
        <v>0</v>
      </c>
      <c r="J156" s="452">
        <f t="shared" si="59"/>
        <v>0</v>
      </c>
      <c r="K156" s="452">
        <f t="shared" si="59"/>
        <v>0</v>
      </c>
      <c r="L156" s="452">
        <f t="shared" si="59"/>
        <v>0</v>
      </c>
      <c r="M156" s="452">
        <f t="shared" si="59"/>
        <v>0</v>
      </c>
      <c r="N156" s="452">
        <f t="shared" si="59"/>
        <v>0</v>
      </c>
      <c r="O156" s="452">
        <f t="shared" ref="O156:P156" si="60">SUM(O147:O155)</f>
        <v>1807.3478295406107</v>
      </c>
      <c r="P156" s="452">
        <f t="shared" si="60"/>
        <v>0</v>
      </c>
    </row>
    <row r="157" spans="4:16" collapsed="1"/>
  </sheetData>
  <mergeCells count="1">
    <mergeCell ref="C13:C14"/>
  </mergeCells>
  <conditionalFormatting sqref="R14">
    <cfRule type="cellIs" dxfId="84" priority="4" operator="equal">
      <formula>"Error"</formula>
    </cfRule>
  </conditionalFormatting>
  <conditionalFormatting sqref="R11">
    <cfRule type="cellIs" dxfId="83" priority="3" operator="equal">
      <formula>"Error"</formula>
    </cfRule>
  </conditionalFormatting>
  <conditionalFormatting sqref="R54">
    <cfRule type="cellIs" dxfId="8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Project_Inputs!B24</f>
        <v>X834, XC72</v>
      </c>
      <c r="F3" s="249" t="s">
        <v>63</v>
      </c>
      <c r="G3" s="249">
        <f>Project_Inputs!F24</f>
        <v>0</v>
      </c>
    </row>
    <row r="4" spans="1:21" ht="18.75">
      <c r="A4" s="6"/>
      <c r="B4" s="6"/>
      <c r="C4" s="13" t="s">
        <v>15</v>
      </c>
      <c r="D4" s="339" t="str">
        <f>Project_Inputs!D24</f>
        <v>Power transformers - Bushings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Project_Inputs!H24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Project_Inputs!I24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Project_Inputs!J24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1630.7851010032703</v>
      </c>
      <c r="G11" s="319">
        <f>IF(G$10="Prior",SUMIFS(Project_Inputs!$W$5:$W$50,Project_Inputs!$D$5:$D$50,$D$4),SUMIFS(Project_Inputs!M$5:M$50,Project_Inputs!$D$5:$D$50,$D$4))</f>
        <v>869.25</v>
      </c>
      <c r="H11" s="389">
        <f>IF(H$10="Prior",SUMIFS(Project_Inputs!$W$5:$W$50,Project_Inputs!$D$5:$D$50,$D$4),SUMIFS(Project_Inputs!N$5:N$50,Project_Inputs!$D$5:$D$50,$D$4))</f>
        <v>1752.1671440575046</v>
      </c>
      <c r="I11" s="399">
        <f>IF(I$10="Prior",SUMIFS(Project_Inputs!$W$5:$W$50,Project_Inputs!$D$5:$D$50,$D$4),SUMIFS(Project_Inputs!O$5:O$50,Project_Inputs!$D$5:$D$50,$D$4))</f>
        <v>592.96</v>
      </c>
      <c r="J11" s="320">
        <f>IF(J$10="Prior",SUMIFS(Project_Inputs!$W$5:$W$50,Project_Inputs!$D$5:$D$50,$D$4),SUMIFS(Project_Inputs!P$5:P$50,Project_Inputs!$D$5:$D$50,$D$4))</f>
        <v>592.96</v>
      </c>
      <c r="K11" s="320">
        <f>IF(K$10="Prior",SUMIFS(Project_Inputs!$W$5:$W$50,Project_Inputs!$D$5:$D$50,$D$4),SUMIFS(Project_Inputs!Q$5:Q$50,Project_Inputs!$D$5:$D$50,$D$4))</f>
        <v>592.96</v>
      </c>
      <c r="L11" s="320">
        <f>IF(L$10="Prior",SUMIFS(Project_Inputs!$W$5:$W$50,Project_Inputs!$D$5:$D$50,$D$4),SUMIFS(Project_Inputs!R$5:R$50,Project_Inputs!$D$5:$D$50,$D$4))</f>
        <v>592.96</v>
      </c>
      <c r="M11" s="320">
        <f>IF(M$10="Prior",SUMIFS(Project_Inputs!$W$5:$W$50,Project_Inputs!$D$5:$D$50,$D$4),SUMIFS(Project_Inputs!S$5:S$50,Project_Inputs!$D$5:$D$50,$D$4))</f>
        <v>592.96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7217.0022450607748</v>
      </c>
      <c r="P11" s="300">
        <f t="shared" ref="P11" si="0">SUM(I11:M11)</f>
        <v>2964.8</v>
      </c>
      <c r="R11" s="608" t="str">
        <f>IF(O11=Project_Inputs!V24,"ok","error")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1630.7851010032703</v>
      </c>
      <c r="G14" s="447">
        <f>IF($G$3="Yes",SUMIFS(Project_Inputs!AK$5:AK$50,Project_Inputs!$D$5:$D$50,$D$4),IF(AND(G$13="X",G$10="Prior"),G11,IF(G$13="X",SUM($F11:G11)-SUM(F14:$F14),0)))</f>
        <v>869.24999999999977</v>
      </c>
      <c r="H14" s="447">
        <f>IF($G$3="Yes",SUMIFS(Project_Inputs!AL$5:AL$50,Project_Inputs!$D$5:$D$50,$D$4),IF(AND(H$13="X",H$10="Prior"),H11,IF(H$13="X",SUM($F11:H11)-SUM($F14:G14),0)))</f>
        <v>1752.1671440575046</v>
      </c>
      <c r="I14" s="448">
        <f>IF($G$3="Yes",SUMIFS(Project_Inputs!AM$5:AM$50,Project_Inputs!$D$5:$D$50,$D$4),IF(AND(I$13="X",I$10="Prior"),I11,IF(I$13="X",SUM($F11:I11)-SUM($F14:H14),0)))</f>
        <v>592.96</v>
      </c>
      <c r="J14" s="447">
        <f>IF($G$3="Yes",SUMIFS(Project_Inputs!AN$5:AN$50,Project_Inputs!$D$5:$D$50,$D$4),IF(AND(J$13="X",J$10="Prior"),J11,IF(J$13="X",SUM($F11:J11)-SUM($F14:I14),0)))</f>
        <v>592.96</v>
      </c>
      <c r="K14" s="447">
        <f>IF($G$3="Yes",SUMIFS(Project_Inputs!AO$5:AO$50,Project_Inputs!$D$5:$D$50,$D$4),IF(AND(K$13="X",K$10="Prior"),K11,IF(K$13="X",SUM($F11:K11)-SUM($F14:J14),0)))</f>
        <v>592.96</v>
      </c>
      <c r="L14" s="447">
        <f>IF($G$3="Yes",SUMIFS(Project_Inputs!AP$5:AP$50,Project_Inputs!$D$5:$D$50,$D$4),IF(AND(L$13="X",L$10="Prior"),L11,IF(L$13="X",SUM($F11:L11)-SUM($F14:K14),0)))</f>
        <v>592.96</v>
      </c>
      <c r="M14" s="447">
        <f>IF($G$3="Yes",SUMIFS(Project_Inputs!AQ$5:AQ$50,Project_Inputs!$D$5:$D$50,$D$4),IF(AND(M$13="X",M$10="Prior"),M11,IF(M$13="X",SUM($F11:M11)-SUM($F14:L14),0)))</f>
        <v>592.96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7217.0022450607748</v>
      </c>
      <c r="P14" s="451">
        <f>SUM(I14:M14)</f>
        <v>2964.8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1</v>
      </c>
      <c r="G19" s="341">
        <v>1</v>
      </c>
      <c r="H19" s="392">
        <v>1</v>
      </c>
      <c r="I19" s="404">
        <v>1</v>
      </c>
      <c r="J19" s="341">
        <v>1</v>
      </c>
      <c r="K19" s="341">
        <v>1</v>
      </c>
      <c r="L19" s="341">
        <v>1</v>
      </c>
      <c r="M19" s="341">
        <v>1</v>
      </c>
      <c r="N19" s="342">
        <v>1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0.51068437500000652</v>
      </c>
      <c r="H46" s="290">
        <f>IF(H$10="Prior",0,(H11*H29)*(Assumptions!H28-1))</f>
        <v>2.1926225403128115</v>
      </c>
      <c r="I46" s="407">
        <f>IF(I$10="Prior",0,(I11*I29)*(Assumptions!I28-1))</f>
        <v>1.2253228376593062</v>
      </c>
      <c r="J46" s="282">
        <f>IF(J$10="Prior",0,(J11*J29)*(Assumptions!J28-1))</f>
        <v>1.7155455526443495</v>
      </c>
      <c r="K46" s="282">
        <f>IF(K$10="Prior",0,(K11*K29)*(Assumptions!K28-1))</f>
        <v>2.2204160920924778</v>
      </c>
      <c r="L46" s="282">
        <f>IF(L$10="Prior",0,(L11*L29)*(Assumptions!L28-1))</f>
        <v>2.7709880161167053</v>
      </c>
      <c r="M46" s="282">
        <f>IF(M$10="Prior",0,(M11*M29)*(Assumptions!M28-1))</f>
        <v>3.3357976070633772</v>
      </c>
      <c r="N46" s="283">
        <f>IF(N$10="Prior",0,(N11*N29)*(Assumptions!N28-1))</f>
        <v>0</v>
      </c>
      <c r="O46" s="362">
        <f t="shared" ref="O46:O47" si="6">SUM(F46:N46)</f>
        <v>13.971377020889033</v>
      </c>
      <c r="P46" s="300">
        <f t="shared" ref="P46:P47" si="7">SUM(I46:M46)</f>
        <v>11.268070105576216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1.7819624999999968</v>
      </c>
      <c r="H47" s="290">
        <f>IF(H$10="Prior",0,(H11*H30)*(Assumptions!H30-1))</f>
        <v>9.4197929300335961</v>
      </c>
      <c r="I47" s="407">
        <f>IF(I$10="Prior",0,(I11*I30)*(Assumptions!I30-1))</f>
        <v>6.2968545748067601</v>
      </c>
      <c r="J47" s="282">
        <f>IF(J$10="Prior",0,(J11*J30)*(Assumptions!J30-1))</f>
        <v>9.4533032837490936</v>
      </c>
      <c r="K47" s="282">
        <f>IF(K$10="Prior",0,(K11*K30)*(Assumptions!K30-1))</f>
        <v>12.53558131433291</v>
      </c>
      <c r="L47" s="282">
        <f>IF(L$10="Prior",0,(L11*L30)*(Assumptions!L30-1))</f>
        <v>15.903851150659136</v>
      </c>
      <c r="M47" s="282">
        <f>IF(M$10="Prior",0,(M11*M30)*(Assumptions!M30-1))</f>
        <v>19.386931090988963</v>
      </c>
      <c r="N47" s="283">
        <f>IF(N$10="Prior",0,(N11*N30)*(Assumptions!N30-1))</f>
        <v>0</v>
      </c>
      <c r="O47" s="362">
        <f t="shared" si="6"/>
        <v>74.778276844570456</v>
      </c>
      <c r="P47" s="300">
        <f t="shared" si="7"/>
        <v>63.57652141453687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2.2926468750000035</v>
      </c>
      <c r="H48" s="253">
        <f t="shared" si="8"/>
        <v>11.612415470346408</v>
      </c>
      <c r="I48" s="408">
        <f t="shared" si="8"/>
        <v>7.5221774124660659</v>
      </c>
      <c r="J48" s="5">
        <f t="shared" si="8"/>
        <v>11.168848836393444</v>
      </c>
      <c r="K48" s="5">
        <f t="shared" si="8"/>
        <v>14.755997406425388</v>
      </c>
      <c r="L48" s="5">
        <f t="shared" si="8"/>
        <v>18.67483916677584</v>
      </c>
      <c r="M48" s="5">
        <f t="shared" si="8"/>
        <v>22.72272869805234</v>
      </c>
      <c r="N48" s="286">
        <f t="shared" si="8"/>
        <v>0</v>
      </c>
      <c r="O48" s="433">
        <f>SUM(O46:O47)</f>
        <v>88.749653865459493</v>
      </c>
      <c r="P48" s="434">
        <f>SUM(P46:P47)</f>
        <v>74.844591520113084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2.2926468750000035</v>
      </c>
      <c r="H49" s="253">
        <f t="shared" si="9"/>
        <v>11.612415470346408</v>
      </c>
      <c r="I49" s="408">
        <f t="shared" si="9"/>
        <v>7.5221774124660659</v>
      </c>
      <c r="J49" s="5">
        <f t="shared" si="9"/>
        <v>11.168848836393444</v>
      </c>
      <c r="K49" s="5">
        <f t="shared" si="9"/>
        <v>14.755997406425388</v>
      </c>
      <c r="L49" s="5">
        <f t="shared" si="9"/>
        <v>18.67483916677584</v>
      </c>
      <c r="M49" s="5">
        <f t="shared" si="9"/>
        <v>22.72272869805234</v>
      </c>
      <c r="N49" s="286">
        <f t="shared" si="9"/>
        <v>0</v>
      </c>
      <c r="O49" s="370">
        <f>O44+O48</f>
        <v>88.749653865459493</v>
      </c>
      <c r="P49" s="371">
        <f>P44+P48</f>
        <v>74.844591520113084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2.4885316726972119E-2</v>
      </c>
      <c r="L50" s="443">
        <f t="shared" si="10"/>
        <v>3.149426464985132E-2</v>
      </c>
      <c r="M50" s="443">
        <f t="shared" si="10"/>
        <v>3.8320845753596094E-2</v>
      </c>
      <c r="N50" s="444">
        <f t="shared" si="10"/>
        <v>0</v>
      </c>
      <c r="O50" s="444">
        <f t="shared" si="10"/>
        <v>1.2297301684532332E-2</v>
      </c>
      <c r="P50" s="444">
        <f t="shared" si="10"/>
        <v>2.5244398111209213E-2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165.83735707570852</v>
      </c>
      <c r="G51" s="280">
        <f>(G29*G$11+G46)*Assumptions!$G$21</f>
        <v>88.91485948660717</v>
      </c>
      <c r="H51" s="280">
        <f>(H29*H$11+H46)*Assumptions!$G$21</f>
        <v>180.41062272146664</v>
      </c>
      <c r="I51" s="410">
        <f>(I29*I$11+I46)*Assumptions!$G$21</f>
        <v>61.545179802958067</v>
      </c>
      <c r="J51" s="280">
        <f>(J29*J$11+J46)*Assumptions!$G$21</f>
        <v>62.043695759362031</v>
      </c>
      <c r="K51" s="280">
        <f>(K29*K$11+K46)*Assumptions!$G$21</f>
        <v>62.557107341770745</v>
      </c>
      <c r="L51" s="280">
        <f>(L29*L$11+L46)*Assumptions!$G$21</f>
        <v>63.116993452479591</v>
      </c>
      <c r="M51" s="280">
        <f>(M29*M$11+M46)*Assumptions!$G$21</f>
        <v>63.691358092897168</v>
      </c>
      <c r="N51" s="281">
        <f>(N29*N$11+N46)*Assumptions!$G$21</f>
        <v>0</v>
      </c>
      <c r="O51" s="373">
        <f t="shared" ref="O51:O53" si="11">SUM(F51:N51)</f>
        <v>748.11717373324996</v>
      </c>
      <c r="P51" s="375">
        <f>SUM(I51:M51)</f>
        <v>312.95433444946758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829.1867853785426</v>
      </c>
      <c r="G52" s="282">
        <f>(G30*G$11+G47)*Assumptions!$G$21</f>
        <v>443.7897870535715</v>
      </c>
      <c r="H52" s="282">
        <f>(H30*H$11+H47)*Assumptions!$G$21</f>
        <v>900.48368504267523</v>
      </c>
      <c r="I52" s="407">
        <f>(I30*I$11+I47)*Assumptions!$G$21</f>
        <v>307.89901940783926</v>
      </c>
      <c r="J52" s="282">
        <f>(J30*J$11+J47)*Assumptions!$G$21</f>
        <v>311.10886668516594</v>
      </c>
      <c r="K52" s="282">
        <f>(K30*K$11+K47)*Assumptions!$G$21</f>
        <v>314.24328851701898</v>
      </c>
      <c r="L52" s="282">
        <f>(L30*L$11+L47)*Assumptions!$G$21</f>
        <v>317.66854036185453</v>
      </c>
      <c r="M52" s="282">
        <f>(M30*M$11+M47)*Assumptions!$G$21</f>
        <v>321.21054458688923</v>
      </c>
      <c r="N52" s="283">
        <f>(N30*N$11+N47)*Assumptions!$G$21</f>
        <v>0</v>
      </c>
      <c r="O52" s="374">
        <f t="shared" si="11"/>
        <v>3745.5905170335577</v>
      </c>
      <c r="P52" s="376">
        <f>SUM(I52:M52)</f>
        <v>1572.1302595587681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663.3494283028341</v>
      </c>
      <c r="G53" s="282">
        <f>(G31*G$11+G$44)*Assumptions!$G$21</f>
        <v>353.58214285714291</v>
      </c>
      <c r="H53" s="282">
        <f>(H31*H$11+H$44)*Assumptions!$G$21</f>
        <v>712.72362777075955</v>
      </c>
      <c r="I53" s="407">
        <f>(I31*I$11+I$44)*Assumptions!$G$21</f>
        <v>241.19651127819554</v>
      </c>
      <c r="J53" s="282">
        <f>(J31*J$11+J$44)*Assumptions!$G$21</f>
        <v>241.19651127819554</v>
      </c>
      <c r="K53" s="282">
        <f>(K31*K$11+K$44)*Assumptions!$G$21</f>
        <v>241.19651127819554</v>
      </c>
      <c r="L53" s="282">
        <f>(L31*L$11+L$44)*Assumptions!$G$21</f>
        <v>241.19651127819554</v>
      </c>
      <c r="M53" s="282">
        <f>(M31*M$11+M$44)*Assumptions!$G$21</f>
        <v>241.19651127819554</v>
      </c>
      <c r="N53" s="283">
        <f>(N31*N$11+N$44)*Assumptions!$G$21</f>
        <v>0</v>
      </c>
      <c r="O53" s="374">
        <f t="shared" si="11"/>
        <v>2935.6377553217139</v>
      </c>
      <c r="P53" s="376">
        <f>SUM(I53:M53)</f>
        <v>1205.9825563909776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1658.3735707570852</v>
      </c>
      <c r="G54" s="5">
        <f t="shared" si="12"/>
        <v>886.28678939732163</v>
      </c>
      <c r="H54" s="5">
        <f t="shared" si="12"/>
        <v>1793.6179355349013</v>
      </c>
      <c r="I54" s="411">
        <f t="shared" si="12"/>
        <v>610.64071048899291</v>
      </c>
      <c r="J54" s="382">
        <f t="shared" si="12"/>
        <v>614.34907372272346</v>
      </c>
      <c r="K54" s="382">
        <f t="shared" si="12"/>
        <v>617.99690713698533</v>
      </c>
      <c r="L54" s="382">
        <f t="shared" si="12"/>
        <v>621.98204509252969</v>
      </c>
      <c r="M54" s="382">
        <f t="shared" si="12"/>
        <v>626.09841395798196</v>
      </c>
      <c r="N54" s="286">
        <f t="shared" si="12"/>
        <v>0</v>
      </c>
      <c r="O54" s="372">
        <f t="shared" si="12"/>
        <v>7429.3454460885223</v>
      </c>
      <c r="P54" s="428">
        <f t="shared" si="12"/>
        <v>3091.0671503992135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132.80540605330395</v>
      </c>
      <c r="G57" s="290">
        <f t="shared" ref="G57:N57" si="13">G54*G56</f>
        <v>52.685127830367534</v>
      </c>
      <c r="H57" s="290">
        <f t="shared" si="13"/>
        <v>130.20533859036325</v>
      </c>
      <c r="I57" s="407">
        <f t="shared" si="13"/>
        <v>53.850347861416331</v>
      </c>
      <c r="J57" s="282">
        <f t="shared" si="13"/>
        <v>73.905970930925065</v>
      </c>
      <c r="K57" s="282">
        <f t="shared" si="13"/>
        <v>80.636892969226409</v>
      </c>
      <c r="L57" s="282">
        <f t="shared" si="13"/>
        <v>73.338155835147944</v>
      </c>
      <c r="M57" s="282">
        <f t="shared" si="13"/>
        <v>69.520595206225252</v>
      </c>
      <c r="N57" s="283">
        <f t="shared" si="13"/>
        <v>0</v>
      </c>
      <c r="O57" s="309">
        <f>SUM(F57:N57)</f>
        <v>666.94783527697587</v>
      </c>
      <c r="P57" s="300">
        <f>SUM(I57:M57)</f>
        <v>351.25196280294102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1791.178976810389</v>
      </c>
      <c r="G59" s="5">
        <f t="shared" si="14"/>
        <v>938.97191722768912</v>
      </c>
      <c r="H59" s="5">
        <f t="shared" si="14"/>
        <v>1923.8232741252646</v>
      </c>
      <c r="I59" s="411">
        <f t="shared" si="14"/>
        <v>664.49105835040928</v>
      </c>
      <c r="J59" s="382">
        <f t="shared" si="14"/>
        <v>688.2550446536485</v>
      </c>
      <c r="K59" s="382">
        <f t="shared" si="14"/>
        <v>698.63380010621177</v>
      </c>
      <c r="L59" s="382">
        <f t="shared" si="14"/>
        <v>695.32020092767766</v>
      </c>
      <c r="M59" s="382">
        <f t="shared" si="14"/>
        <v>695.61900916420723</v>
      </c>
      <c r="N59" s="418">
        <f>N54+N57</f>
        <v>0</v>
      </c>
      <c r="O59" s="419">
        <f t="shared" ref="O59:P59" si="15">O54+O57</f>
        <v>8096.2932813654979</v>
      </c>
      <c r="P59" s="429">
        <f t="shared" si="15"/>
        <v>3442.3191132021543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132.80540605330395</v>
      </c>
      <c r="G60" s="290">
        <f t="shared" ref="G60:N60" si="16">G57+F60</f>
        <v>185.4905338836715</v>
      </c>
      <c r="H60" s="290">
        <f t="shared" si="16"/>
        <v>315.69587247403479</v>
      </c>
      <c r="I60" s="290">
        <f t="shared" si="16"/>
        <v>369.5462203354511</v>
      </c>
      <c r="J60" s="290">
        <f t="shared" si="16"/>
        <v>443.45219126637619</v>
      </c>
      <c r="K60" s="290">
        <f t="shared" si="16"/>
        <v>524.08908423560263</v>
      </c>
      <c r="L60" s="290">
        <f t="shared" si="16"/>
        <v>597.4272400707506</v>
      </c>
      <c r="M60" s="290">
        <f t="shared" si="16"/>
        <v>666.94783527697587</v>
      </c>
      <c r="N60" s="290">
        <f t="shared" si="16"/>
        <v>666.94783527697587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2.2926468750000035</v>
      </c>
      <c r="H61" s="252">
        <f t="shared" ref="H61:N61" si="17">H49+G61</f>
        <v>13.905062345346412</v>
      </c>
      <c r="I61" s="252">
        <f t="shared" si="17"/>
        <v>21.42723975781248</v>
      </c>
      <c r="J61" s="252">
        <f t="shared" si="17"/>
        <v>32.596088594205924</v>
      </c>
      <c r="K61" s="252">
        <f t="shared" si="17"/>
        <v>47.35208600063131</v>
      </c>
      <c r="L61" s="252">
        <f t="shared" si="17"/>
        <v>66.026925167407143</v>
      </c>
      <c r="M61" s="252">
        <f t="shared" si="17"/>
        <v>88.749653865459479</v>
      </c>
      <c r="N61" s="252">
        <f t="shared" si="17"/>
        <v>88.749653865459479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1791.178976810389</v>
      </c>
      <c r="G66" s="282">
        <f t="shared" si="22"/>
        <v>938.97191722768912</v>
      </c>
      <c r="H66" s="282">
        <f t="shared" si="22"/>
        <v>1923.8232741252646</v>
      </c>
      <c r="I66" s="416">
        <f t="shared" si="22"/>
        <v>664.49105835040928</v>
      </c>
      <c r="J66" s="381">
        <f t="shared" si="22"/>
        <v>688.2550446536485</v>
      </c>
      <c r="K66" s="381">
        <f t="shared" si="22"/>
        <v>698.63380010621177</v>
      </c>
      <c r="L66" s="381">
        <f t="shared" si="22"/>
        <v>695.32020092767766</v>
      </c>
      <c r="M66" s="381">
        <f t="shared" si="22"/>
        <v>695.61900916420723</v>
      </c>
      <c r="N66" s="283">
        <f t="shared" si="22"/>
        <v>0</v>
      </c>
      <c r="O66" s="374">
        <f t="shared" si="20"/>
        <v>8096.293281365497</v>
      </c>
      <c r="P66" s="431">
        <f t="shared" si="21"/>
        <v>3442.3191132021548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1791.178976810389</v>
      </c>
      <c r="G74" s="5">
        <f t="shared" ref="G74:N74" si="30">+SUM(G64:G73)</f>
        <v>938.97191722768912</v>
      </c>
      <c r="H74" s="5">
        <f t="shared" si="30"/>
        <v>1923.8232741252646</v>
      </c>
      <c r="I74" s="411">
        <f t="shared" si="30"/>
        <v>664.49105835040928</v>
      </c>
      <c r="J74" s="382">
        <f t="shared" si="30"/>
        <v>688.2550446536485</v>
      </c>
      <c r="K74" s="382">
        <f t="shared" si="30"/>
        <v>698.63380010621177</v>
      </c>
      <c r="L74" s="382">
        <f t="shared" si="30"/>
        <v>695.32020092767766</v>
      </c>
      <c r="M74" s="382">
        <f t="shared" si="30"/>
        <v>695.61900916420723</v>
      </c>
      <c r="N74" s="286">
        <f t="shared" si="30"/>
        <v>0</v>
      </c>
      <c r="O74" s="372">
        <f>SUM(O64:O73)</f>
        <v>8096.293281365497</v>
      </c>
      <c r="P74" s="428">
        <f>SUM(P64:P73)</f>
        <v>3442.3191132021548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1630.7851010032703</v>
      </c>
      <c r="G76" s="280">
        <f t="shared" si="32"/>
        <v>869.24999999999977</v>
      </c>
      <c r="H76" s="280">
        <f t="shared" si="32"/>
        <v>1752.1671440575046</v>
      </c>
      <c r="I76" s="410">
        <f t="shared" si="32"/>
        <v>592.96</v>
      </c>
      <c r="J76" s="280">
        <f t="shared" si="32"/>
        <v>592.96</v>
      </c>
      <c r="K76" s="280">
        <f t="shared" si="32"/>
        <v>592.96</v>
      </c>
      <c r="L76" s="280">
        <f t="shared" si="32"/>
        <v>592.96</v>
      </c>
      <c r="M76" s="280">
        <f t="shared" si="32"/>
        <v>592.96</v>
      </c>
      <c r="N76" s="281">
        <f t="shared" si="32"/>
        <v>0</v>
      </c>
      <c r="O76" s="377">
        <f>SUM(F76:N76)</f>
        <v>7217.0022450607748</v>
      </c>
      <c r="P76" s="378">
        <f t="shared" ref="P76:P80" si="33">SUM(I76:M76)</f>
        <v>2964.8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2.2926468750000035</v>
      </c>
      <c r="H77" s="282">
        <f>IF(H$10="Prior",0,IF(AND(H76&lt;&gt;0,SUM($F76:G76)=0),H76/SUM($F$76:H76)*H61,IF(H76&lt;&gt;0,SUM($F$76:H76)/SUM($F$11:H11)*H61-G83,0)))</f>
        <v>11.612415470346409</v>
      </c>
      <c r="I77" s="407">
        <f>IF(I$10="Prior",0,IF(AND(I76&lt;&gt;0,SUM($F76:H76)=0),I76/SUM($F$76:I76)*I61,IF(I76&lt;&gt;0,SUM($F$76:I76)/SUM($F$11:I11)*I61-H83,0)))</f>
        <v>7.5221774124660676</v>
      </c>
      <c r="J77" s="282">
        <f>IF(J$10="Prior",0,IF(AND(J76&lt;&gt;0,SUM($F76:I76)=0),J76/SUM($F$76:J76)*J61,IF(J76&lt;&gt;0,SUM($F$76:J76)/SUM($F$11:J11)*J61-I83,0)))</f>
        <v>11.168848836393444</v>
      </c>
      <c r="K77" s="282">
        <f>IF(K$10="Prior",0,IF(AND(K76&lt;&gt;0,SUM($F76:J76)=0),K76/SUM($F$76:K76)*K61,IF(K76&lt;&gt;0,SUM($F$76:K76)/SUM($F$11:K11)*K61-J83,0)))</f>
        <v>14.755997406425386</v>
      </c>
      <c r="L77" s="282">
        <f>IF(L$10="Prior",0,IF(AND(L76&lt;&gt;0,SUM($F76:K76)=0),L76/SUM($F$76:L76)*L61,IF(L76&lt;&gt;0,SUM($F$76:L76)/SUM($F$11:L11)*L61-K83,0)))</f>
        <v>18.674839166775833</v>
      </c>
      <c r="M77" s="282">
        <f>IF(M$10="Prior",0,IF(AND(M76&lt;&gt;0,SUM($F76:L76)=0),M76/SUM($F$76:M76)*M61,IF(M76&lt;&gt;0,SUM($F$76:M76)/SUM($F$11:M11)*M61-L83,0)))</f>
        <v>22.722728698052336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88.749653865459479</v>
      </c>
      <c r="P77" s="455">
        <f t="shared" si="33"/>
        <v>74.844591520113056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1630.7851010032703</v>
      </c>
      <c r="G78" s="457">
        <f t="shared" ref="G78:N78" si="34">SUM(G76:G77)</f>
        <v>871.54264687499983</v>
      </c>
      <c r="H78" s="457">
        <f t="shared" si="34"/>
        <v>1763.779559527851</v>
      </c>
      <c r="I78" s="458">
        <f t="shared" si="34"/>
        <v>600.48217741246606</v>
      </c>
      <c r="J78" s="457">
        <f t="shared" si="34"/>
        <v>604.12884883639344</v>
      </c>
      <c r="K78" s="457">
        <f t="shared" si="34"/>
        <v>607.71599740642546</v>
      </c>
      <c r="L78" s="457">
        <f t="shared" si="34"/>
        <v>611.63483916677592</v>
      </c>
      <c r="M78" s="457">
        <f t="shared" si="34"/>
        <v>615.68272869805241</v>
      </c>
      <c r="N78" s="459">
        <f t="shared" si="34"/>
        <v>0</v>
      </c>
      <c r="O78" s="460">
        <f>SUM(F78:N78)</f>
        <v>7305.7518989262344</v>
      </c>
      <c r="P78" s="461">
        <f t="shared" si="33"/>
        <v>3039.6445915201134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1658.3735707570852</v>
      </c>
      <c r="G79" s="457">
        <f>G78*Assumptions!$G$21</f>
        <v>886.28678939732129</v>
      </c>
      <c r="H79" s="457">
        <f>H78*Assumptions!$G$21</f>
        <v>1793.6179355349013</v>
      </c>
      <c r="I79" s="458">
        <f>I78*Assumptions!$G$21</f>
        <v>610.6407104889928</v>
      </c>
      <c r="J79" s="457">
        <f>J78*Assumptions!$G$21</f>
        <v>614.34907372272346</v>
      </c>
      <c r="K79" s="457">
        <f>K78*Assumptions!$G$21</f>
        <v>617.99690713698533</v>
      </c>
      <c r="L79" s="457">
        <f>L78*Assumptions!$G$21</f>
        <v>621.98204509252969</v>
      </c>
      <c r="M79" s="457">
        <f>M78*Assumptions!$G$21</f>
        <v>626.09841395798196</v>
      </c>
      <c r="N79" s="459">
        <f>N78*Assumptions!$G$21</f>
        <v>0</v>
      </c>
      <c r="O79" s="460">
        <f>SUM(F79:N79)</f>
        <v>7429.3454460885223</v>
      </c>
      <c r="P79" s="461">
        <f t="shared" ref="P79" si="35">SUM(I79:M79)</f>
        <v>3091.067150399213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132.80540605330395</v>
      </c>
      <c r="G80" s="282">
        <f>IF(G$10="Prior",G79*G56,IF(AND(G79&lt;&gt;0,SUM($F79:F79)=0),G79/SUM($F$54:G54)*G60,IF(G79&lt;&gt;0,SUM($F$79:G79)/SUM($F$54:G54)*G60-F82,0)))</f>
        <v>52.685127830367549</v>
      </c>
      <c r="H80" s="282">
        <f>IF(H$10="Prior",H79*H56,IF(AND(H79&lt;&gt;0,SUM($F79:G79)=0),H79/SUM($F$54:H54)*H60,IF(H79&lt;&gt;0,SUM($F$79:H79)/SUM($F$54:H54)*H60-G82,0)))</f>
        <v>130.20533859036328</v>
      </c>
      <c r="I80" s="407">
        <f>IF(I$10="Prior",I79*I56,IF(AND(I79&lt;&gt;0,SUM($F79:H79)=0),I79/SUM($F$54:I54)*I60,IF(I79&lt;&gt;0,SUM($F$79:I79)/SUM($F$54:I54)*I60-H82,0)))</f>
        <v>53.85034786141631</v>
      </c>
      <c r="J80" s="282">
        <f>IF(J$10="Prior",J79*J56,IF(AND(J79&lt;&gt;0,SUM($F79:I79)=0),J79/SUM($F$54:J54)*J60,IF(J79&lt;&gt;0,SUM($F$79:J79)/SUM($F$54:J54)*J60-I82,0)))</f>
        <v>73.905970930925093</v>
      </c>
      <c r="K80" s="282">
        <f>IF(K$10="Prior",K79*K56,IF(AND(K79&lt;&gt;0,SUM($F79:J79)=0),K79/SUM($F$54:K54)*K60,IF(K79&lt;&gt;0,SUM($F$79:K79)/SUM($F$54:K54)*K60-J82,0)))</f>
        <v>80.636892969226437</v>
      </c>
      <c r="L80" s="282">
        <f>IF(L$10="Prior",L79*L56,IF(AND(L79&lt;&gt;0,SUM($F79:K79)=0),L79/SUM($F$54:L54)*L60,IF(L79&lt;&gt;0,SUM($F$79:L79)/SUM($F$54:L54)*L60-K82,0)))</f>
        <v>73.338155835147973</v>
      </c>
      <c r="M80" s="282">
        <f>IF(M$10="Prior",M79*M56,IF(AND(M79&lt;&gt;0,SUM($F79:L79)=0),M79/SUM($F$54:M54)*M60,IF(M79&lt;&gt;0,SUM($F$79:M79)/SUM($F$54:M54)*M60-L82,0)))</f>
        <v>69.520595206225266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666.94783527697587</v>
      </c>
      <c r="P80" s="300">
        <f t="shared" si="33"/>
        <v>351.25196280294108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1791.178976810389</v>
      </c>
      <c r="G81" s="307">
        <f t="shared" ref="G81:N81" si="36">SUM(G79:G80)</f>
        <v>938.97191722768889</v>
      </c>
      <c r="H81" s="307">
        <f t="shared" si="36"/>
        <v>1923.8232741252646</v>
      </c>
      <c r="I81" s="417">
        <f t="shared" si="36"/>
        <v>664.49105835040905</v>
      </c>
      <c r="J81" s="387">
        <f t="shared" si="36"/>
        <v>688.25504465364861</v>
      </c>
      <c r="K81" s="387">
        <f t="shared" si="36"/>
        <v>698.63380010621177</v>
      </c>
      <c r="L81" s="387">
        <f t="shared" si="36"/>
        <v>695.32020092767766</v>
      </c>
      <c r="M81" s="387">
        <f t="shared" si="36"/>
        <v>695.61900916420723</v>
      </c>
      <c r="N81" s="420">
        <f t="shared" si="36"/>
        <v>0</v>
      </c>
      <c r="O81" s="421">
        <f t="shared" ref="O81" si="37">SUM(O79:O80)</f>
        <v>8096.2932813654979</v>
      </c>
      <c r="P81" s="388">
        <f t="shared" ref="P81" si="38">SUM(P79:P80)</f>
        <v>3442.3191132021539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132.80540605330395</v>
      </c>
      <c r="G82" s="252">
        <f t="shared" ref="G82:N82" si="39">G80+F82</f>
        <v>185.4905338836715</v>
      </c>
      <c r="H82" s="252">
        <f t="shared" si="39"/>
        <v>315.69587247403479</v>
      </c>
      <c r="I82" s="252">
        <f t="shared" si="39"/>
        <v>369.5462203354511</v>
      </c>
      <c r="J82" s="252">
        <f t="shared" si="39"/>
        <v>443.45219126637619</v>
      </c>
      <c r="K82" s="252">
        <f t="shared" si="39"/>
        <v>524.08908423560263</v>
      </c>
      <c r="L82" s="252">
        <f t="shared" si="39"/>
        <v>597.4272400707506</v>
      </c>
      <c r="M82" s="252">
        <f t="shared" si="39"/>
        <v>666.94783527697587</v>
      </c>
      <c r="N82" s="252">
        <f t="shared" si="39"/>
        <v>666.94783527697587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40">G77+F83</f>
        <v>2.2926468750000035</v>
      </c>
      <c r="H83" s="252">
        <f t="shared" si="40"/>
        <v>13.905062345346412</v>
      </c>
      <c r="I83" s="252">
        <f t="shared" si="40"/>
        <v>21.42723975781248</v>
      </c>
      <c r="J83" s="252">
        <f t="shared" si="40"/>
        <v>32.596088594205924</v>
      </c>
      <c r="K83" s="252">
        <f t="shared" si="40"/>
        <v>47.35208600063131</v>
      </c>
      <c r="L83" s="252">
        <f t="shared" si="40"/>
        <v>66.026925167407143</v>
      </c>
      <c r="M83" s="252">
        <f t="shared" si="40"/>
        <v>88.749653865459479</v>
      </c>
      <c r="N83" s="252">
        <f t="shared" si="40"/>
        <v>88.749653865459479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41">IF($O$74=0,0,F$81/$O$81*$O$74*F17)</f>
        <v>0</v>
      </c>
      <c r="G85" s="344">
        <f t="shared" si="41"/>
        <v>0</v>
      </c>
      <c r="H85" s="344">
        <f t="shared" si="41"/>
        <v>0</v>
      </c>
      <c r="I85" s="415">
        <f t="shared" si="41"/>
        <v>0</v>
      </c>
      <c r="J85" s="380">
        <f t="shared" si="41"/>
        <v>0</v>
      </c>
      <c r="K85" s="380">
        <f t="shared" si="41"/>
        <v>0</v>
      </c>
      <c r="L85" s="380">
        <f t="shared" si="41"/>
        <v>0</v>
      </c>
      <c r="M85" s="380">
        <f t="shared" si="41"/>
        <v>0</v>
      </c>
      <c r="N85" s="345">
        <f t="shared" si="41"/>
        <v>0</v>
      </c>
      <c r="O85" s="373">
        <f>SUM(F85:N85)</f>
        <v>0</v>
      </c>
      <c r="P85" s="430">
        <f t="shared" ref="P85:P94" si="42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3">IF($O$74=0,0,F$81/$O$81*$O$74*F18)</f>
        <v>0</v>
      </c>
      <c r="G86" s="290">
        <f t="shared" si="43"/>
        <v>0</v>
      </c>
      <c r="H86" s="290">
        <f t="shared" si="43"/>
        <v>0</v>
      </c>
      <c r="I86" s="416">
        <f t="shared" si="43"/>
        <v>0</v>
      </c>
      <c r="J86" s="381">
        <f t="shared" si="43"/>
        <v>0</v>
      </c>
      <c r="K86" s="381">
        <f t="shared" si="43"/>
        <v>0</v>
      </c>
      <c r="L86" s="381">
        <f t="shared" si="43"/>
        <v>0</v>
      </c>
      <c r="M86" s="381">
        <f t="shared" si="43"/>
        <v>0</v>
      </c>
      <c r="N86" s="346">
        <f t="shared" si="43"/>
        <v>0</v>
      </c>
      <c r="O86" s="374">
        <f t="shared" ref="O86:O94" si="44">SUM(F86:N86)</f>
        <v>0</v>
      </c>
      <c r="P86" s="431">
        <f t="shared" si="42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5">IF($O$74=0,0,F$81/$O$81*$O$74*F19)</f>
        <v>1791.1789768103888</v>
      </c>
      <c r="G87" s="290">
        <f t="shared" si="45"/>
        <v>938.97191722768878</v>
      </c>
      <c r="H87" s="290">
        <f t="shared" si="45"/>
        <v>1923.8232741252643</v>
      </c>
      <c r="I87" s="416">
        <f t="shared" si="45"/>
        <v>664.49105835040905</v>
      </c>
      <c r="J87" s="381">
        <f t="shared" si="45"/>
        <v>688.2550446536485</v>
      </c>
      <c r="K87" s="381">
        <f t="shared" si="45"/>
        <v>698.63380010621165</v>
      </c>
      <c r="L87" s="381">
        <f t="shared" si="45"/>
        <v>695.32020092767755</v>
      </c>
      <c r="M87" s="381">
        <f t="shared" si="45"/>
        <v>695.61900916420723</v>
      </c>
      <c r="N87" s="346">
        <f t="shared" si="45"/>
        <v>0</v>
      </c>
      <c r="O87" s="374">
        <f t="shared" si="44"/>
        <v>8096.2932813654961</v>
      </c>
      <c r="P87" s="431">
        <f t="shared" si="42"/>
        <v>3442.3191132021539</v>
      </c>
    </row>
    <row r="88" spans="1:17">
      <c r="C88" s="255"/>
      <c r="D88" s="348" t="s">
        <v>6</v>
      </c>
      <c r="E88" s="264"/>
      <c r="F88" s="294">
        <f t="shared" ref="F88:N88" si="46">IF($O$74=0,0,F$81/$O$81*$O$74*F20)</f>
        <v>0</v>
      </c>
      <c r="G88" s="290">
        <f t="shared" si="46"/>
        <v>0</v>
      </c>
      <c r="H88" s="290">
        <f t="shared" si="46"/>
        <v>0</v>
      </c>
      <c r="I88" s="416">
        <f t="shared" si="46"/>
        <v>0</v>
      </c>
      <c r="J88" s="381">
        <f t="shared" si="46"/>
        <v>0</v>
      </c>
      <c r="K88" s="381">
        <f t="shared" si="46"/>
        <v>0</v>
      </c>
      <c r="L88" s="381">
        <f t="shared" si="46"/>
        <v>0</v>
      </c>
      <c r="M88" s="381">
        <f t="shared" si="46"/>
        <v>0</v>
      </c>
      <c r="N88" s="346">
        <f t="shared" si="46"/>
        <v>0</v>
      </c>
      <c r="O88" s="374">
        <f t="shared" si="44"/>
        <v>0</v>
      </c>
      <c r="P88" s="431">
        <f t="shared" si="42"/>
        <v>0</v>
      </c>
    </row>
    <row r="89" spans="1:17">
      <c r="C89" s="255"/>
      <c r="D89" s="348" t="s">
        <v>7</v>
      </c>
      <c r="E89" s="264"/>
      <c r="F89" s="294">
        <f t="shared" ref="F89:N89" si="47">IF($O$74=0,0,F$81/$O$81*$O$74*F21)</f>
        <v>0</v>
      </c>
      <c r="G89" s="290">
        <f t="shared" si="47"/>
        <v>0</v>
      </c>
      <c r="H89" s="290">
        <f t="shared" si="47"/>
        <v>0</v>
      </c>
      <c r="I89" s="416">
        <f t="shared" si="47"/>
        <v>0</v>
      </c>
      <c r="J89" s="381">
        <f t="shared" si="47"/>
        <v>0</v>
      </c>
      <c r="K89" s="381">
        <f t="shared" si="47"/>
        <v>0</v>
      </c>
      <c r="L89" s="381">
        <f t="shared" si="47"/>
        <v>0</v>
      </c>
      <c r="M89" s="381">
        <f t="shared" si="47"/>
        <v>0</v>
      </c>
      <c r="N89" s="346">
        <f t="shared" si="47"/>
        <v>0</v>
      </c>
      <c r="O89" s="374">
        <f t="shared" si="44"/>
        <v>0</v>
      </c>
      <c r="P89" s="431">
        <f t="shared" si="42"/>
        <v>0</v>
      </c>
    </row>
    <row r="90" spans="1:17">
      <c r="C90" s="255"/>
      <c r="D90" s="348" t="s">
        <v>8</v>
      </c>
      <c r="E90" s="264"/>
      <c r="F90" s="294">
        <f t="shared" ref="F90:N90" si="48">IF($O$74=0,0,F$81/$O$81*$O$74*F22)</f>
        <v>0</v>
      </c>
      <c r="G90" s="290">
        <f t="shared" si="48"/>
        <v>0</v>
      </c>
      <c r="H90" s="290">
        <f t="shared" si="48"/>
        <v>0</v>
      </c>
      <c r="I90" s="416">
        <f t="shared" si="48"/>
        <v>0</v>
      </c>
      <c r="J90" s="381">
        <f t="shared" si="48"/>
        <v>0</v>
      </c>
      <c r="K90" s="381">
        <f t="shared" si="48"/>
        <v>0</v>
      </c>
      <c r="L90" s="381">
        <f t="shared" si="48"/>
        <v>0</v>
      </c>
      <c r="M90" s="381">
        <f t="shared" si="48"/>
        <v>0</v>
      </c>
      <c r="N90" s="346">
        <f t="shared" si="48"/>
        <v>0</v>
      </c>
      <c r="O90" s="374">
        <f t="shared" si="44"/>
        <v>0</v>
      </c>
      <c r="P90" s="431">
        <f t="shared" si="42"/>
        <v>0</v>
      </c>
    </row>
    <row r="91" spans="1:17">
      <c r="C91" s="255"/>
      <c r="D91" s="348" t="s">
        <v>9</v>
      </c>
      <c r="E91" s="264"/>
      <c r="F91" s="294">
        <f t="shared" ref="F91:N91" si="49">IF($O$74=0,0,F$81/$O$81*$O$74*F23)</f>
        <v>0</v>
      </c>
      <c r="G91" s="290">
        <f t="shared" si="49"/>
        <v>0</v>
      </c>
      <c r="H91" s="290">
        <f t="shared" si="49"/>
        <v>0</v>
      </c>
      <c r="I91" s="416">
        <f t="shared" si="49"/>
        <v>0</v>
      </c>
      <c r="J91" s="381">
        <f t="shared" si="49"/>
        <v>0</v>
      </c>
      <c r="K91" s="381">
        <f t="shared" si="49"/>
        <v>0</v>
      </c>
      <c r="L91" s="381">
        <f t="shared" si="49"/>
        <v>0</v>
      </c>
      <c r="M91" s="381">
        <f t="shared" si="49"/>
        <v>0</v>
      </c>
      <c r="N91" s="346">
        <f t="shared" si="49"/>
        <v>0</v>
      </c>
      <c r="O91" s="374">
        <f t="shared" si="44"/>
        <v>0</v>
      </c>
      <c r="P91" s="431">
        <f t="shared" si="42"/>
        <v>0</v>
      </c>
    </row>
    <row r="92" spans="1:17">
      <c r="C92" s="255"/>
      <c r="D92" s="348" t="s">
        <v>10</v>
      </c>
      <c r="E92" s="264"/>
      <c r="F92" s="294">
        <f t="shared" ref="F92:N92" si="50">IF($O$74=0,0,F$81/$O$81*$O$74*F24)</f>
        <v>0</v>
      </c>
      <c r="G92" s="290">
        <f t="shared" si="50"/>
        <v>0</v>
      </c>
      <c r="H92" s="290">
        <f t="shared" si="50"/>
        <v>0</v>
      </c>
      <c r="I92" s="416">
        <f t="shared" si="50"/>
        <v>0</v>
      </c>
      <c r="J92" s="381">
        <f t="shared" si="50"/>
        <v>0</v>
      </c>
      <c r="K92" s="381">
        <f t="shared" si="50"/>
        <v>0</v>
      </c>
      <c r="L92" s="381">
        <f t="shared" si="50"/>
        <v>0</v>
      </c>
      <c r="M92" s="381">
        <f t="shared" si="50"/>
        <v>0</v>
      </c>
      <c r="N92" s="346">
        <f t="shared" si="50"/>
        <v>0</v>
      </c>
      <c r="O92" s="374">
        <f t="shared" si="44"/>
        <v>0</v>
      </c>
      <c r="P92" s="431">
        <f t="shared" si="42"/>
        <v>0</v>
      </c>
    </row>
    <row r="93" spans="1:17">
      <c r="C93" s="255"/>
      <c r="D93" s="348" t="s">
        <v>11</v>
      </c>
      <c r="E93" s="264"/>
      <c r="F93" s="294">
        <f t="shared" ref="F93:N93" si="51">IF($O$74=0,0,F$81/$O$81*$O$74*F25)</f>
        <v>0</v>
      </c>
      <c r="G93" s="290">
        <f t="shared" si="51"/>
        <v>0</v>
      </c>
      <c r="H93" s="290">
        <f t="shared" si="51"/>
        <v>0</v>
      </c>
      <c r="I93" s="416">
        <f t="shared" si="51"/>
        <v>0</v>
      </c>
      <c r="J93" s="381">
        <f t="shared" si="51"/>
        <v>0</v>
      </c>
      <c r="K93" s="381">
        <f t="shared" si="51"/>
        <v>0</v>
      </c>
      <c r="L93" s="381">
        <f t="shared" si="51"/>
        <v>0</v>
      </c>
      <c r="M93" s="381">
        <f t="shared" si="51"/>
        <v>0</v>
      </c>
      <c r="N93" s="346">
        <f t="shared" si="51"/>
        <v>0</v>
      </c>
      <c r="O93" s="374">
        <f t="shared" si="44"/>
        <v>0</v>
      </c>
      <c r="P93" s="431">
        <f t="shared" si="42"/>
        <v>0</v>
      </c>
    </row>
    <row r="94" spans="1:17">
      <c r="C94" s="255"/>
      <c r="D94" s="348" t="s">
        <v>12</v>
      </c>
      <c r="E94" s="264"/>
      <c r="F94" s="294">
        <f t="shared" ref="F94:N94" si="52">IF($O$74=0,0,F$81/$O$81*$O$74*F26)</f>
        <v>0</v>
      </c>
      <c r="G94" s="290">
        <f t="shared" si="52"/>
        <v>0</v>
      </c>
      <c r="H94" s="290">
        <f t="shared" si="52"/>
        <v>0</v>
      </c>
      <c r="I94" s="416">
        <f t="shared" si="52"/>
        <v>0</v>
      </c>
      <c r="J94" s="381">
        <f t="shared" si="52"/>
        <v>0</v>
      </c>
      <c r="K94" s="381">
        <f t="shared" si="52"/>
        <v>0</v>
      </c>
      <c r="L94" s="381">
        <f t="shared" si="52"/>
        <v>0</v>
      </c>
      <c r="M94" s="381">
        <f t="shared" si="52"/>
        <v>0</v>
      </c>
      <c r="N94" s="346">
        <f t="shared" si="52"/>
        <v>0</v>
      </c>
      <c r="O94" s="374">
        <f t="shared" si="44"/>
        <v>0</v>
      </c>
      <c r="P94" s="431">
        <f t="shared" si="42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1791.1789768103888</v>
      </c>
      <c r="G95" s="5">
        <f t="shared" ref="G95" si="53">+SUM(G85:G94)</f>
        <v>938.97191722768878</v>
      </c>
      <c r="H95" s="5">
        <f t="shared" ref="H95:N95" si="54">+SUM(H85:H94)</f>
        <v>1923.8232741252643</v>
      </c>
      <c r="I95" s="411">
        <f t="shared" si="54"/>
        <v>664.49105835040905</v>
      </c>
      <c r="J95" s="382">
        <f t="shared" si="54"/>
        <v>688.2550446536485</v>
      </c>
      <c r="K95" s="382">
        <f t="shared" si="54"/>
        <v>698.63380010621165</v>
      </c>
      <c r="L95" s="382">
        <f t="shared" si="54"/>
        <v>695.32020092767755</v>
      </c>
      <c r="M95" s="382">
        <f t="shared" si="54"/>
        <v>695.61900916420723</v>
      </c>
      <c r="N95" s="286">
        <f t="shared" si="54"/>
        <v>0</v>
      </c>
      <c r="O95" s="372">
        <f>SUM(O85:O94)</f>
        <v>8096.2932813654961</v>
      </c>
      <c r="P95" s="428">
        <f>SUM(P85:P94)</f>
        <v>3442.3191132021539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5">G95-G81</f>
        <v>0</v>
      </c>
      <c r="H96" s="452">
        <f t="shared" si="55"/>
        <v>0</v>
      </c>
      <c r="I96" s="452">
        <f t="shared" si="55"/>
        <v>0</v>
      </c>
      <c r="J96" s="452">
        <f t="shared" si="55"/>
        <v>0</v>
      </c>
      <c r="K96" s="191">
        <f t="shared" si="55"/>
        <v>0</v>
      </c>
      <c r="L96" s="191">
        <f t="shared" si="55"/>
        <v>0</v>
      </c>
      <c r="M96" s="191">
        <f t="shared" si="55"/>
        <v>0</v>
      </c>
      <c r="N96" s="191">
        <f t="shared" si="55"/>
        <v>0</v>
      </c>
      <c r="O96" s="191">
        <f t="shared" si="55"/>
        <v>0</v>
      </c>
      <c r="P96" s="191">
        <f t="shared" si="55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6">0.5*H21</f>
        <v>0</v>
      </c>
      <c r="I99" s="2">
        <f t="shared" si="56"/>
        <v>0</v>
      </c>
      <c r="J99" s="2">
        <f t="shared" si="56"/>
        <v>0</v>
      </c>
      <c r="K99" s="2">
        <f t="shared" si="56"/>
        <v>0</v>
      </c>
      <c r="L99" s="2">
        <f t="shared" si="56"/>
        <v>0</v>
      </c>
      <c r="M99" s="2">
        <f t="shared" si="56"/>
        <v>0</v>
      </c>
      <c r="N99" s="2">
        <f t="shared" si="56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7">0.5*H21</f>
        <v>0</v>
      </c>
      <c r="I101" s="2">
        <f t="shared" si="57"/>
        <v>0</v>
      </c>
      <c r="J101" s="2">
        <f t="shared" si="57"/>
        <v>0</v>
      </c>
      <c r="K101" s="2">
        <f t="shared" si="57"/>
        <v>0</v>
      </c>
      <c r="L101" s="2">
        <f t="shared" si="57"/>
        <v>0</v>
      </c>
      <c r="M101" s="2">
        <f t="shared" si="57"/>
        <v>0</v>
      </c>
      <c r="N101" s="2">
        <f t="shared" si="57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8">H18</f>
        <v>0</v>
      </c>
      <c r="I103" s="2">
        <f t="shared" si="58"/>
        <v>0</v>
      </c>
      <c r="J103" s="2">
        <f t="shared" si="58"/>
        <v>0</v>
      </c>
      <c r="K103" s="2">
        <f t="shared" si="58"/>
        <v>0</v>
      </c>
      <c r="L103" s="2">
        <f t="shared" si="58"/>
        <v>0</v>
      </c>
      <c r="M103" s="2">
        <f t="shared" si="58"/>
        <v>0</v>
      </c>
      <c r="N103" s="2">
        <f t="shared" si="58"/>
        <v>0</v>
      </c>
    </row>
    <row r="104" spans="3:16" hidden="1" outlineLevel="1">
      <c r="D104" s="248" t="s">
        <v>384</v>
      </c>
      <c r="G104" s="2">
        <f>G19</f>
        <v>1</v>
      </c>
      <c r="H104" s="2">
        <f t="shared" si="58"/>
        <v>1</v>
      </c>
      <c r="I104" s="2">
        <f t="shared" si="58"/>
        <v>1</v>
      </c>
      <c r="J104" s="2">
        <f t="shared" si="58"/>
        <v>1</v>
      </c>
      <c r="K104" s="2">
        <f t="shared" si="58"/>
        <v>1</v>
      </c>
      <c r="L104" s="2">
        <f t="shared" si="58"/>
        <v>1</v>
      </c>
      <c r="M104" s="2">
        <f t="shared" si="58"/>
        <v>1</v>
      </c>
      <c r="N104" s="2">
        <f t="shared" si="58"/>
        <v>1</v>
      </c>
    </row>
    <row r="105" spans="3:16" hidden="1" outlineLevel="1">
      <c r="D105" s="248" t="s">
        <v>385</v>
      </c>
      <c r="G105" s="2">
        <f>G20</f>
        <v>0</v>
      </c>
      <c r="H105" s="2">
        <f t="shared" si="58"/>
        <v>0</v>
      </c>
      <c r="I105" s="2">
        <f t="shared" si="58"/>
        <v>0</v>
      </c>
      <c r="J105" s="2">
        <f t="shared" si="58"/>
        <v>0</v>
      </c>
      <c r="K105" s="2">
        <f t="shared" si="58"/>
        <v>0</v>
      </c>
      <c r="L105" s="2">
        <f t="shared" si="58"/>
        <v>0</v>
      </c>
      <c r="M105" s="2">
        <f t="shared" si="58"/>
        <v>0</v>
      </c>
      <c r="N105" s="2">
        <f t="shared" si="58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9">H17+H23</f>
        <v>0</v>
      </c>
      <c r="I106" s="2">
        <f t="shared" si="59"/>
        <v>0</v>
      </c>
      <c r="J106" s="2">
        <f t="shared" si="59"/>
        <v>0</v>
      </c>
      <c r="K106" s="2">
        <f t="shared" si="59"/>
        <v>0</v>
      </c>
      <c r="L106" s="2">
        <f t="shared" si="59"/>
        <v>0</v>
      </c>
      <c r="M106" s="2">
        <f t="shared" si="59"/>
        <v>0</v>
      </c>
      <c r="N106" s="2">
        <f t="shared" si="59"/>
        <v>0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60">H22</f>
        <v>0</v>
      </c>
      <c r="I107" s="2">
        <f t="shared" si="60"/>
        <v>0</v>
      </c>
      <c r="J107" s="2">
        <f t="shared" si="60"/>
        <v>0</v>
      </c>
      <c r="K107" s="2">
        <f t="shared" si="60"/>
        <v>0</v>
      </c>
      <c r="L107" s="2">
        <f t="shared" si="60"/>
        <v>0</v>
      </c>
      <c r="M107" s="2">
        <f t="shared" si="60"/>
        <v>0</v>
      </c>
      <c r="N107" s="2">
        <f t="shared" si="60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61">SUM(H99:H107)</f>
        <v>1</v>
      </c>
      <c r="I108" s="2">
        <f t="shared" si="61"/>
        <v>1</v>
      </c>
      <c r="J108" s="2">
        <f t="shared" si="61"/>
        <v>1</v>
      </c>
      <c r="K108" s="2">
        <f t="shared" si="61"/>
        <v>1</v>
      </c>
      <c r="L108" s="2">
        <f t="shared" si="61"/>
        <v>1</v>
      </c>
      <c r="M108" s="2">
        <f t="shared" si="61"/>
        <v>1</v>
      </c>
      <c r="N108" s="2">
        <f t="shared" si="61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62">H99*H$53</f>
        <v>0</v>
      </c>
      <c r="I111" s="191">
        <f t="shared" si="62"/>
        <v>0</v>
      </c>
      <c r="J111" s="191">
        <f t="shared" si="62"/>
        <v>0</v>
      </c>
      <c r="K111" s="191">
        <f t="shared" si="62"/>
        <v>0</v>
      </c>
      <c r="L111" s="191">
        <f t="shared" si="62"/>
        <v>0</v>
      </c>
      <c r="M111" s="191">
        <f t="shared" si="62"/>
        <v>0</v>
      </c>
      <c r="N111" s="191">
        <f t="shared" si="62"/>
        <v>0</v>
      </c>
      <c r="O111" s="191">
        <f t="shared" ref="O111:O119" si="63">SUM(F111:N111)</f>
        <v>0</v>
      </c>
      <c r="P111" s="191">
        <f t="shared" ref="P111:P119" si="64">SUM(I111:M111)</f>
        <v>0</v>
      </c>
    </row>
    <row r="112" spans="3:16" hidden="1" outlineLevel="1">
      <c r="D112" s="248" t="s">
        <v>380</v>
      </c>
      <c r="G112" s="191">
        <f t="shared" ref="G112:N119" si="65">G100*G$53</f>
        <v>0</v>
      </c>
      <c r="H112" s="191">
        <f t="shared" si="65"/>
        <v>0</v>
      </c>
      <c r="I112" s="191">
        <f t="shared" si="65"/>
        <v>0</v>
      </c>
      <c r="J112" s="191">
        <f t="shared" si="65"/>
        <v>0</v>
      </c>
      <c r="K112" s="191">
        <f t="shared" si="65"/>
        <v>0</v>
      </c>
      <c r="L112" s="191">
        <f t="shared" si="65"/>
        <v>0</v>
      </c>
      <c r="M112" s="191">
        <f t="shared" si="65"/>
        <v>0</v>
      </c>
      <c r="N112" s="191">
        <f t="shared" si="65"/>
        <v>0</v>
      </c>
      <c r="O112" s="191">
        <f t="shared" si="63"/>
        <v>0</v>
      </c>
      <c r="P112" s="191">
        <f t="shared" si="64"/>
        <v>0</v>
      </c>
    </row>
    <row r="113" spans="4:16" hidden="1" outlineLevel="1">
      <c r="D113" s="248" t="s">
        <v>381</v>
      </c>
      <c r="G113" s="191">
        <f t="shared" si="65"/>
        <v>0</v>
      </c>
      <c r="H113" s="191">
        <f t="shared" si="65"/>
        <v>0</v>
      </c>
      <c r="I113" s="191">
        <f t="shared" si="65"/>
        <v>0</v>
      </c>
      <c r="J113" s="191">
        <f t="shared" si="65"/>
        <v>0</v>
      </c>
      <c r="K113" s="191">
        <f t="shared" si="65"/>
        <v>0</v>
      </c>
      <c r="L113" s="191">
        <f t="shared" si="65"/>
        <v>0</v>
      </c>
      <c r="M113" s="191">
        <f t="shared" si="65"/>
        <v>0</v>
      </c>
      <c r="N113" s="191">
        <f t="shared" si="65"/>
        <v>0</v>
      </c>
      <c r="O113" s="191">
        <f t="shared" si="63"/>
        <v>0</v>
      </c>
      <c r="P113" s="191">
        <f t="shared" si="64"/>
        <v>0</v>
      </c>
    </row>
    <row r="114" spans="4:16" hidden="1" outlineLevel="1">
      <c r="D114" s="248" t="s">
        <v>382</v>
      </c>
      <c r="G114" s="191">
        <f t="shared" si="65"/>
        <v>0</v>
      </c>
      <c r="H114" s="191">
        <f t="shared" si="65"/>
        <v>0</v>
      </c>
      <c r="I114" s="191">
        <f t="shared" si="65"/>
        <v>0</v>
      </c>
      <c r="J114" s="191">
        <f t="shared" si="65"/>
        <v>0</v>
      </c>
      <c r="K114" s="191">
        <f t="shared" si="65"/>
        <v>0</v>
      </c>
      <c r="L114" s="191">
        <f t="shared" si="65"/>
        <v>0</v>
      </c>
      <c r="M114" s="191">
        <f t="shared" si="65"/>
        <v>0</v>
      </c>
      <c r="N114" s="191">
        <f t="shared" si="65"/>
        <v>0</v>
      </c>
      <c r="O114" s="191">
        <f t="shared" si="63"/>
        <v>0</v>
      </c>
      <c r="P114" s="191">
        <f t="shared" si="64"/>
        <v>0</v>
      </c>
    </row>
    <row r="115" spans="4:16" hidden="1" outlineLevel="1">
      <c r="D115" s="248" t="s">
        <v>383</v>
      </c>
      <c r="G115" s="191">
        <f t="shared" si="65"/>
        <v>0</v>
      </c>
      <c r="H115" s="191">
        <f t="shared" si="65"/>
        <v>0</v>
      </c>
      <c r="I115" s="191">
        <f t="shared" si="65"/>
        <v>0</v>
      </c>
      <c r="J115" s="191">
        <f t="shared" si="65"/>
        <v>0</v>
      </c>
      <c r="K115" s="191">
        <f t="shared" si="65"/>
        <v>0</v>
      </c>
      <c r="L115" s="191">
        <f t="shared" si="65"/>
        <v>0</v>
      </c>
      <c r="M115" s="191">
        <f t="shared" si="65"/>
        <v>0</v>
      </c>
      <c r="N115" s="191">
        <f t="shared" si="65"/>
        <v>0</v>
      </c>
      <c r="O115" s="191">
        <f t="shared" si="63"/>
        <v>0</v>
      </c>
      <c r="P115" s="191">
        <f t="shared" si="64"/>
        <v>0</v>
      </c>
    </row>
    <row r="116" spans="4:16" hidden="1" outlineLevel="1">
      <c r="D116" s="248" t="s">
        <v>384</v>
      </c>
      <c r="G116" s="191">
        <f t="shared" si="65"/>
        <v>353.58214285714291</v>
      </c>
      <c r="H116" s="191">
        <f t="shared" si="65"/>
        <v>712.72362777075955</v>
      </c>
      <c r="I116" s="191">
        <f t="shared" si="65"/>
        <v>241.19651127819554</v>
      </c>
      <c r="J116" s="191">
        <f t="shared" si="65"/>
        <v>241.19651127819554</v>
      </c>
      <c r="K116" s="191">
        <f t="shared" si="65"/>
        <v>241.19651127819554</v>
      </c>
      <c r="L116" s="191">
        <f t="shared" si="65"/>
        <v>241.19651127819554</v>
      </c>
      <c r="M116" s="191">
        <f t="shared" si="65"/>
        <v>241.19651127819554</v>
      </c>
      <c r="N116" s="191">
        <f t="shared" si="65"/>
        <v>0</v>
      </c>
      <c r="O116" s="191">
        <f t="shared" si="63"/>
        <v>2272.2883270188795</v>
      </c>
      <c r="P116" s="191">
        <f t="shared" si="64"/>
        <v>1205.9825563909776</v>
      </c>
    </row>
    <row r="117" spans="4:16" hidden="1" outlineLevel="1">
      <c r="D117" s="248" t="s">
        <v>385</v>
      </c>
      <c r="G117" s="191">
        <f t="shared" si="65"/>
        <v>0</v>
      </c>
      <c r="H117" s="191">
        <f t="shared" si="65"/>
        <v>0</v>
      </c>
      <c r="I117" s="191">
        <f t="shared" si="65"/>
        <v>0</v>
      </c>
      <c r="J117" s="191">
        <f t="shared" si="65"/>
        <v>0</v>
      </c>
      <c r="K117" s="191">
        <f t="shared" si="65"/>
        <v>0</v>
      </c>
      <c r="L117" s="191">
        <f t="shared" si="65"/>
        <v>0</v>
      </c>
      <c r="M117" s="191">
        <f t="shared" si="65"/>
        <v>0</v>
      </c>
      <c r="N117" s="191">
        <f t="shared" si="65"/>
        <v>0</v>
      </c>
      <c r="O117" s="191">
        <f t="shared" si="63"/>
        <v>0</v>
      </c>
      <c r="P117" s="191">
        <f t="shared" si="64"/>
        <v>0</v>
      </c>
    </row>
    <row r="118" spans="4:16" hidden="1" outlineLevel="1">
      <c r="D118" s="248" t="s">
        <v>386</v>
      </c>
      <c r="G118" s="191">
        <f t="shared" si="65"/>
        <v>0</v>
      </c>
      <c r="H118" s="191">
        <f t="shared" si="65"/>
        <v>0</v>
      </c>
      <c r="I118" s="191">
        <f t="shared" si="65"/>
        <v>0</v>
      </c>
      <c r="J118" s="191">
        <f t="shared" si="65"/>
        <v>0</v>
      </c>
      <c r="K118" s="191">
        <f t="shared" si="65"/>
        <v>0</v>
      </c>
      <c r="L118" s="191">
        <f t="shared" si="65"/>
        <v>0</v>
      </c>
      <c r="M118" s="191">
        <f t="shared" si="65"/>
        <v>0</v>
      </c>
      <c r="N118" s="191">
        <f t="shared" si="65"/>
        <v>0</v>
      </c>
      <c r="O118" s="191">
        <f t="shared" si="63"/>
        <v>0</v>
      </c>
      <c r="P118" s="191">
        <f t="shared" si="64"/>
        <v>0</v>
      </c>
    </row>
    <row r="119" spans="4:16" hidden="1" outlineLevel="1">
      <c r="D119" s="248" t="s">
        <v>387</v>
      </c>
      <c r="G119" s="912">
        <f t="shared" si="65"/>
        <v>0</v>
      </c>
      <c r="H119" s="912">
        <f t="shared" si="65"/>
        <v>0</v>
      </c>
      <c r="I119" s="912">
        <f t="shared" si="65"/>
        <v>0</v>
      </c>
      <c r="J119" s="912">
        <f t="shared" si="65"/>
        <v>0</v>
      </c>
      <c r="K119" s="912">
        <f t="shared" si="65"/>
        <v>0</v>
      </c>
      <c r="L119" s="912">
        <f t="shared" si="65"/>
        <v>0</v>
      </c>
      <c r="M119" s="912">
        <f t="shared" si="65"/>
        <v>0</v>
      </c>
      <c r="N119" s="912">
        <f t="shared" si="65"/>
        <v>0</v>
      </c>
      <c r="O119" s="912">
        <f t="shared" si="63"/>
        <v>0</v>
      </c>
      <c r="P119" s="912">
        <f t="shared" si="64"/>
        <v>0</v>
      </c>
    </row>
    <row r="120" spans="4:16" hidden="1" outlineLevel="1">
      <c r="D120" s="248" t="s">
        <v>440</v>
      </c>
      <c r="G120" s="191">
        <f>SUM(G111:G119)</f>
        <v>353.58214285714291</v>
      </c>
      <c r="H120" s="191">
        <f t="shared" ref="H120:P120" si="66">SUM(H111:H119)</f>
        <v>712.72362777075955</v>
      </c>
      <c r="I120" s="191">
        <f t="shared" si="66"/>
        <v>241.19651127819554</v>
      </c>
      <c r="J120" s="191">
        <f t="shared" si="66"/>
        <v>241.19651127819554</v>
      </c>
      <c r="K120" s="191">
        <f t="shared" si="66"/>
        <v>241.19651127819554</v>
      </c>
      <c r="L120" s="191">
        <f t="shared" si="66"/>
        <v>241.19651127819554</v>
      </c>
      <c r="M120" s="191">
        <f t="shared" si="66"/>
        <v>241.19651127819554</v>
      </c>
      <c r="N120" s="191">
        <f t="shared" si="66"/>
        <v>0</v>
      </c>
      <c r="O120" s="191">
        <f t="shared" si="66"/>
        <v>2272.2883270188795</v>
      </c>
      <c r="P120" s="191">
        <f t="shared" si="66"/>
        <v>1205.9825563909776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7">H99*H$51</f>
        <v>0</v>
      </c>
      <c r="I123" s="191">
        <f t="shared" si="67"/>
        <v>0</v>
      </c>
      <c r="J123" s="191">
        <f t="shared" si="67"/>
        <v>0</v>
      </c>
      <c r="K123" s="191">
        <f t="shared" si="67"/>
        <v>0</v>
      </c>
      <c r="L123" s="191">
        <f t="shared" si="67"/>
        <v>0</v>
      </c>
      <c r="M123" s="191">
        <f t="shared" si="67"/>
        <v>0</v>
      </c>
      <c r="N123" s="191">
        <f t="shared" si="67"/>
        <v>0</v>
      </c>
      <c r="O123" s="191">
        <f t="shared" ref="O123:O131" si="68">SUM(F123:N123)</f>
        <v>0</v>
      </c>
      <c r="P123" s="191">
        <f t="shared" ref="P123:P131" si="69">SUM(I123:M123)</f>
        <v>0</v>
      </c>
    </row>
    <row r="124" spans="4:16" hidden="1" outlineLevel="1">
      <c r="D124" s="248" t="s">
        <v>380</v>
      </c>
      <c r="G124" s="191">
        <f t="shared" ref="G124:N131" si="70">G100*G$51</f>
        <v>0</v>
      </c>
      <c r="H124" s="191">
        <f t="shared" si="70"/>
        <v>0</v>
      </c>
      <c r="I124" s="191">
        <f t="shared" si="70"/>
        <v>0</v>
      </c>
      <c r="J124" s="191">
        <f t="shared" si="70"/>
        <v>0</v>
      </c>
      <c r="K124" s="191">
        <f t="shared" si="70"/>
        <v>0</v>
      </c>
      <c r="L124" s="191">
        <f t="shared" si="70"/>
        <v>0</v>
      </c>
      <c r="M124" s="191">
        <f t="shared" si="70"/>
        <v>0</v>
      </c>
      <c r="N124" s="191">
        <f t="shared" si="70"/>
        <v>0</v>
      </c>
      <c r="O124" s="191">
        <f t="shared" si="68"/>
        <v>0</v>
      </c>
      <c r="P124" s="191">
        <f t="shared" si="69"/>
        <v>0</v>
      </c>
    </row>
    <row r="125" spans="4:16" hidden="1" outlineLevel="1">
      <c r="D125" s="248" t="s">
        <v>381</v>
      </c>
      <c r="G125" s="191">
        <f t="shared" si="70"/>
        <v>0</v>
      </c>
      <c r="H125" s="191">
        <f t="shared" si="70"/>
        <v>0</v>
      </c>
      <c r="I125" s="191">
        <f t="shared" si="70"/>
        <v>0</v>
      </c>
      <c r="J125" s="191">
        <f t="shared" si="70"/>
        <v>0</v>
      </c>
      <c r="K125" s="191">
        <f t="shared" si="70"/>
        <v>0</v>
      </c>
      <c r="L125" s="191">
        <f t="shared" si="70"/>
        <v>0</v>
      </c>
      <c r="M125" s="191">
        <f t="shared" si="70"/>
        <v>0</v>
      </c>
      <c r="N125" s="191">
        <f t="shared" si="70"/>
        <v>0</v>
      </c>
      <c r="O125" s="191">
        <f t="shared" si="68"/>
        <v>0</v>
      </c>
      <c r="P125" s="191">
        <f t="shared" si="69"/>
        <v>0</v>
      </c>
    </row>
    <row r="126" spans="4:16" hidden="1" outlineLevel="1">
      <c r="D126" s="248" t="s">
        <v>382</v>
      </c>
      <c r="G126" s="191">
        <f t="shared" si="70"/>
        <v>0</v>
      </c>
      <c r="H126" s="191">
        <f t="shared" si="70"/>
        <v>0</v>
      </c>
      <c r="I126" s="191">
        <f t="shared" si="70"/>
        <v>0</v>
      </c>
      <c r="J126" s="191">
        <f t="shared" si="70"/>
        <v>0</v>
      </c>
      <c r="K126" s="191">
        <f t="shared" si="70"/>
        <v>0</v>
      </c>
      <c r="L126" s="191">
        <f t="shared" si="70"/>
        <v>0</v>
      </c>
      <c r="M126" s="191">
        <f t="shared" si="70"/>
        <v>0</v>
      </c>
      <c r="N126" s="191">
        <f t="shared" si="70"/>
        <v>0</v>
      </c>
      <c r="O126" s="191">
        <f t="shared" si="68"/>
        <v>0</v>
      </c>
      <c r="P126" s="191">
        <f t="shared" si="69"/>
        <v>0</v>
      </c>
    </row>
    <row r="127" spans="4:16" hidden="1" outlineLevel="1">
      <c r="D127" s="248" t="s">
        <v>383</v>
      </c>
      <c r="G127" s="191">
        <f t="shared" si="70"/>
        <v>0</v>
      </c>
      <c r="H127" s="191">
        <f t="shared" si="70"/>
        <v>0</v>
      </c>
      <c r="I127" s="191">
        <f t="shared" si="70"/>
        <v>0</v>
      </c>
      <c r="J127" s="191">
        <f t="shared" si="70"/>
        <v>0</v>
      </c>
      <c r="K127" s="191">
        <f t="shared" si="70"/>
        <v>0</v>
      </c>
      <c r="L127" s="191">
        <f t="shared" si="70"/>
        <v>0</v>
      </c>
      <c r="M127" s="191">
        <f t="shared" si="70"/>
        <v>0</v>
      </c>
      <c r="N127" s="191">
        <f t="shared" si="70"/>
        <v>0</v>
      </c>
      <c r="O127" s="191">
        <f t="shared" si="68"/>
        <v>0</v>
      </c>
      <c r="P127" s="191">
        <f t="shared" si="69"/>
        <v>0</v>
      </c>
    </row>
    <row r="128" spans="4:16" hidden="1" outlineLevel="1">
      <c r="D128" s="248" t="s">
        <v>384</v>
      </c>
      <c r="G128" s="191">
        <f t="shared" si="70"/>
        <v>88.91485948660717</v>
      </c>
      <c r="H128" s="191">
        <f t="shared" si="70"/>
        <v>180.41062272146664</v>
      </c>
      <c r="I128" s="191">
        <f t="shared" si="70"/>
        <v>61.545179802958067</v>
      </c>
      <c r="J128" s="191">
        <f t="shared" si="70"/>
        <v>62.043695759362031</v>
      </c>
      <c r="K128" s="191">
        <f t="shared" si="70"/>
        <v>62.557107341770745</v>
      </c>
      <c r="L128" s="191">
        <f t="shared" si="70"/>
        <v>63.116993452479591</v>
      </c>
      <c r="M128" s="191">
        <f t="shared" si="70"/>
        <v>63.691358092897168</v>
      </c>
      <c r="N128" s="191">
        <f t="shared" si="70"/>
        <v>0</v>
      </c>
      <c r="O128" s="191">
        <f t="shared" si="68"/>
        <v>582.27981665754146</v>
      </c>
      <c r="P128" s="191">
        <f t="shared" si="69"/>
        <v>312.95433444946758</v>
      </c>
    </row>
    <row r="129" spans="4:16" hidden="1" outlineLevel="1">
      <c r="D129" s="248" t="s">
        <v>385</v>
      </c>
      <c r="G129" s="191">
        <f t="shared" si="70"/>
        <v>0</v>
      </c>
      <c r="H129" s="191">
        <f t="shared" si="70"/>
        <v>0</v>
      </c>
      <c r="I129" s="191">
        <f t="shared" si="70"/>
        <v>0</v>
      </c>
      <c r="J129" s="191">
        <f t="shared" si="70"/>
        <v>0</v>
      </c>
      <c r="K129" s="191">
        <f t="shared" si="70"/>
        <v>0</v>
      </c>
      <c r="L129" s="191">
        <f t="shared" si="70"/>
        <v>0</v>
      </c>
      <c r="M129" s="191">
        <f t="shared" si="70"/>
        <v>0</v>
      </c>
      <c r="N129" s="191">
        <f t="shared" si="70"/>
        <v>0</v>
      </c>
      <c r="O129" s="191">
        <f t="shared" si="68"/>
        <v>0</v>
      </c>
      <c r="P129" s="191">
        <f t="shared" si="69"/>
        <v>0</v>
      </c>
    </row>
    <row r="130" spans="4:16" hidden="1" outlineLevel="1">
      <c r="D130" s="248" t="s">
        <v>386</v>
      </c>
      <c r="G130" s="191">
        <f t="shared" si="70"/>
        <v>0</v>
      </c>
      <c r="H130" s="191">
        <f t="shared" si="70"/>
        <v>0</v>
      </c>
      <c r="I130" s="191">
        <f t="shared" si="70"/>
        <v>0</v>
      </c>
      <c r="J130" s="191">
        <f t="shared" si="70"/>
        <v>0</v>
      </c>
      <c r="K130" s="191">
        <f t="shared" si="70"/>
        <v>0</v>
      </c>
      <c r="L130" s="191">
        <f t="shared" si="70"/>
        <v>0</v>
      </c>
      <c r="M130" s="191">
        <f t="shared" si="70"/>
        <v>0</v>
      </c>
      <c r="N130" s="191">
        <f t="shared" si="70"/>
        <v>0</v>
      </c>
      <c r="O130" s="191">
        <f t="shared" si="68"/>
        <v>0</v>
      </c>
      <c r="P130" s="191">
        <f t="shared" si="69"/>
        <v>0</v>
      </c>
    </row>
    <row r="131" spans="4:16" hidden="1" outlineLevel="1">
      <c r="D131" s="248" t="s">
        <v>387</v>
      </c>
      <c r="G131" s="912">
        <f t="shared" si="70"/>
        <v>0</v>
      </c>
      <c r="H131" s="912">
        <f t="shared" si="70"/>
        <v>0</v>
      </c>
      <c r="I131" s="912">
        <f t="shared" si="70"/>
        <v>0</v>
      </c>
      <c r="J131" s="912">
        <f t="shared" si="70"/>
        <v>0</v>
      </c>
      <c r="K131" s="912">
        <f t="shared" si="70"/>
        <v>0</v>
      </c>
      <c r="L131" s="912">
        <f t="shared" si="70"/>
        <v>0</v>
      </c>
      <c r="M131" s="912">
        <f t="shared" si="70"/>
        <v>0</v>
      </c>
      <c r="N131" s="912">
        <f t="shared" si="70"/>
        <v>0</v>
      </c>
      <c r="O131" s="912">
        <f t="shared" si="68"/>
        <v>0</v>
      </c>
      <c r="P131" s="912">
        <f t="shared" si="69"/>
        <v>0</v>
      </c>
    </row>
    <row r="132" spans="4:16" hidden="1" outlineLevel="1">
      <c r="D132" s="248" t="s">
        <v>441</v>
      </c>
      <c r="G132" s="191">
        <f>SUM(G123:G131)</f>
        <v>88.91485948660717</v>
      </c>
      <c r="H132" s="191">
        <f t="shared" ref="H132:P132" si="71">SUM(H123:H131)</f>
        <v>180.41062272146664</v>
      </c>
      <c r="I132" s="191">
        <f t="shared" si="71"/>
        <v>61.545179802958067</v>
      </c>
      <c r="J132" s="191">
        <f t="shared" si="71"/>
        <v>62.043695759362031</v>
      </c>
      <c r="K132" s="191">
        <f t="shared" si="71"/>
        <v>62.557107341770745</v>
      </c>
      <c r="L132" s="191">
        <f t="shared" si="71"/>
        <v>63.116993452479591</v>
      </c>
      <c r="M132" s="191">
        <f t="shared" si="71"/>
        <v>63.691358092897168</v>
      </c>
      <c r="N132" s="191">
        <f t="shared" si="71"/>
        <v>0</v>
      </c>
      <c r="O132" s="191">
        <f t="shared" si="71"/>
        <v>582.27981665754146</v>
      </c>
      <c r="P132" s="191">
        <f t="shared" si="71"/>
        <v>312.95433444946758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72">H99*H$52</f>
        <v>0</v>
      </c>
      <c r="I135" s="191">
        <f t="shared" si="72"/>
        <v>0</v>
      </c>
      <c r="J135" s="191">
        <f t="shared" si="72"/>
        <v>0</v>
      </c>
      <c r="K135" s="191">
        <f t="shared" si="72"/>
        <v>0</v>
      </c>
      <c r="L135" s="191">
        <f t="shared" si="72"/>
        <v>0</v>
      </c>
      <c r="M135" s="191">
        <f t="shared" si="72"/>
        <v>0</v>
      </c>
      <c r="N135" s="191">
        <f t="shared" si="72"/>
        <v>0</v>
      </c>
      <c r="O135" s="191">
        <f t="shared" ref="O135:O143" si="73">SUM(F135:N135)</f>
        <v>0</v>
      </c>
      <c r="P135" s="191">
        <f t="shared" ref="P135:P143" si="74">SUM(I135:M135)</f>
        <v>0</v>
      </c>
    </row>
    <row r="136" spans="4:16" hidden="1" outlineLevel="1">
      <c r="D136" s="248" t="s">
        <v>380</v>
      </c>
      <c r="G136" s="191">
        <f t="shared" ref="G136:N143" si="75">G100*G$52</f>
        <v>0</v>
      </c>
      <c r="H136" s="191">
        <f t="shared" si="75"/>
        <v>0</v>
      </c>
      <c r="I136" s="191">
        <f t="shared" si="75"/>
        <v>0</v>
      </c>
      <c r="J136" s="191">
        <f t="shared" si="75"/>
        <v>0</v>
      </c>
      <c r="K136" s="191">
        <f t="shared" si="75"/>
        <v>0</v>
      </c>
      <c r="L136" s="191">
        <f t="shared" si="75"/>
        <v>0</v>
      </c>
      <c r="M136" s="191">
        <f t="shared" si="75"/>
        <v>0</v>
      </c>
      <c r="N136" s="191">
        <f t="shared" si="75"/>
        <v>0</v>
      </c>
      <c r="O136" s="191">
        <f t="shared" si="73"/>
        <v>0</v>
      </c>
      <c r="P136" s="191">
        <f t="shared" si="74"/>
        <v>0</v>
      </c>
    </row>
    <row r="137" spans="4:16" hidden="1" outlineLevel="1">
      <c r="D137" s="248" t="s">
        <v>381</v>
      </c>
      <c r="G137" s="191">
        <f t="shared" si="75"/>
        <v>0</v>
      </c>
      <c r="H137" s="191">
        <f t="shared" si="75"/>
        <v>0</v>
      </c>
      <c r="I137" s="191">
        <f t="shared" si="75"/>
        <v>0</v>
      </c>
      <c r="J137" s="191">
        <f t="shared" si="75"/>
        <v>0</v>
      </c>
      <c r="K137" s="191">
        <f t="shared" si="75"/>
        <v>0</v>
      </c>
      <c r="L137" s="191">
        <f t="shared" si="75"/>
        <v>0</v>
      </c>
      <c r="M137" s="191">
        <f t="shared" si="75"/>
        <v>0</v>
      </c>
      <c r="N137" s="191">
        <f t="shared" si="75"/>
        <v>0</v>
      </c>
      <c r="O137" s="191">
        <f t="shared" si="73"/>
        <v>0</v>
      </c>
      <c r="P137" s="191">
        <f t="shared" si="74"/>
        <v>0</v>
      </c>
    </row>
    <row r="138" spans="4:16" hidden="1" outlineLevel="1">
      <c r="D138" s="248" t="s">
        <v>382</v>
      </c>
      <c r="G138" s="191">
        <f t="shared" si="75"/>
        <v>0</v>
      </c>
      <c r="H138" s="191">
        <f t="shared" si="75"/>
        <v>0</v>
      </c>
      <c r="I138" s="191">
        <f t="shared" si="75"/>
        <v>0</v>
      </c>
      <c r="J138" s="191">
        <f t="shared" si="75"/>
        <v>0</v>
      </c>
      <c r="K138" s="191">
        <f t="shared" si="75"/>
        <v>0</v>
      </c>
      <c r="L138" s="191">
        <f t="shared" si="75"/>
        <v>0</v>
      </c>
      <c r="M138" s="191">
        <f t="shared" si="75"/>
        <v>0</v>
      </c>
      <c r="N138" s="191">
        <f t="shared" si="75"/>
        <v>0</v>
      </c>
      <c r="O138" s="191">
        <f t="shared" si="73"/>
        <v>0</v>
      </c>
      <c r="P138" s="191">
        <f t="shared" si="74"/>
        <v>0</v>
      </c>
    </row>
    <row r="139" spans="4:16" hidden="1" outlineLevel="1">
      <c r="D139" s="248" t="s">
        <v>383</v>
      </c>
      <c r="G139" s="191">
        <f t="shared" si="75"/>
        <v>0</v>
      </c>
      <c r="H139" s="191">
        <f t="shared" si="75"/>
        <v>0</v>
      </c>
      <c r="I139" s="191">
        <f t="shared" si="75"/>
        <v>0</v>
      </c>
      <c r="J139" s="191">
        <f t="shared" si="75"/>
        <v>0</v>
      </c>
      <c r="K139" s="191">
        <f t="shared" si="75"/>
        <v>0</v>
      </c>
      <c r="L139" s="191">
        <f t="shared" si="75"/>
        <v>0</v>
      </c>
      <c r="M139" s="191">
        <f t="shared" si="75"/>
        <v>0</v>
      </c>
      <c r="N139" s="191">
        <f t="shared" si="75"/>
        <v>0</v>
      </c>
      <c r="O139" s="191">
        <f t="shared" si="73"/>
        <v>0</v>
      </c>
      <c r="P139" s="191">
        <f t="shared" si="74"/>
        <v>0</v>
      </c>
    </row>
    <row r="140" spans="4:16" hidden="1" outlineLevel="1">
      <c r="D140" s="248" t="s">
        <v>384</v>
      </c>
      <c r="G140" s="191">
        <f t="shared" si="75"/>
        <v>443.7897870535715</v>
      </c>
      <c r="H140" s="191">
        <f t="shared" si="75"/>
        <v>900.48368504267523</v>
      </c>
      <c r="I140" s="191">
        <f t="shared" si="75"/>
        <v>307.89901940783926</v>
      </c>
      <c r="J140" s="191">
        <f t="shared" si="75"/>
        <v>311.10886668516594</v>
      </c>
      <c r="K140" s="191">
        <f t="shared" si="75"/>
        <v>314.24328851701898</v>
      </c>
      <c r="L140" s="191">
        <f t="shared" si="75"/>
        <v>317.66854036185453</v>
      </c>
      <c r="M140" s="191">
        <f t="shared" si="75"/>
        <v>321.21054458688923</v>
      </c>
      <c r="N140" s="191">
        <f t="shared" si="75"/>
        <v>0</v>
      </c>
      <c r="O140" s="191">
        <f t="shared" si="73"/>
        <v>2916.4037316550143</v>
      </c>
      <c r="P140" s="191">
        <f t="shared" si="74"/>
        <v>1572.1302595587681</v>
      </c>
    </row>
    <row r="141" spans="4:16" hidden="1" outlineLevel="1">
      <c r="D141" s="248" t="s">
        <v>385</v>
      </c>
      <c r="G141" s="191">
        <f t="shared" si="75"/>
        <v>0</v>
      </c>
      <c r="H141" s="191">
        <f t="shared" si="75"/>
        <v>0</v>
      </c>
      <c r="I141" s="191">
        <f t="shared" si="75"/>
        <v>0</v>
      </c>
      <c r="J141" s="191">
        <f t="shared" si="75"/>
        <v>0</v>
      </c>
      <c r="K141" s="191">
        <f t="shared" si="75"/>
        <v>0</v>
      </c>
      <c r="L141" s="191">
        <f t="shared" si="75"/>
        <v>0</v>
      </c>
      <c r="M141" s="191">
        <f t="shared" si="75"/>
        <v>0</v>
      </c>
      <c r="N141" s="191">
        <f t="shared" si="75"/>
        <v>0</v>
      </c>
      <c r="O141" s="191">
        <f t="shared" si="73"/>
        <v>0</v>
      </c>
      <c r="P141" s="191">
        <f t="shared" si="74"/>
        <v>0</v>
      </c>
    </row>
    <row r="142" spans="4:16" hidden="1" outlineLevel="1">
      <c r="D142" s="248" t="s">
        <v>386</v>
      </c>
      <c r="G142" s="191">
        <f t="shared" si="75"/>
        <v>0</v>
      </c>
      <c r="H142" s="191">
        <f t="shared" si="75"/>
        <v>0</v>
      </c>
      <c r="I142" s="191">
        <f t="shared" si="75"/>
        <v>0</v>
      </c>
      <c r="J142" s="191">
        <f t="shared" si="75"/>
        <v>0</v>
      </c>
      <c r="K142" s="191">
        <f t="shared" si="75"/>
        <v>0</v>
      </c>
      <c r="L142" s="191">
        <f t="shared" si="75"/>
        <v>0</v>
      </c>
      <c r="M142" s="191">
        <f t="shared" si="75"/>
        <v>0</v>
      </c>
      <c r="N142" s="191">
        <f t="shared" si="75"/>
        <v>0</v>
      </c>
      <c r="O142" s="191">
        <f t="shared" si="73"/>
        <v>0</v>
      </c>
      <c r="P142" s="191">
        <f t="shared" si="74"/>
        <v>0</v>
      </c>
    </row>
    <row r="143" spans="4:16" hidden="1" outlineLevel="1">
      <c r="D143" s="248" t="s">
        <v>387</v>
      </c>
      <c r="G143" s="912">
        <f t="shared" si="75"/>
        <v>0</v>
      </c>
      <c r="H143" s="912">
        <f t="shared" si="75"/>
        <v>0</v>
      </c>
      <c r="I143" s="912">
        <f t="shared" si="75"/>
        <v>0</v>
      </c>
      <c r="J143" s="912">
        <f t="shared" si="75"/>
        <v>0</v>
      </c>
      <c r="K143" s="912">
        <f t="shared" si="75"/>
        <v>0</v>
      </c>
      <c r="L143" s="912">
        <f t="shared" si="75"/>
        <v>0</v>
      </c>
      <c r="M143" s="912">
        <f t="shared" si="75"/>
        <v>0</v>
      </c>
      <c r="N143" s="912">
        <f t="shared" si="75"/>
        <v>0</v>
      </c>
      <c r="O143" s="912">
        <f t="shared" si="73"/>
        <v>0</v>
      </c>
      <c r="P143" s="912">
        <f t="shared" si="74"/>
        <v>0</v>
      </c>
    </row>
    <row r="144" spans="4:16" hidden="1" outlineLevel="1">
      <c r="D144" s="248" t="s">
        <v>442</v>
      </c>
      <c r="G144" s="191">
        <f>SUM(G135:G143)</f>
        <v>443.7897870535715</v>
      </c>
      <c r="H144" s="191">
        <f t="shared" ref="H144:P144" si="76">SUM(H135:H143)</f>
        <v>900.48368504267523</v>
      </c>
      <c r="I144" s="191">
        <f t="shared" si="76"/>
        <v>307.89901940783926</v>
      </c>
      <c r="J144" s="191">
        <f t="shared" si="76"/>
        <v>311.10886668516594</v>
      </c>
      <c r="K144" s="191">
        <f t="shared" si="76"/>
        <v>314.24328851701898</v>
      </c>
      <c r="L144" s="191">
        <f t="shared" si="76"/>
        <v>317.66854036185453</v>
      </c>
      <c r="M144" s="191">
        <f t="shared" si="76"/>
        <v>321.21054458688923</v>
      </c>
      <c r="N144" s="191">
        <f t="shared" si="76"/>
        <v>0</v>
      </c>
      <c r="O144" s="191">
        <f t="shared" si="76"/>
        <v>2916.4037316550143</v>
      </c>
      <c r="P144" s="191">
        <f t="shared" si="76"/>
        <v>1572.1302595587681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7">G111+G123+G135</f>
        <v>0</v>
      </c>
      <c r="H147" s="191">
        <f t="shared" si="77"/>
        <v>0</v>
      </c>
      <c r="I147" s="191">
        <f t="shared" si="77"/>
        <v>0</v>
      </c>
      <c r="J147" s="191">
        <f t="shared" si="77"/>
        <v>0</v>
      </c>
      <c r="K147" s="191">
        <f t="shared" si="77"/>
        <v>0</v>
      </c>
      <c r="L147" s="191">
        <f t="shared" si="77"/>
        <v>0</v>
      </c>
      <c r="M147" s="191">
        <f t="shared" si="77"/>
        <v>0</v>
      </c>
      <c r="N147" s="191">
        <f t="shared" si="77"/>
        <v>0</v>
      </c>
      <c r="O147" s="191">
        <f t="shared" ref="O147:O155" si="78">SUM(F147:N147)</f>
        <v>0</v>
      </c>
      <c r="P147" s="191">
        <f t="shared" ref="P147:P155" si="79">SUM(I147:M147)</f>
        <v>0</v>
      </c>
    </row>
    <row r="148" spans="4:16" hidden="1" outlineLevel="1">
      <c r="D148" s="248" t="s">
        <v>380</v>
      </c>
      <c r="G148" s="191">
        <f t="shared" si="77"/>
        <v>0</v>
      </c>
      <c r="H148" s="191">
        <f t="shared" si="77"/>
        <v>0</v>
      </c>
      <c r="I148" s="191">
        <f t="shared" si="77"/>
        <v>0</v>
      </c>
      <c r="J148" s="191">
        <f t="shared" si="77"/>
        <v>0</v>
      </c>
      <c r="K148" s="191">
        <f t="shared" si="77"/>
        <v>0</v>
      </c>
      <c r="L148" s="191">
        <f t="shared" si="77"/>
        <v>0</v>
      </c>
      <c r="M148" s="191">
        <f t="shared" si="77"/>
        <v>0</v>
      </c>
      <c r="N148" s="191">
        <f t="shared" si="77"/>
        <v>0</v>
      </c>
      <c r="O148" s="191">
        <f t="shared" si="78"/>
        <v>0</v>
      </c>
      <c r="P148" s="191">
        <f t="shared" si="79"/>
        <v>0</v>
      </c>
    </row>
    <row r="149" spans="4:16" hidden="1" outlineLevel="1">
      <c r="D149" s="248" t="s">
        <v>381</v>
      </c>
      <c r="G149" s="191">
        <f t="shared" si="77"/>
        <v>0</v>
      </c>
      <c r="H149" s="191">
        <f t="shared" si="77"/>
        <v>0</v>
      </c>
      <c r="I149" s="191">
        <f t="shared" si="77"/>
        <v>0</v>
      </c>
      <c r="J149" s="191">
        <f t="shared" si="77"/>
        <v>0</v>
      </c>
      <c r="K149" s="191">
        <f t="shared" si="77"/>
        <v>0</v>
      </c>
      <c r="L149" s="191">
        <f t="shared" si="77"/>
        <v>0</v>
      </c>
      <c r="M149" s="191">
        <f t="shared" si="77"/>
        <v>0</v>
      </c>
      <c r="N149" s="191">
        <f t="shared" si="77"/>
        <v>0</v>
      </c>
      <c r="O149" s="191">
        <f t="shared" si="78"/>
        <v>0</v>
      </c>
      <c r="P149" s="191">
        <f t="shared" si="79"/>
        <v>0</v>
      </c>
    </row>
    <row r="150" spans="4:16" hidden="1" outlineLevel="1">
      <c r="D150" s="248" t="s">
        <v>382</v>
      </c>
      <c r="G150" s="191">
        <f t="shared" si="77"/>
        <v>0</v>
      </c>
      <c r="H150" s="191">
        <f t="shared" si="77"/>
        <v>0</v>
      </c>
      <c r="I150" s="191">
        <f t="shared" si="77"/>
        <v>0</v>
      </c>
      <c r="J150" s="191">
        <f t="shared" si="77"/>
        <v>0</v>
      </c>
      <c r="K150" s="191">
        <f t="shared" si="77"/>
        <v>0</v>
      </c>
      <c r="L150" s="191">
        <f t="shared" si="77"/>
        <v>0</v>
      </c>
      <c r="M150" s="191">
        <f t="shared" si="77"/>
        <v>0</v>
      </c>
      <c r="N150" s="191">
        <f t="shared" si="77"/>
        <v>0</v>
      </c>
      <c r="O150" s="191">
        <f t="shared" si="78"/>
        <v>0</v>
      </c>
      <c r="P150" s="191">
        <f t="shared" si="79"/>
        <v>0</v>
      </c>
    </row>
    <row r="151" spans="4:16" hidden="1" outlineLevel="1">
      <c r="D151" s="248" t="s">
        <v>383</v>
      </c>
      <c r="G151" s="191">
        <f t="shared" si="77"/>
        <v>0</v>
      </c>
      <c r="H151" s="191">
        <f t="shared" si="77"/>
        <v>0</v>
      </c>
      <c r="I151" s="191">
        <f t="shared" si="77"/>
        <v>0</v>
      </c>
      <c r="J151" s="191">
        <f t="shared" si="77"/>
        <v>0</v>
      </c>
      <c r="K151" s="191">
        <f t="shared" si="77"/>
        <v>0</v>
      </c>
      <c r="L151" s="191">
        <f t="shared" si="77"/>
        <v>0</v>
      </c>
      <c r="M151" s="191">
        <f t="shared" si="77"/>
        <v>0</v>
      </c>
      <c r="N151" s="191">
        <f t="shared" si="77"/>
        <v>0</v>
      </c>
      <c r="O151" s="191">
        <f t="shared" si="78"/>
        <v>0</v>
      </c>
      <c r="P151" s="191">
        <f t="shared" si="79"/>
        <v>0</v>
      </c>
    </row>
    <row r="152" spans="4:16" hidden="1" outlineLevel="1">
      <c r="D152" s="248" t="s">
        <v>384</v>
      </c>
      <c r="G152" s="191">
        <f t="shared" si="77"/>
        <v>886.28678939732163</v>
      </c>
      <c r="H152" s="191">
        <f t="shared" si="77"/>
        <v>1793.6179355349013</v>
      </c>
      <c r="I152" s="191">
        <f t="shared" si="77"/>
        <v>610.64071048899291</v>
      </c>
      <c r="J152" s="191">
        <f t="shared" si="77"/>
        <v>614.34907372272346</v>
      </c>
      <c r="K152" s="191">
        <f t="shared" si="77"/>
        <v>617.99690713698533</v>
      </c>
      <c r="L152" s="191">
        <f t="shared" si="77"/>
        <v>621.98204509252969</v>
      </c>
      <c r="M152" s="191">
        <f t="shared" si="77"/>
        <v>626.09841395798196</v>
      </c>
      <c r="N152" s="191">
        <f t="shared" si="77"/>
        <v>0</v>
      </c>
      <c r="O152" s="191">
        <f t="shared" si="78"/>
        <v>5770.9718753314373</v>
      </c>
      <c r="P152" s="191">
        <f t="shared" si="79"/>
        <v>3091.067150399213</v>
      </c>
    </row>
    <row r="153" spans="4:16" hidden="1" outlineLevel="1">
      <c r="D153" s="248" t="s">
        <v>385</v>
      </c>
      <c r="G153" s="191">
        <f t="shared" si="77"/>
        <v>0</v>
      </c>
      <c r="H153" s="191">
        <f t="shared" si="77"/>
        <v>0</v>
      </c>
      <c r="I153" s="191">
        <f t="shared" si="77"/>
        <v>0</v>
      </c>
      <c r="J153" s="191">
        <f t="shared" si="77"/>
        <v>0</v>
      </c>
      <c r="K153" s="191">
        <f t="shared" si="77"/>
        <v>0</v>
      </c>
      <c r="L153" s="191">
        <f t="shared" si="77"/>
        <v>0</v>
      </c>
      <c r="M153" s="191">
        <f t="shared" si="77"/>
        <v>0</v>
      </c>
      <c r="N153" s="191">
        <f t="shared" si="77"/>
        <v>0</v>
      </c>
      <c r="O153" s="191">
        <f t="shared" si="78"/>
        <v>0</v>
      </c>
      <c r="P153" s="191">
        <f t="shared" si="79"/>
        <v>0</v>
      </c>
    </row>
    <row r="154" spans="4:16" hidden="1" outlineLevel="1">
      <c r="D154" s="248" t="s">
        <v>386</v>
      </c>
      <c r="G154" s="191">
        <f t="shared" si="77"/>
        <v>0</v>
      </c>
      <c r="H154" s="191">
        <f t="shared" si="77"/>
        <v>0</v>
      </c>
      <c r="I154" s="191">
        <f t="shared" si="77"/>
        <v>0</v>
      </c>
      <c r="J154" s="191">
        <f t="shared" si="77"/>
        <v>0</v>
      </c>
      <c r="K154" s="191">
        <f t="shared" si="77"/>
        <v>0</v>
      </c>
      <c r="L154" s="191">
        <f t="shared" si="77"/>
        <v>0</v>
      </c>
      <c r="M154" s="191">
        <f t="shared" si="77"/>
        <v>0</v>
      </c>
      <c r="N154" s="191">
        <f t="shared" si="77"/>
        <v>0</v>
      </c>
      <c r="O154" s="191">
        <f t="shared" si="78"/>
        <v>0</v>
      </c>
      <c r="P154" s="191">
        <f t="shared" si="79"/>
        <v>0</v>
      </c>
    </row>
    <row r="155" spans="4:16" hidden="1" outlineLevel="1">
      <c r="D155" s="248" t="s">
        <v>387</v>
      </c>
      <c r="G155" s="912">
        <f t="shared" si="77"/>
        <v>0</v>
      </c>
      <c r="H155" s="912">
        <f t="shared" si="77"/>
        <v>0</v>
      </c>
      <c r="I155" s="912">
        <f t="shared" si="77"/>
        <v>0</v>
      </c>
      <c r="J155" s="912">
        <f t="shared" si="77"/>
        <v>0</v>
      </c>
      <c r="K155" s="912">
        <f t="shared" si="77"/>
        <v>0</v>
      </c>
      <c r="L155" s="912">
        <f t="shared" si="77"/>
        <v>0</v>
      </c>
      <c r="M155" s="912">
        <f t="shared" si="77"/>
        <v>0</v>
      </c>
      <c r="N155" s="912">
        <f t="shared" si="77"/>
        <v>0</v>
      </c>
      <c r="O155" s="912">
        <f t="shared" si="78"/>
        <v>0</v>
      </c>
      <c r="P155" s="912">
        <f t="shared" si="79"/>
        <v>0</v>
      </c>
    </row>
    <row r="156" spans="4:16" hidden="1" outlineLevel="1">
      <c r="D156" s="248" t="s">
        <v>454</v>
      </c>
      <c r="G156" s="191">
        <f>SUM(G147:G155)</f>
        <v>886.28678939732163</v>
      </c>
      <c r="H156" s="191">
        <f t="shared" ref="H156:N156" si="80">SUM(H147:H155)</f>
        <v>1793.6179355349013</v>
      </c>
      <c r="I156" s="191">
        <f t="shared" si="80"/>
        <v>610.64071048899291</v>
      </c>
      <c r="J156" s="191">
        <f t="shared" si="80"/>
        <v>614.34907372272346</v>
      </c>
      <c r="K156" s="191">
        <f t="shared" si="80"/>
        <v>617.99690713698533</v>
      </c>
      <c r="L156" s="191">
        <f t="shared" si="80"/>
        <v>621.98204509252969</v>
      </c>
      <c r="M156" s="191">
        <f t="shared" si="80"/>
        <v>626.09841395798196</v>
      </c>
      <c r="N156" s="191">
        <f t="shared" si="80"/>
        <v>0</v>
      </c>
      <c r="O156" s="191">
        <f t="shared" ref="O156:P156" si="81">SUM(O147:O155)</f>
        <v>5770.9718753314373</v>
      </c>
      <c r="P156" s="191">
        <f t="shared" si="81"/>
        <v>3091.067150399213</v>
      </c>
    </row>
    <row r="157" spans="4:16" collapsed="1"/>
  </sheetData>
  <mergeCells count="1">
    <mergeCell ref="C13:C14"/>
  </mergeCells>
  <phoneticPr fontId="6" type="noConversion"/>
  <conditionalFormatting sqref="R14">
    <cfRule type="cellIs" dxfId="81" priority="4" operator="equal">
      <formula>"Error"</formula>
    </cfRule>
  </conditionalFormatting>
  <conditionalFormatting sqref="R11">
    <cfRule type="cellIs" dxfId="80" priority="3" operator="equal">
      <formula>"Error"</formula>
    </cfRule>
  </conditionalFormatting>
  <conditionalFormatting sqref="R54">
    <cfRule type="cellIs" dxfId="7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Project_Inputs!B25</f>
        <v>0</v>
      </c>
      <c r="F3" s="249" t="s">
        <v>63</v>
      </c>
      <c r="G3" s="249">
        <f>Project_Inputs!F25</f>
        <v>0</v>
      </c>
    </row>
    <row r="4" spans="1:21" ht="18.75">
      <c r="A4" s="6"/>
      <c r="B4" s="6"/>
      <c r="C4" s="13" t="s">
        <v>15</v>
      </c>
      <c r="D4" s="339" t="str">
        <f>Project_Inputs!D25</f>
        <v>Power transformers - life extension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Project_Inputs!H25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Project_Inputs!I25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Project_Inputs!J25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0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1095.232</v>
      </c>
      <c r="J11" s="320">
        <f>IF(J$10="Prior",SUMIFS(Project_Inputs!$W$5:$W$50,Project_Inputs!$D$5:$D$50,$D$4),SUMIFS(Project_Inputs!P$5:P$50,Project_Inputs!$D$5:$D$50,$D$4))</f>
        <v>1095.232</v>
      </c>
      <c r="K11" s="320">
        <f>IF(K$10="Prior",SUMIFS(Project_Inputs!$W$5:$W$50,Project_Inputs!$D$5:$D$50,$D$4),SUMIFS(Project_Inputs!Q$5:Q$50,Project_Inputs!$D$5:$D$50,$D$4))</f>
        <v>1095.232</v>
      </c>
      <c r="L11" s="320">
        <f>IF(L$10="Prior",SUMIFS(Project_Inputs!$W$5:$W$50,Project_Inputs!$D$5:$D$50,$D$4),SUMIFS(Project_Inputs!R$5:R$50,Project_Inputs!$D$5:$D$50,$D$4))</f>
        <v>1095.232</v>
      </c>
      <c r="M11" s="320">
        <f>IF(M$10="Prior",SUMIFS(Project_Inputs!$W$5:$W$50,Project_Inputs!$D$5:$D$50,$D$4),SUMIFS(Project_Inputs!S$5:S$50,Project_Inputs!$D$5:$D$50,$D$4))</f>
        <v>1095.232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5476.16</v>
      </c>
      <c r="P11" s="300">
        <f t="shared" ref="P11" si="0">SUM(I11:M11)</f>
        <v>5476.16</v>
      </c>
      <c r="R11" s="608" t="str">
        <f>IF(O11=Project_Inputs!V25,"ok","error")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1095.232</v>
      </c>
      <c r="J14" s="447">
        <f>IF($G$3="Yes",SUMIFS(Project_Inputs!AN$5:AN$50,Project_Inputs!$D$5:$D$50,$D$4),IF(AND(J$13="X",J$10="Prior"),J11,IF(J$13="X",SUM($F11:J11)-SUM($F14:I14),0)))</f>
        <v>1095.232</v>
      </c>
      <c r="K14" s="447">
        <f>IF($G$3="Yes",SUMIFS(Project_Inputs!AO$5:AO$50,Project_Inputs!$D$5:$D$50,$D$4),IF(AND(K$13="X",K$10="Prior"),K11,IF(K$13="X",SUM($F11:K11)-SUM($F14:J14),0)))</f>
        <v>1095.232</v>
      </c>
      <c r="L14" s="447">
        <f>IF($G$3="Yes",SUMIFS(Project_Inputs!AP$5:AP$50,Project_Inputs!$D$5:$D$50,$D$4),IF(AND(L$13="X",L$10="Prior"),L11,IF(L$13="X",SUM($F11:L11)-SUM($F14:K14),0)))</f>
        <v>1095.232</v>
      </c>
      <c r="M14" s="447">
        <f>IF($G$3="Yes",SUMIFS(Project_Inputs!AQ$5:AQ$50,Project_Inputs!$D$5:$D$50,$D$4),IF(AND(M$13="X",M$10="Prior"),M11,IF(M$13="X",SUM($F11:M11)-SUM($F14:L14),0)))</f>
        <v>1095.232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5476.16</v>
      </c>
      <c r="P14" s="451">
        <f>SUM(I14:M14)</f>
        <v>5476.16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1</v>
      </c>
      <c r="G19" s="341">
        <v>1</v>
      </c>
      <c r="H19" s="392">
        <v>1</v>
      </c>
      <c r="I19" s="404">
        <v>1</v>
      </c>
      <c r="J19" s="341">
        <v>1</v>
      </c>
      <c r="K19" s="341">
        <v>1</v>
      </c>
      <c r="L19" s="341">
        <v>1</v>
      </c>
      <c r="M19" s="341">
        <v>1</v>
      </c>
      <c r="N19" s="342">
        <v>1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0</v>
      </c>
      <c r="I46" s="407">
        <f>IF(I$10="Prior",0,(I11*I29)*(Assumptions!I28-1))</f>
        <v>2.2632433589707182</v>
      </c>
      <c r="J46" s="282">
        <f>IF(J$10="Prior",0,(J11*J29)*(Assumptions!J28-1))</f>
        <v>3.1687135501783863</v>
      </c>
      <c r="K46" s="282">
        <f>IF(K$10="Prior",0,(K11*K29)*(Assumptions!K28-1))</f>
        <v>4.1012391348061055</v>
      </c>
      <c r="L46" s="282">
        <f>IF(L$10="Prior",0,(L11*L29)*(Assumptions!L28-1))</f>
        <v>5.11817786506262</v>
      </c>
      <c r="M46" s="282">
        <f>IF(M$10="Prior",0,(M11*M29)*(Assumptions!M28-1))</f>
        <v>6.1614144036347085</v>
      </c>
      <c r="N46" s="283">
        <f>IF(N$10="Prior",0,(N11*N29)*(Assumptions!N28-1))</f>
        <v>0</v>
      </c>
      <c r="O46" s="362">
        <f t="shared" ref="O46:O47" si="6">SUM(F46:N46)</f>
        <v>20.812788312652536</v>
      </c>
      <c r="P46" s="300">
        <f t="shared" ref="P46:P47" si="7">SUM(I46:M46)</f>
        <v>20.812788312652536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0</v>
      </c>
      <c r="I47" s="407">
        <f>IF(I$10="Prior",0,(I11*I30)*(Assumptions!I30-1))</f>
        <v>11.630660802878369</v>
      </c>
      <c r="J47" s="282">
        <f>IF(J$10="Prior",0,(J11*J30)*(Assumptions!J30-1))</f>
        <v>17.460807241748324</v>
      </c>
      <c r="K47" s="282">
        <f>IF(K$10="Prior",0,(K11*K30)*(Assumptions!K30-1))</f>
        <v>23.153956074709022</v>
      </c>
      <c r="L47" s="282">
        <f>IF(L$10="Prior",0,(L11*L30)*(Assumptions!L30-1))</f>
        <v>29.375348595923342</v>
      </c>
      <c r="M47" s="282">
        <f>IF(M$10="Prior",0,(M11*M30)*(Assumptions!M30-1))</f>
        <v>35.808802132767845</v>
      </c>
      <c r="N47" s="283">
        <f>IF(N$10="Prior",0,(N11*N30)*(Assumptions!N30-1))</f>
        <v>0</v>
      </c>
      <c r="O47" s="362">
        <f t="shared" si="6"/>
        <v>117.4295748480269</v>
      </c>
      <c r="P47" s="300">
        <f t="shared" si="7"/>
        <v>117.4295748480269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</v>
      </c>
      <c r="H48" s="253">
        <f t="shared" si="8"/>
        <v>0</v>
      </c>
      <c r="I48" s="408">
        <f t="shared" si="8"/>
        <v>13.893904161849086</v>
      </c>
      <c r="J48" s="5">
        <f t="shared" si="8"/>
        <v>20.629520791926709</v>
      </c>
      <c r="K48" s="5">
        <f t="shared" si="8"/>
        <v>27.255195209515129</v>
      </c>
      <c r="L48" s="5">
        <f t="shared" si="8"/>
        <v>34.493526460985962</v>
      </c>
      <c r="M48" s="5">
        <f t="shared" si="8"/>
        <v>41.970216536402553</v>
      </c>
      <c r="N48" s="286">
        <f t="shared" si="8"/>
        <v>0</v>
      </c>
      <c r="O48" s="433">
        <f>SUM(O46:O47)</f>
        <v>138.24236316067945</v>
      </c>
      <c r="P48" s="434">
        <f>SUM(P46:P47)</f>
        <v>138.24236316067945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</v>
      </c>
      <c r="H49" s="253">
        <f t="shared" si="9"/>
        <v>0</v>
      </c>
      <c r="I49" s="408">
        <f t="shared" si="9"/>
        <v>13.893904161849086</v>
      </c>
      <c r="J49" s="5">
        <f t="shared" si="9"/>
        <v>20.629520791926709</v>
      </c>
      <c r="K49" s="5">
        <f t="shared" si="9"/>
        <v>27.255195209515129</v>
      </c>
      <c r="L49" s="5">
        <f t="shared" si="9"/>
        <v>34.493526460985962</v>
      </c>
      <c r="M49" s="5">
        <f t="shared" si="9"/>
        <v>41.970216536402553</v>
      </c>
      <c r="N49" s="286">
        <f t="shared" si="9"/>
        <v>0</v>
      </c>
      <c r="O49" s="370">
        <f>O44+O48</f>
        <v>138.24236316067945</v>
      </c>
      <c r="P49" s="371">
        <f>P44+P48</f>
        <v>138.24236316067945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0</v>
      </c>
      <c r="I50" s="442">
        <f t="shared" si="10"/>
        <v>1.2685809181843742E-2</v>
      </c>
      <c r="J50" s="443">
        <f t="shared" si="10"/>
        <v>1.8835754243782785E-2</v>
      </c>
      <c r="K50" s="443">
        <f t="shared" si="10"/>
        <v>2.4885316726972122E-2</v>
      </c>
      <c r="L50" s="443">
        <f t="shared" si="10"/>
        <v>3.149426464985132E-2</v>
      </c>
      <c r="M50" s="443">
        <f t="shared" si="10"/>
        <v>3.8320845753596094E-2</v>
      </c>
      <c r="N50" s="444">
        <f t="shared" si="10"/>
        <v>0</v>
      </c>
      <c r="O50" s="444">
        <f t="shared" si="10"/>
        <v>2.5244398111209213E-2</v>
      </c>
      <c r="P50" s="444">
        <f t="shared" si="10"/>
        <v>2.5244398111209213E-2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0</v>
      </c>
      <c r="G51" s="280">
        <f>(G29*G$11+G46)*Assumptions!$G$21</f>
        <v>0</v>
      </c>
      <c r="H51" s="280">
        <f>(H29*H$11+H46)*Assumptions!$G$21</f>
        <v>0</v>
      </c>
      <c r="I51" s="410">
        <f>(I29*I$11+I46)*Assumptions!$G$21</f>
        <v>113.67756740075782</v>
      </c>
      <c r="J51" s="280">
        <f>(J29*J$11+J46)*Assumptions!$G$21</f>
        <v>114.59835569670396</v>
      </c>
      <c r="K51" s="280">
        <f>(K29*K$11+K46)*Assumptions!$G$21</f>
        <v>115.54665709009419</v>
      </c>
      <c r="L51" s="280">
        <f>(L29*L$11+L46)*Assumptions!$G$21</f>
        <v>116.58079967105053</v>
      </c>
      <c r="M51" s="280">
        <f>(M29*M$11+M46)*Assumptions!$G$21</f>
        <v>117.6416849480571</v>
      </c>
      <c r="N51" s="281">
        <f>(N29*N$11+N46)*Assumptions!$G$21</f>
        <v>0</v>
      </c>
      <c r="O51" s="373">
        <f t="shared" ref="O51:O53" si="11">SUM(F51:N51)</f>
        <v>578.04506480666362</v>
      </c>
      <c r="P51" s="375">
        <f>SUM(I51:M51)</f>
        <v>578.04506480666362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0</v>
      </c>
      <c r="G52" s="282">
        <f>(G30*G$11+G47)*Assumptions!$G$21</f>
        <v>0</v>
      </c>
      <c r="H52" s="282">
        <f>(H30*H$11+H47)*Assumptions!$G$21</f>
        <v>0</v>
      </c>
      <c r="I52" s="407">
        <f>(I30*I$11+I47)*Assumptions!$G$21</f>
        <v>568.70760055330311</v>
      </c>
      <c r="J52" s="282">
        <f>(J30*J$11+J47)*Assumptions!$G$21</f>
        <v>574.63637728907111</v>
      </c>
      <c r="K52" s="282">
        <f>(K30*K$11+K47)*Assumptions!$G$21</f>
        <v>580.42583879025869</v>
      </c>
      <c r="L52" s="282">
        <f>(L30*L$11+L47)*Assumptions!$G$21</f>
        <v>586.75248043307249</v>
      </c>
      <c r="M52" s="282">
        <f>(M30*M$11+M47)*Assumptions!$G$21</f>
        <v>593.29477058990119</v>
      </c>
      <c r="N52" s="283">
        <f>(N30*N$11+N47)*Assumptions!$G$21</f>
        <v>0</v>
      </c>
      <c r="O52" s="374">
        <f t="shared" si="11"/>
        <v>2903.8170676556065</v>
      </c>
      <c r="P52" s="376">
        <f>SUM(I52:M52)</f>
        <v>2903.8170676556065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0</v>
      </c>
      <c r="G53" s="282">
        <f>(G31*G$11+G$44)*Assumptions!$G$21</f>
        <v>0</v>
      </c>
      <c r="H53" s="282">
        <f>(H31*H$11+H$44)*Assumptions!$G$21</f>
        <v>0</v>
      </c>
      <c r="I53" s="407">
        <f>(I31*I$11+I$44)*Assumptions!$G$21</f>
        <v>445.50414436090227</v>
      </c>
      <c r="J53" s="282">
        <f>(J31*J$11+J$44)*Assumptions!$G$21</f>
        <v>445.50414436090227</v>
      </c>
      <c r="K53" s="282">
        <f>(K31*K$11+K$44)*Assumptions!$G$21</f>
        <v>445.50414436090227</v>
      </c>
      <c r="L53" s="282">
        <f>(L31*L$11+L$44)*Assumptions!$G$21</f>
        <v>445.50414436090227</v>
      </c>
      <c r="M53" s="282">
        <f>(M31*M$11+M$44)*Assumptions!$G$21</f>
        <v>445.50414436090227</v>
      </c>
      <c r="N53" s="283">
        <f>(N31*N$11+N$44)*Assumptions!$G$21</f>
        <v>0</v>
      </c>
      <c r="O53" s="374">
        <f t="shared" si="11"/>
        <v>2227.5207218045116</v>
      </c>
      <c r="P53" s="376">
        <f>SUM(I53:M53)</f>
        <v>2227.5207218045116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1">
        <f t="shared" si="12"/>
        <v>1127.8893123149633</v>
      </c>
      <c r="J54" s="382">
        <f t="shared" si="12"/>
        <v>1134.7388773466773</v>
      </c>
      <c r="K54" s="382">
        <f t="shared" si="12"/>
        <v>1141.4766402412552</v>
      </c>
      <c r="L54" s="382">
        <f t="shared" si="12"/>
        <v>1148.8374244650254</v>
      </c>
      <c r="M54" s="382">
        <f t="shared" si="12"/>
        <v>1156.4405998988605</v>
      </c>
      <c r="N54" s="286">
        <f t="shared" si="12"/>
        <v>0</v>
      </c>
      <c r="O54" s="372">
        <f t="shared" si="12"/>
        <v>5709.3828542667816</v>
      </c>
      <c r="P54" s="428">
        <f t="shared" si="12"/>
        <v>5709.3828542667816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0</v>
      </c>
      <c r="H57" s="290">
        <f t="shared" si="13"/>
        <v>0</v>
      </c>
      <c r="I57" s="407">
        <f t="shared" si="13"/>
        <v>99.464760167557216</v>
      </c>
      <c r="J57" s="282">
        <f t="shared" si="13"/>
        <v>136.50867571947333</v>
      </c>
      <c r="K57" s="282">
        <f t="shared" si="13"/>
        <v>148.94108466080641</v>
      </c>
      <c r="L57" s="282">
        <f t="shared" si="13"/>
        <v>135.45988783668503</v>
      </c>
      <c r="M57" s="282">
        <f t="shared" si="13"/>
        <v>128.40862879267485</v>
      </c>
      <c r="N57" s="283">
        <f t="shared" si="13"/>
        <v>0</v>
      </c>
      <c r="O57" s="309">
        <f>SUM(F57:N57)</f>
        <v>648.78303717719677</v>
      </c>
      <c r="P57" s="300">
        <f>SUM(I57:M57)</f>
        <v>648.78303717719677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0</v>
      </c>
      <c r="G59" s="5">
        <f t="shared" si="14"/>
        <v>0</v>
      </c>
      <c r="H59" s="5">
        <f t="shared" si="14"/>
        <v>0</v>
      </c>
      <c r="I59" s="411">
        <f t="shared" si="14"/>
        <v>1227.3540724825205</v>
      </c>
      <c r="J59" s="382">
        <f t="shared" si="14"/>
        <v>1271.2475530661507</v>
      </c>
      <c r="K59" s="382">
        <f t="shared" si="14"/>
        <v>1290.4177249020615</v>
      </c>
      <c r="L59" s="382">
        <f t="shared" si="14"/>
        <v>1284.2973123017105</v>
      </c>
      <c r="M59" s="382">
        <f t="shared" si="14"/>
        <v>1284.8492286915352</v>
      </c>
      <c r="N59" s="418">
        <f>N54+N57</f>
        <v>0</v>
      </c>
      <c r="O59" s="419">
        <f t="shared" ref="O59:P59" si="15">O54+O57</f>
        <v>6358.1658914439786</v>
      </c>
      <c r="P59" s="429">
        <f t="shared" si="15"/>
        <v>6358.1658914439786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0</v>
      </c>
      <c r="H60" s="290">
        <f t="shared" si="16"/>
        <v>0</v>
      </c>
      <c r="I60" s="290">
        <f t="shared" si="16"/>
        <v>99.464760167557216</v>
      </c>
      <c r="J60" s="290">
        <f t="shared" si="16"/>
        <v>235.97343588703055</v>
      </c>
      <c r="K60" s="290">
        <f t="shared" si="16"/>
        <v>384.91452054783696</v>
      </c>
      <c r="L60" s="290">
        <f t="shared" si="16"/>
        <v>520.37440838452198</v>
      </c>
      <c r="M60" s="290">
        <f t="shared" si="16"/>
        <v>648.78303717719677</v>
      </c>
      <c r="N60" s="290">
        <f t="shared" si="16"/>
        <v>648.78303717719677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0</v>
      </c>
      <c r="I61" s="252">
        <f t="shared" si="17"/>
        <v>13.893904161849086</v>
      </c>
      <c r="J61" s="252">
        <f t="shared" si="17"/>
        <v>34.523424953775795</v>
      </c>
      <c r="K61" s="252">
        <f t="shared" si="17"/>
        <v>61.778620163290924</v>
      </c>
      <c r="L61" s="252">
        <f t="shared" si="17"/>
        <v>96.272146624276886</v>
      </c>
      <c r="M61" s="252">
        <f t="shared" si="17"/>
        <v>138.24236316067945</v>
      </c>
      <c r="N61" s="252">
        <f t="shared" si="17"/>
        <v>138.24236316067945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1227.3540724825205</v>
      </c>
      <c r="J66" s="381">
        <f t="shared" si="22"/>
        <v>1271.2475530661507</v>
      </c>
      <c r="K66" s="381">
        <f t="shared" si="22"/>
        <v>1290.4177249020615</v>
      </c>
      <c r="L66" s="381">
        <f t="shared" si="22"/>
        <v>1284.2973123017105</v>
      </c>
      <c r="M66" s="381">
        <f t="shared" si="22"/>
        <v>1284.8492286915352</v>
      </c>
      <c r="N66" s="283">
        <f t="shared" si="22"/>
        <v>0</v>
      </c>
      <c r="O66" s="374">
        <f t="shared" si="20"/>
        <v>6358.1658914439777</v>
      </c>
      <c r="P66" s="431">
        <f t="shared" si="21"/>
        <v>6358.1658914439777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1">
        <f t="shared" si="30"/>
        <v>1227.3540724825205</v>
      </c>
      <c r="J74" s="382">
        <f t="shared" si="30"/>
        <v>1271.2475530661507</v>
      </c>
      <c r="K74" s="382">
        <f t="shared" si="30"/>
        <v>1290.4177249020615</v>
      </c>
      <c r="L74" s="382">
        <f t="shared" si="30"/>
        <v>1284.2973123017105</v>
      </c>
      <c r="M74" s="382">
        <f t="shared" si="30"/>
        <v>1284.8492286915352</v>
      </c>
      <c r="N74" s="286">
        <f t="shared" si="30"/>
        <v>0</v>
      </c>
      <c r="O74" s="372">
        <f>SUM(O64:O73)</f>
        <v>6358.1658914439777</v>
      </c>
      <c r="P74" s="428">
        <f>SUM(P64:P73)</f>
        <v>6358.1658914439777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0</v>
      </c>
      <c r="I76" s="410">
        <f t="shared" si="32"/>
        <v>1095.232</v>
      </c>
      <c r="J76" s="280">
        <f t="shared" si="32"/>
        <v>1095.232</v>
      </c>
      <c r="K76" s="280">
        <f t="shared" si="32"/>
        <v>1095.232</v>
      </c>
      <c r="L76" s="280">
        <f t="shared" si="32"/>
        <v>1095.232</v>
      </c>
      <c r="M76" s="280">
        <f t="shared" si="32"/>
        <v>1095.232</v>
      </c>
      <c r="N76" s="281">
        <f t="shared" si="32"/>
        <v>0</v>
      </c>
      <c r="O76" s="377">
        <f>SUM(F76:N76)</f>
        <v>5476.16</v>
      </c>
      <c r="P76" s="378">
        <f t="shared" ref="P76:P80" si="33">SUM(I76:M76)</f>
        <v>5476.16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13.893904161849086</v>
      </c>
      <c r="J77" s="282">
        <f>IF(J$10="Prior",0,IF(AND(J76&lt;&gt;0,SUM($F76:I76)=0),J76/SUM($F$76:J76)*J61,IF(J76&lt;&gt;0,SUM($F$76:J76)/SUM($F$11:J11)*J61-I83,0)))</f>
        <v>20.629520791926709</v>
      </c>
      <c r="K77" s="282">
        <f>IF(K$10="Prior",0,IF(AND(K76&lt;&gt;0,SUM($F76:J76)=0),K76/SUM($F$76:K76)*K61,IF(K76&lt;&gt;0,SUM($F$76:K76)/SUM($F$11:K11)*K61-J83,0)))</f>
        <v>27.255195209515129</v>
      </c>
      <c r="L77" s="282">
        <f>IF(L$10="Prior",0,IF(AND(L76&lt;&gt;0,SUM($F76:K76)=0),L76/SUM($F$76:L76)*L61,IF(L76&lt;&gt;0,SUM($F$76:L76)/SUM($F$11:L11)*L61-K83,0)))</f>
        <v>34.493526460985962</v>
      </c>
      <c r="M77" s="282">
        <f>IF(M$10="Prior",0,IF(AND(M76&lt;&gt;0,SUM($F76:L76)=0),M76/SUM($F$76:M76)*M61,IF(M76&lt;&gt;0,SUM($F$76:M76)/SUM($F$11:M11)*M61-L83,0)))</f>
        <v>41.97021653640256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138.24236316067945</v>
      </c>
      <c r="P77" s="455">
        <f t="shared" si="33"/>
        <v>138.24236316067945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1109.1259041618491</v>
      </c>
      <c r="J78" s="457">
        <f t="shared" si="34"/>
        <v>1115.8615207919268</v>
      </c>
      <c r="K78" s="457">
        <f t="shared" si="34"/>
        <v>1122.487195209515</v>
      </c>
      <c r="L78" s="457">
        <f t="shared" si="34"/>
        <v>1129.725526460986</v>
      </c>
      <c r="M78" s="457">
        <f t="shared" si="34"/>
        <v>1137.2022165364026</v>
      </c>
      <c r="N78" s="459">
        <f t="shared" si="34"/>
        <v>0</v>
      </c>
      <c r="O78" s="460">
        <f>SUM(F78:N78)</f>
        <v>5614.4023631606797</v>
      </c>
      <c r="P78" s="461">
        <f t="shared" si="33"/>
        <v>5614.4023631606797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0</v>
      </c>
      <c r="I79" s="458">
        <f>I78*Assumptions!$G$21</f>
        <v>1127.8893123149633</v>
      </c>
      <c r="J79" s="457">
        <f>J78*Assumptions!$G$21</f>
        <v>1134.7388773466776</v>
      </c>
      <c r="K79" s="457">
        <f>K78*Assumptions!$G$21</f>
        <v>1141.4766402412549</v>
      </c>
      <c r="L79" s="457">
        <f>L78*Assumptions!$G$21</f>
        <v>1148.8374244650254</v>
      </c>
      <c r="M79" s="457">
        <f>M78*Assumptions!$G$21</f>
        <v>1156.4405998988607</v>
      </c>
      <c r="N79" s="459">
        <f>N78*Assumptions!$G$21</f>
        <v>0</v>
      </c>
      <c r="O79" s="460">
        <f>SUM(F79:N79)</f>
        <v>5709.3828542667816</v>
      </c>
      <c r="P79" s="461">
        <f t="shared" si="33"/>
        <v>5709.3828542667816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99.464760167557216</v>
      </c>
      <c r="J80" s="282">
        <f>IF(J$10="Prior",J79*J56,IF(AND(J79&lt;&gt;0,SUM($F79:I79)=0),J79/SUM($F$54:J54)*J60,IF(J79&lt;&gt;0,SUM($F$79:J79)/SUM($F$54:J54)*J60-I82,0)))</f>
        <v>136.50867571947339</v>
      </c>
      <c r="K80" s="282">
        <f>IF(K$10="Prior",K79*K56,IF(AND(K79&lt;&gt;0,SUM($F79:J79)=0),K79/SUM($F$54:K54)*K60,IF(K79&lt;&gt;0,SUM($F$79:K79)/SUM($F$54:K54)*K60-J82,0)))</f>
        <v>148.94108466080647</v>
      </c>
      <c r="L80" s="282">
        <f>IF(L$10="Prior",L79*L56,IF(AND(L79&lt;&gt;0,SUM($F79:K79)=0),L79/SUM($F$54:L54)*L60,IF(L79&lt;&gt;0,SUM($F$79:L79)/SUM($F$54:L54)*L60-K82,0)))</f>
        <v>135.45988783668491</v>
      </c>
      <c r="M80" s="282">
        <f>IF(M$10="Prior",M79*M56,IF(AND(M79&lt;&gt;0,SUM($F79:L79)=0),M79/SUM($F$54:M54)*M60,IF(M79&lt;&gt;0,SUM($F$79:M79)/SUM($F$54:M54)*M60-L82,0)))</f>
        <v>128.40862879267479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648.78303717719677</v>
      </c>
      <c r="P80" s="300">
        <f t="shared" si="33"/>
        <v>648.78303717719677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1227.3540724825205</v>
      </c>
      <c r="J81" s="387">
        <f t="shared" si="35"/>
        <v>1271.2475530661509</v>
      </c>
      <c r="K81" s="387">
        <f t="shared" si="35"/>
        <v>1290.4177249020613</v>
      </c>
      <c r="L81" s="387">
        <f t="shared" si="35"/>
        <v>1284.2973123017102</v>
      </c>
      <c r="M81" s="387">
        <f t="shared" si="35"/>
        <v>1284.8492286915355</v>
      </c>
      <c r="N81" s="420">
        <f t="shared" si="35"/>
        <v>0</v>
      </c>
      <c r="O81" s="421">
        <f t="shared" si="35"/>
        <v>6358.1658914439786</v>
      </c>
      <c r="P81" s="388">
        <f t="shared" si="35"/>
        <v>6358.1658914439786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99.464760167557216</v>
      </c>
      <c r="J82" s="252">
        <f t="shared" si="36"/>
        <v>235.9734358870306</v>
      </c>
      <c r="K82" s="252">
        <f t="shared" si="36"/>
        <v>384.91452054783707</v>
      </c>
      <c r="L82" s="252">
        <f t="shared" si="36"/>
        <v>520.37440838452198</v>
      </c>
      <c r="M82" s="252">
        <f t="shared" si="36"/>
        <v>648.78303717719677</v>
      </c>
      <c r="N82" s="252">
        <f t="shared" si="36"/>
        <v>648.78303717719677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13.893904161849086</v>
      </c>
      <c r="J83" s="252">
        <f t="shared" si="37"/>
        <v>34.523424953775795</v>
      </c>
      <c r="K83" s="252">
        <f t="shared" si="37"/>
        <v>61.778620163290924</v>
      </c>
      <c r="L83" s="252">
        <f t="shared" si="37"/>
        <v>96.272146624276886</v>
      </c>
      <c r="M83" s="252">
        <f t="shared" si="37"/>
        <v>138.24236316067945</v>
      </c>
      <c r="N83" s="252">
        <f t="shared" si="37"/>
        <v>138.24236316067945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1227.3540724825202</v>
      </c>
      <c r="J87" s="381">
        <f t="shared" si="42"/>
        <v>1271.2475530661507</v>
      </c>
      <c r="K87" s="381">
        <f t="shared" si="42"/>
        <v>1290.4177249020613</v>
      </c>
      <c r="L87" s="381">
        <f t="shared" si="42"/>
        <v>1284.29731230171</v>
      </c>
      <c r="M87" s="381">
        <f t="shared" si="42"/>
        <v>1284.8492286915352</v>
      </c>
      <c r="N87" s="346">
        <f t="shared" si="42"/>
        <v>0</v>
      </c>
      <c r="O87" s="374">
        <f t="shared" si="41"/>
        <v>6358.1658914439777</v>
      </c>
      <c r="P87" s="431">
        <f t="shared" si="39"/>
        <v>6358.1658914439777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1227.3540724825202</v>
      </c>
      <c r="J95" s="382">
        <f t="shared" si="51"/>
        <v>1271.2475530661507</v>
      </c>
      <c r="K95" s="382">
        <f t="shared" si="51"/>
        <v>1290.4177249020613</v>
      </c>
      <c r="L95" s="382">
        <f t="shared" si="51"/>
        <v>1284.29731230171</v>
      </c>
      <c r="M95" s="382">
        <f t="shared" si="51"/>
        <v>1284.8492286915352</v>
      </c>
      <c r="N95" s="286">
        <f t="shared" si="51"/>
        <v>0</v>
      </c>
      <c r="O95" s="372">
        <f>SUM(O85:O94)</f>
        <v>6358.1658914439777</v>
      </c>
      <c r="P95" s="428">
        <f>SUM(P85:P94)</f>
        <v>6358.1658914439777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1</v>
      </c>
      <c r="H104" s="2">
        <f t="shared" si="55"/>
        <v>1</v>
      </c>
      <c r="I104" s="2">
        <f t="shared" si="55"/>
        <v>1</v>
      </c>
      <c r="J104" s="2">
        <f t="shared" si="55"/>
        <v>1</v>
      </c>
      <c r="K104" s="2">
        <f t="shared" si="55"/>
        <v>1</v>
      </c>
      <c r="L104" s="2">
        <f t="shared" si="55"/>
        <v>1</v>
      </c>
      <c r="M104" s="2">
        <f t="shared" si="55"/>
        <v>1</v>
      </c>
      <c r="N104" s="2">
        <f t="shared" si="55"/>
        <v>1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445.50414436090227</v>
      </c>
      <c r="J116" s="191">
        <f t="shared" si="62"/>
        <v>445.50414436090227</v>
      </c>
      <c r="K116" s="191">
        <f t="shared" si="62"/>
        <v>445.50414436090227</v>
      </c>
      <c r="L116" s="191">
        <f t="shared" si="62"/>
        <v>445.50414436090227</v>
      </c>
      <c r="M116" s="191">
        <f t="shared" si="62"/>
        <v>445.50414436090227</v>
      </c>
      <c r="N116" s="191">
        <f t="shared" si="62"/>
        <v>0</v>
      </c>
      <c r="O116" s="191">
        <f t="shared" si="60"/>
        <v>2227.5207218045116</v>
      </c>
      <c r="P116" s="191">
        <f t="shared" si="61"/>
        <v>2227.5207218045116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0</v>
      </c>
      <c r="H120" s="191">
        <f t="shared" ref="H120:P120" si="63">SUM(H111:H119)</f>
        <v>0</v>
      </c>
      <c r="I120" s="191">
        <f t="shared" si="63"/>
        <v>445.50414436090227</v>
      </c>
      <c r="J120" s="191">
        <f t="shared" si="63"/>
        <v>445.50414436090227</v>
      </c>
      <c r="K120" s="191">
        <f t="shared" si="63"/>
        <v>445.50414436090227</v>
      </c>
      <c r="L120" s="191">
        <f t="shared" si="63"/>
        <v>445.50414436090227</v>
      </c>
      <c r="M120" s="191">
        <f t="shared" si="63"/>
        <v>445.50414436090227</v>
      </c>
      <c r="N120" s="191">
        <f t="shared" si="63"/>
        <v>0</v>
      </c>
      <c r="O120" s="191">
        <f t="shared" si="63"/>
        <v>2227.5207218045116</v>
      </c>
      <c r="P120" s="191">
        <f t="shared" si="63"/>
        <v>2227.5207218045116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113.67756740075782</v>
      </c>
      <c r="J128" s="191">
        <f t="shared" si="67"/>
        <v>114.59835569670396</v>
      </c>
      <c r="K128" s="191">
        <f t="shared" si="67"/>
        <v>115.54665709009419</v>
      </c>
      <c r="L128" s="191">
        <f t="shared" si="67"/>
        <v>116.58079967105053</v>
      </c>
      <c r="M128" s="191">
        <f t="shared" si="67"/>
        <v>117.6416849480571</v>
      </c>
      <c r="N128" s="191">
        <f t="shared" si="67"/>
        <v>0</v>
      </c>
      <c r="O128" s="191">
        <f t="shared" si="65"/>
        <v>578.04506480666362</v>
      </c>
      <c r="P128" s="191">
        <f t="shared" si="66"/>
        <v>578.04506480666362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0</v>
      </c>
      <c r="H132" s="191">
        <f t="shared" ref="H132:P132" si="68">SUM(H123:H131)</f>
        <v>0</v>
      </c>
      <c r="I132" s="191">
        <f t="shared" si="68"/>
        <v>113.67756740075782</v>
      </c>
      <c r="J132" s="191">
        <f t="shared" si="68"/>
        <v>114.59835569670396</v>
      </c>
      <c r="K132" s="191">
        <f t="shared" si="68"/>
        <v>115.54665709009419</v>
      </c>
      <c r="L132" s="191">
        <f t="shared" si="68"/>
        <v>116.58079967105053</v>
      </c>
      <c r="M132" s="191">
        <f t="shared" si="68"/>
        <v>117.6416849480571</v>
      </c>
      <c r="N132" s="191">
        <f t="shared" si="68"/>
        <v>0</v>
      </c>
      <c r="O132" s="191">
        <f t="shared" si="68"/>
        <v>578.04506480666362</v>
      </c>
      <c r="P132" s="191">
        <f t="shared" si="68"/>
        <v>578.04506480666362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568.70760055330311</v>
      </c>
      <c r="J140" s="191">
        <f t="shared" si="72"/>
        <v>574.63637728907111</v>
      </c>
      <c r="K140" s="191">
        <f t="shared" si="72"/>
        <v>580.42583879025869</v>
      </c>
      <c r="L140" s="191">
        <f t="shared" si="72"/>
        <v>586.75248043307249</v>
      </c>
      <c r="M140" s="191">
        <f t="shared" si="72"/>
        <v>593.29477058990119</v>
      </c>
      <c r="N140" s="191">
        <f t="shared" si="72"/>
        <v>0</v>
      </c>
      <c r="O140" s="191">
        <f t="shared" si="70"/>
        <v>2903.8170676556065</v>
      </c>
      <c r="P140" s="191">
        <f t="shared" si="71"/>
        <v>2903.8170676556065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0</v>
      </c>
      <c r="H144" s="191">
        <f t="shared" ref="H144:P144" si="73">SUM(H135:H143)</f>
        <v>0</v>
      </c>
      <c r="I144" s="191">
        <f t="shared" si="73"/>
        <v>568.70760055330311</v>
      </c>
      <c r="J144" s="191">
        <f t="shared" si="73"/>
        <v>574.63637728907111</v>
      </c>
      <c r="K144" s="191">
        <f t="shared" si="73"/>
        <v>580.42583879025869</v>
      </c>
      <c r="L144" s="191">
        <f t="shared" si="73"/>
        <v>586.75248043307249</v>
      </c>
      <c r="M144" s="191">
        <f t="shared" si="73"/>
        <v>593.29477058990119</v>
      </c>
      <c r="N144" s="191">
        <f t="shared" si="73"/>
        <v>0</v>
      </c>
      <c r="O144" s="191">
        <f t="shared" si="73"/>
        <v>2903.8170676556065</v>
      </c>
      <c r="P144" s="191">
        <f t="shared" si="73"/>
        <v>2903.8170676556065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1127.8893123149633</v>
      </c>
      <c r="J152" s="191">
        <f t="shared" si="74"/>
        <v>1134.7388773466773</v>
      </c>
      <c r="K152" s="191">
        <f t="shared" si="74"/>
        <v>1141.4766402412552</v>
      </c>
      <c r="L152" s="191">
        <f t="shared" si="74"/>
        <v>1148.8374244650254</v>
      </c>
      <c r="M152" s="191">
        <f t="shared" si="74"/>
        <v>1156.4405998988605</v>
      </c>
      <c r="N152" s="191">
        <f t="shared" si="74"/>
        <v>0</v>
      </c>
      <c r="O152" s="191">
        <f t="shared" si="75"/>
        <v>5709.3828542667816</v>
      </c>
      <c r="P152" s="191">
        <f t="shared" si="76"/>
        <v>5709.3828542667816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0</v>
      </c>
      <c r="H156" s="191">
        <f t="shared" ref="H156:N156" si="77">SUM(H147:H155)</f>
        <v>0</v>
      </c>
      <c r="I156" s="191">
        <f t="shared" si="77"/>
        <v>1127.8893123149633</v>
      </c>
      <c r="J156" s="191">
        <f t="shared" si="77"/>
        <v>1134.7388773466773</v>
      </c>
      <c r="K156" s="191">
        <f t="shared" si="77"/>
        <v>1141.4766402412552</v>
      </c>
      <c r="L156" s="191">
        <f t="shared" si="77"/>
        <v>1148.8374244650254</v>
      </c>
      <c r="M156" s="191">
        <f t="shared" si="77"/>
        <v>1156.4405998988605</v>
      </c>
      <c r="N156" s="191">
        <f t="shared" si="77"/>
        <v>0</v>
      </c>
      <c r="O156" s="191">
        <f t="shared" ref="O156:P156" si="78">SUM(O147:O155)</f>
        <v>5709.3828542667816</v>
      </c>
      <c r="P156" s="191">
        <f t="shared" si="78"/>
        <v>5709.3828542667816</v>
      </c>
    </row>
    <row r="157" spans="4:16" collapsed="1"/>
  </sheetData>
  <mergeCells count="1">
    <mergeCell ref="C13:C14"/>
  </mergeCells>
  <phoneticPr fontId="6" type="noConversion"/>
  <conditionalFormatting sqref="R14">
    <cfRule type="cellIs" dxfId="78" priority="4" operator="equal">
      <formula>"Error"</formula>
    </cfRule>
  </conditionalFormatting>
  <conditionalFormatting sqref="R11">
    <cfRule type="cellIs" dxfId="77" priority="3" operator="equal">
      <formula>"Error"</formula>
    </cfRule>
  </conditionalFormatting>
  <conditionalFormatting sqref="R54">
    <cfRule type="cellIs" dxfId="7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Project_Inputs!B26</f>
        <v>XC69</v>
      </c>
      <c r="F3" s="249" t="s">
        <v>63</v>
      </c>
      <c r="G3" s="249">
        <f>Project_Inputs!F26</f>
        <v>0</v>
      </c>
    </row>
    <row r="4" spans="1:21" ht="18.75">
      <c r="A4" s="6"/>
      <c r="B4" s="6"/>
      <c r="C4" s="13" t="s">
        <v>15</v>
      </c>
      <c r="D4" s="339" t="str">
        <f>Project_Inputs!D26</f>
        <v>Power transformers - improved safe access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Project_Inputs!H26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Project_Inputs!I26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Project_Inputs!J26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0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1001.758762195039</v>
      </c>
      <c r="I11" s="399">
        <f>IF(I$10="Prior",SUMIFS(Project_Inputs!$W$5:$W$50,Project_Inputs!$D$5:$D$50,$D$4),SUMIFS(Project_Inputs!O$5:O$50,Project_Inputs!$D$5:$D$50,$D$4))</f>
        <v>436</v>
      </c>
      <c r="J11" s="320">
        <f>IF(J$10="Prior",SUMIFS(Project_Inputs!$W$5:$W$50,Project_Inputs!$D$5:$D$50,$D$4),SUMIFS(Project_Inputs!P$5:P$50,Project_Inputs!$D$5:$D$50,$D$4))</f>
        <v>436</v>
      </c>
      <c r="K11" s="320">
        <f>IF(K$10="Prior",SUMIFS(Project_Inputs!$W$5:$W$50,Project_Inputs!$D$5:$D$50,$D$4),SUMIFS(Project_Inputs!Q$5:Q$50,Project_Inputs!$D$5:$D$50,$D$4))</f>
        <v>436</v>
      </c>
      <c r="L11" s="320">
        <f>IF(L$10="Prior",SUMIFS(Project_Inputs!$W$5:$W$50,Project_Inputs!$D$5:$D$50,$D$4),SUMIFS(Project_Inputs!R$5:R$50,Project_Inputs!$D$5:$D$50,$D$4))</f>
        <v>436</v>
      </c>
      <c r="M11" s="320">
        <f>IF(M$10="Prior",SUMIFS(Project_Inputs!$W$5:$W$50,Project_Inputs!$D$5:$D$50,$D$4),SUMIFS(Project_Inputs!S$5:S$50,Project_Inputs!$D$5:$D$50,$D$4))</f>
        <v>436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3181.7587621950388</v>
      </c>
      <c r="P11" s="300">
        <f t="shared" ref="P11" si="0">SUM(I11:M11)</f>
        <v>2180</v>
      </c>
      <c r="R11" s="608" t="str">
        <f>IF(O11=Project_Inputs!V26,"ok","error")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1001.758762195039</v>
      </c>
      <c r="I14" s="448">
        <f>IF($G$3="Yes",SUMIFS(Project_Inputs!AM$5:AM$50,Project_Inputs!$D$5:$D$50,$D$4),IF(AND(I$13="X",I$10="Prior"),I11,IF(I$13="X",SUM($F11:I11)-SUM($F14:H14),0)))</f>
        <v>436</v>
      </c>
      <c r="J14" s="447">
        <f>IF($G$3="Yes",SUMIFS(Project_Inputs!AN$5:AN$50,Project_Inputs!$D$5:$D$50,$D$4),IF(AND(J$13="X",J$10="Prior"),J11,IF(J$13="X",SUM($F11:J11)-SUM($F14:I14),0)))</f>
        <v>436</v>
      </c>
      <c r="K14" s="447">
        <f>IF($G$3="Yes",SUMIFS(Project_Inputs!AO$5:AO$50,Project_Inputs!$D$5:$D$50,$D$4),IF(AND(K$13="X",K$10="Prior"),K11,IF(K$13="X",SUM($F11:K11)-SUM($F14:J14),0)))</f>
        <v>435.99999999999977</v>
      </c>
      <c r="L14" s="447">
        <f>IF($G$3="Yes",SUMIFS(Project_Inputs!AP$5:AP$50,Project_Inputs!$D$5:$D$50,$D$4),IF(AND(L$13="X",L$10="Prior"),L11,IF(L$13="X",SUM($F11:L11)-SUM($F14:K14),0)))</f>
        <v>436</v>
      </c>
      <c r="M14" s="447">
        <f>IF($G$3="Yes",SUMIFS(Project_Inputs!AQ$5:AQ$50,Project_Inputs!$D$5:$D$50,$D$4),IF(AND(M$13="X",M$10="Prior"),M11,IF(M$13="X",SUM($F11:M11)-SUM($F14:L14),0)))</f>
        <v>436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3181.7587621950388</v>
      </c>
      <c r="P14" s="451">
        <f>SUM(I14:M14)</f>
        <v>2180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1</v>
      </c>
      <c r="G19" s="341">
        <v>1</v>
      </c>
      <c r="H19" s="392">
        <v>1</v>
      </c>
      <c r="I19" s="404">
        <v>1</v>
      </c>
      <c r="J19" s="341">
        <v>1</v>
      </c>
      <c r="K19" s="341">
        <v>1</v>
      </c>
      <c r="L19" s="341">
        <v>1</v>
      </c>
      <c r="M19" s="341">
        <v>1</v>
      </c>
      <c r="N19" s="342">
        <v>1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1.2535783754387173</v>
      </c>
      <c r="I46" s="407">
        <f>IF(I$10="Prior",0,(I11*I29)*(Assumptions!I28-1))</f>
        <v>0.90097267474948983</v>
      </c>
      <c r="J46" s="282">
        <f>IF(J$10="Prior",0,(J11*J29)*(Assumptions!J28-1))</f>
        <v>1.2614305534149628</v>
      </c>
      <c r="K46" s="282">
        <f>IF(K$10="Prior",0,(K11*K29)*(Assumptions!K28-1))</f>
        <v>1.6326588912444688</v>
      </c>
      <c r="L46" s="282">
        <f>IF(L$10="Prior",0,(L11*L29)*(Assumptions!L28-1))</f>
        <v>2.0374911883211069</v>
      </c>
      <c r="M46" s="282">
        <f>IF(M$10="Prior",0,(M11*M29)*(Assumptions!M28-1))</f>
        <v>2.4527923581348361</v>
      </c>
      <c r="N46" s="283">
        <f>IF(N$10="Prior",0,(N11*N29)*(Assumptions!N28-1))</f>
        <v>0</v>
      </c>
      <c r="O46" s="362">
        <f t="shared" ref="O46:O47" si="6">SUM(F46:N46)</f>
        <v>9.5389240413035807</v>
      </c>
      <c r="P46" s="300">
        <f t="shared" ref="P46:P47" si="7">SUM(I46:M46)</f>
        <v>8.285345665864865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5.3855364984599561</v>
      </c>
      <c r="I47" s="407">
        <f>IF(I$10="Prior",0,(I11*I30)*(Assumptions!I30-1))</f>
        <v>4.6300401285343824</v>
      </c>
      <c r="J47" s="282">
        <f>IF(J$10="Prior",0,(J11*J30)*(Assumptions!J30-1))</f>
        <v>6.9509582968743331</v>
      </c>
      <c r="K47" s="282">
        <f>IF(K$10="Prior",0,(K11*K30)*(Assumptions!K30-1))</f>
        <v>9.2173392017153741</v>
      </c>
      <c r="L47" s="282">
        <f>IF(L$10="Prior",0,(L11*L30)*(Assumptions!L30-1))</f>
        <v>11.694008199014069</v>
      </c>
      <c r="M47" s="282">
        <f>IF(M$10="Prior",0,(M11*M30)*(Assumptions!M30-1))</f>
        <v>14.255096390433058</v>
      </c>
      <c r="N47" s="283">
        <f>IF(N$10="Prior",0,(N11*N30)*(Assumptions!N30-1))</f>
        <v>0</v>
      </c>
      <c r="O47" s="362">
        <f t="shared" si="6"/>
        <v>52.132978715031179</v>
      </c>
      <c r="P47" s="300">
        <f t="shared" si="7"/>
        <v>46.747442216571223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</v>
      </c>
      <c r="H48" s="253">
        <f t="shared" si="8"/>
        <v>6.6391148738986736</v>
      </c>
      <c r="I48" s="408">
        <f t="shared" si="8"/>
        <v>5.5310128032838719</v>
      </c>
      <c r="J48" s="5">
        <f t="shared" si="8"/>
        <v>8.2123888502892957</v>
      </c>
      <c r="K48" s="5">
        <f t="shared" si="8"/>
        <v>10.849998092959844</v>
      </c>
      <c r="L48" s="5">
        <f t="shared" si="8"/>
        <v>13.731499387335177</v>
      </c>
      <c r="M48" s="5">
        <f t="shared" si="8"/>
        <v>16.707888748567896</v>
      </c>
      <c r="N48" s="286">
        <f t="shared" si="8"/>
        <v>0</v>
      </c>
      <c r="O48" s="433">
        <f>SUM(O46:O47)</f>
        <v>61.671902756334759</v>
      </c>
      <c r="P48" s="434">
        <f>SUM(P46:P47)</f>
        <v>55.032787882436089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</v>
      </c>
      <c r="H49" s="253">
        <f t="shared" si="9"/>
        <v>6.6391148738986736</v>
      </c>
      <c r="I49" s="408">
        <f t="shared" si="9"/>
        <v>5.5310128032838719</v>
      </c>
      <c r="J49" s="5">
        <f t="shared" si="9"/>
        <v>8.2123888502892957</v>
      </c>
      <c r="K49" s="5">
        <f t="shared" si="9"/>
        <v>10.849998092959844</v>
      </c>
      <c r="L49" s="5">
        <f t="shared" si="9"/>
        <v>13.731499387335177</v>
      </c>
      <c r="M49" s="5">
        <f t="shared" si="9"/>
        <v>16.707888748567896</v>
      </c>
      <c r="N49" s="286">
        <f t="shared" si="9"/>
        <v>0</v>
      </c>
      <c r="O49" s="370">
        <f>O44+O48</f>
        <v>61.671902756334759</v>
      </c>
      <c r="P49" s="371">
        <f>P44+P48</f>
        <v>55.032787882436089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6.6274587499999928E-3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2.4885316726972119E-2</v>
      </c>
      <c r="L50" s="443">
        <f t="shared" si="10"/>
        <v>3.149426464985132E-2</v>
      </c>
      <c r="M50" s="443">
        <f t="shared" si="10"/>
        <v>3.8320845753596094E-2</v>
      </c>
      <c r="N50" s="444">
        <f t="shared" si="10"/>
        <v>0</v>
      </c>
      <c r="O50" s="444">
        <f t="shared" si="10"/>
        <v>1.9382959980846697E-2</v>
      </c>
      <c r="P50" s="444">
        <f t="shared" si="10"/>
        <v>2.5244398111209217E-2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0</v>
      </c>
      <c r="G51" s="280">
        <f>(G29*G$11+G46)*Assumptions!$G$21</f>
        <v>0</v>
      </c>
      <c r="H51" s="280">
        <f>(H29*H$11+H46)*Assumptions!$G$21</f>
        <v>103.14536642079693</v>
      </c>
      <c r="I51" s="410">
        <f>(I29*I$11+I46)*Assumptions!$G$21</f>
        <v>45.253808678645633</v>
      </c>
      <c r="J51" s="280">
        <f>(J29*J$11+J46)*Assumptions!$G$21</f>
        <v>45.620364528942659</v>
      </c>
      <c r="K51" s="280">
        <f>(K29*K$11+K46)*Assumptions!$G$21</f>
        <v>45.997873045419659</v>
      </c>
      <c r="L51" s="280">
        <f>(L29*L$11+L46)*Assumptions!$G$21</f>
        <v>46.409554009176169</v>
      </c>
      <c r="M51" s="280">
        <f>(M29*M$11+M46)*Assumptions!$G$21</f>
        <v>46.831880950659681</v>
      </c>
      <c r="N51" s="281">
        <f>(N29*N$11+N46)*Assumptions!$G$21</f>
        <v>0</v>
      </c>
      <c r="O51" s="373">
        <f t="shared" ref="O51:O53" si="11">SUM(F51:N51)</f>
        <v>333.25884763364076</v>
      </c>
      <c r="P51" s="375">
        <f>SUM(I51:M51)</f>
        <v>230.11348121284379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0</v>
      </c>
      <c r="G52" s="282">
        <f>(G30*G$11+G47)*Assumptions!$G$21</f>
        <v>0</v>
      </c>
      <c r="H52" s="282">
        <f>(H30*H$11+H47)*Assumptions!$G$21</f>
        <v>514.82954966057309</v>
      </c>
      <c r="I52" s="407">
        <f>(I30*I$11+I47)*Assumptions!$G$21</f>
        <v>226.39633779988176</v>
      </c>
      <c r="J52" s="282">
        <f>(J30*J$11+J47)*Assumptions!$G$21</f>
        <v>228.75651962144551</v>
      </c>
      <c r="K52" s="282">
        <f>(K30*K$11+K47)*Assumptions!$G$21</f>
        <v>231.06124155663161</v>
      </c>
      <c r="L52" s="282">
        <f>(L30*L$11+L47)*Assumptions!$G$21</f>
        <v>233.57980908959891</v>
      </c>
      <c r="M52" s="282">
        <f>(M30*M$11+M47)*Assumptions!$G$21</f>
        <v>236.18422396094792</v>
      </c>
      <c r="N52" s="283">
        <f>(N30*N$11+N47)*Assumptions!$G$21</f>
        <v>0</v>
      </c>
      <c r="O52" s="374">
        <f t="shared" si="11"/>
        <v>1670.8076816890789</v>
      </c>
      <c r="P52" s="376">
        <f>SUM(I52:M52)</f>
        <v>1155.9781320285058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0</v>
      </c>
      <c r="G53" s="282">
        <f>(G31*G$11+G$44)*Assumptions!$G$21</f>
        <v>0</v>
      </c>
      <c r="H53" s="282">
        <f>(H31*H$11+H$44)*Assumptions!$G$21</f>
        <v>407.482323569561</v>
      </c>
      <c r="I53" s="407">
        <f>(I31*I$11+I$44)*Assumptions!$G$21</f>
        <v>177.35037593984964</v>
      </c>
      <c r="J53" s="282">
        <f>(J31*J$11+J$44)*Assumptions!$G$21</f>
        <v>177.35037593984964</v>
      </c>
      <c r="K53" s="282">
        <f>(K31*K$11+K$44)*Assumptions!$G$21</f>
        <v>177.35037593984964</v>
      </c>
      <c r="L53" s="282">
        <f>(L31*L$11+L$44)*Assumptions!$G$21</f>
        <v>177.35037593984964</v>
      </c>
      <c r="M53" s="282">
        <f>(M31*M$11+M$44)*Assumptions!$G$21</f>
        <v>177.35037593984964</v>
      </c>
      <c r="N53" s="283">
        <f>(N31*N$11+N$44)*Assumptions!$G$21</f>
        <v>0</v>
      </c>
      <c r="O53" s="374">
        <f t="shared" si="11"/>
        <v>1294.2342032688093</v>
      </c>
      <c r="P53" s="376">
        <f>SUM(I53:M53)</f>
        <v>886.75187969924821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0</v>
      </c>
      <c r="G54" s="5">
        <f t="shared" si="12"/>
        <v>0</v>
      </c>
      <c r="H54" s="5">
        <f t="shared" si="12"/>
        <v>1025.4572396509311</v>
      </c>
      <c r="I54" s="411">
        <f t="shared" si="12"/>
        <v>449.00052241837705</v>
      </c>
      <c r="J54" s="382">
        <f t="shared" si="12"/>
        <v>451.72726009023779</v>
      </c>
      <c r="K54" s="382">
        <f t="shared" si="12"/>
        <v>454.40949054190094</v>
      </c>
      <c r="L54" s="382">
        <f t="shared" si="12"/>
        <v>457.33973903862471</v>
      </c>
      <c r="M54" s="382">
        <f t="shared" si="12"/>
        <v>460.36648085145725</v>
      </c>
      <c r="N54" s="286">
        <f t="shared" si="12"/>
        <v>0</v>
      </c>
      <c r="O54" s="372">
        <f t="shared" si="12"/>
        <v>3298.3007325915287</v>
      </c>
      <c r="P54" s="428">
        <f t="shared" si="12"/>
        <v>2272.8434929405976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0</v>
      </c>
      <c r="H57" s="290">
        <f t="shared" si="13"/>
        <v>74.441721647297086</v>
      </c>
      <c r="I57" s="407">
        <f t="shared" si="13"/>
        <v>39.595844015747289</v>
      </c>
      <c r="J57" s="282">
        <f t="shared" si="13"/>
        <v>54.342625684503716</v>
      </c>
      <c r="K57" s="282">
        <f t="shared" si="13"/>
        <v>59.291833065607655</v>
      </c>
      <c r="L57" s="282">
        <f t="shared" si="13"/>
        <v>53.925114584667604</v>
      </c>
      <c r="M57" s="282">
        <f t="shared" si="13"/>
        <v>51.118084710459733</v>
      </c>
      <c r="N57" s="283">
        <f t="shared" si="13"/>
        <v>0</v>
      </c>
      <c r="O57" s="309">
        <f>SUM(F57:N57)</f>
        <v>332.71522370828308</v>
      </c>
      <c r="P57" s="300">
        <f>SUM(I57:M57)</f>
        <v>258.273502060986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0</v>
      </c>
      <c r="G59" s="5">
        <f t="shared" si="14"/>
        <v>0</v>
      </c>
      <c r="H59" s="5">
        <f t="shared" si="14"/>
        <v>1099.8989612982282</v>
      </c>
      <c r="I59" s="411">
        <f t="shared" si="14"/>
        <v>488.59636643412432</v>
      </c>
      <c r="J59" s="382">
        <f t="shared" si="14"/>
        <v>506.06988577474152</v>
      </c>
      <c r="K59" s="382">
        <f t="shared" si="14"/>
        <v>513.70132360750858</v>
      </c>
      <c r="L59" s="382">
        <f t="shared" si="14"/>
        <v>511.26485362329231</v>
      </c>
      <c r="M59" s="382">
        <f t="shared" si="14"/>
        <v>511.48456556191701</v>
      </c>
      <c r="N59" s="418">
        <f>N54+N57</f>
        <v>0</v>
      </c>
      <c r="O59" s="419">
        <f t="shared" ref="O59:P59" si="15">O54+O57</f>
        <v>3631.0159562998119</v>
      </c>
      <c r="P59" s="429">
        <f t="shared" si="15"/>
        <v>2531.1169950015837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0</v>
      </c>
      <c r="H60" s="290">
        <f t="shared" si="16"/>
        <v>74.441721647297086</v>
      </c>
      <c r="I60" s="290">
        <f t="shared" si="16"/>
        <v>114.03756566304438</v>
      </c>
      <c r="J60" s="290">
        <f t="shared" si="16"/>
        <v>168.38019134754808</v>
      </c>
      <c r="K60" s="290">
        <f t="shared" si="16"/>
        <v>227.67202441315573</v>
      </c>
      <c r="L60" s="290">
        <f t="shared" si="16"/>
        <v>281.59713899782332</v>
      </c>
      <c r="M60" s="290">
        <f t="shared" si="16"/>
        <v>332.71522370828308</v>
      </c>
      <c r="N60" s="290">
        <f t="shared" si="16"/>
        <v>332.71522370828308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6.6391148738986736</v>
      </c>
      <c r="I61" s="252">
        <f t="shared" si="17"/>
        <v>12.170127677182546</v>
      </c>
      <c r="J61" s="252">
        <f t="shared" si="17"/>
        <v>20.382516527471843</v>
      </c>
      <c r="K61" s="252">
        <f t="shared" si="17"/>
        <v>31.232514620431687</v>
      </c>
      <c r="L61" s="252">
        <f t="shared" si="17"/>
        <v>44.964014007766863</v>
      </c>
      <c r="M61" s="252">
        <f t="shared" si="17"/>
        <v>61.671902756334759</v>
      </c>
      <c r="N61" s="252">
        <f t="shared" si="17"/>
        <v>61.671902756334759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1099.8989612982282</v>
      </c>
      <c r="I66" s="416">
        <f t="shared" si="22"/>
        <v>488.59636643412432</v>
      </c>
      <c r="J66" s="381">
        <f t="shared" si="22"/>
        <v>506.06988577474152</v>
      </c>
      <c r="K66" s="381">
        <f t="shared" si="22"/>
        <v>513.70132360750858</v>
      </c>
      <c r="L66" s="381">
        <f t="shared" si="22"/>
        <v>511.26485362329231</v>
      </c>
      <c r="M66" s="381">
        <f t="shared" si="22"/>
        <v>511.48456556191701</v>
      </c>
      <c r="N66" s="283">
        <f t="shared" si="22"/>
        <v>0</v>
      </c>
      <c r="O66" s="374">
        <f t="shared" si="20"/>
        <v>3631.0159562998119</v>
      </c>
      <c r="P66" s="431">
        <f t="shared" si="21"/>
        <v>2531.1169950015837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0</v>
      </c>
      <c r="G74" s="5">
        <f t="shared" ref="G74:N74" si="30">+SUM(G64:G73)</f>
        <v>0</v>
      </c>
      <c r="H74" s="5">
        <f t="shared" si="30"/>
        <v>1099.8989612982282</v>
      </c>
      <c r="I74" s="411">
        <f t="shared" si="30"/>
        <v>488.59636643412432</v>
      </c>
      <c r="J74" s="382">
        <f t="shared" si="30"/>
        <v>506.06988577474152</v>
      </c>
      <c r="K74" s="382">
        <f t="shared" si="30"/>
        <v>513.70132360750858</v>
      </c>
      <c r="L74" s="382">
        <f t="shared" si="30"/>
        <v>511.26485362329231</v>
      </c>
      <c r="M74" s="382">
        <f t="shared" si="30"/>
        <v>511.48456556191701</v>
      </c>
      <c r="N74" s="286">
        <f t="shared" si="30"/>
        <v>0</v>
      </c>
      <c r="O74" s="372">
        <f>SUM(O64:O73)</f>
        <v>3631.0159562998119</v>
      </c>
      <c r="P74" s="428">
        <f>SUM(P64:P73)</f>
        <v>2531.1169950015837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1001.758762195039</v>
      </c>
      <c r="I76" s="410">
        <f t="shared" si="32"/>
        <v>436</v>
      </c>
      <c r="J76" s="280">
        <f t="shared" si="32"/>
        <v>436</v>
      </c>
      <c r="K76" s="280">
        <f t="shared" si="32"/>
        <v>435.99999999999977</v>
      </c>
      <c r="L76" s="280">
        <f t="shared" si="32"/>
        <v>436</v>
      </c>
      <c r="M76" s="280">
        <f t="shared" si="32"/>
        <v>436</v>
      </c>
      <c r="N76" s="281">
        <f t="shared" si="32"/>
        <v>0</v>
      </c>
      <c r="O76" s="377">
        <f>SUM(F76:N76)</f>
        <v>3181.7587621950388</v>
      </c>
      <c r="P76" s="378">
        <f t="shared" ref="P76:P80" si="33">SUM(I76:M76)</f>
        <v>2180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6.6391148738986736</v>
      </c>
      <c r="I77" s="407">
        <f>IF(I$10="Prior",0,IF(AND(I76&lt;&gt;0,SUM($F76:H76)=0),I76/SUM($F$76:I76)*I61,IF(I76&lt;&gt;0,SUM($F$76:I76)/SUM($F$11:I11)*I61-H83,0)))</f>
        <v>5.5310128032838719</v>
      </c>
      <c r="J77" s="282">
        <f>IF(J$10="Prior",0,IF(AND(J76&lt;&gt;0,SUM($F76:I76)=0),J76/SUM($F$76:J76)*J61,IF(J76&lt;&gt;0,SUM($F$76:J76)/SUM($F$11:J11)*J61-I83,0)))</f>
        <v>8.2123888502892974</v>
      </c>
      <c r="K77" s="282">
        <f>IF(K$10="Prior",0,IF(AND(K76&lt;&gt;0,SUM($F76:J76)=0),K76/SUM($F$76:K76)*K61,IF(K76&lt;&gt;0,SUM($F$76:K76)/SUM($F$11:K11)*K61-J83,0)))</f>
        <v>10.849998092959844</v>
      </c>
      <c r="L77" s="282">
        <f>IF(L$10="Prior",0,IF(AND(L76&lt;&gt;0,SUM($F76:K76)=0),L76/SUM($F$76:L76)*L61,IF(L76&lt;&gt;0,SUM($F$76:L76)/SUM($F$11:L11)*L61-K83,0)))</f>
        <v>13.731499387335177</v>
      </c>
      <c r="M77" s="282">
        <f>IF(M$10="Prior",0,IF(AND(M76&lt;&gt;0,SUM($F76:L76)=0),M76/SUM($F$76:M76)*M61,IF(M76&lt;&gt;0,SUM($F$76:M76)/SUM($F$11:M11)*M61-L83,0)))</f>
        <v>16.707888748567896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61.671902756334759</v>
      </c>
      <c r="P77" s="455">
        <f t="shared" si="33"/>
        <v>55.032787882436082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1008.3978770689376</v>
      </c>
      <c r="I78" s="458">
        <f t="shared" si="34"/>
        <v>441.53101280328389</v>
      </c>
      <c r="J78" s="457">
        <f t="shared" si="34"/>
        <v>444.2123888502893</v>
      </c>
      <c r="K78" s="457">
        <f t="shared" si="34"/>
        <v>446.84999809295959</v>
      </c>
      <c r="L78" s="457">
        <f t="shared" si="34"/>
        <v>449.73149938733519</v>
      </c>
      <c r="M78" s="457">
        <f t="shared" si="34"/>
        <v>452.70788874856788</v>
      </c>
      <c r="N78" s="459">
        <f t="shared" si="34"/>
        <v>0</v>
      </c>
      <c r="O78" s="460">
        <f>SUM(F78:N78)</f>
        <v>3243.4306649513733</v>
      </c>
      <c r="P78" s="461">
        <f t="shared" si="33"/>
        <v>2235.0327878824355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1025.4572396509311</v>
      </c>
      <c r="I79" s="458">
        <f>I78*Assumptions!$G$21</f>
        <v>449.00052241837705</v>
      </c>
      <c r="J79" s="457">
        <f>J78*Assumptions!$G$21</f>
        <v>451.72726009023785</v>
      </c>
      <c r="K79" s="457">
        <f>K78*Assumptions!$G$21</f>
        <v>454.40949054190065</v>
      </c>
      <c r="L79" s="457">
        <f>L78*Assumptions!$G$21</f>
        <v>457.33973903862471</v>
      </c>
      <c r="M79" s="457">
        <f>M78*Assumptions!$G$21</f>
        <v>460.3664808514572</v>
      </c>
      <c r="N79" s="459">
        <f>N78*Assumptions!$G$21</f>
        <v>0</v>
      </c>
      <c r="O79" s="460">
        <f>SUM(F79:N79)</f>
        <v>3298.3007325915287</v>
      </c>
      <c r="P79" s="461">
        <f t="shared" si="33"/>
        <v>2272.8434929405971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74.441721647297086</v>
      </c>
      <c r="I80" s="407">
        <f>IF(I$10="Prior",I79*I56,IF(AND(I79&lt;&gt;0,SUM($F79:H79)=0),I79/SUM($F$54:I54)*I60,IF(I79&lt;&gt;0,SUM($F$79:I79)/SUM($F$54:I54)*I60-H82,0)))</f>
        <v>39.595844015747289</v>
      </c>
      <c r="J80" s="282">
        <f>IF(J$10="Prior",J79*J56,IF(AND(J79&lt;&gt;0,SUM($F79:I79)=0),J79/SUM($F$54:J54)*J60,IF(J79&lt;&gt;0,SUM($F$79:J79)/SUM($F$54:J54)*J60-I82,0)))</f>
        <v>54.342625684503702</v>
      </c>
      <c r="K80" s="282">
        <f>IF(K$10="Prior",K79*K56,IF(AND(K79&lt;&gt;0,SUM($F79:J79)=0),K79/SUM($F$54:K54)*K60,IF(K79&lt;&gt;0,SUM($F$79:K79)/SUM($F$54:K54)*K60-J82,0)))</f>
        <v>59.291833065607591</v>
      </c>
      <c r="L80" s="282">
        <f>IF(L$10="Prior",L79*L56,IF(AND(L79&lt;&gt;0,SUM($F79:K79)=0),L79/SUM($F$54:L54)*L60,IF(L79&lt;&gt;0,SUM($F$79:L79)/SUM($F$54:L54)*L60-K82,0)))</f>
        <v>53.925114584667597</v>
      </c>
      <c r="M80" s="282">
        <f>IF(M$10="Prior",M79*M56,IF(AND(M79&lt;&gt;0,SUM($F79:L79)=0),M79/SUM($F$54:M54)*M60,IF(M79&lt;&gt;0,SUM($F$79:M79)/SUM($F$54:M54)*M60-L82,0)))</f>
        <v>51.118084710459755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332.71522370828302</v>
      </c>
      <c r="P80" s="300">
        <f t="shared" si="33"/>
        <v>258.27350206098595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1099.8989612982282</v>
      </c>
      <c r="I81" s="417">
        <f t="shared" si="35"/>
        <v>488.59636643412432</v>
      </c>
      <c r="J81" s="387">
        <f t="shared" si="35"/>
        <v>506.06988577474158</v>
      </c>
      <c r="K81" s="387">
        <f t="shared" si="35"/>
        <v>513.70132360750824</v>
      </c>
      <c r="L81" s="387">
        <f t="shared" si="35"/>
        <v>511.26485362329231</v>
      </c>
      <c r="M81" s="387">
        <f t="shared" si="35"/>
        <v>511.48456556191695</v>
      </c>
      <c r="N81" s="420">
        <f t="shared" si="35"/>
        <v>0</v>
      </c>
      <c r="O81" s="421">
        <f t="shared" si="35"/>
        <v>3631.0159562998115</v>
      </c>
      <c r="P81" s="388">
        <f t="shared" si="35"/>
        <v>2531.1169950015828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74.441721647297086</v>
      </c>
      <c r="I82" s="252">
        <f t="shared" si="36"/>
        <v>114.03756566304438</v>
      </c>
      <c r="J82" s="252">
        <f t="shared" si="36"/>
        <v>168.38019134754808</v>
      </c>
      <c r="K82" s="252">
        <f t="shared" si="36"/>
        <v>227.67202441315567</v>
      </c>
      <c r="L82" s="252">
        <f t="shared" si="36"/>
        <v>281.59713899782327</v>
      </c>
      <c r="M82" s="252">
        <f t="shared" si="36"/>
        <v>332.71522370828302</v>
      </c>
      <c r="N82" s="252">
        <f t="shared" si="36"/>
        <v>332.71522370828302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6.6391148738986736</v>
      </c>
      <c r="I83" s="252">
        <f t="shared" si="37"/>
        <v>12.170127677182546</v>
      </c>
      <c r="J83" s="252">
        <f t="shared" si="37"/>
        <v>20.382516527471843</v>
      </c>
      <c r="K83" s="252">
        <f t="shared" si="37"/>
        <v>31.232514620431687</v>
      </c>
      <c r="L83" s="252">
        <f t="shared" si="37"/>
        <v>44.964014007766863</v>
      </c>
      <c r="M83" s="252">
        <f t="shared" si="37"/>
        <v>61.671902756334759</v>
      </c>
      <c r="N83" s="252">
        <f t="shared" si="37"/>
        <v>61.671902756334759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1099.8989612982282</v>
      </c>
      <c r="I87" s="416">
        <f t="shared" si="42"/>
        <v>488.59636643412443</v>
      </c>
      <c r="J87" s="381">
        <f t="shared" si="42"/>
        <v>506.06988577474164</v>
      </c>
      <c r="K87" s="381">
        <f t="shared" si="42"/>
        <v>513.70132360750836</v>
      </c>
      <c r="L87" s="381">
        <f t="shared" si="42"/>
        <v>511.26485362329231</v>
      </c>
      <c r="M87" s="381">
        <f t="shared" si="42"/>
        <v>511.48456556191701</v>
      </c>
      <c r="N87" s="346">
        <f t="shared" si="42"/>
        <v>0</v>
      </c>
      <c r="O87" s="374">
        <f t="shared" si="41"/>
        <v>3631.0159562998115</v>
      </c>
      <c r="P87" s="431">
        <f t="shared" si="39"/>
        <v>2531.1169950015837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1099.8989612982282</v>
      </c>
      <c r="I95" s="411">
        <f t="shared" si="51"/>
        <v>488.59636643412443</v>
      </c>
      <c r="J95" s="382">
        <f t="shared" si="51"/>
        <v>506.06988577474164</v>
      </c>
      <c r="K95" s="382">
        <f t="shared" si="51"/>
        <v>513.70132360750836</v>
      </c>
      <c r="L95" s="382">
        <f t="shared" si="51"/>
        <v>511.26485362329231</v>
      </c>
      <c r="M95" s="382">
        <f t="shared" si="51"/>
        <v>511.48456556191701</v>
      </c>
      <c r="N95" s="286">
        <f t="shared" si="51"/>
        <v>0</v>
      </c>
      <c r="O95" s="372">
        <f>SUM(O85:O94)</f>
        <v>3631.0159562998115</v>
      </c>
      <c r="P95" s="428">
        <f>SUM(P85:P94)</f>
        <v>2531.1169950015837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1</v>
      </c>
      <c r="H104" s="2">
        <f t="shared" si="55"/>
        <v>1</v>
      </c>
      <c r="I104" s="2">
        <f t="shared" si="55"/>
        <v>1</v>
      </c>
      <c r="J104" s="2">
        <f t="shared" si="55"/>
        <v>1</v>
      </c>
      <c r="K104" s="2">
        <f t="shared" si="55"/>
        <v>1</v>
      </c>
      <c r="L104" s="2">
        <f t="shared" si="55"/>
        <v>1</v>
      </c>
      <c r="M104" s="2">
        <f t="shared" si="55"/>
        <v>1</v>
      </c>
      <c r="N104" s="2">
        <f t="shared" si="55"/>
        <v>1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407.482323569561</v>
      </c>
      <c r="I116" s="191">
        <f t="shared" si="62"/>
        <v>177.35037593984964</v>
      </c>
      <c r="J116" s="191">
        <f t="shared" si="62"/>
        <v>177.35037593984964</v>
      </c>
      <c r="K116" s="191">
        <f t="shared" si="62"/>
        <v>177.35037593984964</v>
      </c>
      <c r="L116" s="191">
        <f t="shared" si="62"/>
        <v>177.35037593984964</v>
      </c>
      <c r="M116" s="191">
        <f t="shared" si="62"/>
        <v>177.35037593984964</v>
      </c>
      <c r="N116" s="191">
        <f t="shared" si="62"/>
        <v>0</v>
      </c>
      <c r="O116" s="191">
        <f t="shared" si="60"/>
        <v>1294.2342032688093</v>
      </c>
      <c r="P116" s="191">
        <f t="shared" si="61"/>
        <v>886.75187969924821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0</v>
      </c>
      <c r="H120" s="191">
        <f t="shared" ref="H120:P120" si="63">SUM(H111:H119)</f>
        <v>407.482323569561</v>
      </c>
      <c r="I120" s="191">
        <f t="shared" si="63"/>
        <v>177.35037593984964</v>
      </c>
      <c r="J120" s="191">
        <f t="shared" si="63"/>
        <v>177.35037593984964</v>
      </c>
      <c r="K120" s="191">
        <f t="shared" si="63"/>
        <v>177.35037593984964</v>
      </c>
      <c r="L120" s="191">
        <f t="shared" si="63"/>
        <v>177.35037593984964</v>
      </c>
      <c r="M120" s="191">
        <f t="shared" si="63"/>
        <v>177.35037593984964</v>
      </c>
      <c r="N120" s="191">
        <f t="shared" si="63"/>
        <v>0</v>
      </c>
      <c r="O120" s="191">
        <f t="shared" si="63"/>
        <v>1294.2342032688093</v>
      </c>
      <c r="P120" s="191">
        <f t="shared" si="63"/>
        <v>886.75187969924821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103.14536642079693</v>
      </c>
      <c r="I128" s="191">
        <f t="shared" si="67"/>
        <v>45.253808678645633</v>
      </c>
      <c r="J128" s="191">
        <f t="shared" si="67"/>
        <v>45.620364528942659</v>
      </c>
      <c r="K128" s="191">
        <f t="shared" si="67"/>
        <v>45.997873045419659</v>
      </c>
      <c r="L128" s="191">
        <f t="shared" si="67"/>
        <v>46.409554009176169</v>
      </c>
      <c r="M128" s="191">
        <f t="shared" si="67"/>
        <v>46.831880950659681</v>
      </c>
      <c r="N128" s="191">
        <f t="shared" si="67"/>
        <v>0</v>
      </c>
      <c r="O128" s="191">
        <f t="shared" si="65"/>
        <v>333.25884763364076</v>
      </c>
      <c r="P128" s="191">
        <f t="shared" si="66"/>
        <v>230.11348121284379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0</v>
      </c>
      <c r="H132" s="191">
        <f t="shared" ref="H132:P132" si="68">SUM(H123:H131)</f>
        <v>103.14536642079693</v>
      </c>
      <c r="I132" s="191">
        <f t="shared" si="68"/>
        <v>45.253808678645633</v>
      </c>
      <c r="J132" s="191">
        <f t="shared" si="68"/>
        <v>45.620364528942659</v>
      </c>
      <c r="K132" s="191">
        <f t="shared" si="68"/>
        <v>45.997873045419659</v>
      </c>
      <c r="L132" s="191">
        <f t="shared" si="68"/>
        <v>46.409554009176169</v>
      </c>
      <c r="M132" s="191">
        <f t="shared" si="68"/>
        <v>46.831880950659681</v>
      </c>
      <c r="N132" s="191">
        <f t="shared" si="68"/>
        <v>0</v>
      </c>
      <c r="O132" s="191">
        <f t="shared" si="68"/>
        <v>333.25884763364076</v>
      </c>
      <c r="P132" s="191">
        <f t="shared" si="68"/>
        <v>230.11348121284379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514.82954966057309</v>
      </c>
      <c r="I140" s="191">
        <f t="shared" si="72"/>
        <v>226.39633779988176</v>
      </c>
      <c r="J140" s="191">
        <f t="shared" si="72"/>
        <v>228.75651962144551</v>
      </c>
      <c r="K140" s="191">
        <f t="shared" si="72"/>
        <v>231.06124155663161</v>
      </c>
      <c r="L140" s="191">
        <f t="shared" si="72"/>
        <v>233.57980908959891</v>
      </c>
      <c r="M140" s="191">
        <f t="shared" si="72"/>
        <v>236.18422396094792</v>
      </c>
      <c r="N140" s="191">
        <f t="shared" si="72"/>
        <v>0</v>
      </c>
      <c r="O140" s="191">
        <f t="shared" si="70"/>
        <v>1670.8076816890789</v>
      </c>
      <c r="P140" s="191">
        <f t="shared" si="71"/>
        <v>1155.9781320285058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0</v>
      </c>
      <c r="H144" s="191">
        <f t="shared" ref="H144:P144" si="73">SUM(H135:H143)</f>
        <v>514.82954966057309</v>
      </c>
      <c r="I144" s="191">
        <f t="shared" si="73"/>
        <v>226.39633779988176</v>
      </c>
      <c r="J144" s="191">
        <f t="shared" si="73"/>
        <v>228.75651962144551</v>
      </c>
      <c r="K144" s="191">
        <f t="shared" si="73"/>
        <v>231.06124155663161</v>
      </c>
      <c r="L144" s="191">
        <f t="shared" si="73"/>
        <v>233.57980908959891</v>
      </c>
      <c r="M144" s="191">
        <f t="shared" si="73"/>
        <v>236.18422396094792</v>
      </c>
      <c r="N144" s="191">
        <f t="shared" si="73"/>
        <v>0</v>
      </c>
      <c r="O144" s="191">
        <f t="shared" si="73"/>
        <v>1670.8076816890789</v>
      </c>
      <c r="P144" s="191">
        <f t="shared" si="73"/>
        <v>1155.9781320285058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1025.4572396509311</v>
      </c>
      <c r="I152" s="191">
        <f t="shared" si="74"/>
        <v>449.00052241837705</v>
      </c>
      <c r="J152" s="191">
        <f t="shared" si="74"/>
        <v>451.72726009023779</v>
      </c>
      <c r="K152" s="191">
        <f t="shared" si="74"/>
        <v>454.40949054190094</v>
      </c>
      <c r="L152" s="191">
        <f t="shared" si="74"/>
        <v>457.33973903862471</v>
      </c>
      <c r="M152" s="191">
        <f t="shared" si="74"/>
        <v>460.36648085145725</v>
      </c>
      <c r="N152" s="191">
        <f t="shared" si="74"/>
        <v>0</v>
      </c>
      <c r="O152" s="191">
        <f t="shared" si="75"/>
        <v>3298.3007325915291</v>
      </c>
      <c r="P152" s="191">
        <f t="shared" si="76"/>
        <v>2272.8434929405976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0</v>
      </c>
      <c r="H156" s="191">
        <f t="shared" ref="H156:N156" si="77">SUM(H147:H155)</f>
        <v>1025.4572396509311</v>
      </c>
      <c r="I156" s="191">
        <f t="shared" si="77"/>
        <v>449.00052241837705</v>
      </c>
      <c r="J156" s="191">
        <f t="shared" si="77"/>
        <v>451.72726009023779</v>
      </c>
      <c r="K156" s="191">
        <f t="shared" si="77"/>
        <v>454.40949054190094</v>
      </c>
      <c r="L156" s="191">
        <f t="shared" si="77"/>
        <v>457.33973903862471</v>
      </c>
      <c r="M156" s="191">
        <f t="shared" si="77"/>
        <v>460.36648085145725</v>
      </c>
      <c r="N156" s="191">
        <f t="shared" si="77"/>
        <v>0</v>
      </c>
      <c r="O156" s="191">
        <f t="shared" ref="O156:P156" si="78">SUM(O147:O155)</f>
        <v>3298.3007325915291</v>
      </c>
      <c r="P156" s="191">
        <f t="shared" si="78"/>
        <v>2272.8434929405976</v>
      </c>
    </row>
    <row r="157" spans="4:16" collapsed="1"/>
  </sheetData>
  <mergeCells count="1">
    <mergeCell ref="C13:C14"/>
  </mergeCells>
  <phoneticPr fontId="6" type="noConversion"/>
  <conditionalFormatting sqref="R14">
    <cfRule type="cellIs" dxfId="75" priority="4" operator="equal">
      <formula>"Error"</formula>
    </cfRule>
  </conditionalFormatting>
  <conditionalFormatting sqref="R11">
    <cfRule type="cellIs" dxfId="74" priority="3" operator="equal">
      <formula>"Error"</formula>
    </cfRule>
  </conditionalFormatting>
  <conditionalFormatting sqref="R54">
    <cfRule type="cellIs" dxfId="7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Project_Inputs!B27</f>
        <v>0</v>
      </c>
      <c r="F3" s="249" t="s">
        <v>63</v>
      </c>
      <c r="G3" s="249">
        <f>Project_Inputs!F27</f>
        <v>0</v>
      </c>
    </row>
    <row r="4" spans="1:21" ht="18.75">
      <c r="A4" s="6"/>
      <c r="B4" s="6"/>
      <c r="C4" s="13" t="s">
        <v>15</v>
      </c>
      <c r="D4" s="339" t="str">
        <f>Project_Inputs!D27</f>
        <v>Circuit breakers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Project_Inputs!H27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Project_Inputs!I27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Project_Inputs!J27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1831.3156965546164</v>
      </c>
      <c r="G11" s="319">
        <f>IF(G$10="Prior",SUMIFS(Project_Inputs!$W$5:$W$50,Project_Inputs!$D$5:$D$50,$D$4),SUMIFS(Project_Inputs!M$5:M$50,Project_Inputs!$D$5:$D$50,$D$4))</f>
        <v>1747.65</v>
      </c>
      <c r="H11" s="389">
        <f>IF(H$10="Prior",SUMIFS(Project_Inputs!$W$5:$W$50,Project_Inputs!$D$5:$D$50,$D$4),SUMIFS(Project_Inputs!N$5:N$50,Project_Inputs!$D$5:$D$50,$D$4))</f>
        <v>1001.758762195039</v>
      </c>
      <c r="I11" s="399">
        <f>IF(I$10="Prior",SUMIFS(Project_Inputs!$W$5:$W$50,Project_Inputs!$D$5:$D$50,$D$4),SUMIFS(Project_Inputs!O$5:O$50,Project_Inputs!$D$5:$D$50,$D$4))</f>
        <v>5164.3327999999992</v>
      </c>
      <c r="J11" s="320">
        <f>IF(J$10="Prior",SUMIFS(Project_Inputs!$W$5:$W$50,Project_Inputs!$D$5:$D$50,$D$4),SUMIFS(Project_Inputs!P$5:P$50,Project_Inputs!$D$5:$D$50,$D$4))</f>
        <v>5164.3327999999992</v>
      </c>
      <c r="K11" s="320">
        <f>IF(K$10="Prior",SUMIFS(Project_Inputs!$W$5:$W$50,Project_Inputs!$D$5:$D$50,$D$4),SUMIFS(Project_Inputs!Q$5:Q$50,Project_Inputs!$D$5:$D$50,$D$4))</f>
        <v>5164.3327999999992</v>
      </c>
      <c r="L11" s="320">
        <f>IF(L$10="Prior",SUMIFS(Project_Inputs!$W$5:$W$50,Project_Inputs!$D$5:$D$50,$D$4),SUMIFS(Project_Inputs!R$5:R$50,Project_Inputs!$D$5:$D$50,$D$4))</f>
        <v>5164.3327999999992</v>
      </c>
      <c r="M11" s="320">
        <f>IF(M$10="Prior",SUMIFS(Project_Inputs!$W$5:$W$50,Project_Inputs!$D$5:$D$50,$D$4),SUMIFS(Project_Inputs!S$5:S$50,Project_Inputs!$D$5:$D$50,$D$4))</f>
        <v>5164.3327999999992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30402.388458749654</v>
      </c>
      <c r="P11" s="300">
        <f t="shared" ref="P11" si="0">SUM(I11:M11)</f>
        <v>25821.663999999997</v>
      </c>
      <c r="R11" s="608" t="str">
        <f>IF(O11=Project_Inputs!V27,"ok","error")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1831.3156965546164</v>
      </c>
      <c r="G14" s="447">
        <f>IF($G$3="Yes",SUMIFS(Project_Inputs!AK$5:AK$50,Project_Inputs!$D$5:$D$50,$D$4),IF(AND(G$13="X",G$10="Prior"),G11,IF(G$13="X",SUM($F11:G11)-SUM(F14:$F14),0)))</f>
        <v>1747.65</v>
      </c>
      <c r="H14" s="447">
        <f>IF($G$3="Yes",SUMIFS(Project_Inputs!AL$5:AL$50,Project_Inputs!$D$5:$D$50,$D$4),IF(AND(H$13="X",H$10="Prior"),H11,IF(H$13="X",SUM($F11:H11)-SUM($F14:G14),0)))</f>
        <v>1001.7587621950388</v>
      </c>
      <c r="I14" s="448">
        <f>IF($G$3="Yes",SUMIFS(Project_Inputs!AM$5:AM$50,Project_Inputs!$D$5:$D$50,$D$4),IF(AND(I$13="X",I$10="Prior"),I11,IF(I$13="X",SUM($F11:I11)-SUM($F14:H14),0)))</f>
        <v>5164.3327999999983</v>
      </c>
      <c r="J14" s="447">
        <f>IF($G$3="Yes",SUMIFS(Project_Inputs!AN$5:AN$50,Project_Inputs!$D$5:$D$50,$D$4),IF(AND(J$13="X",J$10="Prior"),J11,IF(J$13="X",SUM($F11:J11)-SUM($F14:I14),0)))</f>
        <v>5164.3328000000001</v>
      </c>
      <c r="K14" s="447">
        <f>IF($G$3="Yes",SUMIFS(Project_Inputs!AO$5:AO$50,Project_Inputs!$D$5:$D$50,$D$4),IF(AND(K$13="X",K$10="Prior"),K11,IF(K$13="X",SUM($F11:K11)-SUM($F14:J14),0)))</f>
        <v>5164.3328000000001</v>
      </c>
      <c r="L14" s="447">
        <f>IF($G$3="Yes",SUMIFS(Project_Inputs!AP$5:AP$50,Project_Inputs!$D$5:$D$50,$D$4),IF(AND(L$13="X",L$10="Prior"),L11,IF(L$13="X",SUM($F11:L11)-SUM($F14:K14),0)))</f>
        <v>5164.3328000000001</v>
      </c>
      <c r="M14" s="447">
        <f>IF($G$3="Yes",SUMIFS(Project_Inputs!AQ$5:AQ$50,Project_Inputs!$D$5:$D$50,$D$4),IF(AND(M$13="X",M$10="Prior"),M11,IF(M$13="X",SUM($F11:M11)-SUM($F14:L14),0)))</f>
        <v>5164.3328000000001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30402.388458749654</v>
      </c>
      <c r="P14" s="451">
        <f>SUM(I14:M14)</f>
        <v>25821.664000000001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1</v>
      </c>
      <c r="G18" s="341">
        <v>1</v>
      </c>
      <c r="H18" s="392">
        <v>1</v>
      </c>
      <c r="I18" s="404">
        <v>1</v>
      </c>
      <c r="J18" s="341">
        <v>1</v>
      </c>
      <c r="K18" s="341">
        <v>1</v>
      </c>
      <c r="L18" s="341">
        <v>1</v>
      </c>
      <c r="M18" s="341">
        <v>1</v>
      </c>
      <c r="N18" s="342">
        <v>1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1.0267443750000131</v>
      </c>
      <c r="H46" s="290">
        <f>IF(H$10="Prior",0,(H11*H29)*(Assumptions!H28-1))</f>
        <v>1.2535783754387173</v>
      </c>
      <c r="I46" s="407">
        <f>IF(I$10="Prior",0,(I11*I29)*(Assumptions!I28-1))</f>
        <v>10.671841137872756</v>
      </c>
      <c r="J46" s="282">
        <f>IF(J$10="Prior",0,(J11*J29)*(Assumptions!J28-1))</f>
        <v>14.941392619089548</v>
      </c>
      <c r="K46" s="282">
        <f>IF(K$10="Prior",0,(K11*K29)*(Assumptions!K28-1))</f>
        <v>19.338518035012481</v>
      </c>
      <c r="L46" s="282">
        <f>IF(L$10="Prior",0,(L11*L29)*(Assumptions!L28-1))</f>
        <v>24.133675627425845</v>
      </c>
      <c r="M46" s="282">
        <f>IF(M$10="Prior",0,(M11*M29)*(Assumptions!M28-1))</f>
        <v>29.052834923635505</v>
      </c>
      <c r="N46" s="283">
        <f>IF(N$10="Prior",0,(N11*N29)*(Assumptions!N28-1))</f>
        <v>0</v>
      </c>
      <c r="O46" s="362">
        <f t="shared" ref="O46:O47" si="6">SUM(F46:N46)</f>
        <v>100.41858509347486</v>
      </c>
      <c r="P46" s="300">
        <f t="shared" ref="P46:P47" si="7">SUM(I46:M46)</f>
        <v>98.138262343036132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3.5826824999999936</v>
      </c>
      <c r="H47" s="290">
        <f>IF(H$10="Prior",0,(H11*H30)*(Assumptions!H30-1))</f>
        <v>5.3855364984599561</v>
      </c>
      <c r="I47" s="407">
        <f>IF(I$10="Prior",0,(I11*I30)*(Assumptions!I30-1))</f>
        <v>54.841899314464044</v>
      </c>
      <c r="J47" s="282">
        <f>IF(J$10="Prior",0,(J11*J30)*(Assumptions!J30-1))</f>
        <v>82.332710834817078</v>
      </c>
      <c r="K47" s="282">
        <f>IF(K$10="Prior",0,(K11*K30)*(Assumptions!K30-1))</f>
        <v>109.17753937647825</v>
      </c>
      <c r="L47" s="282">
        <f>IF(L$10="Prior",0,(L11*L30)*(Assumptions!L30-1))</f>
        <v>138.51318831568184</v>
      </c>
      <c r="M47" s="282">
        <f>IF(M$10="Prior",0,(M11*M30)*(Assumptions!M30-1))</f>
        <v>168.84876572540148</v>
      </c>
      <c r="N47" s="283">
        <f>IF(N$10="Prior",0,(N11*N30)*(Assumptions!N30-1))</f>
        <v>0</v>
      </c>
      <c r="O47" s="362">
        <f t="shared" si="6"/>
        <v>562.68232256530257</v>
      </c>
      <c r="P47" s="300">
        <f t="shared" si="7"/>
        <v>553.71410356684271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4.6094268750000067</v>
      </c>
      <c r="H48" s="253">
        <f t="shared" si="8"/>
        <v>6.6391148738986736</v>
      </c>
      <c r="I48" s="408">
        <f t="shared" si="8"/>
        <v>65.513740452336805</v>
      </c>
      <c r="J48" s="5">
        <f t="shared" si="8"/>
        <v>97.274103453906633</v>
      </c>
      <c r="K48" s="5">
        <f t="shared" si="8"/>
        <v>128.51605741149072</v>
      </c>
      <c r="L48" s="5">
        <f t="shared" si="8"/>
        <v>162.64686394310769</v>
      </c>
      <c r="M48" s="5">
        <f t="shared" si="8"/>
        <v>197.90160064903699</v>
      </c>
      <c r="N48" s="286">
        <f t="shared" si="8"/>
        <v>0</v>
      </c>
      <c r="O48" s="433">
        <f>SUM(O46:O47)</f>
        <v>663.10090765877749</v>
      </c>
      <c r="P48" s="434">
        <f>SUM(P46:P47)</f>
        <v>651.85236590987881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4.6094268750000067</v>
      </c>
      <c r="H49" s="253">
        <f t="shared" si="9"/>
        <v>6.6391148738986736</v>
      </c>
      <c r="I49" s="408">
        <f t="shared" si="9"/>
        <v>65.513740452336805</v>
      </c>
      <c r="J49" s="5">
        <f t="shared" si="9"/>
        <v>97.274103453906633</v>
      </c>
      <c r="K49" s="5">
        <f t="shared" si="9"/>
        <v>128.51605741149072</v>
      </c>
      <c r="L49" s="5">
        <f t="shared" si="9"/>
        <v>162.64686394310769</v>
      </c>
      <c r="M49" s="5">
        <f t="shared" si="9"/>
        <v>197.90160064903699</v>
      </c>
      <c r="N49" s="286">
        <f t="shared" si="9"/>
        <v>0</v>
      </c>
      <c r="O49" s="370">
        <f>O44+O48</f>
        <v>663.10090765877749</v>
      </c>
      <c r="P49" s="371">
        <f>P44+P48</f>
        <v>651.85236590987881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3.1494264649851327E-2</v>
      </c>
      <c r="M50" s="443">
        <f t="shared" si="10"/>
        <v>3.8320845753596094E-2</v>
      </c>
      <c r="N50" s="444">
        <f t="shared" si="10"/>
        <v>0</v>
      </c>
      <c r="O50" s="444">
        <f t="shared" si="10"/>
        <v>2.181081623104978E-2</v>
      </c>
      <c r="P50" s="444">
        <f t="shared" si="10"/>
        <v>2.524439811120921E-2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186.22966011955782</v>
      </c>
      <c r="G51" s="280">
        <f>(G29*G$11+G46)*Assumptions!$G$21</f>
        <v>178.76566486254706</v>
      </c>
      <c r="H51" s="280">
        <f>(H29*H$11+H46)*Assumptions!$G$21</f>
        <v>103.14536642079693</v>
      </c>
      <c r="I51" s="410">
        <f>(I29*I$11+I46)*Assumptions!$G$21</f>
        <v>536.02231303682174</v>
      </c>
      <c r="J51" s="280">
        <f>(J29*J$11+J46)*Assumptions!$G$21</f>
        <v>540.36409377242001</v>
      </c>
      <c r="K51" s="280">
        <f>(K29*K$11+K46)*Assumptions!$G$21</f>
        <v>544.83560664838683</v>
      </c>
      <c r="L51" s="280">
        <f>(L29*L$11+L46)*Assumptions!$G$21</f>
        <v>549.71188532788983</v>
      </c>
      <c r="M51" s="280">
        <f>(M29*M$11+M46)*Assumptions!$G$21</f>
        <v>554.71426348437365</v>
      </c>
      <c r="N51" s="281">
        <f>(N29*N$11+N46)*Assumptions!$G$21</f>
        <v>0</v>
      </c>
      <c r="O51" s="373">
        <f t="shared" ref="O51:O53" si="11">SUM(F51:N51)</f>
        <v>3193.7888536727937</v>
      </c>
      <c r="P51" s="375">
        <f>SUM(I51:M51)</f>
        <v>2725.6481622698916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931.14830059778899</v>
      </c>
      <c r="G52" s="282">
        <f>(G30*G$11+G47)*Assumptions!$G$21</f>
        <v>892.25104554981215</v>
      </c>
      <c r="H52" s="282">
        <f>(H30*H$11+H47)*Assumptions!$G$21</f>
        <v>514.82954966057309</v>
      </c>
      <c r="I52" s="407">
        <f>(I30*I$11+I47)*Assumptions!$G$21</f>
        <v>2681.6193419720394</v>
      </c>
      <c r="J52" s="282">
        <f>(J30*J$11+J47)*Assumptions!$G$21</f>
        <v>2709.5752236120975</v>
      </c>
      <c r="K52" s="282">
        <f>(K30*K$11+K47)*Assumptions!$G$21</f>
        <v>2736.8741939899901</v>
      </c>
      <c r="L52" s="282">
        <f>(L30*L$11+L47)*Assumptions!$G$21</f>
        <v>2766.706122704481</v>
      </c>
      <c r="M52" s="282">
        <f>(M30*M$11+M47)*Assumptions!$G$21</f>
        <v>2797.5548959726352</v>
      </c>
      <c r="N52" s="283">
        <f>(N30*N$11+N47)*Assumptions!$G$21</f>
        <v>0</v>
      </c>
      <c r="O52" s="374">
        <f t="shared" si="11"/>
        <v>16030.558674059417</v>
      </c>
      <c r="P52" s="376">
        <f>SUM(I52:M52)</f>
        <v>13692.329778251244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744.91864047823128</v>
      </c>
      <c r="G53" s="282">
        <f>(G31*G$11+G$44)*Assumptions!$G$21</f>
        <v>710.88620300751893</v>
      </c>
      <c r="H53" s="282">
        <f>(H31*H$11+H$44)*Assumptions!$G$21</f>
        <v>407.482323569561</v>
      </c>
      <c r="I53" s="407">
        <f>(I31*I$11+I$44)*Assumptions!$G$21</f>
        <v>2100.6797329323308</v>
      </c>
      <c r="J53" s="282">
        <f>(J31*J$11+J$44)*Assumptions!$G$21</f>
        <v>2100.6797329323308</v>
      </c>
      <c r="K53" s="282">
        <f>(K31*K$11+K$44)*Assumptions!$G$21</f>
        <v>2100.6797329323308</v>
      </c>
      <c r="L53" s="282">
        <f>(L31*L$11+L$44)*Assumptions!$G$21</f>
        <v>2100.6797329323308</v>
      </c>
      <c r="M53" s="282">
        <f>(M31*M$11+M$44)*Assumptions!$G$21</f>
        <v>2100.6797329323308</v>
      </c>
      <c r="N53" s="283">
        <f>(N31*N$11+N$44)*Assumptions!$G$21</f>
        <v>0</v>
      </c>
      <c r="O53" s="374">
        <f t="shared" si="11"/>
        <v>12366.685831716964</v>
      </c>
      <c r="P53" s="376">
        <f>SUM(I53:M53)</f>
        <v>10503.398664661654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1862.2966011955782</v>
      </c>
      <c r="G54" s="5">
        <f t="shared" si="12"/>
        <v>1781.9029134198781</v>
      </c>
      <c r="H54" s="5">
        <f t="shared" si="12"/>
        <v>1025.4572396509311</v>
      </c>
      <c r="I54" s="411">
        <f t="shared" si="12"/>
        <v>5318.3213879411924</v>
      </c>
      <c r="J54" s="382">
        <f t="shared" si="12"/>
        <v>5350.6190503168482</v>
      </c>
      <c r="K54" s="382">
        <f t="shared" si="12"/>
        <v>5382.3895335707075</v>
      </c>
      <c r="L54" s="382">
        <f t="shared" si="12"/>
        <v>5417.0977409647021</v>
      </c>
      <c r="M54" s="382">
        <f t="shared" si="12"/>
        <v>5452.9488923893396</v>
      </c>
      <c r="N54" s="286">
        <f t="shared" si="12"/>
        <v>0</v>
      </c>
      <c r="O54" s="372">
        <f t="shared" si="12"/>
        <v>31591.033359449175</v>
      </c>
      <c r="P54" s="428">
        <f t="shared" si="12"/>
        <v>26921.376605182788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149.13591284535366</v>
      </c>
      <c r="G57" s="290">
        <f t="shared" ref="G57:N57" si="13">G54*G56</f>
        <v>105.9248359536863</v>
      </c>
      <c r="H57" s="290">
        <f t="shared" si="13"/>
        <v>74.441721647297086</v>
      </c>
      <c r="I57" s="407">
        <f t="shared" si="13"/>
        <v>469.00485319772355</v>
      </c>
      <c r="J57" s="282">
        <f t="shared" si="13"/>
        <v>643.67753270780963</v>
      </c>
      <c r="K57" s="282">
        <f t="shared" si="13"/>
        <v>702.29990429550946</v>
      </c>
      <c r="L57" s="282">
        <f t="shared" si="13"/>
        <v>638.73219723247087</v>
      </c>
      <c r="M57" s="282">
        <f t="shared" si="13"/>
        <v>605.4834897784533</v>
      </c>
      <c r="N57" s="283">
        <f t="shared" si="13"/>
        <v>0</v>
      </c>
      <c r="O57" s="309">
        <f>SUM(F57:N57)</f>
        <v>3388.7004476583033</v>
      </c>
      <c r="P57" s="300">
        <f>SUM(I57:M57)</f>
        <v>3059.1979772119666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2011.4325140409319</v>
      </c>
      <c r="G59" s="5">
        <f t="shared" si="14"/>
        <v>1887.8277493735645</v>
      </c>
      <c r="H59" s="5">
        <f t="shared" si="14"/>
        <v>1099.8989612982282</v>
      </c>
      <c r="I59" s="411">
        <f t="shared" si="14"/>
        <v>5787.326241138916</v>
      </c>
      <c r="J59" s="382">
        <f t="shared" si="14"/>
        <v>5994.2965830246576</v>
      </c>
      <c r="K59" s="382">
        <f t="shared" si="14"/>
        <v>6084.6894378662173</v>
      </c>
      <c r="L59" s="382">
        <f t="shared" si="14"/>
        <v>6055.8299381971729</v>
      </c>
      <c r="M59" s="382">
        <f t="shared" si="14"/>
        <v>6058.4323821677926</v>
      </c>
      <c r="N59" s="418">
        <f>N54+N57</f>
        <v>0</v>
      </c>
      <c r="O59" s="419">
        <f t="shared" ref="O59:P59" si="15">O54+O57</f>
        <v>34979.733807107477</v>
      </c>
      <c r="P59" s="429">
        <f t="shared" si="15"/>
        <v>29980.574582394755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149.13591284535366</v>
      </c>
      <c r="G60" s="290">
        <f t="shared" ref="G60:N60" si="16">G57+F60</f>
        <v>255.06074879903997</v>
      </c>
      <c r="H60" s="290">
        <f t="shared" si="16"/>
        <v>329.50247044633704</v>
      </c>
      <c r="I60" s="290">
        <f t="shared" si="16"/>
        <v>798.50732364406053</v>
      </c>
      <c r="J60" s="290">
        <f t="shared" si="16"/>
        <v>1442.1848563518702</v>
      </c>
      <c r="K60" s="290">
        <f t="shared" si="16"/>
        <v>2144.4847606473795</v>
      </c>
      <c r="L60" s="290">
        <f t="shared" si="16"/>
        <v>2783.2169578798503</v>
      </c>
      <c r="M60" s="290">
        <f t="shared" si="16"/>
        <v>3388.7004476583033</v>
      </c>
      <c r="N60" s="290">
        <f t="shared" si="16"/>
        <v>3388.7004476583033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4.6094268750000067</v>
      </c>
      <c r="H61" s="252">
        <f t="shared" ref="H61:N61" si="17">H49+G61</f>
        <v>11.248541748898681</v>
      </c>
      <c r="I61" s="252">
        <f t="shared" si="17"/>
        <v>76.762282201235479</v>
      </c>
      <c r="J61" s="252">
        <f t="shared" si="17"/>
        <v>174.03638565514211</v>
      </c>
      <c r="K61" s="252">
        <f t="shared" si="17"/>
        <v>302.5524430666328</v>
      </c>
      <c r="L61" s="252">
        <f t="shared" si="17"/>
        <v>465.19930700974049</v>
      </c>
      <c r="M61" s="252">
        <f t="shared" si="17"/>
        <v>663.10090765877749</v>
      </c>
      <c r="N61" s="252">
        <f t="shared" si="17"/>
        <v>663.10090765877749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2011.4325140409319</v>
      </c>
      <c r="G65" s="282">
        <f t="shared" si="19"/>
        <v>1887.8277493735645</v>
      </c>
      <c r="H65" s="282">
        <f t="shared" si="19"/>
        <v>1099.8989612982282</v>
      </c>
      <c r="I65" s="416">
        <f t="shared" si="19"/>
        <v>5787.326241138916</v>
      </c>
      <c r="J65" s="381">
        <f t="shared" si="19"/>
        <v>5994.2965830246576</v>
      </c>
      <c r="K65" s="381">
        <f t="shared" si="19"/>
        <v>6084.6894378662173</v>
      </c>
      <c r="L65" s="381">
        <f t="shared" si="19"/>
        <v>6055.8299381971729</v>
      </c>
      <c r="M65" s="381">
        <f t="shared" si="19"/>
        <v>6058.4323821677926</v>
      </c>
      <c r="N65" s="283">
        <f t="shared" si="19"/>
        <v>0</v>
      </c>
      <c r="O65" s="374">
        <f t="shared" ref="O65:O73" si="20">SUM(F65:N65)</f>
        <v>34979.733807107485</v>
      </c>
      <c r="P65" s="431">
        <f t="shared" ref="P65:P73" si="21">SUM(I65:M65)</f>
        <v>29980.574582394758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2011.4325140409319</v>
      </c>
      <c r="G74" s="5">
        <f t="shared" ref="G74:N74" si="30">+SUM(G64:G73)</f>
        <v>1887.8277493735645</v>
      </c>
      <c r="H74" s="5">
        <f t="shared" si="30"/>
        <v>1099.8989612982282</v>
      </c>
      <c r="I74" s="411">
        <f t="shared" si="30"/>
        <v>5787.326241138916</v>
      </c>
      <c r="J74" s="382">
        <f t="shared" si="30"/>
        <v>5994.2965830246576</v>
      </c>
      <c r="K74" s="382">
        <f t="shared" si="30"/>
        <v>6084.6894378662173</v>
      </c>
      <c r="L74" s="382">
        <f t="shared" si="30"/>
        <v>6055.8299381971729</v>
      </c>
      <c r="M74" s="382">
        <f t="shared" si="30"/>
        <v>6058.4323821677926</v>
      </c>
      <c r="N74" s="286">
        <f t="shared" si="30"/>
        <v>0</v>
      </c>
      <c r="O74" s="372">
        <f>SUM(O64:O73)</f>
        <v>34979.733807107485</v>
      </c>
      <c r="P74" s="428">
        <f>SUM(P64:P73)</f>
        <v>29980.574582394758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1831.3156965546164</v>
      </c>
      <c r="G76" s="280">
        <f t="shared" si="32"/>
        <v>1747.65</v>
      </c>
      <c r="H76" s="280">
        <f t="shared" si="32"/>
        <v>1001.7587621950388</v>
      </c>
      <c r="I76" s="410">
        <f t="shared" si="32"/>
        <v>5164.3327999999983</v>
      </c>
      <c r="J76" s="280">
        <f t="shared" si="32"/>
        <v>5164.3328000000001</v>
      </c>
      <c r="K76" s="280">
        <f t="shared" si="32"/>
        <v>5164.3328000000001</v>
      </c>
      <c r="L76" s="280">
        <f t="shared" si="32"/>
        <v>5164.3328000000001</v>
      </c>
      <c r="M76" s="280">
        <f t="shared" si="32"/>
        <v>5164.3328000000001</v>
      </c>
      <c r="N76" s="281">
        <f t="shared" si="32"/>
        <v>0</v>
      </c>
      <c r="O76" s="377">
        <f>SUM(F76:N76)</f>
        <v>30402.388458749654</v>
      </c>
      <c r="P76" s="378">
        <f t="shared" ref="P76:P80" si="33">SUM(I76:M76)</f>
        <v>25821.664000000001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4.6094268750000067</v>
      </c>
      <c r="H77" s="282">
        <f>IF(H$10="Prior",0,IF(AND(H76&lt;&gt;0,SUM($F76:G76)=0),H76/SUM($F$76:H76)*H61,IF(H76&lt;&gt;0,SUM($F$76:H76)/SUM($F$11:H11)*H61-G83,0)))</f>
        <v>6.6391148738986745</v>
      </c>
      <c r="I77" s="407">
        <f>IF(I$10="Prior",0,IF(AND(I76&lt;&gt;0,SUM($F76:H76)=0),I76/SUM($F$76:I76)*I61,IF(I76&lt;&gt;0,SUM($F$76:I76)/SUM($F$11:I11)*I61-H83,0)))</f>
        <v>65.513740452336805</v>
      </c>
      <c r="J77" s="282">
        <f>IF(J$10="Prior",0,IF(AND(J76&lt;&gt;0,SUM($F76:I76)=0),J76/SUM($F$76:J76)*J61,IF(J76&lt;&gt;0,SUM($F$76:J76)/SUM($F$11:J11)*J61-I83,0)))</f>
        <v>97.274103453906633</v>
      </c>
      <c r="K77" s="282">
        <f>IF(K$10="Prior",0,IF(AND(K76&lt;&gt;0,SUM($F76:J76)=0),K76/SUM($F$76:K76)*K61,IF(K76&lt;&gt;0,SUM($F$76:K76)/SUM($F$11:K11)*K61-J83,0)))</f>
        <v>128.51605741149069</v>
      </c>
      <c r="L77" s="282">
        <f>IF(L$10="Prior",0,IF(AND(L76&lt;&gt;0,SUM($F76:K76)=0),L76/SUM($F$76:L76)*L61,IF(L76&lt;&gt;0,SUM($F$76:L76)/SUM($F$11:L11)*L61-K83,0)))</f>
        <v>162.64686394310769</v>
      </c>
      <c r="M77" s="282">
        <f>IF(M$10="Prior",0,IF(AND(M76&lt;&gt;0,SUM($F76:L76)=0),M76/SUM($F$76:M76)*M61,IF(M76&lt;&gt;0,SUM($F$76:M76)/SUM($F$11:M11)*M61-L83,0)))</f>
        <v>197.90160064903699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663.10090765877749</v>
      </c>
      <c r="P77" s="455">
        <f t="shared" si="33"/>
        <v>651.85236590987881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1831.3156965546164</v>
      </c>
      <c r="G78" s="457">
        <f t="shared" ref="G78:N78" si="34">SUM(G76:G77)</f>
        <v>1752.2594268750001</v>
      </c>
      <c r="H78" s="457">
        <f t="shared" si="34"/>
        <v>1008.3978770689374</v>
      </c>
      <c r="I78" s="458">
        <f t="shared" si="34"/>
        <v>5229.8465404523349</v>
      </c>
      <c r="J78" s="457">
        <f t="shared" si="34"/>
        <v>5261.6069034539069</v>
      </c>
      <c r="K78" s="457">
        <f t="shared" si="34"/>
        <v>5292.8488574114908</v>
      </c>
      <c r="L78" s="457">
        <f t="shared" si="34"/>
        <v>5326.9796639431079</v>
      </c>
      <c r="M78" s="457">
        <f t="shared" si="34"/>
        <v>5362.2344006490375</v>
      </c>
      <c r="N78" s="459">
        <f t="shared" si="34"/>
        <v>0</v>
      </c>
      <c r="O78" s="460">
        <f>SUM(F78:N78)</f>
        <v>31065.48936640843</v>
      </c>
      <c r="P78" s="461">
        <f t="shared" si="33"/>
        <v>26473.516365909876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1862.296601195578</v>
      </c>
      <c r="G79" s="457">
        <f>G78*Assumptions!$G$21</f>
        <v>1781.9029134198781</v>
      </c>
      <c r="H79" s="457">
        <f>H78*Assumptions!$G$21</f>
        <v>1025.4572396509309</v>
      </c>
      <c r="I79" s="458">
        <f>I78*Assumptions!$G$21</f>
        <v>5318.3213879411906</v>
      </c>
      <c r="J79" s="457">
        <f>J78*Assumptions!$G$21</f>
        <v>5350.6190503168491</v>
      </c>
      <c r="K79" s="457">
        <f>K78*Assumptions!$G$21</f>
        <v>5382.3895335707084</v>
      </c>
      <c r="L79" s="457">
        <f>L78*Assumptions!$G$21</f>
        <v>5417.0977409647021</v>
      </c>
      <c r="M79" s="457">
        <f>M78*Assumptions!$G$21</f>
        <v>5452.9488923893414</v>
      </c>
      <c r="N79" s="459">
        <f>N78*Assumptions!$G$21</f>
        <v>0</v>
      </c>
      <c r="O79" s="460">
        <f>SUM(F79:N79)</f>
        <v>31591.033359449179</v>
      </c>
      <c r="P79" s="461">
        <f t="shared" si="33"/>
        <v>26921.376605182792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149.13591284535363</v>
      </c>
      <c r="G80" s="282">
        <f>IF(G$10="Prior",G79*G56,IF(AND(G79&lt;&gt;0,SUM($F79:F79)=0),G79/SUM($F$54:G54)*G60,IF(G79&lt;&gt;0,SUM($F$79:G79)/SUM($F$54:G54)*G60-F82,0)))</f>
        <v>105.92483595368631</v>
      </c>
      <c r="H80" s="282">
        <f>IF(H$10="Prior",H79*H56,IF(AND(H79&lt;&gt;0,SUM($F79:G79)=0),H79/SUM($F$54:H54)*H60,IF(H79&lt;&gt;0,SUM($F$79:H79)/SUM($F$54:H54)*H60-G82,0)))</f>
        <v>74.441721647297101</v>
      </c>
      <c r="I80" s="407">
        <f>IF(I$10="Prior",I79*I56,IF(AND(I79&lt;&gt;0,SUM($F79:H79)=0),I79/SUM($F$54:I54)*I60,IF(I79&lt;&gt;0,SUM($F$79:I79)/SUM($F$54:I54)*I60-H82,0)))</f>
        <v>469.00485319772326</v>
      </c>
      <c r="J80" s="282">
        <f>IF(J$10="Prior",J79*J56,IF(AND(J79&lt;&gt;0,SUM($F79:I79)=0),J79/SUM($F$54:J54)*J60,IF(J79&lt;&gt;0,SUM($F$79:J79)/SUM($F$54:J54)*J60-I82,0)))</f>
        <v>643.67753270780986</v>
      </c>
      <c r="K80" s="282">
        <f>IF(K$10="Prior",K79*K56,IF(AND(K79&lt;&gt;0,SUM($F79:J79)=0),K79/SUM($F$54:K54)*K60,IF(K79&lt;&gt;0,SUM($F$79:K79)/SUM($F$54:K54)*K60-J82,0)))</f>
        <v>702.29990429550935</v>
      </c>
      <c r="L80" s="282">
        <f>IF(L$10="Prior",L79*L56,IF(AND(L79&lt;&gt;0,SUM($F79:K79)=0),L79/SUM($F$54:L54)*L60,IF(L79&lt;&gt;0,SUM($F$79:L79)/SUM($F$54:L54)*L60-K82,0)))</f>
        <v>638.73219723247075</v>
      </c>
      <c r="M80" s="282">
        <f>IF(M$10="Prior",M79*M56,IF(AND(M79&lt;&gt;0,SUM($F79:L79)=0),M79/SUM($F$54:M54)*M60,IF(M79&lt;&gt;0,SUM($F$79:M79)/SUM($F$54:M54)*M60-L82,0)))</f>
        <v>605.48348977845308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3388.7004476583033</v>
      </c>
      <c r="P80" s="300">
        <f t="shared" si="33"/>
        <v>3059.1979772119662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2011.4325140409317</v>
      </c>
      <c r="G81" s="307">
        <f t="shared" ref="G81:P81" si="35">SUM(G79:G80)</f>
        <v>1887.8277493735645</v>
      </c>
      <c r="H81" s="307">
        <f t="shared" si="35"/>
        <v>1099.898961298228</v>
      </c>
      <c r="I81" s="417">
        <f t="shared" si="35"/>
        <v>5787.3262411389142</v>
      </c>
      <c r="J81" s="387">
        <f t="shared" si="35"/>
        <v>5994.2965830246594</v>
      </c>
      <c r="K81" s="387">
        <f t="shared" si="35"/>
        <v>6084.6894378662182</v>
      </c>
      <c r="L81" s="387">
        <f t="shared" si="35"/>
        <v>6055.8299381971729</v>
      </c>
      <c r="M81" s="387">
        <f t="shared" si="35"/>
        <v>6058.4323821677945</v>
      </c>
      <c r="N81" s="420">
        <f t="shared" si="35"/>
        <v>0</v>
      </c>
      <c r="O81" s="421">
        <f t="shared" si="35"/>
        <v>34979.733807107485</v>
      </c>
      <c r="P81" s="388">
        <f t="shared" si="35"/>
        <v>29980.574582394758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149.13591284535363</v>
      </c>
      <c r="G82" s="252">
        <f t="shared" ref="G82:N82" si="36">G80+F82</f>
        <v>255.06074879903994</v>
      </c>
      <c r="H82" s="252">
        <f t="shared" si="36"/>
        <v>329.50247044633704</v>
      </c>
      <c r="I82" s="252">
        <f t="shared" si="36"/>
        <v>798.50732364406031</v>
      </c>
      <c r="J82" s="252">
        <f t="shared" si="36"/>
        <v>1442.1848563518702</v>
      </c>
      <c r="K82" s="252">
        <f t="shared" si="36"/>
        <v>2144.4847606473795</v>
      </c>
      <c r="L82" s="252">
        <f t="shared" si="36"/>
        <v>2783.2169578798503</v>
      </c>
      <c r="M82" s="252">
        <f t="shared" si="36"/>
        <v>3388.7004476583033</v>
      </c>
      <c r="N82" s="252">
        <f t="shared" si="36"/>
        <v>3388.7004476583033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4.6094268750000067</v>
      </c>
      <c r="H83" s="252">
        <f t="shared" si="37"/>
        <v>11.248541748898681</v>
      </c>
      <c r="I83" s="252">
        <f t="shared" si="37"/>
        <v>76.762282201235479</v>
      </c>
      <c r="J83" s="252">
        <f t="shared" si="37"/>
        <v>174.03638565514211</v>
      </c>
      <c r="K83" s="252">
        <f t="shared" si="37"/>
        <v>302.5524430666328</v>
      </c>
      <c r="L83" s="252">
        <f t="shared" si="37"/>
        <v>465.19930700974049</v>
      </c>
      <c r="M83" s="252">
        <f t="shared" si="37"/>
        <v>663.10090765877749</v>
      </c>
      <c r="N83" s="252">
        <f t="shared" si="37"/>
        <v>663.10090765877749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2011.4325140409317</v>
      </c>
      <c r="G86" s="290">
        <f t="shared" si="40"/>
        <v>1887.8277493735645</v>
      </c>
      <c r="H86" s="290">
        <f t="shared" si="40"/>
        <v>1099.898961298228</v>
      </c>
      <c r="I86" s="416">
        <f t="shared" si="40"/>
        <v>5787.3262411389142</v>
      </c>
      <c r="J86" s="381">
        <f t="shared" si="40"/>
        <v>5994.2965830246594</v>
      </c>
      <c r="K86" s="381">
        <f t="shared" si="40"/>
        <v>6084.6894378662191</v>
      </c>
      <c r="L86" s="381">
        <f t="shared" si="40"/>
        <v>6055.8299381971729</v>
      </c>
      <c r="M86" s="381">
        <f t="shared" si="40"/>
        <v>6058.4323821677945</v>
      </c>
      <c r="N86" s="346">
        <f t="shared" si="40"/>
        <v>0</v>
      </c>
      <c r="O86" s="374">
        <f t="shared" ref="O86:O94" si="41">SUM(F86:N86)</f>
        <v>34979.733807107485</v>
      </c>
      <c r="P86" s="431">
        <f t="shared" si="39"/>
        <v>29980.574582394758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2011.4325140409317</v>
      </c>
      <c r="G95" s="5">
        <f t="shared" ref="G95" si="50">+SUM(G85:G94)</f>
        <v>1887.8277493735645</v>
      </c>
      <c r="H95" s="5">
        <f t="shared" ref="H95:N95" si="51">+SUM(H85:H94)</f>
        <v>1099.898961298228</v>
      </c>
      <c r="I95" s="411">
        <f t="shared" si="51"/>
        <v>5787.3262411389142</v>
      </c>
      <c r="J95" s="382">
        <f t="shared" si="51"/>
        <v>5994.2965830246594</v>
      </c>
      <c r="K95" s="382">
        <f t="shared" si="51"/>
        <v>6084.6894378662191</v>
      </c>
      <c r="L95" s="382">
        <f t="shared" si="51"/>
        <v>6055.8299381971729</v>
      </c>
      <c r="M95" s="382">
        <f t="shared" si="51"/>
        <v>6058.4323821677945</v>
      </c>
      <c r="N95" s="286">
        <f t="shared" si="51"/>
        <v>0</v>
      </c>
      <c r="O95" s="372">
        <f>SUM(O85:O94)</f>
        <v>34979.733807107485</v>
      </c>
      <c r="P95" s="428">
        <f>SUM(P85:P94)</f>
        <v>29980.574582394758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710.88620300751893</v>
      </c>
      <c r="H115" s="191">
        <f t="shared" si="62"/>
        <v>407.482323569561</v>
      </c>
      <c r="I115" s="191">
        <f t="shared" si="62"/>
        <v>2100.6797329323308</v>
      </c>
      <c r="J115" s="191">
        <f t="shared" si="62"/>
        <v>2100.6797329323308</v>
      </c>
      <c r="K115" s="191">
        <f t="shared" si="62"/>
        <v>2100.6797329323308</v>
      </c>
      <c r="L115" s="191">
        <f t="shared" si="62"/>
        <v>2100.6797329323308</v>
      </c>
      <c r="M115" s="191">
        <f t="shared" si="62"/>
        <v>2100.6797329323308</v>
      </c>
      <c r="N115" s="191">
        <f t="shared" si="62"/>
        <v>0</v>
      </c>
      <c r="O115" s="191">
        <f t="shared" si="60"/>
        <v>11621.767191238734</v>
      </c>
      <c r="P115" s="191">
        <f t="shared" si="61"/>
        <v>10503.398664661654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710.88620300751893</v>
      </c>
      <c r="H120" s="191">
        <f t="shared" ref="H120:P120" si="63">SUM(H111:H119)</f>
        <v>407.482323569561</v>
      </c>
      <c r="I120" s="191">
        <f t="shared" si="63"/>
        <v>2100.6797329323308</v>
      </c>
      <c r="J120" s="191">
        <f t="shared" si="63"/>
        <v>2100.6797329323308</v>
      </c>
      <c r="K120" s="191">
        <f t="shared" si="63"/>
        <v>2100.6797329323308</v>
      </c>
      <c r="L120" s="191">
        <f t="shared" si="63"/>
        <v>2100.6797329323308</v>
      </c>
      <c r="M120" s="191">
        <f t="shared" si="63"/>
        <v>2100.6797329323308</v>
      </c>
      <c r="N120" s="191">
        <f t="shared" si="63"/>
        <v>0</v>
      </c>
      <c r="O120" s="191">
        <f t="shared" si="63"/>
        <v>11621.767191238734</v>
      </c>
      <c r="P120" s="191">
        <f t="shared" si="63"/>
        <v>10503.398664661654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178.76566486254706</v>
      </c>
      <c r="H127" s="191">
        <f t="shared" si="67"/>
        <v>103.14536642079693</v>
      </c>
      <c r="I127" s="191">
        <f t="shared" si="67"/>
        <v>536.02231303682174</v>
      </c>
      <c r="J127" s="191">
        <f t="shared" si="67"/>
        <v>540.36409377242001</v>
      </c>
      <c r="K127" s="191">
        <f t="shared" si="67"/>
        <v>544.83560664838683</v>
      </c>
      <c r="L127" s="191">
        <f t="shared" si="67"/>
        <v>549.71188532788983</v>
      </c>
      <c r="M127" s="191">
        <f t="shared" si="67"/>
        <v>554.71426348437365</v>
      </c>
      <c r="N127" s="191">
        <f t="shared" si="67"/>
        <v>0</v>
      </c>
      <c r="O127" s="191">
        <f t="shared" si="65"/>
        <v>3007.5591935532361</v>
      </c>
      <c r="P127" s="191">
        <f t="shared" si="66"/>
        <v>2725.6481622698916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178.76566486254706</v>
      </c>
      <c r="H132" s="191">
        <f t="shared" ref="H132:P132" si="68">SUM(H123:H131)</f>
        <v>103.14536642079693</v>
      </c>
      <c r="I132" s="191">
        <f t="shared" si="68"/>
        <v>536.02231303682174</v>
      </c>
      <c r="J132" s="191">
        <f t="shared" si="68"/>
        <v>540.36409377242001</v>
      </c>
      <c r="K132" s="191">
        <f t="shared" si="68"/>
        <v>544.83560664838683</v>
      </c>
      <c r="L132" s="191">
        <f t="shared" si="68"/>
        <v>549.71188532788983</v>
      </c>
      <c r="M132" s="191">
        <f t="shared" si="68"/>
        <v>554.71426348437365</v>
      </c>
      <c r="N132" s="191">
        <f t="shared" si="68"/>
        <v>0</v>
      </c>
      <c r="O132" s="191">
        <f t="shared" si="68"/>
        <v>3007.5591935532361</v>
      </c>
      <c r="P132" s="191">
        <f t="shared" si="68"/>
        <v>2725.6481622698916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892.25104554981215</v>
      </c>
      <c r="H139" s="191">
        <f t="shared" si="72"/>
        <v>514.82954966057309</v>
      </c>
      <c r="I139" s="191">
        <f t="shared" si="72"/>
        <v>2681.6193419720394</v>
      </c>
      <c r="J139" s="191">
        <f t="shared" si="72"/>
        <v>2709.5752236120975</v>
      </c>
      <c r="K139" s="191">
        <f t="shared" si="72"/>
        <v>2736.8741939899901</v>
      </c>
      <c r="L139" s="191">
        <f t="shared" si="72"/>
        <v>2766.706122704481</v>
      </c>
      <c r="M139" s="191">
        <f t="shared" si="72"/>
        <v>2797.5548959726352</v>
      </c>
      <c r="N139" s="191">
        <f t="shared" si="72"/>
        <v>0</v>
      </c>
      <c r="O139" s="191">
        <f t="shared" si="70"/>
        <v>15099.410373461629</v>
      </c>
      <c r="P139" s="191">
        <f t="shared" si="71"/>
        <v>13692.329778251244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892.25104554981215</v>
      </c>
      <c r="H144" s="191">
        <f t="shared" ref="H144:P144" si="73">SUM(H135:H143)</f>
        <v>514.82954966057309</v>
      </c>
      <c r="I144" s="191">
        <f t="shared" si="73"/>
        <v>2681.6193419720394</v>
      </c>
      <c r="J144" s="191">
        <f t="shared" si="73"/>
        <v>2709.5752236120975</v>
      </c>
      <c r="K144" s="191">
        <f t="shared" si="73"/>
        <v>2736.8741939899901</v>
      </c>
      <c r="L144" s="191">
        <f t="shared" si="73"/>
        <v>2766.706122704481</v>
      </c>
      <c r="M144" s="191">
        <f t="shared" si="73"/>
        <v>2797.5548959726352</v>
      </c>
      <c r="N144" s="191">
        <f t="shared" si="73"/>
        <v>0</v>
      </c>
      <c r="O144" s="191">
        <f t="shared" si="73"/>
        <v>15099.410373461629</v>
      </c>
      <c r="P144" s="191">
        <f t="shared" si="73"/>
        <v>13692.329778251244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1781.9029134198781</v>
      </c>
      <c r="H151" s="191">
        <f t="shared" si="74"/>
        <v>1025.4572396509311</v>
      </c>
      <c r="I151" s="191">
        <f t="shared" si="74"/>
        <v>5318.3213879411924</v>
      </c>
      <c r="J151" s="191">
        <f t="shared" si="74"/>
        <v>5350.6190503168482</v>
      </c>
      <c r="K151" s="191">
        <f t="shared" si="74"/>
        <v>5382.3895335707075</v>
      </c>
      <c r="L151" s="191">
        <f t="shared" si="74"/>
        <v>5417.0977409647021</v>
      </c>
      <c r="M151" s="191">
        <f t="shared" si="74"/>
        <v>5452.9488923893396</v>
      </c>
      <c r="N151" s="191">
        <f t="shared" si="74"/>
        <v>0</v>
      </c>
      <c r="O151" s="191">
        <f t="shared" si="75"/>
        <v>29728.736758253599</v>
      </c>
      <c r="P151" s="191">
        <f t="shared" si="76"/>
        <v>26921.376605182788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1781.9029134198781</v>
      </c>
      <c r="H156" s="191">
        <f t="shared" ref="H156:N156" si="77">SUM(H147:H155)</f>
        <v>1025.4572396509311</v>
      </c>
      <c r="I156" s="191">
        <f t="shared" si="77"/>
        <v>5318.3213879411924</v>
      </c>
      <c r="J156" s="191">
        <f t="shared" si="77"/>
        <v>5350.6190503168482</v>
      </c>
      <c r="K156" s="191">
        <f t="shared" si="77"/>
        <v>5382.3895335707075</v>
      </c>
      <c r="L156" s="191">
        <f t="shared" si="77"/>
        <v>5417.0977409647021</v>
      </c>
      <c r="M156" s="191">
        <f t="shared" si="77"/>
        <v>5452.9488923893396</v>
      </c>
      <c r="N156" s="191">
        <f t="shared" si="77"/>
        <v>0</v>
      </c>
      <c r="O156" s="191">
        <f t="shared" ref="O156:P156" si="78">SUM(O147:O155)</f>
        <v>29728.736758253599</v>
      </c>
      <c r="P156" s="191">
        <f t="shared" si="78"/>
        <v>26921.376605182788</v>
      </c>
    </row>
    <row r="157" spans="4:16" collapsed="1"/>
  </sheetData>
  <mergeCells count="1">
    <mergeCell ref="C13:C14"/>
  </mergeCells>
  <phoneticPr fontId="6" type="noConversion"/>
  <conditionalFormatting sqref="R14">
    <cfRule type="cellIs" dxfId="72" priority="4" operator="equal">
      <formula>"Error"</formula>
    </cfRule>
  </conditionalFormatting>
  <conditionalFormatting sqref="R11">
    <cfRule type="cellIs" dxfId="71" priority="3" operator="equal">
      <formula>"Error"</formula>
    </cfRule>
  </conditionalFormatting>
  <conditionalFormatting sqref="R54">
    <cfRule type="cellIs" dxfId="7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Project_Inputs!B28</f>
        <v>Various</v>
      </c>
      <c r="F3" s="249" t="s">
        <v>63</v>
      </c>
      <c r="G3" s="249">
        <f>Project_Inputs!F28</f>
        <v>0</v>
      </c>
    </row>
    <row r="4" spans="1:21" ht="18.75">
      <c r="A4" s="6"/>
      <c r="B4" s="6"/>
      <c r="C4" s="13" t="s">
        <v>15</v>
      </c>
      <c r="D4" s="339" t="str">
        <f>Project_Inputs!D28</f>
        <v>Instrument transformers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Project_Inputs!H28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Project_Inputs!I28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Project_Inputs!J28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492.18013761538464</v>
      </c>
      <c r="G11" s="319">
        <f>IF(G$10="Prior",SUMIFS(Project_Inputs!$W$5:$W$50,Project_Inputs!$D$5:$D$50,$D$4),SUMIFS(Project_Inputs!M$5:M$50,Project_Inputs!$D$5:$D$50,$D$4))</f>
        <v>1098</v>
      </c>
      <c r="H11" s="389">
        <f>IF(H$10="Prior",SUMIFS(Project_Inputs!$W$5:$W$50,Project_Inputs!$D$5:$D$50,$D$4),SUMIFS(Project_Inputs!N$5:N$50,Project_Inputs!$D$5:$D$50,$D$4))</f>
        <v>2595.4658838689647</v>
      </c>
      <c r="I11" s="399">
        <f>IF(I$10="Prior",SUMIFS(Project_Inputs!$W$5:$W$50,Project_Inputs!$D$5:$D$50,$D$4),SUMIFS(Project_Inputs!O$5:O$50,Project_Inputs!$D$5:$D$50,$D$4))</f>
        <v>1290.56</v>
      </c>
      <c r="J11" s="320">
        <f>IF(J$10="Prior",SUMIFS(Project_Inputs!$W$5:$W$50,Project_Inputs!$D$5:$D$50,$D$4),SUMIFS(Project_Inputs!P$5:P$50,Project_Inputs!$D$5:$D$50,$D$4))</f>
        <v>1290.56</v>
      </c>
      <c r="K11" s="320">
        <f>IF(K$10="Prior",SUMIFS(Project_Inputs!$W$5:$W$50,Project_Inputs!$D$5:$D$50,$D$4),SUMIFS(Project_Inputs!Q$5:Q$50,Project_Inputs!$D$5:$D$50,$D$4))</f>
        <v>1290.56</v>
      </c>
      <c r="L11" s="320">
        <f>IF(L$10="Prior",SUMIFS(Project_Inputs!$W$5:$W$50,Project_Inputs!$D$5:$D$50,$D$4),SUMIFS(Project_Inputs!R$5:R$50,Project_Inputs!$D$5:$D$50,$D$4))</f>
        <v>1290.56</v>
      </c>
      <c r="M11" s="320">
        <f>IF(M$10="Prior",SUMIFS(Project_Inputs!$W$5:$W$50,Project_Inputs!$D$5:$D$50,$D$4),SUMIFS(Project_Inputs!S$5:S$50,Project_Inputs!$D$5:$D$50,$D$4))</f>
        <v>1290.56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10638.446021484348</v>
      </c>
      <c r="P11" s="300">
        <f t="shared" ref="P11" si="0">SUM(I11:M11)</f>
        <v>6452.7999999999993</v>
      </c>
      <c r="R11" s="608" t="str">
        <f>IF(O11=Project_Inputs!V28,"ok","error")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492.18013761538464</v>
      </c>
      <c r="G14" s="447">
        <f>IF($G$3="Yes",SUMIFS(Project_Inputs!AK$5:AK$50,Project_Inputs!$D$5:$D$50,$D$4),IF(AND(G$13="X",G$10="Prior"),G11,IF(G$13="X",SUM($F11:G11)-SUM(F14:$F14),0)))</f>
        <v>1098</v>
      </c>
      <c r="H14" s="447">
        <f>IF($G$3="Yes",SUMIFS(Project_Inputs!AL$5:AL$50,Project_Inputs!$D$5:$D$50,$D$4),IF(AND(H$13="X",H$10="Prior"),H11,IF(H$13="X",SUM($F11:H11)-SUM($F14:G14),0)))</f>
        <v>2595.4658838689647</v>
      </c>
      <c r="I14" s="448">
        <f>IF($G$3="Yes",SUMIFS(Project_Inputs!AM$5:AM$50,Project_Inputs!$D$5:$D$50,$D$4),IF(AND(I$13="X",I$10="Prior"),I11,IF(I$13="X",SUM($F11:I11)-SUM($F14:H14),0)))</f>
        <v>1290.5600000000004</v>
      </c>
      <c r="J14" s="447">
        <f>IF($G$3="Yes",SUMIFS(Project_Inputs!AN$5:AN$50,Project_Inputs!$D$5:$D$50,$D$4),IF(AND(J$13="X",J$10="Prior"),J11,IF(J$13="X",SUM($F11:J11)-SUM($F14:I14),0)))</f>
        <v>1290.5599999999995</v>
      </c>
      <c r="K14" s="447">
        <f>IF($G$3="Yes",SUMIFS(Project_Inputs!AO$5:AO$50,Project_Inputs!$D$5:$D$50,$D$4),IF(AND(K$13="X",K$10="Prior"),K11,IF(K$13="X",SUM($F11:K11)-SUM($F14:J14),0)))</f>
        <v>1290.5599999999995</v>
      </c>
      <c r="L14" s="447">
        <f>IF($G$3="Yes",SUMIFS(Project_Inputs!AP$5:AP$50,Project_Inputs!$D$5:$D$50,$D$4),IF(AND(L$13="X",L$10="Prior"),L11,IF(L$13="X",SUM($F11:L11)-SUM($F14:K14),0)))</f>
        <v>1290.5599999999995</v>
      </c>
      <c r="M14" s="447">
        <f>IF($G$3="Yes",SUMIFS(Project_Inputs!AQ$5:AQ$50,Project_Inputs!$D$5:$D$50,$D$4),IF(AND(M$13="X",M$10="Prior"),M11,IF(M$13="X",SUM($F11:M11)-SUM($F14:L14),0)))</f>
        <v>1290.5599999999995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10638.446021484348</v>
      </c>
      <c r="P14" s="451">
        <f>SUM(I14:M14)</f>
        <v>6452.7999999999984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1</v>
      </c>
      <c r="G18" s="341">
        <v>1</v>
      </c>
      <c r="H18" s="392">
        <v>1</v>
      </c>
      <c r="I18" s="404">
        <v>1</v>
      </c>
      <c r="J18" s="341">
        <v>1</v>
      </c>
      <c r="K18" s="341">
        <v>1</v>
      </c>
      <c r="L18" s="341">
        <v>1</v>
      </c>
      <c r="M18" s="341">
        <v>1</v>
      </c>
      <c r="N18" s="342">
        <v>1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0.64507500000000828</v>
      </c>
      <c r="H46" s="290">
        <f>IF(H$10="Prior",0,(H11*H29)*(Assumptions!H28-1))</f>
        <v>3.2479076090912224</v>
      </c>
      <c r="I46" s="407">
        <f>IF(I$10="Prior",0,(I11*I29)*(Assumptions!I28-1))</f>
        <v>2.6668791172584898</v>
      </c>
      <c r="J46" s="282">
        <f>IF(J$10="Prior",0,(J11*J29)*(Assumptions!J28-1))</f>
        <v>3.73383443810829</v>
      </c>
      <c r="K46" s="282">
        <f>IF(K$10="Prior",0,(K11*K29)*(Assumptions!K28-1))</f>
        <v>4.8326703180836281</v>
      </c>
      <c r="L46" s="282">
        <f>IF(L$10="Prior",0,(L11*L29)*(Assumptions!L28-1))</f>
        <v>6.030973917430476</v>
      </c>
      <c r="M46" s="282">
        <f>IF(M$10="Prior",0,(M11*M29)*(Assumptions!M28-1))</f>
        <v>7.2602653800791153</v>
      </c>
      <c r="N46" s="283">
        <f>IF(N$10="Prior",0,(N11*N29)*(Assumptions!N28-1))</f>
        <v>0</v>
      </c>
      <c r="O46" s="362">
        <f t="shared" ref="O46:O47" si="6">SUM(F46:N46)</f>
        <v>28.417605780051229</v>
      </c>
      <c r="P46" s="300">
        <f t="shared" ref="P46:P47" si="7">SUM(I46:M46)</f>
        <v>24.524623170959998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2.2508999999999961</v>
      </c>
      <c r="H47" s="290">
        <f>IF(H$10="Prior",0,(H11*H30)*(Assumptions!H30-1))</f>
        <v>13.953435473282612</v>
      </c>
      <c r="I47" s="407">
        <f>IF(I$10="Prior",0,(I11*I30)*(Assumptions!I30-1))</f>
        <v>13.704918780461771</v>
      </c>
      <c r="J47" s="282">
        <f>IF(J$10="Prior",0,(J11*J30)*(Assumptions!J30-1))</f>
        <v>20.574836558748025</v>
      </c>
      <c r="K47" s="282">
        <f>IF(K$10="Prior",0,(K11*K30)*(Assumptions!K30-1))</f>
        <v>27.283324037077506</v>
      </c>
      <c r="L47" s="282">
        <f>IF(L$10="Prior",0,(L11*L30)*(Assumptions!L30-1))</f>
        <v>34.614264269081644</v>
      </c>
      <c r="M47" s="282">
        <f>IF(M$10="Prior",0,(M11*M30)*(Assumptions!M30-1))</f>
        <v>42.195085315681851</v>
      </c>
      <c r="N47" s="283">
        <f>IF(N$10="Prior",0,(N11*N30)*(Assumptions!N30-1))</f>
        <v>0</v>
      </c>
      <c r="O47" s="362">
        <f t="shared" si="6"/>
        <v>154.57676443433343</v>
      </c>
      <c r="P47" s="300">
        <f t="shared" si="7"/>
        <v>138.37242896105079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2.8959750000000044</v>
      </c>
      <c r="H48" s="253">
        <f t="shared" si="8"/>
        <v>17.201343082373835</v>
      </c>
      <c r="I48" s="408">
        <f t="shared" si="8"/>
        <v>16.37179789772026</v>
      </c>
      <c r="J48" s="5">
        <f t="shared" si="8"/>
        <v>24.308670996856314</v>
      </c>
      <c r="K48" s="5">
        <f t="shared" si="8"/>
        <v>32.115994355161135</v>
      </c>
      <c r="L48" s="5">
        <f t="shared" si="8"/>
        <v>40.645238186512117</v>
      </c>
      <c r="M48" s="5">
        <f t="shared" si="8"/>
        <v>49.45535069576097</v>
      </c>
      <c r="N48" s="286">
        <f t="shared" si="8"/>
        <v>0</v>
      </c>
      <c r="O48" s="433">
        <f>SUM(O46:O47)</f>
        <v>182.99437021438465</v>
      </c>
      <c r="P48" s="434">
        <f>SUM(P46:P47)</f>
        <v>162.8970521320108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2.8959750000000044</v>
      </c>
      <c r="H49" s="253">
        <f t="shared" si="9"/>
        <v>17.201343082373835</v>
      </c>
      <c r="I49" s="408">
        <f t="shared" si="9"/>
        <v>16.37179789772026</v>
      </c>
      <c r="J49" s="5">
        <f t="shared" si="9"/>
        <v>24.308670996856314</v>
      </c>
      <c r="K49" s="5">
        <f t="shared" si="9"/>
        <v>32.115994355161135</v>
      </c>
      <c r="L49" s="5">
        <f t="shared" si="9"/>
        <v>40.645238186512117</v>
      </c>
      <c r="M49" s="5">
        <f t="shared" si="9"/>
        <v>49.45535069576097</v>
      </c>
      <c r="N49" s="286">
        <f t="shared" si="9"/>
        <v>0</v>
      </c>
      <c r="O49" s="370">
        <f>O44+O48</f>
        <v>182.99437021438465</v>
      </c>
      <c r="P49" s="371">
        <f>P44+P48</f>
        <v>162.8970521320108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2.4885316726972119E-2</v>
      </c>
      <c r="L50" s="443">
        <f t="shared" si="10"/>
        <v>3.149426464985132E-2</v>
      </c>
      <c r="M50" s="443">
        <f t="shared" si="10"/>
        <v>3.8320845753596094E-2</v>
      </c>
      <c r="N50" s="444">
        <f t="shared" si="10"/>
        <v>0</v>
      </c>
      <c r="O50" s="444">
        <f t="shared" si="10"/>
        <v>1.7201231255469775E-2</v>
      </c>
      <c r="P50" s="444">
        <f t="shared" si="10"/>
        <v>2.5244398111209213E-2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50.050649332692316</v>
      </c>
      <c r="G51" s="280">
        <f>(G29*G$11+G46)*Assumptions!$G$21</f>
        <v>112.31350671992483</v>
      </c>
      <c r="H51" s="280">
        <f>(H29*H$11+H46)*Assumptions!$G$21</f>
        <v>267.240267544792</v>
      </c>
      <c r="I51" s="410">
        <f>(I29*I$11+I46)*Assumptions!$G$21</f>
        <v>133.9512736887911</v>
      </c>
      <c r="J51" s="280">
        <f>(J29*J$11+J46)*Assumptions!$G$21</f>
        <v>135.03627900567028</v>
      </c>
      <c r="K51" s="280">
        <f>(K29*K$11+K46)*Assumptions!$G$21</f>
        <v>136.1537042144422</v>
      </c>
      <c r="L51" s="280">
        <f>(L29*L$11+L46)*Assumptions!$G$21</f>
        <v>137.37227986716147</v>
      </c>
      <c r="M51" s="280">
        <f>(M29*M$11+M46)*Assumptions!$G$21</f>
        <v>138.62236761395266</v>
      </c>
      <c r="N51" s="281">
        <f>(N29*N$11+N46)*Assumptions!$G$21</f>
        <v>0</v>
      </c>
      <c r="O51" s="373">
        <f t="shared" ref="O51:O53" si="11">SUM(F51:N51)</f>
        <v>1110.740327987427</v>
      </c>
      <c r="P51" s="375">
        <f>SUM(I51:M51)</f>
        <v>681.13590439001769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250.25324666346157</v>
      </c>
      <c r="G52" s="282">
        <f>(G30*G$11+G47)*Assumptions!$G$21</f>
        <v>560.57657312030074</v>
      </c>
      <c r="H52" s="282">
        <f>(H30*H$11+H47)*Assumptions!$G$21</f>
        <v>1333.8765604842122</v>
      </c>
      <c r="I52" s="407">
        <f>(I30*I$11+I47)*Assumptions!$G$21</f>
        <v>670.13315988764998</v>
      </c>
      <c r="J52" s="282">
        <f>(J30*J$11+J47)*Assumptions!$G$21</f>
        <v>677.11929807947877</v>
      </c>
      <c r="K52" s="282">
        <f>(K30*K$11+K47)*Assumptions!$G$21</f>
        <v>683.94127500762954</v>
      </c>
      <c r="L52" s="282">
        <f>(L30*L$11+L47)*Assumptions!$G$21</f>
        <v>691.39623490521274</v>
      </c>
      <c r="M52" s="282">
        <f>(M30*M$11+M47)*Assumptions!$G$21</f>
        <v>699.10530292440581</v>
      </c>
      <c r="N52" s="283">
        <f>(N30*N$11+N47)*Assumptions!$G$21</f>
        <v>0</v>
      </c>
      <c r="O52" s="374">
        <f t="shared" si="11"/>
        <v>5566.4016510723513</v>
      </c>
      <c r="P52" s="376">
        <f>SUM(I52:M52)</f>
        <v>3421.6952708043768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200.20259733076927</v>
      </c>
      <c r="G53" s="282">
        <f>(G31*G$11+G$44)*Assumptions!$G$21</f>
        <v>446.63007518797002</v>
      </c>
      <c r="H53" s="282">
        <f>(H31*H$11+H$44)*Assumptions!$G$21</f>
        <v>1055.7496565211354</v>
      </c>
      <c r="I53" s="407">
        <f>(I31*I$11+I$44)*Assumptions!$G$21</f>
        <v>524.95711278195495</v>
      </c>
      <c r="J53" s="282">
        <f>(J31*J$11+J$44)*Assumptions!$G$21</f>
        <v>524.95711278195495</v>
      </c>
      <c r="K53" s="282">
        <f>(K31*K$11+K$44)*Assumptions!$G$21</f>
        <v>524.95711278195495</v>
      </c>
      <c r="L53" s="282">
        <f>(L31*L$11+L$44)*Assumptions!$G$21</f>
        <v>524.95711278195495</v>
      </c>
      <c r="M53" s="282">
        <f>(M31*M$11+M$44)*Assumptions!$G$21</f>
        <v>524.95711278195495</v>
      </c>
      <c r="N53" s="283">
        <f>(N31*N$11+N$44)*Assumptions!$G$21</f>
        <v>0</v>
      </c>
      <c r="O53" s="374">
        <f t="shared" si="11"/>
        <v>4327.3678929496491</v>
      </c>
      <c r="P53" s="376">
        <f>SUM(I53:M53)</f>
        <v>2624.7855639097747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500.50649332692313</v>
      </c>
      <c r="G54" s="5">
        <f t="shared" si="12"/>
        <v>1119.5201550281956</v>
      </c>
      <c r="H54" s="5">
        <f t="shared" si="12"/>
        <v>2656.8664845501398</v>
      </c>
      <c r="I54" s="411">
        <f t="shared" si="12"/>
        <v>1329.0415463583961</v>
      </c>
      <c r="J54" s="382">
        <f t="shared" si="12"/>
        <v>1337.1126898671041</v>
      </c>
      <c r="K54" s="382">
        <f t="shared" si="12"/>
        <v>1345.0520920040267</v>
      </c>
      <c r="L54" s="382">
        <f t="shared" si="12"/>
        <v>1353.7256275543291</v>
      </c>
      <c r="M54" s="382">
        <f t="shared" si="12"/>
        <v>1362.6847833203133</v>
      </c>
      <c r="N54" s="286">
        <f t="shared" si="12"/>
        <v>0</v>
      </c>
      <c r="O54" s="372">
        <f t="shared" si="12"/>
        <v>11004.509872009428</v>
      </c>
      <c r="P54" s="428">
        <f t="shared" si="12"/>
        <v>6727.616739104169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40.081420284726462</v>
      </c>
      <c r="G57" s="290">
        <f t="shared" ref="G57:N57" si="13">G54*G56</f>
        <v>66.549635154148461</v>
      </c>
      <c r="H57" s="290">
        <f t="shared" si="13"/>
        <v>192.87173335890608</v>
      </c>
      <c r="I57" s="407">
        <f t="shared" si="13"/>
        <v>117.203698286612</v>
      </c>
      <c r="J57" s="282">
        <f t="shared" si="13"/>
        <v>160.85417202613104</v>
      </c>
      <c r="K57" s="282">
        <f t="shared" si="13"/>
        <v>175.50382587419864</v>
      </c>
      <c r="L57" s="282">
        <f t="shared" si="13"/>
        <v>159.61833917061611</v>
      </c>
      <c r="M57" s="282">
        <f t="shared" si="13"/>
        <v>151.30953074296079</v>
      </c>
      <c r="N57" s="283">
        <f t="shared" si="13"/>
        <v>0</v>
      </c>
      <c r="O57" s="309">
        <f>SUM(F57:N57)</f>
        <v>1063.9923548982995</v>
      </c>
      <c r="P57" s="300">
        <f>SUM(I57:M57)</f>
        <v>764.48956610051857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540.58791361164958</v>
      </c>
      <c r="G59" s="5">
        <f t="shared" si="14"/>
        <v>1186.0697901823441</v>
      </c>
      <c r="H59" s="5">
        <f t="shared" si="14"/>
        <v>2849.7382179090459</v>
      </c>
      <c r="I59" s="411">
        <f t="shared" si="14"/>
        <v>1446.2452446450081</v>
      </c>
      <c r="J59" s="382">
        <f t="shared" si="14"/>
        <v>1497.9668618932351</v>
      </c>
      <c r="K59" s="382">
        <f t="shared" si="14"/>
        <v>1520.5559178782253</v>
      </c>
      <c r="L59" s="382">
        <f t="shared" si="14"/>
        <v>1513.3439667249452</v>
      </c>
      <c r="M59" s="382">
        <f t="shared" si="14"/>
        <v>1513.994314063274</v>
      </c>
      <c r="N59" s="418">
        <f>N54+N57</f>
        <v>0</v>
      </c>
      <c r="O59" s="419">
        <f t="shared" ref="O59:P59" si="15">O54+O57</f>
        <v>12068.502226907727</v>
      </c>
      <c r="P59" s="429">
        <f t="shared" si="15"/>
        <v>7492.1063052046875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40.081420284726462</v>
      </c>
      <c r="G60" s="290">
        <f t="shared" ref="G60:N60" si="16">G57+F60</f>
        <v>106.63105543887492</v>
      </c>
      <c r="H60" s="290">
        <f t="shared" si="16"/>
        <v>299.50278879778102</v>
      </c>
      <c r="I60" s="290">
        <f t="shared" si="16"/>
        <v>416.70648708439302</v>
      </c>
      <c r="J60" s="290">
        <f t="shared" si="16"/>
        <v>577.56065911052406</v>
      </c>
      <c r="K60" s="290">
        <f t="shared" si="16"/>
        <v>753.06448498472264</v>
      </c>
      <c r="L60" s="290">
        <f t="shared" si="16"/>
        <v>912.68282415533872</v>
      </c>
      <c r="M60" s="290">
        <f t="shared" si="16"/>
        <v>1063.9923548982995</v>
      </c>
      <c r="N60" s="290">
        <f t="shared" si="16"/>
        <v>1063.9923548982995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2.8959750000000044</v>
      </c>
      <c r="H61" s="252">
        <f t="shared" ref="H61:N61" si="17">H49+G61</f>
        <v>20.097318082373839</v>
      </c>
      <c r="I61" s="252">
        <f t="shared" si="17"/>
        <v>36.469115980094102</v>
      </c>
      <c r="J61" s="252">
        <f t="shared" si="17"/>
        <v>60.777786976950416</v>
      </c>
      <c r="K61" s="252">
        <f t="shared" si="17"/>
        <v>92.893781332111558</v>
      </c>
      <c r="L61" s="252">
        <f t="shared" si="17"/>
        <v>133.53901951862366</v>
      </c>
      <c r="M61" s="252">
        <f t="shared" si="17"/>
        <v>182.99437021438462</v>
      </c>
      <c r="N61" s="252">
        <f t="shared" si="17"/>
        <v>182.99437021438462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540.58791361164958</v>
      </c>
      <c r="G65" s="282">
        <f t="shared" si="19"/>
        <v>1186.0697901823441</v>
      </c>
      <c r="H65" s="282">
        <f t="shared" si="19"/>
        <v>2849.7382179090459</v>
      </c>
      <c r="I65" s="416">
        <f t="shared" si="19"/>
        <v>1446.2452446450081</v>
      </c>
      <c r="J65" s="381">
        <f t="shared" si="19"/>
        <v>1497.9668618932351</v>
      </c>
      <c r="K65" s="381">
        <f t="shared" si="19"/>
        <v>1520.5559178782253</v>
      </c>
      <c r="L65" s="381">
        <f t="shared" si="19"/>
        <v>1513.3439667249452</v>
      </c>
      <c r="M65" s="381">
        <f t="shared" si="19"/>
        <v>1513.994314063274</v>
      </c>
      <c r="N65" s="283">
        <f t="shared" si="19"/>
        <v>0</v>
      </c>
      <c r="O65" s="374">
        <f t="shared" ref="O65:O73" si="20">SUM(F65:N65)</f>
        <v>12068.502226907727</v>
      </c>
      <c r="P65" s="431">
        <f t="shared" ref="P65:P73" si="21">SUM(I65:M65)</f>
        <v>7492.1063052046875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540.58791361164958</v>
      </c>
      <c r="G74" s="5">
        <f t="shared" ref="G74:N74" si="30">+SUM(G64:G73)</f>
        <v>1186.0697901823441</v>
      </c>
      <c r="H74" s="5">
        <f t="shared" si="30"/>
        <v>2849.7382179090459</v>
      </c>
      <c r="I74" s="411">
        <f t="shared" si="30"/>
        <v>1446.2452446450081</v>
      </c>
      <c r="J74" s="382">
        <f t="shared" si="30"/>
        <v>1497.9668618932351</v>
      </c>
      <c r="K74" s="382">
        <f t="shared" si="30"/>
        <v>1520.5559178782253</v>
      </c>
      <c r="L74" s="382">
        <f t="shared" si="30"/>
        <v>1513.3439667249452</v>
      </c>
      <c r="M74" s="382">
        <f t="shared" si="30"/>
        <v>1513.994314063274</v>
      </c>
      <c r="N74" s="286">
        <f t="shared" si="30"/>
        <v>0</v>
      </c>
      <c r="O74" s="372">
        <f>SUM(O64:O73)</f>
        <v>12068.502226907727</v>
      </c>
      <c r="P74" s="428">
        <f>SUM(P64:P73)</f>
        <v>7492.1063052046875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492.18013761538464</v>
      </c>
      <c r="G76" s="280">
        <f t="shared" si="32"/>
        <v>1098</v>
      </c>
      <c r="H76" s="280">
        <f t="shared" si="32"/>
        <v>2595.4658838689647</v>
      </c>
      <c r="I76" s="410">
        <f t="shared" si="32"/>
        <v>1290.5600000000004</v>
      </c>
      <c r="J76" s="280">
        <f t="shared" si="32"/>
        <v>1290.5599999999995</v>
      </c>
      <c r="K76" s="280">
        <f t="shared" si="32"/>
        <v>1290.5599999999995</v>
      </c>
      <c r="L76" s="280">
        <f t="shared" si="32"/>
        <v>1290.5599999999995</v>
      </c>
      <c r="M76" s="280">
        <f t="shared" si="32"/>
        <v>1290.5599999999995</v>
      </c>
      <c r="N76" s="281">
        <f t="shared" si="32"/>
        <v>0</v>
      </c>
      <c r="O76" s="377">
        <f>SUM(F76:N76)</f>
        <v>10638.446021484348</v>
      </c>
      <c r="P76" s="378">
        <f t="shared" ref="P76:P80" si="33">SUM(I76:M76)</f>
        <v>6452.7999999999984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2.8959750000000044</v>
      </c>
      <c r="H77" s="282">
        <f>IF(H$10="Prior",0,IF(AND(H76&lt;&gt;0,SUM($F76:G76)=0),H76/SUM($F$76:H76)*H61,IF(H76&lt;&gt;0,SUM($F$76:H76)/SUM($F$11:H11)*H61-G83,0)))</f>
        <v>17.201343082373835</v>
      </c>
      <c r="I77" s="407">
        <f>IF(I$10="Prior",0,IF(AND(I76&lt;&gt;0,SUM($F76:H76)=0),I76/SUM($F$76:I76)*I61,IF(I76&lt;&gt;0,SUM($F$76:I76)/SUM($F$11:I11)*I61-H83,0)))</f>
        <v>16.371797897720263</v>
      </c>
      <c r="J77" s="282">
        <f>IF(J$10="Prior",0,IF(AND(J76&lt;&gt;0,SUM($F76:I76)=0),J76/SUM($F$76:J76)*J61,IF(J76&lt;&gt;0,SUM($F$76:J76)/SUM($F$11:J11)*J61-I83,0)))</f>
        <v>24.308670996856314</v>
      </c>
      <c r="K77" s="282">
        <f>IF(K$10="Prior",0,IF(AND(K76&lt;&gt;0,SUM($F76:J76)=0),K76/SUM($F$76:K76)*K61,IF(K76&lt;&gt;0,SUM($F$76:K76)/SUM($F$11:K11)*K61-J83,0)))</f>
        <v>32.115994355161142</v>
      </c>
      <c r="L77" s="282">
        <f>IF(L$10="Prior",0,IF(AND(L76&lt;&gt;0,SUM($F76:K76)=0),L76/SUM($F$76:L76)*L61,IF(L76&lt;&gt;0,SUM($F$76:L76)/SUM($F$11:L11)*L61-K83,0)))</f>
        <v>40.645238186512103</v>
      </c>
      <c r="M77" s="282">
        <f>IF(M$10="Prior",0,IF(AND(M76&lt;&gt;0,SUM($F76:L76)=0),M76/SUM($F$76:M76)*M61,IF(M76&lt;&gt;0,SUM($F$76:M76)/SUM($F$11:M11)*M61-L83,0)))</f>
        <v>49.455350695760956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182.99437021438462</v>
      </c>
      <c r="P77" s="455">
        <f t="shared" si="33"/>
        <v>162.89705213201077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492.18013761538464</v>
      </c>
      <c r="G78" s="457">
        <f t="shared" ref="G78:N78" si="34">SUM(G76:G77)</f>
        <v>1100.8959749999999</v>
      </c>
      <c r="H78" s="457">
        <f t="shared" si="34"/>
        <v>2612.6672269513388</v>
      </c>
      <c r="I78" s="458">
        <f t="shared" si="34"/>
        <v>1306.9317978977206</v>
      </c>
      <c r="J78" s="457">
        <f t="shared" si="34"/>
        <v>1314.8686709968558</v>
      </c>
      <c r="K78" s="457">
        <f t="shared" si="34"/>
        <v>1322.6759943551606</v>
      </c>
      <c r="L78" s="457">
        <f t="shared" si="34"/>
        <v>1331.2052381865117</v>
      </c>
      <c r="M78" s="457">
        <f t="shared" si="34"/>
        <v>1340.0153506957604</v>
      </c>
      <c r="N78" s="459">
        <f t="shared" si="34"/>
        <v>0</v>
      </c>
      <c r="O78" s="460">
        <f>SUM(F78:N78)</f>
        <v>10821.440391698732</v>
      </c>
      <c r="P78" s="461">
        <f t="shared" si="33"/>
        <v>6615.697052132009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500.50649332692313</v>
      </c>
      <c r="G79" s="457">
        <f>G78*Assumptions!$G$21</f>
        <v>1119.5201550281954</v>
      </c>
      <c r="H79" s="457">
        <f>H78*Assumptions!$G$21</f>
        <v>2656.8664845501398</v>
      </c>
      <c r="I79" s="458">
        <f>I78*Assumptions!$G$21</f>
        <v>1329.0415463583963</v>
      </c>
      <c r="J79" s="457">
        <f>J78*Assumptions!$G$21</f>
        <v>1337.1126898671034</v>
      </c>
      <c r="K79" s="457">
        <f>K78*Assumptions!$G$21</f>
        <v>1345.0520920040262</v>
      </c>
      <c r="L79" s="457">
        <f>L78*Assumptions!$G$21</f>
        <v>1353.7256275543286</v>
      </c>
      <c r="M79" s="457">
        <f>M78*Assumptions!$G$21</f>
        <v>1362.6847833203128</v>
      </c>
      <c r="N79" s="459">
        <f>N78*Assumptions!$G$21</f>
        <v>0</v>
      </c>
      <c r="O79" s="460">
        <f>SUM(F79:N79)</f>
        <v>11004.509872009428</v>
      </c>
      <c r="P79" s="461">
        <f t="shared" si="33"/>
        <v>6727.6167391041672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40.081420284726462</v>
      </c>
      <c r="G80" s="282">
        <f>IF(G$10="Prior",G79*G56,IF(AND(G79&lt;&gt;0,SUM($F79:F79)=0),G79/SUM($F$54:G54)*G60,IF(G79&lt;&gt;0,SUM($F$79:G79)/SUM($F$54:G54)*G60-F82,0)))</f>
        <v>66.549635154148447</v>
      </c>
      <c r="H80" s="282">
        <f>IF(H$10="Prior",H79*H56,IF(AND(H79&lt;&gt;0,SUM($F79:G79)=0),H79/SUM($F$54:H54)*H60,IF(H79&lt;&gt;0,SUM($F$79:H79)/SUM($F$54:H54)*H60-G82,0)))</f>
        <v>192.87173335890611</v>
      </c>
      <c r="I80" s="407">
        <f>IF(I$10="Prior",I79*I56,IF(AND(I79&lt;&gt;0,SUM($F79:H79)=0),I79/SUM($F$54:I54)*I60,IF(I79&lt;&gt;0,SUM($F$79:I79)/SUM($F$54:I54)*I60-H82,0)))</f>
        <v>117.20369828661211</v>
      </c>
      <c r="J80" s="282">
        <f>IF(J$10="Prior",J79*J56,IF(AND(J79&lt;&gt;0,SUM($F79:I79)=0),J79/SUM($F$54:J54)*J60,IF(J79&lt;&gt;0,SUM($F$79:J79)/SUM($F$54:J54)*J60-I82,0)))</f>
        <v>160.85417202613104</v>
      </c>
      <c r="K80" s="282">
        <f>IF(K$10="Prior",K79*K56,IF(AND(K79&lt;&gt;0,SUM($F79:J79)=0),K79/SUM($F$54:K54)*K60,IF(K79&lt;&gt;0,SUM($F$79:K79)/SUM($F$54:K54)*K60-J82,0)))</f>
        <v>175.50382587419847</v>
      </c>
      <c r="L80" s="282">
        <f>IF(L$10="Prior",L79*L56,IF(AND(L79&lt;&gt;0,SUM($F79:K79)=0),L79/SUM($F$54:L54)*L60,IF(L79&lt;&gt;0,SUM($F$79:L79)/SUM($F$54:L54)*L60-K82,0)))</f>
        <v>159.61833917061608</v>
      </c>
      <c r="M80" s="282">
        <f>IF(M$10="Prior",M79*M56,IF(AND(M79&lt;&gt;0,SUM($F79:L79)=0),M79/SUM($F$54:M54)*M60,IF(M79&lt;&gt;0,SUM($F$79:M79)/SUM($F$54:M54)*M60-L82,0)))</f>
        <v>151.30953074296076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1063.9923548982995</v>
      </c>
      <c r="P80" s="300">
        <f t="shared" si="33"/>
        <v>764.48956610051846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540.58791361164958</v>
      </c>
      <c r="G81" s="307">
        <f t="shared" ref="G81:P81" si="35">SUM(G79:G80)</f>
        <v>1186.0697901823439</v>
      </c>
      <c r="H81" s="307">
        <f t="shared" si="35"/>
        <v>2849.7382179090459</v>
      </c>
      <c r="I81" s="417">
        <f t="shared" si="35"/>
        <v>1446.2452446450084</v>
      </c>
      <c r="J81" s="387">
        <f t="shared" si="35"/>
        <v>1497.9668618932344</v>
      </c>
      <c r="K81" s="387">
        <f t="shared" si="35"/>
        <v>1520.5559178782246</v>
      </c>
      <c r="L81" s="387">
        <f t="shared" si="35"/>
        <v>1513.3439667249447</v>
      </c>
      <c r="M81" s="387">
        <f t="shared" si="35"/>
        <v>1513.9943140632736</v>
      </c>
      <c r="N81" s="420">
        <f t="shared" si="35"/>
        <v>0</v>
      </c>
      <c r="O81" s="421">
        <f t="shared" si="35"/>
        <v>12068.502226907727</v>
      </c>
      <c r="P81" s="388">
        <f t="shared" si="35"/>
        <v>7492.1063052046857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40.081420284726462</v>
      </c>
      <c r="G82" s="252">
        <f t="shared" ref="G82:N82" si="36">G80+F82</f>
        <v>106.63105543887491</v>
      </c>
      <c r="H82" s="252">
        <f t="shared" si="36"/>
        <v>299.50278879778102</v>
      </c>
      <c r="I82" s="252">
        <f t="shared" si="36"/>
        <v>416.70648708439313</v>
      </c>
      <c r="J82" s="252">
        <f t="shared" si="36"/>
        <v>577.56065911052417</v>
      </c>
      <c r="K82" s="252">
        <f t="shared" si="36"/>
        <v>753.06448498472264</v>
      </c>
      <c r="L82" s="252">
        <f t="shared" si="36"/>
        <v>912.68282415533872</v>
      </c>
      <c r="M82" s="252">
        <f t="shared" si="36"/>
        <v>1063.9923548982995</v>
      </c>
      <c r="N82" s="252">
        <f t="shared" si="36"/>
        <v>1063.9923548982995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2.8959750000000044</v>
      </c>
      <c r="H83" s="252">
        <f t="shared" si="37"/>
        <v>20.097318082373839</v>
      </c>
      <c r="I83" s="252">
        <f t="shared" si="37"/>
        <v>36.469115980094102</v>
      </c>
      <c r="J83" s="252">
        <f t="shared" si="37"/>
        <v>60.777786976950416</v>
      </c>
      <c r="K83" s="252">
        <f t="shared" si="37"/>
        <v>92.893781332111558</v>
      </c>
      <c r="L83" s="252">
        <f t="shared" si="37"/>
        <v>133.53901951862366</v>
      </c>
      <c r="M83" s="252">
        <f t="shared" si="37"/>
        <v>182.99437021438462</v>
      </c>
      <c r="N83" s="252">
        <f t="shared" si="37"/>
        <v>182.99437021438462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540.58791361164958</v>
      </c>
      <c r="G86" s="290">
        <f t="shared" si="40"/>
        <v>1186.0697901823439</v>
      </c>
      <c r="H86" s="290">
        <f t="shared" si="40"/>
        <v>2849.7382179090459</v>
      </c>
      <c r="I86" s="416">
        <f t="shared" si="40"/>
        <v>1446.2452446450084</v>
      </c>
      <c r="J86" s="381">
        <f t="shared" si="40"/>
        <v>1497.9668618932344</v>
      </c>
      <c r="K86" s="381">
        <f t="shared" si="40"/>
        <v>1520.5559178782246</v>
      </c>
      <c r="L86" s="381">
        <f t="shared" si="40"/>
        <v>1513.3439667249447</v>
      </c>
      <c r="M86" s="381">
        <f t="shared" si="40"/>
        <v>1513.9943140632736</v>
      </c>
      <c r="N86" s="346">
        <f t="shared" si="40"/>
        <v>0</v>
      </c>
      <c r="O86" s="374">
        <f t="shared" ref="O86:O94" si="41">SUM(F86:N86)</f>
        <v>12068.502226907725</v>
      </c>
      <c r="P86" s="431">
        <f t="shared" si="39"/>
        <v>7492.1063052046866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540.58791361164958</v>
      </c>
      <c r="G95" s="5">
        <f t="shared" ref="G95" si="50">+SUM(G85:G94)</f>
        <v>1186.0697901823439</v>
      </c>
      <c r="H95" s="5">
        <f t="shared" ref="H95:N95" si="51">+SUM(H85:H94)</f>
        <v>2849.7382179090459</v>
      </c>
      <c r="I95" s="411">
        <f t="shared" si="51"/>
        <v>1446.2452446450084</v>
      </c>
      <c r="J95" s="382">
        <f t="shared" si="51"/>
        <v>1497.9668618932344</v>
      </c>
      <c r="K95" s="382">
        <f t="shared" si="51"/>
        <v>1520.5559178782246</v>
      </c>
      <c r="L95" s="382">
        <f t="shared" si="51"/>
        <v>1513.3439667249447</v>
      </c>
      <c r="M95" s="382">
        <f t="shared" si="51"/>
        <v>1513.9943140632736</v>
      </c>
      <c r="N95" s="286">
        <f t="shared" si="51"/>
        <v>0</v>
      </c>
      <c r="O95" s="372">
        <f>SUM(O85:O94)</f>
        <v>12068.502226907725</v>
      </c>
      <c r="P95" s="428">
        <f>SUM(P85:P94)</f>
        <v>7492.1063052046866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446.63007518797002</v>
      </c>
      <c r="H115" s="191">
        <f t="shared" si="62"/>
        <v>1055.7496565211354</v>
      </c>
      <c r="I115" s="191">
        <f t="shared" si="62"/>
        <v>524.95711278195495</v>
      </c>
      <c r="J115" s="191">
        <f t="shared" si="62"/>
        <v>524.95711278195495</v>
      </c>
      <c r="K115" s="191">
        <f t="shared" si="62"/>
        <v>524.95711278195495</v>
      </c>
      <c r="L115" s="191">
        <f t="shared" si="62"/>
        <v>524.95711278195495</v>
      </c>
      <c r="M115" s="191">
        <f t="shared" si="62"/>
        <v>524.95711278195495</v>
      </c>
      <c r="N115" s="191">
        <f t="shared" si="62"/>
        <v>0</v>
      </c>
      <c r="O115" s="191">
        <f t="shared" si="60"/>
        <v>4127.1652956188809</v>
      </c>
      <c r="P115" s="191">
        <f t="shared" si="61"/>
        <v>2624.7855639097747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446.63007518797002</v>
      </c>
      <c r="H120" s="191">
        <f t="shared" ref="H120:P120" si="63">SUM(H111:H119)</f>
        <v>1055.7496565211354</v>
      </c>
      <c r="I120" s="191">
        <f t="shared" si="63"/>
        <v>524.95711278195495</v>
      </c>
      <c r="J120" s="191">
        <f t="shared" si="63"/>
        <v>524.95711278195495</v>
      </c>
      <c r="K120" s="191">
        <f t="shared" si="63"/>
        <v>524.95711278195495</v>
      </c>
      <c r="L120" s="191">
        <f t="shared" si="63"/>
        <v>524.95711278195495</v>
      </c>
      <c r="M120" s="191">
        <f t="shared" si="63"/>
        <v>524.95711278195495</v>
      </c>
      <c r="N120" s="191">
        <f t="shared" si="63"/>
        <v>0</v>
      </c>
      <c r="O120" s="191">
        <f t="shared" si="63"/>
        <v>4127.1652956188809</v>
      </c>
      <c r="P120" s="191">
        <f t="shared" si="63"/>
        <v>2624.7855639097747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112.31350671992483</v>
      </c>
      <c r="H127" s="191">
        <f t="shared" si="67"/>
        <v>267.240267544792</v>
      </c>
      <c r="I127" s="191">
        <f t="shared" si="67"/>
        <v>133.9512736887911</v>
      </c>
      <c r="J127" s="191">
        <f t="shared" si="67"/>
        <v>135.03627900567028</v>
      </c>
      <c r="K127" s="191">
        <f t="shared" si="67"/>
        <v>136.1537042144422</v>
      </c>
      <c r="L127" s="191">
        <f t="shared" si="67"/>
        <v>137.37227986716147</v>
      </c>
      <c r="M127" s="191">
        <f t="shared" si="67"/>
        <v>138.62236761395266</v>
      </c>
      <c r="N127" s="191">
        <f t="shared" si="67"/>
        <v>0</v>
      </c>
      <c r="O127" s="191">
        <f t="shared" si="65"/>
        <v>1060.6896786547347</v>
      </c>
      <c r="P127" s="191">
        <f t="shared" si="66"/>
        <v>681.13590439001769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112.31350671992483</v>
      </c>
      <c r="H132" s="191">
        <f t="shared" ref="H132:P132" si="68">SUM(H123:H131)</f>
        <v>267.240267544792</v>
      </c>
      <c r="I132" s="191">
        <f t="shared" si="68"/>
        <v>133.9512736887911</v>
      </c>
      <c r="J132" s="191">
        <f t="shared" si="68"/>
        <v>135.03627900567028</v>
      </c>
      <c r="K132" s="191">
        <f t="shared" si="68"/>
        <v>136.1537042144422</v>
      </c>
      <c r="L132" s="191">
        <f t="shared" si="68"/>
        <v>137.37227986716147</v>
      </c>
      <c r="M132" s="191">
        <f t="shared" si="68"/>
        <v>138.62236761395266</v>
      </c>
      <c r="N132" s="191">
        <f t="shared" si="68"/>
        <v>0</v>
      </c>
      <c r="O132" s="191">
        <f t="shared" si="68"/>
        <v>1060.6896786547347</v>
      </c>
      <c r="P132" s="191">
        <f t="shared" si="68"/>
        <v>681.13590439001769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560.57657312030074</v>
      </c>
      <c r="H139" s="191">
        <f t="shared" si="72"/>
        <v>1333.8765604842122</v>
      </c>
      <c r="I139" s="191">
        <f t="shared" si="72"/>
        <v>670.13315988764998</v>
      </c>
      <c r="J139" s="191">
        <f t="shared" si="72"/>
        <v>677.11929807947877</v>
      </c>
      <c r="K139" s="191">
        <f t="shared" si="72"/>
        <v>683.94127500762954</v>
      </c>
      <c r="L139" s="191">
        <f t="shared" si="72"/>
        <v>691.39623490521274</v>
      </c>
      <c r="M139" s="191">
        <f t="shared" si="72"/>
        <v>699.10530292440581</v>
      </c>
      <c r="N139" s="191">
        <f t="shared" si="72"/>
        <v>0</v>
      </c>
      <c r="O139" s="191">
        <f t="shared" si="70"/>
        <v>5316.1484044088902</v>
      </c>
      <c r="P139" s="191">
        <f t="shared" si="71"/>
        <v>3421.6952708043768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560.57657312030074</v>
      </c>
      <c r="H144" s="191">
        <f t="shared" ref="H144:P144" si="73">SUM(H135:H143)</f>
        <v>1333.8765604842122</v>
      </c>
      <c r="I144" s="191">
        <f t="shared" si="73"/>
        <v>670.13315988764998</v>
      </c>
      <c r="J144" s="191">
        <f t="shared" si="73"/>
        <v>677.11929807947877</v>
      </c>
      <c r="K144" s="191">
        <f t="shared" si="73"/>
        <v>683.94127500762954</v>
      </c>
      <c r="L144" s="191">
        <f t="shared" si="73"/>
        <v>691.39623490521274</v>
      </c>
      <c r="M144" s="191">
        <f t="shared" si="73"/>
        <v>699.10530292440581</v>
      </c>
      <c r="N144" s="191">
        <f t="shared" si="73"/>
        <v>0</v>
      </c>
      <c r="O144" s="191">
        <f t="shared" si="73"/>
        <v>5316.1484044088902</v>
      </c>
      <c r="P144" s="191">
        <f t="shared" si="73"/>
        <v>3421.6952708043768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1119.5201550281956</v>
      </c>
      <c r="H151" s="191">
        <f t="shared" si="74"/>
        <v>2656.8664845501398</v>
      </c>
      <c r="I151" s="191">
        <f t="shared" si="74"/>
        <v>1329.0415463583961</v>
      </c>
      <c r="J151" s="191">
        <f t="shared" si="74"/>
        <v>1337.1126898671041</v>
      </c>
      <c r="K151" s="191">
        <f t="shared" si="74"/>
        <v>1345.0520920040267</v>
      </c>
      <c r="L151" s="191">
        <f t="shared" si="74"/>
        <v>1353.7256275543291</v>
      </c>
      <c r="M151" s="191">
        <f t="shared" si="74"/>
        <v>1362.6847833203133</v>
      </c>
      <c r="N151" s="191">
        <f t="shared" si="74"/>
        <v>0</v>
      </c>
      <c r="O151" s="191">
        <f t="shared" si="75"/>
        <v>10504.003378682506</v>
      </c>
      <c r="P151" s="191">
        <f t="shared" si="76"/>
        <v>6727.616739104169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1119.5201550281956</v>
      </c>
      <c r="H156" s="191">
        <f t="shared" ref="H156:N156" si="77">SUM(H147:H155)</f>
        <v>2656.8664845501398</v>
      </c>
      <c r="I156" s="191">
        <f t="shared" si="77"/>
        <v>1329.0415463583961</v>
      </c>
      <c r="J156" s="191">
        <f t="shared" si="77"/>
        <v>1337.1126898671041</v>
      </c>
      <c r="K156" s="191">
        <f t="shared" si="77"/>
        <v>1345.0520920040267</v>
      </c>
      <c r="L156" s="191">
        <f t="shared" si="77"/>
        <v>1353.7256275543291</v>
      </c>
      <c r="M156" s="191">
        <f t="shared" si="77"/>
        <v>1362.6847833203133</v>
      </c>
      <c r="N156" s="191">
        <f t="shared" si="77"/>
        <v>0</v>
      </c>
      <c r="O156" s="191">
        <f t="shared" ref="O156:P156" si="78">SUM(O147:O155)</f>
        <v>10504.003378682506</v>
      </c>
      <c r="P156" s="191">
        <f t="shared" si="78"/>
        <v>6727.616739104169</v>
      </c>
    </row>
    <row r="157" spans="4:16" collapsed="1"/>
  </sheetData>
  <mergeCells count="1">
    <mergeCell ref="C13:C14"/>
  </mergeCells>
  <phoneticPr fontId="6" type="noConversion"/>
  <conditionalFormatting sqref="R14">
    <cfRule type="cellIs" dxfId="69" priority="4" operator="equal">
      <formula>"Error"</formula>
    </cfRule>
  </conditionalFormatting>
  <conditionalFormatting sqref="R11">
    <cfRule type="cellIs" dxfId="68" priority="3" operator="equal">
      <formula>"Error"</formula>
    </cfRule>
  </conditionalFormatting>
  <conditionalFormatting sqref="R54">
    <cfRule type="cellIs" dxfId="6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Project_Inputs!B29</f>
        <v>0</v>
      </c>
      <c r="F3" s="249" t="s">
        <v>63</v>
      </c>
      <c r="G3" s="249">
        <f>Project_Inputs!F29</f>
        <v>0</v>
      </c>
    </row>
    <row r="4" spans="1:21" ht="18.75">
      <c r="A4" s="6"/>
      <c r="B4" s="6"/>
      <c r="C4" s="13" t="s">
        <v>15</v>
      </c>
      <c r="D4" s="339" t="str">
        <f>Project_Inputs!D29</f>
        <v>Disconnectors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Project_Inputs!H29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Project_Inputs!I29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Project_Inputs!J29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0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739.45600000000002</v>
      </c>
      <c r="J11" s="320">
        <f>IF(J$10="Prior",SUMIFS(Project_Inputs!$W$5:$W$50,Project_Inputs!$D$5:$D$50,$D$4),SUMIFS(Project_Inputs!P$5:P$50,Project_Inputs!$D$5:$D$50,$D$4))</f>
        <v>2127.6799999999998</v>
      </c>
      <c r="K11" s="320">
        <f>IF(K$10="Prior",SUMIFS(Project_Inputs!$W$5:$W$50,Project_Inputs!$D$5:$D$50,$D$4),SUMIFS(Project_Inputs!Q$5:Q$50,Project_Inputs!$D$5:$D$50,$D$4))</f>
        <v>2127.6799999999998</v>
      </c>
      <c r="L11" s="320">
        <f>IF(L$10="Prior",SUMIFS(Project_Inputs!$W$5:$W$50,Project_Inputs!$D$5:$D$50,$D$4),SUMIFS(Project_Inputs!R$5:R$50,Project_Inputs!$D$5:$D$50,$D$4))</f>
        <v>2127.6799999999998</v>
      </c>
      <c r="M11" s="320">
        <f>IF(M$10="Prior",SUMIFS(Project_Inputs!$W$5:$W$50,Project_Inputs!$D$5:$D$50,$D$4),SUMIFS(Project_Inputs!S$5:S$50,Project_Inputs!$D$5:$D$50,$D$4))</f>
        <v>2127.6799999999998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9250.1759999999995</v>
      </c>
      <c r="P11" s="300">
        <f t="shared" ref="P11" si="0">SUM(I11:M11)</f>
        <v>9250.1759999999995</v>
      </c>
      <c r="R11" s="608" t="str">
        <f>IF(O11=Project_Inputs!V29,"ok","error")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739.45600000000002</v>
      </c>
      <c r="J14" s="447">
        <f>IF($G$3="Yes",SUMIFS(Project_Inputs!AN$5:AN$50,Project_Inputs!$D$5:$D$50,$D$4),IF(AND(J$13="X",J$10="Prior"),J11,IF(J$13="X",SUM($F11:J11)-SUM($F14:I14),0)))</f>
        <v>2127.6799999999998</v>
      </c>
      <c r="K14" s="447">
        <f>IF($G$3="Yes",SUMIFS(Project_Inputs!AO$5:AO$50,Project_Inputs!$D$5:$D$50,$D$4),IF(AND(K$13="X",K$10="Prior"),K11,IF(K$13="X",SUM($F11:K11)-SUM($F14:J14),0)))</f>
        <v>2127.6799999999998</v>
      </c>
      <c r="L14" s="447">
        <f>IF($G$3="Yes",SUMIFS(Project_Inputs!AP$5:AP$50,Project_Inputs!$D$5:$D$50,$D$4),IF(AND(L$13="X",L$10="Prior"),L11,IF(L$13="X",SUM($F11:L11)-SUM($F14:K14),0)))</f>
        <v>2127.6799999999994</v>
      </c>
      <c r="M14" s="447">
        <f>IF($G$3="Yes",SUMIFS(Project_Inputs!AQ$5:AQ$50,Project_Inputs!$D$5:$D$50,$D$4),IF(AND(M$13="X",M$10="Prior"),M11,IF(M$13="X",SUM($F11:M11)-SUM($F14:L14),0)))</f>
        <v>2127.6800000000003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9250.1759999999995</v>
      </c>
      <c r="P14" s="451">
        <f>SUM(I14:M14)</f>
        <v>9250.1759999999995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1</v>
      </c>
      <c r="G18" s="341">
        <v>1</v>
      </c>
      <c r="H18" s="392">
        <v>1</v>
      </c>
      <c r="I18" s="404">
        <v>1</v>
      </c>
      <c r="J18" s="341">
        <v>1</v>
      </c>
      <c r="K18" s="341">
        <v>1</v>
      </c>
      <c r="L18" s="341">
        <v>1</v>
      </c>
      <c r="M18" s="341">
        <v>1</v>
      </c>
      <c r="N18" s="342">
        <v>1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0</v>
      </c>
      <c r="I46" s="407">
        <f>IF(I$10="Prior",0,(I11*I29)*(Assumptions!I28-1))</f>
        <v>1.5280496563751347</v>
      </c>
      <c r="J46" s="282">
        <f>IF(J$10="Prior",0,(J11*J29)*(Assumptions!J28-1))</f>
        <v>6.1557811006650178</v>
      </c>
      <c r="K46" s="282">
        <f>IF(K$10="Prior",0,(K11*K29)*(Assumptions!K28-1))</f>
        <v>7.9673753892730073</v>
      </c>
      <c r="L46" s="282">
        <f>IF(L$10="Prior",0,(L11*L29)*(Assumptions!L28-1))</f>
        <v>9.9429569990070004</v>
      </c>
      <c r="M46" s="282">
        <f>IF(M$10="Prior",0,(M11*M29)*(Assumptions!M28-1))</f>
        <v>11.969626707698</v>
      </c>
      <c r="N46" s="283">
        <f>IF(N$10="Prior",0,(N11*N29)*(Assumptions!N28-1))</f>
        <v>0</v>
      </c>
      <c r="O46" s="362">
        <f t="shared" ref="O46:O47" si="6">SUM(F46:N46)</f>
        <v>37.563789853018157</v>
      </c>
      <c r="P46" s="300">
        <f t="shared" ref="P46:P47" si="7">SUM(I46:M46)</f>
        <v>37.563789853018157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0</v>
      </c>
      <c r="I47" s="407">
        <f>IF(I$10="Prior",0,(I11*I30)*(Assumptions!I30-1))</f>
        <v>7.852548057994313</v>
      </c>
      <c r="J47" s="282">
        <f>IF(J$10="Prior",0,(J11*J30)*(Assumptions!J30-1))</f>
        <v>33.920676488746743</v>
      </c>
      <c r="K47" s="282">
        <f>IF(K$10="Prior",0,(K11*K30)*(Assumptions!K30-1))</f>
        <v>44.980615304371021</v>
      </c>
      <c r="L47" s="282">
        <f>IF(L$10="Prior",0,(L11*L30)*(Assumptions!L30-1))</f>
        <v>57.066760011188656</v>
      </c>
      <c r="M47" s="282">
        <f>IF(M$10="Prior",0,(M11*M30)*(Assumptions!M30-1))</f>
        <v>69.564870385313327</v>
      </c>
      <c r="N47" s="283">
        <f>IF(N$10="Prior",0,(N11*N30)*(Assumptions!N30-1))</f>
        <v>0</v>
      </c>
      <c r="O47" s="362">
        <f t="shared" si="6"/>
        <v>213.38547024761405</v>
      </c>
      <c r="P47" s="300">
        <f t="shared" si="7"/>
        <v>213.38547024761405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</v>
      </c>
      <c r="H48" s="253">
        <f t="shared" si="8"/>
        <v>0</v>
      </c>
      <c r="I48" s="408">
        <f t="shared" si="8"/>
        <v>9.380597714369447</v>
      </c>
      <c r="J48" s="5">
        <f t="shared" si="8"/>
        <v>40.07645758941176</v>
      </c>
      <c r="K48" s="5">
        <f t="shared" si="8"/>
        <v>52.94799069364403</v>
      </c>
      <c r="L48" s="5">
        <f t="shared" si="8"/>
        <v>67.009717010195658</v>
      </c>
      <c r="M48" s="5">
        <f t="shared" si="8"/>
        <v>81.534497093011325</v>
      </c>
      <c r="N48" s="286">
        <f t="shared" si="8"/>
        <v>0</v>
      </c>
      <c r="O48" s="433">
        <f>SUM(O46:O47)</f>
        <v>250.94926010063222</v>
      </c>
      <c r="P48" s="434">
        <f>SUM(P46:P47)</f>
        <v>250.94926010063222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</v>
      </c>
      <c r="H49" s="253">
        <f t="shared" si="9"/>
        <v>0</v>
      </c>
      <c r="I49" s="408">
        <f t="shared" si="9"/>
        <v>9.380597714369447</v>
      </c>
      <c r="J49" s="5">
        <f t="shared" si="9"/>
        <v>40.07645758941176</v>
      </c>
      <c r="K49" s="5">
        <f t="shared" si="9"/>
        <v>52.94799069364403</v>
      </c>
      <c r="L49" s="5">
        <f t="shared" si="9"/>
        <v>67.009717010195658</v>
      </c>
      <c r="M49" s="5">
        <f t="shared" si="9"/>
        <v>81.534497093011325</v>
      </c>
      <c r="N49" s="286">
        <f t="shared" si="9"/>
        <v>0</v>
      </c>
      <c r="O49" s="370">
        <f>O44+O48</f>
        <v>250.94926010063222</v>
      </c>
      <c r="P49" s="371">
        <f>P44+P48</f>
        <v>250.94926010063222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0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3.149426464985132E-2</v>
      </c>
      <c r="M50" s="443">
        <f t="shared" si="10"/>
        <v>3.8320845753596094E-2</v>
      </c>
      <c r="N50" s="444">
        <f t="shared" si="10"/>
        <v>0</v>
      </c>
      <c r="O50" s="444">
        <f t="shared" si="10"/>
        <v>2.7129133553851541E-2</v>
      </c>
      <c r="P50" s="444">
        <f t="shared" si="10"/>
        <v>2.7129133553851541E-2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0</v>
      </c>
      <c r="G51" s="280">
        <f>(G29*G$11+G46)*Assumptions!$G$21</f>
        <v>0</v>
      </c>
      <c r="H51" s="280">
        <f>(H29*H$11+H46)*Assumptions!$G$21</f>
        <v>0</v>
      </c>
      <c r="I51" s="410">
        <f>(I29*I$11+I46)*Assumptions!$G$21</f>
        <v>76.750459518982979</v>
      </c>
      <c r="J51" s="280">
        <f>(J29*J$11+J46)*Assumptions!$G$21</f>
        <v>222.62737890124021</v>
      </c>
      <c r="K51" s="280">
        <f>(K29*K$11+K46)*Assumptions!$G$21</f>
        <v>224.46962046164793</v>
      </c>
      <c r="L51" s="280">
        <f>(L29*L$11+L46)*Assumptions!$G$21</f>
        <v>226.4786235647797</v>
      </c>
      <c r="M51" s="280">
        <f>(M29*M$11+M46)*Assumptions!$G$21</f>
        <v>228.53957903921923</v>
      </c>
      <c r="N51" s="281">
        <f>(N29*N$11+N46)*Assumptions!$G$21</f>
        <v>0</v>
      </c>
      <c r="O51" s="373">
        <f t="shared" ref="O51:O53" si="11">SUM(F51:N51)</f>
        <v>978.86566148586996</v>
      </c>
      <c r="P51" s="375">
        <f>SUM(I51:M51)</f>
        <v>978.86566148586996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0</v>
      </c>
      <c r="G52" s="282">
        <f>(G30*G$11+G47)*Assumptions!$G$21</f>
        <v>0</v>
      </c>
      <c r="H52" s="282">
        <f>(H30*H$11+H47)*Assumptions!$G$21</f>
        <v>0</v>
      </c>
      <c r="I52" s="407">
        <f>(I30*I$11+I47)*Assumptions!$G$21</f>
        <v>383.96818890859953</v>
      </c>
      <c r="J52" s="282">
        <f>(J30*J$11+J47)*Assumptions!$G$21</f>
        <v>1116.3318157526542</v>
      </c>
      <c r="K52" s="282">
        <f>(K30*K$11+K47)*Assumptions!$G$21</f>
        <v>1127.5788587963623</v>
      </c>
      <c r="L52" s="282">
        <f>(L30*L$11+L47)*Assumptions!$G$21</f>
        <v>1139.8694683572428</v>
      </c>
      <c r="M52" s="282">
        <f>(M30*M$11+M47)*Assumptions!$G$21</f>
        <v>1152.5790129294257</v>
      </c>
      <c r="N52" s="283">
        <f>(N30*N$11+N47)*Assumptions!$G$21</f>
        <v>0</v>
      </c>
      <c r="O52" s="374">
        <f t="shared" si="11"/>
        <v>4920.3273447442843</v>
      </c>
      <c r="P52" s="376">
        <f>SUM(I52:M52)</f>
        <v>4920.3273447442843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0</v>
      </c>
      <c r="G53" s="282">
        <f>(G31*G$11+G$44)*Assumptions!$G$21</f>
        <v>0</v>
      </c>
      <c r="H53" s="282">
        <f>(H31*H$11+H$44)*Assumptions!$G$21</f>
        <v>0</v>
      </c>
      <c r="I53" s="407">
        <f>(I31*I$11+I$44)*Assumptions!$G$21</f>
        <v>300.78623759398499</v>
      </c>
      <c r="J53" s="282">
        <f>(J31*J$11+J$44)*Assumptions!$G$21</f>
        <v>865.46983458646628</v>
      </c>
      <c r="K53" s="282">
        <f>(K31*K$11+K$44)*Assumptions!$G$21</f>
        <v>865.46983458646628</v>
      </c>
      <c r="L53" s="282">
        <f>(L31*L$11+L$44)*Assumptions!$G$21</f>
        <v>865.46983458646628</v>
      </c>
      <c r="M53" s="282">
        <f>(M31*M$11+M$44)*Assumptions!$G$21</f>
        <v>865.46983458646628</v>
      </c>
      <c r="N53" s="283">
        <f>(N31*N$11+N$44)*Assumptions!$G$21</f>
        <v>0</v>
      </c>
      <c r="O53" s="374">
        <f t="shared" si="11"/>
        <v>3762.66557593985</v>
      </c>
      <c r="P53" s="376">
        <f>SUM(I53:M53)</f>
        <v>3762.66557593985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1">
        <f t="shared" si="12"/>
        <v>761.50488602156747</v>
      </c>
      <c r="J54" s="382">
        <f t="shared" si="12"/>
        <v>2204.4290292403607</v>
      </c>
      <c r="K54" s="382">
        <f t="shared" si="12"/>
        <v>2217.5183138444763</v>
      </c>
      <c r="L54" s="382">
        <f t="shared" si="12"/>
        <v>2231.8179265084887</v>
      </c>
      <c r="M54" s="382">
        <f t="shared" si="12"/>
        <v>2246.5884265551113</v>
      </c>
      <c r="N54" s="286">
        <f t="shared" si="12"/>
        <v>0</v>
      </c>
      <c r="O54" s="372">
        <f t="shared" si="12"/>
        <v>9661.8585821700035</v>
      </c>
      <c r="P54" s="428">
        <f t="shared" si="12"/>
        <v>9661.8585821700035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0</v>
      </c>
      <c r="H57" s="290">
        <f t="shared" si="13"/>
        <v>0</v>
      </c>
      <c r="I57" s="407">
        <f t="shared" si="13"/>
        <v>67.154551450707402</v>
      </c>
      <c r="J57" s="282">
        <f t="shared" si="13"/>
        <v>265.1920133403782</v>
      </c>
      <c r="K57" s="282">
        <f t="shared" si="13"/>
        <v>289.34414536016533</v>
      </c>
      <c r="L57" s="282">
        <f t="shared" si="13"/>
        <v>263.15455917317792</v>
      </c>
      <c r="M57" s="282">
        <f t="shared" si="13"/>
        <v>249.45625338704349</v>
      </c>
      <c r="N57" s="283">
        <f t="shared" si="13"/>
        <v>0</v>
      </c>
      <c r="O57" s="309">
        <f>SUM(F57:N57)</f>
        <v>1134.3015227114722</v>
      </c>
      <c r="P57" s="300">
        <f>SUM(I57:M57)</f>
        <v>1134.3015227114722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0</v>
      </c>
      <c r="G59" s="5">
        <f t="shared" si="14"/>
        <v>0</v>
      </c>
      <c r="H59" s="5">
        <f t="shared" si="14"/>
        <v>0</v>
      </c>
      <c r="I59" s="411">
        <f t="shared" si="14"/>
        <v>828.65943747227493</v>
      </c>
      <c r="J59" s="382">
        <f t="shared" si="14"/>
        <v>2469.621042580739</v>
      </c>
      <c r="K59" s="382">
        <f t="shared" si="14"/>
        <v>2506.8624592046417</v>
      </c>
      <c r="L59" s="382">
        <f t="shared" si="14"/>
        <v>2494.9724856816665</v>
      </c>
      <c r="M59" s="382">
        <f t="shared" si="14"/>
        <v>2496.0446799421547</v>
      </c>
      <c r="N59" s="418">
        <f>N54+N57</f>
        <v>0</v>
      </c>
      <c r="O59" s="419">
        <f t="shared" ref="O59:P59" si="15">O54+O57</f>
        <v>10796.160104881475</v>
      </c>
      <c r="P59" s="429">
        <f t="shared" si="15"/>
        <v>10796.160104881475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0</v>
      </c>
      <c r="H60" s="290">
        <f t="shared" si="16"/>
        <v>0</v>
      </c>
      <c r="I60" s="290">
        <f t="shared" si="16"/>
        <v>67.154551450707402</v>
      </c>
      <c r="J60" s="290">
        <f t="shared" si="16"/>
        <v>332.3465647910856</v>
      </c>
      <c r="K60" s="290">
        <f t="shared" si="16"/>
        <v>621.69071015125087</v>
      </c>
      <c r="L60" s="290">
        <f t="shared" si="16"/>
        <v>884.84526932442873</v>
      </c>
      <c r="M60" s="290">
        <f t="shared" si="16"/>
        <v>1134.3015227114722</v>
      </c>
      <c r="N60" s="290">
        <f t="shared" si="16"/>
        <v>1134.3015227114722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0</v>
      </c>
      <c r="I61" s="252">
        <f t="shared" si="17"/>
        <v>9.380597714369447</v>
      </c>
      <c r="J61" s="252">
        <f t="shared" si="17"/>
        <v>49.457055303781203</v>
      </c>
      <c r="K61" s="252">
        <f t="shared" si="17"/>
        <v>102.40504599742523</v>
      </c>
      <c r="L61" s="252">
        <f t="shared" si="17"/>
        <v>169.41476300762088</v>
      </c>
      <c r="M61" s="252">
        <f t="shared" si="17"/>
        <v>250.94926010063222</v>
      </c>
      <c r="N61" s="252">
        <f t="shared" si="17"/>
        <v>250.94926010063222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828.65943747227493</v>
      </c>
      <c r="J65" s="381">
        <f t="shared" si="19"/>
        <v>2469.621042580739</v>
      </c>
      <c r="K65" s="381">
        <f t="shared" si="19"/>
        <v>2506.8624592046417</v>
      </c>
      <c r="L65" s="381">
        <f t="shared" si="19"/>
        <v>2494.9724856816665</v>
      </c>
      <c r="M65" s="381">
        <f t="shared" si="19"/>
        <v>2496.0446799421547</v>
      </c>
      <c r="N65" s="283">
        <f t="shared" si="19"/>
        <v>0</v>
      </c>
      <c r="O65" s="374">
        <f t="shared" ref="O65:O73" si="20">SUM(F65:N65)</f>
        <v>10796.160104881477</v>
      </c>
      <c r="P65" s="431">
        <f t="shared" ref="P65:P73" si="21">SUM(I65:M65)</f>
        <v>10796.160104881477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1">
        <f t="shared" si="30"/>
        <v>828.65943747227493</v>
      </c>
      <c r="J74" s="382">
        <f t="shared" si="30"/>
        <v>2469.621042580739</v>
      </c>
      <c r="K74" s="382">
        <f t="shared" si="30"/>
        <v>2506.8624592046417</v>
      </c>
      <c r="L74" s="382">
        <f t="shared" si="30"/>
        <v>2494.9724856816665</v>
      </c>
      <c r="M74" s="382">
        <f t="shared" si="30"/>
        <v>2496.0446799421547</v>
      </c>
      <c r="N74" s="286">
        <f t="shared" si="30"/>
        <v>0</v>
      </c>
      <c r="O74" s="372">
        <f>SUM(O64:O73)</f>
        <v>10796.160104881477</v>
      </c>
      <c r="P74" s="428">
        <f>SUM(P64:P73)</f>
        <v>10796.160104881477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0</v>
      </c>
      <c r="I76" s="410">
        <f t="shared" si="32"/>
        <v>739.45600000000002</v>
      </c>
      <c r="J76" s="280">
        <f t="shared" si="32"/>
        <v>2127.6799999999998</v>
      </c>
      <c r="K76" s="280">
        <f t="shared" si="32"/>
        <v>2127.6799999999998</v>
      </c>
      <c r="L76" s="280">
        <f t="shared" si="32"/>
        <v>2127.6799999999994</v>
      </c>
      <c r="M76" s="280">
        <f t="shared" si="32"/>
        <v>2127.6800000000003</v>
      </c>
      <c r="N76" s="281">
        <f t="shared" si="32"/>
        <v>0</v>
      </c>
      <c r="O76" s="377">
        <f>SUM(F76:N76)</f>
        <v>9250.1759999999995</v>
      </c>
      <c r="P76" s="378">
        <f t="shared" ref="P76:P80" si="33">SUM(I76:M76)</f>
        <v>9250.1759999999995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9.380597714369447</v>
      </c>
      <c r="J77" s="282">
        <f>IF(J$10="Prior",0,IF(AND(J76&lt;&gt;0,SUM($F76:I76)=0),J76/SUM($F$76:J76)*J61,IF(J76&lt;&gt;0,SUM($F$76:J76)/SUM($F$11:J11)*J61-I83,0)))</f>
        <v>40.07645758941176</v>
      </c>
      <c r="K77" s="282">
        <f>IF(K$10="Prior",0,IF(AND(K76&lt;&gt;0,SUM($F76:J76)=0),K76/SUM($F$76:K76)*K61,IF(K76&lt;&gt;0,SUM($F$76:K76)/SUM($F$11:K11)*K61-J83,0)))</f>
        <v>52.94799069364403</v>
      </c>
      <c r="L77" s="282">
        <f>IF(L$10="Prior",0,IF(AND(L76&lt;&gt;0,SUM($F76:K76)=0),L76/SUM($F$76:L76)*L61,IF(L76&lt;&gt;0,SUM($F$76:L76)/SUM($F$11:L11)*L61-K83,0)))</f>
        <v>67.009717010195644</v>
      </c>
      <c r="M77" s="282">
        <f>IF(M$10="Prior",0,IF(AND(M76&lt;&gt;0,SUM($F76:L76)=0),M76/SUM($F$76:M76)*M61,IF(M76&lt;&gt;0,SUM($F$76:M76)/SUM($F$11:M11)*M61-L83,0)))</f>
        <v>81.534497093011339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250.94926010063222</v>
      </c>
      <c r="P77" s="455">
        <f t="shared" si="33"/>
        <v>250.94926010063222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748.83659771436942</v>
      </c>
      <c r="J78" s="457">
        <f t="shared" si="34"/>
        <v>2167.7564575894116</v>
      </c>
      <c r="K78" s="457">
        <f t="shared" si="34"/>
        <v>2180.6279906936438</v>
      </c>
      <c r="L78" s="457">
        <f t="shared" si="34"/>
        <v>2194.6897170101952</v>
      </c>
      <c r="M78" s="457">
        <f t="shared" si="34"/>
        <v>2209.2144970930117</v>
      </c>
      <c r="N78" s="459">
        <f t="shared" si="34"/>
        <v>0</v>
      </c>
      <c r="O78" s="460">
        <f>SUM(F78:N78)</f>
        <v>9501.1252601006308</v>
      </c>
      <c r="P78" s="461">
        <f t="shared" si="33"/>
        <v>9501.1252601006308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0</v>
      </c>
      <c r="I79" s="458">
        <f>I78*Assumptions!$G$21</f>
        <v>761.50488602156747</v>
      </c>
      <c r="J79" s="457">
        <f>J78*Assumptions!$G$21</f>
        <v>2204.4290292403607</v>
      </c>
      <c r="K79" s="457">
        <f>K78*Assumptions!$G$21</f>
        <v>2217.5183138444763</v>
      </c>
      <c r="L79" s="457">
        <f>L78*Assumptions!$G$21</f>
        <v>2231.8179265084882</v>
      </c>
      <c r="M79" s="457">
        <f>M78*Assumptions!$G$21</f>
        <v>2246.5884265551117</v>
      </c>
      <c r="N79" s="459">
        <f>N78*Assumptions!$G$21</f>
        <v>0</v>
      </c>
      <c r="O79" s="460">
        <f>SUM(F79:N79)</f>
        <v>9661.8585821700035</v>
      </c>
      <c r="P79" s="461">
        <f t="shared" si="33"/>
        <v>9661.8585821700035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67.154551450707402</v>
      </c>
      <c r="J80" s="282">
        <f>IF(J$10="Prior",J79*J56,IF(AND(J79&lt;&gt;0,SUM($F79:I79)=0),J79/SUM($F$54:J54)*J60,IF(J79&lt;&gt;0,SUM($F$79:J79)/SUM($F$54:J54)*J60-I82,0)))</f>
        <v>265.1920133403782</v>
      </c>
      <c r="K80" s="282">
        <f>IF(K$10="Prior",K79*K56,IF(AND(K79&lt;&gt;0,SUM($F79:J79)=0),K79/SUM($F$54:K54)*K60,IF(K79&lt;&gt;0,SUM($F$79:K79)/SUM($F$54:K54)*K60-J82,0)))</f>
        <v>289.34414536016527</v>
      </c>
      <c r="L80" s="282">
        <f>IF(L$10="Prior",L79*L56,IF(AND(L79&lt;&gt;0,SUM($F79:K79)=0),L79/SUM($F$54:L54)*L60,IF(L79&lt;&gt;0,SUM($F$79:L79)/SUM($F$54:L54)*L60-K82,0)))</f>
        <v>263.15455917317774</v>
      </c>
      <c r="M80" s="282">
        <f>IF(M$10="Prior",M79*M56,IF(AND(M79&lt;&gt;0,SUM($F79:L79)=0),M79/SUM($F$54:M54)*M60,IF(M79&lt;&gt;0,SUM($F$79:M79)/SUM($F$54:M54)*M60-L82,0)))</f>
        <v>249.4562533870436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1134.3015227114722</v>
      </c>
      <c r="P80" s="300">
        <f t="shared" si="33"/>
        <v>1134.3015227114722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828.65943747227493</v>
      </c>
      <c r="J81" s="387">
        <f t="shared" si="35"/>
        <v>2469.621042580739</v>
      </c>
      <c r="K81" s="387">
        <f t="shared" si="35"/>
        <v>2506.8624592046417</v>
      </c>
      <c r="L81" s="387">
        <f t="shared" si="35"/>
        <v>2494.9724856816661</v>
      </c>
      <c r="M81" s="387">
        <f t="shared" si="35"/>
        <v>2496.0446799421552</v>
      </c>
      <c r="N81" s="420">
        <f t="shared" si="35"/>
        <v>0</v>
      </c>
      <c r="O81" s="421">
        <f t="shared" si="35"/>
        <v>10796.160104881475</v>
      </c>
      <c r="P81" s="388">
        <f t="shared" si="35"/>
        <v>10796.160104881475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67.154551450707402</v>
      </c>
      <c r="J82" s="252">
        <f t="shared" si="36"/>
        <v>332.3465647910856</v>
      </c>
      <c r="K82" s="252">
        <f t="shared" si="36"/>
        <v>621.69071015125087</v>
      </c>
      <c r="L82" s="252">
        <f t="shared" si="36"/>
        <v>884.84526932442861</v>
      </c>
      <c r="M82" s="252">
        <f t="shared" si="36"/>
        <v>1134.3015227114722</v>
      </c>
      <c r="N82" s="252">
        <f t="shared" si="36"/>
        <v>1134.3015227114722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9.380597714369447</v>
      </c>
      <c r="J83" s="252">
        <f t="shared" si="37"/>
        <v>49.457055303781203</v>
      </c>
      <c r="K83" s="252">
        <f t="shared" si="37"/>
        <v>102.40504599742523</v>
      </c>
      <c r="L83" s="252">
        <f t="shared" si="37"/>
        <v>169.41476300762088</v>
      </c>
      <c r="M83" s="252">
        <f t="shared" si="37"/>
        <v>250.94926010063222</v>
      </c>
      <c r="N83" s="252">
        <f t="shared" si="37"/>
        <v>250.94926010063222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828.65943747227516</v>
      </c>
      <c r="J86" s="381">
        <f t="shared" si="40"/>
        <v>2469.6210425807394</v>
      </c>
      <c r="K86" s="381">
        <f t="shared" si="40"/>
        <v>2506.8624592046422</v>
      </c>
      <c r="L86" s="381">
        <f t="shared" si="40"/>
        <v>2494.9724856816665</v>
      </c>
      <c r="M86" s="381">
        <f t="shared" si="40"/>
        <v>2496.0446799421557</v>
      </c>
      <c r="N86" s="346">
        <f t="shared" si="40"/>
        <v>0</v>
      </c>
      <c r="O86" s="374">
        <f t="shared" ref="O86:O94" si="41">SUM(F86:N86)</f>
        <v>10796.160104881479</v>
      </c>
      <c r="P86" s="431">
        <f t="shared" si="39"/>
        <v>10796.160104881479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828.65943747227516</v>
      </c>
      <c r="J95" s="382">
        <f t="shared" si="51"/>
        <v>2469.6210425807394</v>
      </c>
      <c r="K95" s="382">
        <f t="shared" si="51"/>
        <v>2506.8624592046422</v>
      </c>
      <c r="L95" s="382">
        <f t="shared" si="51"/>
        <v>2494.9724856816665</v>
      </c>
      <c r="M95" s="382">
        <f t="shared" si="51"/>
        <v>2496.0446799421557</v>
      </c>
      <c r="N95" s="286">
        <f t="shared" si="51"/>
        <v>0</v>
      </c>
      <c r="O95" s="372">
        <f>SUM(O85:O94)</f>
        <v>10796.160104881479</v>
      </c>
      <c r="P95" s="428">
        <f>SUM(P85:P94)</f>
        <v>10796.160104881479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300.78623759398499</v>
      </c>
      <c r="J115" s="191">
        <f t="shared" si="62"/>
        <v>865.46983458646628</v>
      </c>
      <c r="K115" s="191">
        <f t="shared" si="62"/>
        <v>865.46983458646628</v>
      </c>
      <c r="L115" s="191">
        <f t="shared" si="62"/>
        <v>865.46983458646628</v>
      </c>
      <c r="M115" s="191">
        <f t="shared" si="62"/>
        <v>865.46983458646628</v>
      </c>
      <c r="N115" s="191">
        <f t="shared" si="62"/>
        <v>0</v>
      </c>
      <c r="O115" s="191">
        <f t="shared" si="60"/>
        <v>3762.66557593985</v>
      </c>
      <c r="P115" s="191">
        <f t="shared" si="61"/>
        <v>3762.66557593985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0</v>
      </c>
      <c r="H120" s="191">
        <f t="shared" ref="H120:P120" si="63">SUM(H111:H119)</f>
        <v>0</v>
      </c>
      <c r="I120" s="191">
        <f t="shared" si="63"/>
        <v>300.78623759398499</v>
      </c>
      <c r="J120" s="191">
        <f t="shared" si="63"/>
        <v>865.46983458646628</v>
      </c>
      <c r="K120" s="191">
        <f t="shared" si="63"/>
        <v>865.46983458646628</v>
      </c>
      <c r="L120" s="191">
        <f t="shared" si="63"/>
        <v>865.46983458646628</v>
      </c>
      <c r="M120" s="191">
        <f t="shared" si="63"/>
        <v>865.46983458646628</v>
      </c>
      <c r="N120" s="191">
        <f t="shared" si="63"/>
        <v>0</v>
      </c>
      <c r="O120" s="191">
        <f t="shared" si="63"/>
        <v>3762.66557593985</v>
      </c>
      <c r="P120" s="191">
        <f t="shared" si="63"/>
        <v>3762.66557593985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76.750459518982979</v>
      </c>
      <c r="J127" s="191">
        <f t="shared" si="67"/>
        <v>222.62737890124021</v>
      </c>
      <c r="K127" s="191">
        <f t="shared" si="67"/>
        <v>224.46962046164793</v>
      </c>
      <c r="L127" s="191">
        <f t="shared" si="67"/>
        <v>226.4786235647797</v>
      </c>
      <c r="M127" s="191">
        <f t="shared" si="67"/>
        <v>228.53957903921923</v>
      </c>
      <c r="N127" s="191">
        <f t="shared" si="67"/>
        <v>0</v>
      </c>
      <c r="O127" s="191">
        <f t="shared" si="65"/>
        <v>978.86566148586996</v>
      </c>
      <c r="P127" s="191">
        <f t="shared" si="66"/>
        <v>978.86566148586996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0</v>
      </c>
      <c r="H132" s="191">
        <f t="shared" ref="H132:P132" si="68">SUM(H123:H131)</f>
        <v>0</v>
      </c>
      <c r="I132" s="191">
        <f t="shared" si="68"/>
        <v>76.750459518982979</v>
      </c>
      <c r="J132" s="191">
        <f t="shared" si="68"/>
        <v>222.62737890124021</v>
      </c>
      <c r="K132" s="191">
        <f t="shared" si="68"/>
        <v>224.46962046164793</v>
      </c>
      <c r="L132" s="191">
        <f t="shared" si="68"/>
        <v>226.4786235647797</v>
      </c>
      <c r="M132" s="191">
        <f t="shared" si="68"/>
        <v>228.53957903921923</v>
      </c>
      <c r="N132" s="191">
        <f t="shared" si="68"/>
        <v>0</v>
      </c>
      <c r="O132" s="191">
        <f t="shared" si="68"/>
        <v>978.86566148586996</v>
      </c>
      <c r="P132" s="191">
        <f t="shared" si="68"/>
        <v>978.86566148586996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383.96818890859953</v>
      </c>
      <c r="J139" s="191">
        <f t="shared" si="72"/>
        <v>1116.3318157526542</v>
      </c>
      <c r="K139" s="191">
        <f t="shared" si="72"/>
        <v>1127.5788587963623</v>
      </c>
      <c r="L139" s="191">
        <f t="shared" si="72"/>
        <v>1139.8694683572428</v>
      </c>
      <c r="M139" s="191">
        <f t="shared" si="72"/>
        <v>1152.5790129294257</v>
      </c>
      <c r="N139" s="191">
        <f t="shared" si="72"/>
        <v>0</v>
      </c>
      <c r="O139" s="191">
        <f t="shared" si="70"/>
        <v>4920.3273447442843</v>
      </c>
      <c r="P139" s="191">
        <f t="shared" si="71"/>
        <v>4920.3273447442843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0</v>
      </c>
      <c r="H144" s="191">
        <f t="shared" ref="H144:P144" si="73">SUM(H135:H143)</f>
        <v>0</v>
      </c>
      <c r="I144" s="191">
        <f t="shared" si="73"/>
        <v>383.96818890859953</v>
      </c>
      <c r="J144" s="191">
        <f t="shared" si="73"/>
        <v>1116.3318157526542</v>
      </c>
      <c r="K144" s="191">
        <f t="shared" si="73"/>
        <v>1127.5788587963623</v>
      </c>
      <c r="L144" s="191">
        <f t="shared" si="73"/>
        <v>1139.8694683572428</v>
      </c>
      <c r="M144" s="191">
        <f t="shared" si="73"/>
        <v>1152.5790129294257</v>
      </c>
      <c r="N144" s="191">
        <f t="shared" si="73"/>
        <v>0</v>
      </c>
      <c r="O144" s="191">
        <f t="shared" si="73"/>
        <v>4920.3273447442843</v>
      </c>
      <c r="P144" s="191">
        <f t="shared" si="73"/>
        <v>4920.3273447442843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761.50488602156747</v>
      </c>
      <c r="J151" s="191">
        <f t="shared" si="74"/>
        <v>2204.4290292403607</v>
      </c>
      <c r="K151" s="191">
        <f t="shared" si="74"/>
        <v>2217.5183138444763</v>
      </c>
      <c r="L151" s="191">
        <f t="shared" si="74"/>
        <v>2231.8179265084891</v>
      </c>
      <c r="M151" s="191">
        <f t="shared" si="74"/>
        <v>2246.5884265551113</v>
      </c>
      <c r="N151" s="191">
        <f t="shared" si="74"/>
        <v>0</v>
      </c>
      <c r="O151" s="191">
        <f t="shared" si="75"/>
        <v>9661.8585821700035</v>
      </c>
      <c r="P151" s="191">
        <f t="shared" si="76"/>
        <v>9661.8585821700035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0</v>
      </c>
      <c r="H156" s="191">
        <f t="shared" ref="H156:N156" si="77">SUM(H147:H155)</f>
        <v>0</v>
      </c>
      <c r="I156" s="191">
        <f t="shared" si="77"/>
        <v>761.50488602156747</v>
      </c>
      <c r="J156" s="191">
        <f t="shared" si="77"/>
        <v>2204.4290292403607</v>
      </c>
      <c r="K156" s="191">
        <f t="shared" si="77"/>
        <v>2217.5183138444763</v>
      </c>
      <c r="L156" s="191">
        <f t="shared" si="77"/>
        <v>2231.8179265084891</v>
      </c>
      <c r="M156" s="191">
        <f t="shared" si="77"/>
        <v>2246.5884265551113</v>
      </c>
      <c r="N156" s="191">
        <f t="shared" si="77"/>
        <v>0</v>
      </c>
      <c r="O156" s="191">
        <f t="shared" ref="O156:P156" si="78">SUM(O147:O155)</f>
        <v>9661.8585821700035</v>
      </c>
      <c r="P156" s="191">
        <f t="shared" si="78"/>
        <v>9661.8585821700035</v>
      </c>
    </row>
    <row r="157" spans="4:16" collapsed="1"/>
  </sheetData>
  <mergeCells count="1">
    <mergeCell ref="C13:C14"/>
  </mergeCells>
  <phoneticPr fontId="6" type="noConversion"/>
  <conditionalFormatting sqref="R14">
    <cfRule type="cellIs" dxfId="66" priority="4" operator="equal">
      <formula>"Error"</formula>
    </cfRule>
  </conditionalFormatting>
  <conditionalFormatting sqref="R11">
    <cfRule type="cellIs" dxfId="65" priority="3" operator="equal">
      <formula>"Error"</formula>
    </cfRule>
  </conditionalFormatting>
  <conditionalFormatting sqref="R54">
    <cfRule type="cellIs" dxfId="6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K18"/>
  <sheetViews>
    <sheetView workbookViewId="0"/>
  </sheetViews>
  <sheetFormatPr defaultRowHeight="15"/>
  <cols>
    <col min="3" max="3" width="21" bestFit="1" customWidth="1"/>
    <col min="5" max="5" width="28.7109375" customWidth="1"/>
    <col min="10" max="10" width="43.7109375" bestFit="1" customWidth="1"/>
    <col min="11" max="11" width="12.85546875" bestFit="1" customWidth="1"/>
  </cols>
  <sheetData>
    <row r="2" spans="3:11">
      <c r="C2" s="35" t="s">
        <v>177</v>
      </c>
      <c r="E2" s="35" t="s">
        <v>176</v>
      </c>
      <c r="G2" s="35" t="s">
        <v>278</v>
      </c>
      <c r="J2" s="35" t="s">
        <v>432</v>
      </c>
    </row>
    <row r="3" spans="3:11">
      <c r="C3" t="s">
        <v>3</v>
      </c>
      <c r="E3" t="s">
        <v>67</v>
      </c>
      <c r="G3" t="s">
        <v>281</v>
      </c>
      <c r="J3" t="s">
        <v>379</v>
      </c>
      <c r="K3" t="s">
        <v>433</v>
      </c>
    </row>
    <row r="4" spans="3:11">
      <c r="C4" t="s">
        <v>4</v>
      </c>
      <c r="E4" s="248" t="s">
        <v>292</v>
      </c>
      <c r="G4" t="s">
        <v>280</v>
      </c>
      <c r="J4" t="s">
        <v>380</v>
      </c>
      <c r="K4" s="248" t="s">
        <v>433</v>
      </c>
    </row>
    <row r="5" spans="3:11">
      <c r="C5" t="s">
        <v>5</v>
      </c>
      <c r="E5" t="s">
        <v>117</v>
      </c>
      <c r="G5" t="s">
        <v>279</v>
      </c>
      <c r="J5" t="s">
        <v>381</v>
      </c>
      <c r="K5" s="248" t="s">
        <v>433</v>
      </c>
    </row>
    <row r="6" spans="3:11">
      <c r="C6" t="s">
        <v>6</v>
      </c>
      <c r="E6" t="s">
        <v>118</v>
      </c>
      <c r="J6" t="s">
        <v>382</v>
      </c>
      <c r="K6" s="248" t="s">
        <v>433</v>
      </c>
    </row>
    <row r="7" spans="3:11">
      <c r="C7" t="s">
        <v>146</v>
      </c>
      <c r="E7" t="s">
        <v>143</v>
      </c>
      <c r="J7" t="s">
        <v>383</v>
      </c>
      <c r="K7" s="248" t="s">
        <v>433</v>
      </c>
    </row>
    <row r="8" spans="3:11">
      <c r="C8" t="s">
        <v>8</v>
      </c>
      <c r="E8" t="s">
        <v>144</v>
      </c>
      <c r="J8" t="s">
        <v>384</v>
      </c>
      <c r="K8" s="248" t="s">
        <v>433</v>
      </c>
    </row>
    <row r="9" spans="3:11">
      <c r="C9" t="s">
        <v>9</v>
      </c>
      <c r="E9" t="s">
        <v>145</v>
      </c>
      <c r="J9" t="s">
        <v>385</v>
      </c>
      <c r="K9" s="248" t="s">
        <v>433</v>
      </c>
    </row>
    <row r="10" spans="3:11">
      <c r="C10" t="s">
        <v>147</v>
      </c>
      <c r="E10" t="s">
        <v>179</v>
      </c>
      <c r="J10" t="s">
        <v>386</v>
      </c>
      <c r="K10" s="248" t="s">
        <v>433</v>
      </c>
    </row>
    <row r="11" spans="3:11">
      <c r="C11" t="s">
        <v>36</v>
      </c>
      <c r="J11" t="s">
        <v>434</v>
      </c>
      <c r="K11" s="248" t="s">
        <v>433</v>
      </c>
    </row>
    <row r="12" spans="3:11">
      <c r="C12" t="s">
        <v>52</v>
      </c>
      <c r="E12" s="35" t="s">
        <v>178</v>
      </c>
      <c r="J12" t="s">
        <v>389</v>
      </c>
      <c r="K12" t="s">
        <v>68</v>
      </c>
    </row>
    <row r="13" spans="3:11">
      <c r="C13" t="s">
        <v>148</v>
      </c>
      <c r="E13" t="s">
        <v>116</v>
      </c>
      <c r="J13" t="s">
        <v>120</v>
      </c>
      <c r="K13" s="248" t="s">
        <v>68</v>
      </c>
    </row>
    <row r="14" spans="3:11">
      <c r="C14" t="s">
        <v>53</v>
      </c>
      <c r="E14" t="s">
        <v>68</v>
      </c>
      <c r="J14" t="s">
        <v>390</v>
      </c>
      <c r="K14" s="248" t="s">
        <v>68</v>
      </c>
    </row>
    <row r="15" spans="3:11">
      <c r="C15" t="s">
        <v>11</v>
      </c>
      <c r="J15" t="s">
        <v>435</v>
      </c>
      <c r="K15" s="248" t="s">
        <v>68</v>
      </c>
    </row>
    <row r="16" spans="3:11">
      <c r="C16" t="s">
        <v>12</v>
      </c>
      <c r="E16" s="35" t="s">
        <v>205</v>
      </c>
    </row>
    <row r="17" spans="5:6">
      <c r="E17" t="s">
        <v>203</v>
      </c>
      <c r="F17">
        <v>1000</v>
      </c>
    </row>
    <row r="18" spans="5:6">
      <c r="E18" t="s">
        <v>204</v>
      </c>
      <c r="F18">
        <v>1000000</v>
      </c>
    </row>
  </sheetData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Project_Inputs!B30</f>
        <v>Various</v>
      </c>
      <c r="F3" s="249" t="s">
        <v>63</v>
      </c>
      <c r="G3" s="249">
        <f>Project_Inputs!F30</f>
        <v>0</v>
      </c>
    </row>
    <row r="4" spans="1:21" ht="18.75">
      <c r="A4" s="6"/>
      <c r="B4" s="6"/>
      <c r="C4" s="13" t="s">
        <v>15</v>
      </c>
      <c r="D4" s="339" t="str">
        <f>Project_Inputs!D30</f>
        <v>Syn Cons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Project_Inputs!H30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Project_Inputs!I30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Project_Inputs!J30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1746.2856007692308</v>
      </c>
      <c r="G11" s="319">
        <f>IF(G$10="Prior",SUMIFS(Project_Inputs!$W$5:$W$50,Project_Inputs!$D$5:$D$50,$D$4),SUMIFS(Project_Inputs!M$5:M$50,Project_Inputs!$D$5:$D$50,$D$4))</f>
        <v>2096.2649999999999</v>
      </c>
      <c r="H11" s="389">
        <f>IF(H$10="Prior",SUMIFS(Project_Inputs!$W$5:$W$50,Project_Inputs!$D$5:$D$50,$D$4),SUMIFS(Project_Inputs!N$5:N$50,Project_Inputs!$D$5:$D$50,$D$4))</f>
        <v>2126.0599417000453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5968.610542469276</v>
      </c>
      <c r="P11" s="300">
        <f t="shared" ref="P11" si="0">SUM(I11:M11)</f>
        <v>0</v>
      </c>
      <c r="R11" s="608" t="str">
        <f>IF(O11=Project_Inputs!V30,"ok","error")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1746.2856007692308</v>
      </c>
      <c r="G14" s="447">
        <f>IF($G$3="Yes",SUMIFS(Project_Inputs!AK$5:AK$50,Project_Inputs!$D$5:$D$50,$D$4),IF(AND(G$13="X",G$10="Prior"),G11,IF(G$13="X",SUM($F11:G11)-SUM(F14:$F14),0)))</f>
        <v>2096.2649999999999</v>
      </c>
      <c r="H14" s="447">
        <f>IF($G$3="Yes",SUMIFS(Project_Inputs!AL$5:AL$50,Project_Inputs!$D$5:$D$50,$D$4),IF(AND(H$13="X",H$10="Prior"),H11,IF(H$13="X",SUM($F11:H11)-SUM($F14:G14),0)))</f>
        <v>2126.0599417000453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5968.610542469276</v>
      </c>
      <c r="P14" s="451">
        <f>SUM(I14:M14)</f>
        <v>0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1</v>
      </c>
      <c r="G20" s="341">
        <v>1</v>
      </c>
      <c r="H20" s="392">
        <v>1</v>
      </c>
      <c r="I20" s="404">
        <v>1</v>
      </c>
      <c r="J20" s="341">
        <v>1</v>
      </c>
      <c r="K20" s="341">
        <v>1</v>
      </c>
      <c r="L20" s="341">
        <v>1</v>
      </c>
      <c r="M20" s="341">
        <v>1</v>
      </c>
      <c r="N20" s="342">
        <v>1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1.2315556875000155</v>
      </c>
      <c r="H46" s="290">
        <f>IF(H$10="Prior",0,(H11*H29)*(Assumptions!H28-1))</f>
        <v>2.6605035746947379</v>
      </c>
      <c r="I46" s="407">
        <f>IF(I$10="Prior",0,(I11*I29)*(Assumptions!I28-1))</f>
        <v>0</v>
      </c>
      <c r="J46" s="282">
        <f>IF(J$10="Prior",0,(J11*J29)*(Assumptions!J28-1))</f>
        <v>0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3.8920592621947536</v>
      </c>
      <c r="P46" s="300">
        <f t="shared" ref="P46:P47" si="7">SUM(I46:M46)</f>
        <v>0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4.297343249999992</v>
      </c>
      <c r="H47" s="290">
        <f>IF(H$10="Prior",0,(H11*H30)*(Assumptions!H30-1))</f>
        <v>11.429870988949702</v>
      </c>
      <c r="I47" s="407">
        <f>IF(I$10="Prior",0,(I11*I30)*(Assumptions!I30-1))</f>
        <v>0</v>
      </c>
      <c r="J47" s="282">
        <f>IF(J$10="Prior",0,(J11*J30)*(Assumptions!J30-1))</f>
        <v>0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15.727214238949694</v>
      </c>
      <c r="P47" s="300">
        <f t="shared" si="7"/>
        <v>0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5.5288989375000073</v>
      </c>
      <c r="H48" s="253">
        <f t="shared" si="8"/>
        <v>14.09037456364444</v>
      </c>
      <c r="I48" s="408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19.619273501144448</v>
      </c>
      <c r="P48" s="434">
        <f>SUM(P46:P47)</f>
        <v>0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5.5288989375000073</v>
      </c>
      <c r="H49" s="253">
        <f t="shared" si="9"/>
        <v>14.09037456364444</v>
      </c>
      <c r="I49" s="408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19.619273501144448</v>
      </c>
      <c r="P49" s="371">
        <f>P44+P48</f>
        <v>0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442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3.2870755030077322E-3</v>
      </c>
      <c r="P50" s="444">
        <f t="shared" si="10"/>
        <v>0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177.5828026346154</v>
      </c>
      <c r="G51" s="280">
        <f>(G29*G$11+G46)*Assumptions!$G$21</f>
        <v>214.42520324612315</v>
      </c>
      <c r="H51" s="280">
        <f>(H29*H$11+H46)*Assumptions!$G$21</f>
        <v>218.90822421030512</v>
      </c>
      <c r="I51" s="410">
        <f>(I29*I$11+I46)*Assumptions!$G$21</f>
        <v>0</v>
      </c>
      <c r="J51" s="280">
        <f>(J29*J$11+J46)*Assumptions!$G$21</f>
        <v>0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610.91623009104364</v>
      </c>
      <c r="P51" s="375">
        <f>SUM(I51:M51)</f>
        <v>0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887.91401317307702</v>
      </c>
      <c r="G52" s="282">
        <f>(G30*G$11+G47)*Assumptions!$G$21</f>
        <v>1070.2341075155075</v>
      </c>
      <c r="H52" s="282">
        <f>(H30*H$11+H47)*Assumptions!$G$21</f>
        <v>1092.636794050534</v>
      </c>
      <c r="I52" s="407">
        <f>(I30*I$11+I47)*Assumptions!$G$21</f>
        <v>0</v>
      </c>
      <c r="J52" s="282">
        <f>(J30*J$11+J47)*Assumptions!$G$21</f>
        <v>0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3050.7849147391189</v>
      </c>
      <c r="P52" s="376">
        <f>SUM(I52:M52)</f>
        <v>0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710.33121053846162</v>
      </c>
      <c r="G53" s="282">
        <f>(G31*G$11+G$44)*Assumptions!$G$21</f>
        <v>852.69125187969928</v>
      </c>
      <c r="H53" s="282">
        <f>(H31*H$11+H$44)*Assumptions!$G$21</f>
        <v>864.81084846595843</v>
      </c>
      <c r="I53" s="407">
        <f>(I31*I$11+I$44)*Assumptions!$G$21</f>
        <v>0</v>
      </c>
      <c r="J53" s="282">
        <f>(J31*J$11+J$44)*Assumptions!$G$21</f>
        <v>0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2427.8333108841193</v>
      </c>
      <c r="P53" s="376">
        <f>SUM(I53:M53)</f>
        <v>0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1775.828026346154</v>
      </c>
      <c r="G54" s="5">
        <f t="shared" si="12"/>
        <v>2137.3505626413298</v>
      </c>
      <c r="H54" s="5">
        <f t="shared" si="12"/>
        <v>2176.3558667267976</v>
      </c>
      <c r="I54" s="411">
        <f t="shared" si="12"/>
        <v>0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6089.5344557142816</v>
      </c>
      <c r="P54" s="428">
        <f t="shared" si="12"/>
        <v>0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142.2113607442937</v>
      </c>
      <c r="G57" s="290">
        <f t="shared" ref="G57:N57" si="13">G54*G56</f>
        <v>127.05434511512841</v>
      </c>
      <c r="H57" s="290">
        <f t="shared" si="13"/>
        <v>157.98969608083078</v>
      </c>
      <c r="I57" s="407">
        <f t="shared" si="13"/>
        <v>0</v>
      </c>
      <c r="J57" s="282">
        <f t="shared" si="13"/>
        <v>0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427.25540194025291</v>
      </c>
      <c r="P57" s="300">
        <f>SUM(I57:M57)</f>
        <v>0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1918.0393870904477</v>
      </c>
      <c r="G59" s="5">
        <f t="shared" si="14"/>
        <v>2264.4049077564582</v>
      </c>
      <c r="H59" s="5">
        <f t="shared" si="14"/>
        <v>2334.3455628076285</v>
      </c>
      <c r="I59" s="411">
        <f t="shared" si="14"/>
        <v>0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6516.7898576545349</v>
      </c>
      <c r="P59" s="429">
        <f t="shared" si="15"/>
        <v>0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142.2113607442937</v>
      </c>
      <c r="G60" s="290">
        <f t="shared" ref="G60:N60" si="16">G57+F60</f>
        <v>269.2657058594221</v>
      </c>
      <c r="H60" s="290">
        <f t="shared" si="16"/>
        <v>427.25540194025291</v>
      </c>
      <c r="I60" s="290">
        <f t="shared" si="16"/>
        <v>427.25540194025291</v>
      </c>
      <c r="J60" s="290">
        <f t="shared" si="16"/>
        <v>427.25540194025291</v>
      </c>
      <c r="K60" s="290">
        <f t="shared" si="16"/>
        <v>427.25540194025291</v>
      </c>
      <c r="L60" s="290">
        <f t="shared" si="16"/>
        <v>427.25540194025291</v>
      </c>
      <c r="M60" s="290">
        <f t="shared" si="16"/>
        <v>427.25540194025291</v>
      </c>
      <c r="N60" s="290">
        <f t="shared" si="16"/>
        <v>427.25540194025291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5.5288989375000073</v>
      </c>
      <c r="H61" s="252">
        <f t="shared" ref="H61:N61" si="17">H49+G61</f>
        <v>19.619273501144448</v>
      </c>
      <c r="I61" s="252">
        <f t="shared" si="17"/>
        <v>19.619273501144448</v>
      </c>
      <c r="J61" s="252">
        <f t="shared" si="17"/>
        <v>19.619273501144448</v>
      </c>
      <c r="K61" s="252">
        <f t="shared" si="17"/>
        <v>19.619273501144448</v>
      </c>
      <c r="L61" s="252">
        <f t="shared" si="17"/>
        <v>19.619273501144448</v>
      </c>
      <c r="M61" s="252">
        <f t="shared" si="17"/>
        <v>19.619273501144448</v>
      </c>
      <c r="N61" s="252">
        <f t="shared" si="17"/>
        <v>19.619273501144448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1918.0393870904477</v>
      </c>
      <c r="G67" s="282">
        <f t="shared" si="23"/>
        <v>2264.4049077564582</v>
      </c>
      <c r="H67" s="282">
        <f t="shared" si="23"/>
        <v>2334.3455628076285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6516.789857654534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1918.0393870904477</v>
      </c>
      <c r="G74" s="5">
        <f t="shared" ref="G74:N74" si="30">+SUM(G64:G73)</f>
        <v>2264.4049077564582</v>
      </c>
      <c r="H74" s="5">
        <f t="shared" si="30"/>
        <v>2334.3455628076285</v>
      </c>
      <c r="I74" s="411">
        <f t="shared" si="30"/>
        <v>0</v>
      </c>
      <c r="J74" s="382">
        <f t="shared" si="30"/>
        <v>0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6516.789857654534</v>
      </c>
      <c r="P74" s="428">
        <f>SUM(P64:P73)</f>
        <v>0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1746.2856007692308</v>
      </c>
      <c r="G76" s="280">
        <f t="shared" si="32"/>
        <v>2096.2649999999999</v>
      </c>
      <c r="H76" s="280">
        <f t="shared" si="32"/>
        <v>2126.0599417000453</v>
      </c>
      <c r="I76" s="410">
        <f t="shared" si="32"/>
        <v>0</v>
      </c>
      <c r="J76" s="280">
        <f t="shared" si="32"/>
        <v>0</v>
      </c>
      <c r="K76" s="280">
        <f t="shared" si="32"/>
        <v>0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5968.610542469276</v>
      </c>
      <c r="P76" s="378">
        <f t="shared" ref="P76:P80" si="33">SUM(I76:M76)</f>
        <v>0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5.5288989375000073</v>
      </c>
      <c r="H77" s="282">
        <f>IF(H$10="Prior",0,IF(AND(H76&lt;&gt;0,SUM($F76:G76)=0),H76/SUM($F$76:H76)*H61,IF(H76&lt;&gt;0,SUM($F$76:H76)/SUM($F$11:H11)*H61-G83,0)))</f>
        <v>14.090374563644442</v>
      </c>
      <c r="I77" s="407">
        <f>IF(I$10="Prior",0,IF(AND(I76&lt;&gt;0,SUM($F76:H76)=0),I76/SUM($F$76:I76)*I61,IF(I76&lt;&gt;0,SUM($F$76:I76)/SUM($F$11:I11)*I61-H83,0)))</f>
        <v>0</v>
      </c>
      <c r="J77" s="282">
        <f>IF(J$10="Prior",0,IF(AND(J76&lt;&gt;0,SUM($F76:I76)=0),J76/SUM($F$76:J76)*J61,IF(J76&lt;&gt;0,SUM($F$76:J76)/SUM($F$11:J11)*J61-I83,0)))</f>
        <v>0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19.619273501144448</v>
      </c>
      <c r="P77" s="455">
        <f t="shared" si="33"/>
        <v>0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1746.2856007692308</v>
      </c>
      <c r="G78" s="457">
        <f t="shared" ref="G78:N78" si="34">SUM(G76:G77)</f>
        <v>2101.7938989374998</v>
      </c>
      <c r="H78" s="457">
        <f t="shared" si="34"/>
        <v>2140.1503162636895</v>
      </c>
      <c r="I78" s="458">
        <f t="shared" si="34"/>
        <v>0</v>
      </c>
      <c r="J78" s="457">
        <f t="shared" si="34"/>
        <v>0</v>
      </c>
      <c r="K78" s="457">
        <f t="shared" si="34"/>
        <v>0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5988.2298159704205</v>
      </c>
      <c r="P78" s="461">
        <f t="shared" si="33"/>
        <v>0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1775.828026346154</v>
      </c>
      <c r="G79" s="457">
        <f>G78*Assumptions!$G$21</f>
        <v>2137.3505626413298</v>
      </c>
      <c r="H79" s="457">
        <f>H78*Assumptions!$G$21</f>
        <v>2176.3558667267971</v>
      </c>
      <c r="I79" s="458">
        <f>I78*Assumptions!$G$21</f>
        <v>0</v>
      </c>
      <c r="J79" s="457">
        <f>J78*Assumptions!$G$21</f>
        <v>0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6089.5344557142807</v>
      </c>
      <c r="P79" s="461">
        <f t="shared" si="33"/>
        <v>0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142.2113607442937</v>
      </c>
      <c r="G80" s="282">
        <f>IF(G$10="Prior",G79*G56,IF(AND(G79&lt;&gt;0,SUM($F79:F79)=0),G79/SUM($F$54:G54)*G60,IF(G79&lt;&gt;0,SUM($F$79:G79)/SUM($F$54:G54)*G60-F82,0)))</f>
        <v>127.0543451151284</v>
      </c>
      <c r="H80" s="282">
        <f>IF(H$10="Prior",H79*H56,IF(AND(H79&lt;&gt;0,SUM($F79:G79)=0),H79/SUM($F$54:H54)*H60,IF(H79&lt;&gt;0,SUM($F$79:H79)/SUM($F$54:H54)*H60-G82,0)))</f>
        <v>157.98969608083075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0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427.25540194025285</v>
      </c>
      <c r="P80" s="300">
        <f t="shared" si="33"/>
        <v>0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1918.0393870904477</v>
      </c>
      <c r="G81" s="307">
        <f t="shared" ref="G81:P81" si="35">SUM(G79:G80)</f>
        <v>2264.4049077564582</v>
      </c>
      <c r="H81" s="307">
        <f t="shared" si="35"/>
        <v>2334.3455628076281</v>
      </c>
      <c r="I81" s="417">
        <f t="shared" si="35"/>
        <v>0</v>
      </c>
      <c r="J81" s="387">
        <f t="shared" si="35"/>
        <v>0</v>
      </c>
      <c r="K81" s="387">
        <f t="shared" si="35"/>
        <v>0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6516.789857654534</v>
      </c>
      <c r="P81" s="388">
        <f t="shared" si="35"/>
        <v>0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142.2113607442937</v>
      </c>
      <c r="G82" s="252">
        <f t="shared" ref="G82:N82" si="36">G80+F82</f>
        <v>269.2657058594221</v>
      </c>
      <c r="H82" s="252">
        <f t="shared" si="36"/>
        <v>427.25540194025285</v>
      </c>
      <c r="I82" s="252">
        <f t="shared" si="36"/>
        <v>427.25540194025285</v>
      </c>
      <c r="J82" s="252">
        <f t="shared" si="36"/>
        <v>427.25540194025285</v>
      </c>
      <c r="K82" s="252">
        <f t="shared" si="36"/>
        <v>427.25540194025285</v>
      </c>
      <c r="L82" s="252">
        <f t="shared" si="36"/>
        <v>427.25540194025285</v>
      </c>
      <c r="M82" s="252">
        <f t="shared" si="36"/>
        <v>427.25540194025285</v>
      </c>
      <c r="N82" s="252">
        <f t="shared" si="36"/>
        <v>427.25540194025285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5.5288989375000073</v>
      </c>
      <c r="H83" s="252">
        <f t="shared" si="37"/>
        <v>19.619273501144448</v>
      </c>
      <c r="I83" s="252">
        <f t="shared" si="37"/>
        <v>19.619273501144448</v>
      </c>
      <c r="J83" s="252">
        <f t="shared" si="37"/>
        <v>19.619273501144448</v>
      </c>
      <c r="K83" s="252">
        <f t="shared" si="37"/>
        <v>19.619273501144448</v>
      </c>
      <c r="L83" s="252">
        <f t="shared" si="37"/>
        <v>19.619273501144448</v>
      </c>
      <c r="M83" s="252">
        <f t="shared" si="37"/>
        <v>19.619273501144448</v>
      </c>
      <c r="N83" s="252">
        <f t="shared" si="37"/>
        <v>19.619273501144448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1918.0393870904479</v>
      </c>
      <c r="G88" s="290">
        <f t="shared" si="43"/>
        <v>2264.4049077564582</v>
      </c>
      <c r="H88" s="290">
        <f t="shared" si="43"/>
        <v>2334.3455628076281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6516.789857654534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1918.0393870904479</v>
      </c>
      <c r="G95" s="5">
        <f t="shared" ref="G95" si="50">+SUM(G85:G94)</f>
        <v>2264.4049077564582</v>
      </c>
      <c r="H95" s="5">
        <f t="shared" ref="H95:N95" si="51">+SUM(H85:H94)</f>
        <v>2334.3455628076281</v>
      </c>
      <c r="I95" s="411">
        <f t="shared" si="51"/>
        <v>0</v>
      </c>
      <c r="J95" s="382">
        <f t="shared" si="51"/>
        <v>0</v>
      </c>
      <c r="K95" s="382">
        <f t="shared" si="51"/>
        <v>0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6516.789857654534</v>
      </c>
      <c r="P95" s="428">
        <f>SUM(P85:P94)</f>
        <v>0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1</v>
      </c>
      <c r="H105" s="2">
        <f t="shared" si="55"/>
        <v>1</v>
      </c>
      <c r="I105" s="2">
        <f t="shared" si="55"/>
        <v>1</v>
      </c>
      <c r="J105" s="2">
        <f t="shared" si="55"/>
        <v>1</v>
      </c>
      <c r="K105" s="2">
        <f t="shared" si="55"/>
        <v>1</v>
      </c>
      <c r="L105" s="2">
        <f t="shared" si="55"/>
        <v>1</v>
      </c>
      <c r="M105" s="2">
        <f t="shared" si="55"/>
        <v>1</v>
      </c>
      <c r="N105" s="2">
        <f t="shared" si="55"/>
        <v>1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852.69125187969928</v>
      </c>
      <c r="H117" s="191">
        <f t="shared" si="62"/>
        <v>864.81084846595843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1717.5021003456577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852.69125187969928</v>
      </c>
      <c r="H120" s="191">
        <f t="shared" ref="H120:P120" si="63">SUM(H111:H119)</f>
        <v>864.81084846595843</v>
      </c>
      <c r="I120" s="191">
        <f t="shared" si="63"/>
        <v>0</v>
      </c>
      <c r="J120" s="191">
        <f t="shared" si="63"/>
        <v>0</v>
      </c>
      <c r="K120" s="191">
        <f t="shared" si="63"/>
        <v>0</v>
      </c>
      <c r="L120" s="191">
        <f t="shared" si="63"/>
        <v>0</v>
      </c>
      <c r="M120" s="191">
        <f t="shared" si="63"/>
        <v>0</v>
      </c>
      <c r="N120" s="191">
        <f t="shared" si="63"/>
        <v>0</v>
      </c>
      <c r="O120" s="191">
        <f t="shared" si="63"/>
        <v>1717.5021003456577</v>
      </c>
      <c r="P120" s="191">
        <f t="shared" si="63"/>
        <v>0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214.42520324612315</v>
      </c>
      <c r="H129" s="191">
        <f t="shared" si="67"/>
        <v>218.90822421030512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433.33342745642824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214.42520324612315</v>
      </c>
      <c r="H132" s="191">
        <f t="shared" ref="H132:P132" si="68">SUM(H123:H131)</f>
        <v>218.90822421030512</v>
      </c>
      <c r="I132" s="191">
        <f t="shared" si="68"/>
        <v>0</v>
      </c>
      <c r="J132" s="191">
        <f t="shared" si="68"/>
        <v>0</v>
      </c>
      <c r="K132" s="191">
        <f t="shared" si="68"/>
        <v>0</v>
      </c>
      <c r="L132" s="191">
        <f t="shared" si="68"/>
        <v>0</v>
      </c>
      <c r="M132" s="191">
        <f t="shared" si="68"/>
        <v>0</v>
      </c>
      <c r="N132" s="191">
        <f t="shared" si="68"/>
        <v>0</v>
      </c>
      <c r="O132" s="191">
        <f t="shared" si="68"/>
        <v>433.33342745642824</v>
      </c>
      <c r="P132" s="191">
        <f t="shared" si="68"/>
        <v>0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1070.2341075155075</v>
      </c>
      <c r="H141" s="191">
        <f t="shared" si="72"/>
        <v>1092.636794050534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2162.8709015660415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1070.2341075155075</v>
      </c>
      <c r="H144" s="191">
        <f t="shared" ref="H144:P144" si="73">SUM(H135:H143)</f>
        <v>1092.636794050534</v>
      </c>
      <c r="I144" s="191">
        <f t="shared" si="73"/>
        <v>0</v>
      </c>
      <c r="J144" s="191">
        <f t="shared" si="73"/>
        <v>0</v>
      </c>
      <c r="K144" s="191">
        <f t="shared" si="73"/>
        <v>0</v>
      </c>
      <c r="L144" s="191">
        <f t="shared" si="73"/>
        <v>0</v>
      </c>
      <c r="M144" s="191">
        <f t="shared" si="73"/>
        <v>0</v>
      </c>
      <c r="N144" s="191">
        <f t="shared" si="73"/>
        <v>0</v>
      </c>
      <c r="O144" s="191">
        <f t="shared" si="73"/>
        <v>2162.8709015660415</v>
      </c>
      <c r="P144" s="191">
        <f t="shared" si="73"/>
        <v>0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2137.3505626413298</v>
      </c>
      <c r="H153" s="191">
        <f t="shared" si="74"/>
        <v>2176.3558667267976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4313.7064293681269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2137.3505626413298</v>
      </c>
      <c r="H156" s="191">
        <f t="shared" ref="H156:N156" si="77">SUM(H147:H155)</f>
        <v>2176.3558667267976</v>
      </c>
      <c r="I156" s="191">
        <f t="shared" si="77"/>
        <v>0</v>
      </c>
      <c r="J156" s="191">
        <f t="shared" si="77"/>
        <v>0</v>
      </c>
      <c r="K156" s="191">
        <f t="shared" si="77"/>
        <v>0</v>
      </c>
      <c r="L156" s="191">
        <f t="shared" si="77"/>
        <v>0</v>
      </c>
      <c r="M156" s="191">
        <f t="shared" si="77"/>
        <v>0</v>
      </c>
      <c r="N156" s="191">
        <f t="shared" si="77"/>
        <v>0</v>
      </c>
      <c r="O156" s="191">
        <f t="shared" ref="O156:P156" si="78">SUM(O147:O155)</f>
        <v>4313.7064293681269</v>
      </c>
      <c r="P156" s="191">
        <f t="shared" si="78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63" priority="4" operator="equal">
      <formula>"Error"</formula>
    </cfRule>
  </conditionalFormatting>
  <conditionalFormatting sqref="R11">
    <cfRule type="cellIs" dxfId="62" priority="3" operator="equal">
      <formula>"Error"</formula>
    </cfRule>
  </conditionalFormatting>
  <conditionalFormatting sqref="R54">
    <cfRule type="cellIs" dxfId="6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Project_Inputs!B31</f>
        <v>0</v>
      </c>
      <c r="F3" s="249" t="s">
        <v>63</v>
      </c>
      <c r="G3" s="249">
        <f>Project_Inputs!F31</f>
        <v>0</v>
      </c>
    </row>
    <row r="4" spans="1:21" ht="18.75">
      <c r="A4" s="6"/>
      <c r="B4" s="6"/>
      <c r="C4" s="13" t="s">
        <v>15</v>
      </c>
      <c r="D4" s="339" t="str">
        <f>Project_Inputs!D31</f>
        <v>Reactive plant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Project_Inputs!H31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Project_Inputs!I31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Project_Inputs!J31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2779.9673709230797</v>
      </c>
      <c r="G11" s="319">
        <f>IF(G$10="Prior",SUMIFS(Project_Inputs!$W$5:$W$50,Project_Inputs!$D$5:$D$50,$D$4),SUMIFS(Project_Inputs!M$5:M$50,Project_Inputs!$D$5:$D$50,$D$4))</f>
        <v>878.48418000000004</v>
      </c>
      <c r="H11" s="389">
        <f>IF(H$10="Prior",SUMIFS(Project_Inputs!$W$5:$W$50,Project_Inputs!$D$5:$D$50,$D$4),SUMIFS(Project_Inputs!N$5:N$50,Project_Inputs!$D$5:$D$50,$D$4))</f>
        <v>7558.7252056534771</v>
      </c>
      <c r="I11" s="399">
        <f>IF(I$10="Prior",SUMIFS(Project_Inputs!$W$5:$W$50,Project_Inputs!$D$5:$D$50,$D$4),SUMIFS(Project_Inputs!O$5:O$50,Project_Inputs!$D$5:$D$50,$D$4))</f>
        <v>143.00800000000001</v>
      </c>
      <c r="J11" s="320">
        <f>IF(J$10="Prior",SUMIFS(Project_Inputs!$W$5:$W$50,Project_Inputs!$D$5:$D$50,$D$4),SUMIFS(Project_Inputs!P$5:P$50,Project_Inputs!$D$5:$D$50,$D$4))</f>
        <v>143.00800000000001</v>
      </c>
      <c r="K11" s="320">
        <f>IF(K$10="Prior",SUMIFS(Project_Inputs!$W$5:$W$50,Project_Inputs!$D$5:$D$50,$D$4),SUMIFS(Project_Inputs!Q$5:Q$50,Project_Inputs!$D$5:$D$50,$D$4))</f>
        <v>143.00800000000001</v>
      </c>
      <c r="L11" s="320">
        <f>IF(L$10="Prior",SUMIFS(Project_Inputs!$W$5:$W$50,Project_Inputs!$D$5:$D$50,$D$4),SUMIFS(Project_Inputs!R$5:R$50,Project_Inputs!$D$5:$D$50,$D$4))</f>
        <v>143.00800000000001</v>
      </c>
      <c r="M11" s="320">
        <f>IF(M$10="Prior",SUMIFS(Project_Inputs!$W$5:$W$50,Project_Inputs!$D$5:$D$50,$D$4),SUMIFS(Project_Inputs!S$5:S$50,Project_Inputs!$D$5:$D$50,$D$4))</f>
        <v>143.00800000000001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11932.216756576556</v>
      </c>
      <c r="P11" s="300">
        <f t="shared" ref="P11" si="0">SUM(I11:M11)</f>
        <v>715.04000000000008</v>
      </c>
      <c r="R11" s="608" t="str">
        <f>IF(O11=Project_Inputs!V31,"ok","error")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2779.9673709230797</v>
      </c>
      <c r="G14" s="447">
        <f>IF($G$3="Yes",SUMIFS(Project_Inputs!AK$5:AK$50,Project_Inputs!$D$5:$D$50,$D$4),IF(AND(G$13="X",G$10="Prior"),G11,IF(G$13="X",SUM($F11:G11)-SUM(F14:$F14),0)))</f>
        <v>878.48417999999992</v>
      </c>
      <c r="H14" s="447">
        <f>IF($G$3="Yes",SUMIFS(Project_Inputs!AL$5:AL$50,Project_Inputs!$D$5:$D$50,$D$4),IF(AND(H$13="X",H$10="Prior"),H11,IF(H$13="X",SUM($F11:H11)-SUM($F14:G14),0)))</f>
        <v>7558.7252056534771</v>
      </c>
      <c r="I14" s="448">
        <f>IF($G$3="Yes",SUMIFS(Project_Inputs!AM$5:AM$50,Project_Inputs!$D$5:$D$50,$D$4),IF(AND(I$13="X",I$10="Prior"),I11,IF(I$13="X",SUM($F11:I11)-SUM($F14:H14),0)))</f>
        <v>143.00799999999981</v>
      </c>
      <c r="J14" s="447">
        <f>IF($G$3="Yes",SUMIFS(Project_Inputs!AN$5:AN$50,Project_Inputs!$D$5:$D$50,$D$4),IF(AND(J$13="X",J$10="Prior"),J11,IF(J$13="X",SUM($F11:J11)-SUM($F14:I14),0)))</f>
        <v>143.00799999999981</v>
      </c>
      <c r="K14" s="447">
        <f>IF($G$3="Yes",SUMIFS(Project_Inputs!AO$5:AO$50,Project_Inputs!$D$5:$D$50,$D$4),IF(AND(K$13="X",K$10="Prior"),K11,IF(K$13="X",SUM($F11:K11)-SUM($F14:J14),0)))</f>
        <v>143.00799999999981</v>
      </c>
      <c r="L14" s="447">
        <f>IF($G$3="Yes",SUMIFS(Project_Inputs!AP$5:AP$50,Project_Inputs!$D$5:$D$50,$D$4),IF(AND(L$13="X",L$10="Prior"),L11,IF(L$13="X",SUM($F11:L11)-SUM($F14:K14),0)))</f>
        <v>143.00799999999981</v>
      </c>
      <c r="M14" s="447">
        <f>IF($G$3="Yes",SUMIFS(Project_Inputs!AQ$5:AQ$50,Project_Inputs!$D$5:$D$50,$D$4),IF(AND(M$13="X",M$10="Prior"),M11,IF(M$13="X",SUM($F11:M11)-SUM($F14:L14),0)))</f>
        <v>143.00799999999981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11932.216756576556</v>
      </c>
      <c r="P14" s="451">
        <f>SUM(I14:M14)</f>
        <v>715.03999999999905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1</v>
      </c>
      <c r="G20" s="341">
        <v>1</v>
      </c>
      <c r="H20" s="392">
        <v>1</v>
      </c>
      <c r="I20" s="404">
        <v>1</v>
      </c>
      <c r="J20" s="341">
        <v>1</v>
      </c>
      <c r="K20" s="341">
        <v>1</v>
      </c>
      <c r="L20" s="341">
        <v>1</v>
      </c>
      <c r="M20" s="341">
        <v>1</v>
      </c>
      <c r="N20" s="342">
        <v>1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0.51610945575000666</v>
      </c>
      <c r="H46" s="290">
        <f>IF(H$10="Prior",0,(H11*H29)*(Assumptions!H28-1))</f>
        <v>9.4588186510375962</v>
      </c>
      <c r="I46" s="407">
        <f>IF(I$10="Prior",0,(I11*I29)*(Assumptions!I28-1))</f>
        <v>0.29551903731783269</v>
      </c>
      <c r="J46" s="282">
        <f>IF(J$10="Prior",0,(J11*J29)*(Assumptions!J28-1))</f>
        <v>0.41374922152010785</v>
      </c>
      <c r="K46" s="282">
        <f>IF(K$10="Prior",0,(K11*K29)*(Assumptions!K28-1))</f>
        <v>0.53551211632818585</v>
      </c>
      <c r="L46" s="282">
        <f>IF(L$10="Prior",0,(L11*L29)*(Assumptions!L28-1))</f>
        <v>0.66829710976932311</v>
      </c>
      <c r="M46" s="282">
        <f>IF(M$10="Prior",0,(M11*M29)*(Assumptions!M28-1))</f>
        <v>0.80451589346822638</v>
      </c>
      <c r="N46" s="283">
        <f>IF(N$10="Prior",0,(N11*N29)*(Assumptions!N28-1))</f>
        <v>0</v>
      </c>
      <c r="O46" s="362">
        <f t="shared" ref="O46:O47" si="6">SUM(F46:N46)</f>
        <v>12.692521485191278</v>
      </c>
      <c r="P46" s="300">
        <f t="shared" ref="P46:P47" si="7">SUM(I46:M46)</f>
        <v>2.7175933784036759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1.8008925689999968</v>
      </c>
      <c r="H47" s="290">
        <f>IF(H$10="Prior",0,(H11*H30)*(Assumptions!H30-1))</f>
        <v>40.636320852016034</v>
      </c>
      <c r="I47" s="407">
        <f>IF(I$10="Prior",0,(I11*I30)*(Assumptions!I30-1))</f>
        <v>1.5186531621592776</v>
      </c>
      <c r="J47" s="282">
        <f>IF(J$10="Prior",0,(J11*J30)*(Assumptions!J30-1))</f>
        <v>2.2799143213747812</v>
      </c>
      <c r="K47" s="282">
        <f>IF(K$10="Prior",0,(K11*K30)*(Assumptions!K30-1))</f>
        <v>3.0232872581626431</v>
      </c>
      <c r="L47" s="282">
        <f>IF(L$10="Prior",0,(L11*L30)*(Assumptions!L30-1))</f>
        <v>3.8356346892766151</v>
      </c>
      <c r="M47" s="282">
        <f>IF(M$10="Prior",0,(M11*M30)*(Assumptions!M30-1))</f>
        <v>4.6756716160620435</v>
      </c>
      <c r="N47" s="283">
        <f>IF(N$10="Prior",0,(N11*N30)*(Assumptions!N30-1))</f>
        <v>0</v>
      </c>
      <c r="O47" s="362">
        <f t="shared" si="6"/>
        <v>57.770374468051401</v>
      </c>
      <c r="P47" s="300">
        <f t="shared" si="7"/>
        <v>15.333161047035361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2.3170020247500034</v>
      </c>
      <c r="H48" s="253">
        <f t="shared" si="8"/>
        <v>50.09513950305363</v>
      </c>
      <c r="I48" s="408">
        <f t="shared" si="8"/>
        <v>1.8141721994771103</v>
      </c>
      <c r="J48" s="5">
        <f t="shared" si="8"/>
        <v>2.693663542894889</v>
      </c>
      <c r="K48" s="5">
        <f t="shared" si="8"/>
        <v>3.5587993744908291</v>
      </c>
      <c r="L48" s="5">
        <f t="shared" si="8"/>
        <v>4.5039317990459384</v>
      </c>
      <c r="M48" s="5">
        <f t="shared" si="8"/>
        <v>5.4801875095302695</v>
      </c>
      <c r="N48" s="286">
        <f t="shared" si="8"/>
        <v>0</v>
      </c>
      <c r="O48" s="433">
        <f>SUM(O46:O47)</f>
        <v>70.462895953242679</v>
      </c>
      <c r="P48" s="434">
        <f>SUM(P46:P47)</f>
        <v>18.050754425439038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2.3170020247500034</v>
      </c>
      <c r="H49" s="253">
        <f t="shared" si="9"/>
        <v>50.09513950305363</v>
      </c>
      <c r="I49" s="408">
        <f t="shared" si="9"/>
        <v>1.8141721994771103</v>
      </c>
      <c r="J49" s="5">
        <f t="shared" si="9"/>
        <v>2.693663542894889</v>
      </c>
      <c r="K49" s="5">
        <f t="shared" si="9"/>
        <v>3.5587993744908291</v>
      </c>
      <c r="L49" s="5">
        <f t="shared" si="9"/>
        <v>4.5039317990459384</v>
      </c>
      <c r="M49" s="5">
        <f t="shared" si="9"/>
        <v>5.4801875095302695</v>
      </c>
      <c r="N49" s="286">
        <f t="shared" si="9"/>
        <v>0</v>
      </c>
      <c r="O49" s="370">
        <f>O44+O48</f>
        <v>70.462895953242679</v>
      </c>
      <c r="P49" s="371">
        <f>P44+P48</f>
        <v>18.050754425439038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1.8835754243782785E-2</v>
      </c>
      <c r="K50" s="443">
        <f t="shared" si="10"/>
        <v>2.4885316726972119E-2</v>
      </c>
      <c r="L50" s="443">
        <f t="shared" si="10"/>
        <v>3.1494264649851327E-2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5.9052644944960772E-3</v>
      </c>
      <c r="P50" s="444">
        <f t="shared" si="10"/>
        <v>2.5244398111209213E-2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282.69968941153877</v>
      </c>
      <c r="G51" s="280">
        <f>(G29*G$11+G46)*Assumptions!$G$21</f>
        <v>89.85941607812174</v>
      </c>
      <c r="H51" s="280">
        <f>(H29*H$11+H46)*Assumptions!$G$21</f>
        <v>778.27867390237691</v>
      </c>
      <c r="I51" s="410">
        <f>(I29*I$11+I46)*Assumptions!$G$21</f>
        <v>14.84324924659577</v>
      </c>
      <c r="J51" s="280">
        <f>(J29*J$11+J46)*Assumptions!$G$21</f>
        <v>14.963479565493197</v>
      </c>
      <c r="K51" s="280">
        <f>(K29*K$11+K46)*Assumptions!$G$21</f>
        <v>15.08730235889765</v>
      </c>
      <c r="L51" s="280">
        <f>(L29*L$11+L46)*Assumptions!$G$21</f>
        <v>15.222333715009785</v>
      </c>
      <c r="M51" s="280">
        <f>(M29*M$11+M46)*Assumptions!$G$21</f>
        <v>15.360856951816377</v>
      </c>
      <c r="N51" s="281">
        <f>(N29*N$11+N46)*Assumptions!$G$21</f>
        <v>0</v>
      </c>
      <c r="O51" s="373">
        <f t="shared" ref="O51:O53" si="11">SUM(F51:N51)</f>
        <v>1226.3150012298504</v>
      </c>
      <c r="P51" s="375">
        <f>SUM(I51:M51)</f>
        <v>75.477221837812777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1413.4984470576937</v>
      </c>
      <c r="G52" s="282">
        <f>(G30*G$11+G47)*Assumptions!$G$21</f>
        <v>448.50423603351317</v>
      </c>
      <c r="H52" s="282">
        <f>(H30*H$11+H47)*Assumptions!$G$21</f>
        <v>3884.6229656206888</v>
      </c>
      <c r="I52" s="407">
        <f>(I30*I$11+I47)*Assumptions!$G$21</f>
        <v>74.257998798361228</v>
      </c>
      <c r="J52" s="282">
        <f>(J30*J$11+J47)*Assumptions!$G$21</f>
        <v>75.032138435834128</v>
      </c>
      <c r="K52" s="282">
        <f>(K30*K$11+K47)*Assumptions!$G$21</f>
        <v>75.788087230575172</v>
      </c>
      <c r="L52" s="282">
        <f>(L30*L$11+L47)*Assumptions!$G$21</f>
        <v>76.614177381388444</v>
      </c>
      <c r="M52" s="282">
        <f>(M30*M$11+M47)*Assumptions!$G$21</f>
        <v>77.468425459190925</v>
      </c>
      <c r="N52" s="283">
        <f>(N30*N$11+N47)*Assumptions!$G$21</f>
        <v>0</v>
      </c>
      <c r="O52" s="374">
        <f t="shared" si="11"/>
        <v>6125.7864760172451</v>
      </c>
      <c r="P52" s="376">
        <f>SUM(I52:M52)</f>
        <v>379.16082730534993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1130.7987576461551</v>
      </c>
      <c r="G53" s="282">
        <f>(G31*G$11+G$44)*Assumptions!$G$21</f>
        <v>357.33830178947375</v>
      </c>
      <c r="H53" s="282">
        <f>(H31*H$11+H$44)*Assumptions!$G$21</f>
        <v>3074.6393505703245</v>
      </c>
      <c r="I53" s="407">
        <f>(I31*I$11+I$44)*Assumptions!$G$21</f>
        <v>58.170923308270687</v>
      </c>
      <c r="J53" s="282">
        <f>(J31*J$11+J$44)*Assumptions!$G$21</f>
        <v>58.170923308270687</v>
      </c>
      <c r="K53" s="282">
        <f>(K31*K$11+K$44)*Assumptions!$G$21</f>
        <v>58.170923308270687</v>
      </c>
      <c r="L53" s="282">
        <f>(L31*L$11+L$44)*Assumptions!$G$21</f>
        <v>58.170923308270687</v>
      </c>
      <c r="M53" s="282">
        <f>(M31*M$11+M$44)*Assumptions!$G$21</f>
        <v>58.170923308270687</v>
      </c>
      <c r="N53" s="283">
        <f>(N31*N$11+N$44)*Assumptions!$G$21</f>
        <v>0</v>
      </c>
      <c r="O53" s="374">
        <f t="shared" si="11"/>
        <v>4853.6310265473085</v>
      </c>
      <c r="P53" s="376">
        <f>SUM(I53:M53)</f>
        <v>290.85461654135344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2826.9968941153875</v>
      </c>
      <c r="G54" s="5">
        <f t="shared" si="12"/>
        <v>895.70195390110871</v>
      </c>
      <c r="H54" s="5">
        <f t="shared" si="12"/>
        <v>7737.5409900933901</v>
      </c>
      <c r="I54" s="411">
        <f t="shared" si="12"/>
        <v>147.27217135322769</v>
      </c>
      <c r="J54" s="382">
        <f t="shared" si="12"/>
        <v>148.16654130959802</v>
      </c>
      <c r="K54" s="382">
        <f t="shared" si="12"/>
        <v>149.04631289774352</v>
      </c>
      <c r="L54" s="382">
        <f t="shared" si="12"/>
        <v>150.00743440466891</v>
      </c>
      <c r="M54" s="382">
        <f t="shared" si="12"/>
        <v>151.00020571927797</v>
      </c>
      <c r="N54" s="286">
        <f t="shared" si="12"/>
        <v>0</v>
      </c>
      <c r="O54" s="372">
        <f t="shared" si="12"/>
        <v>12205.732503794403</v>
      </c>
      <c r="P54" s="428">
        <f t="shared" si="12"/>
        <v>745.49266568451617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226.39077048425585</v>
      </c>
      <c r="G57" s="290">
        <f t="shared" ref="G57:N57" si="13">G54*G56</f>
        <v>53.244810262013921</v>
      </c>
      <c r="H57" s="290">
        <f t="shared" si="13"/>
        <v>561.69662697505987</v>
      </c>
      <c r="I57" s="407">
        <f t="shared" si="13"/>
        <v>12.987436837165113</v>
      </c>
      <c r="J57" s="282">
        <f t="shared" si="13"/>
        <v>17.824381224517222</v>
      </c>
      <c r="K57" s="282">
        <f t="shared" si="13"/>
        <v>19.447721245519311</v>
      </c>
      <c r="L57" s="282">
        <f t="shared" si="13"/>
        <v>17.687437583770976</v>
      </c>
      <c r="M57" s="282">
        <f t="shared" si="13"/>
        <v>16.766731785030792</v>
      </c>
      <c r="N57" s="283">
        <f t="shared" si="13"/>
        <v>0</v>
      </c>
      <c r="O57" s="309">
        <f>SUM(F57:N57)</f>
        <v>926.04591639733303</v>
      </c>
      <c r="P57" s="300">
        <f>SUM(I57:M57)</f>
        <v>84.713708676003421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3053.3876645996434</v>
      </c>
      <c r="G59" s="5">
        <f t="shared" si="14"/>
        <v>948.94676416312268</v>
      </c>
      <c r="H59" s="5">
        <f t="shared" si="14"/>
        <v>8299.2376170684493</v>
      </c>
      <c r="I59" s="411">
        <f t="shared" si="14"/>
        <v>160.25960819039281</v>
      </c>
      <c r="J59" s="382">
        <f t="shared" si="14"/>
        <v>165.99092253411524</v>
      </c>
      <c r="K59" s="382">
        <f t="shared" si="14"/>
        <v>168.49403414326284</v>
      </c>
      <c r="L59" s="382">
        <f t="shared" si="14"/>
        <v>167.6948719884399</v>
      </c>
      <c r="M59" s="382">
        <f t="shared" si="14"/>
        <v>167.76693750430877</v>
      </c>
      <c r="N59" s="418">
        <f>N54+N57</f>
        <v>0</v>
      </c>
      <c r="O59" s="419">
        <f t="shared" ref="O59:P59" si="15">O54+O57</f>
        <v>13131.778420191737</v>
      </c>
      <c r="P59" s="429">
        <f t="shared" si="15"/>
        <v>830.20637436051959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226.39077048425585</v>
      </c>
      <c r="G60" s="290">
        <f t="shared" ref="G60:N60" si="16">G57+F60</f>
        <v>279.6355807462698</v>
      </c>
      <c r="H60" s="290">
        <f t="shared" si="16"/>
        <v>841.33220772132972</v>
      </c>
      <c r="I60" s="290">
        <f t="shared" si="16"/>
        <v>854.31964455849482</v>
      </c>
      <c r="J60" s="290">
        <f t="shared" si="16"/>
        <v>872.14402578301201</v>
      </c>
      <c r="K60" s="290">
        <f t="shared" si="16"/>
        <v>891.59174702853136</v>
      </c>
      <c r="L60" s="290">
        <f t="shared" si="16"/>
        <v>909.27918461230229</v>
      </c>
      <c r="M60" s="290">
        <f t="shared" si="16"/>
        <v>926.04591639733303</v>
      </c>
      <c r="N60" s="290">
        <f t="shared" si="16"/>
        <v>926.04591639733303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2.3170020247500034</v>
      </c>
      <c r="H61" s="252">
        <f t="shared" ref="H61:N61" si="17">H49+G61</f>
        <v>52.412141527803634</v>
      </c>
      <c r="I61" s="252">
        <f t="shared" si="17"/>
        <v>54.226313727280747</v>
      </c>
      <c r="J61" s="252">
        <f t="shared" si="17"/>
        <v>56.919977270175636</v>
      </c>
      <c r="K61" s="252">
        <f t="shared" si="17"/>
        <v>60.478776644666468</v>
      </c>
      <c r="L61" s="252">
        <f t="shared" si="17"/>
        <v>64.982708443712411</v>
      </c>
      <c r="M61" s="252">
        <f t="shared" si="17"/>
        <v>70.462895953242679</v>
      </c>
      <c r="N61" s="252">
        <f t="shared" si="17"/>
        <v>70.462895953242679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3053.3876645996434</v>
      </c>
      <c r="G67" s="282">
        <f t="shared" si="23"/>
        <v>948.94676416312268</v>
      </c>
      <c r="H67" s="282">
        <f t="shared" si="23"/>
        <v>8299.2376170684493</v>
      </c>
      <c r="I67" s="416">
        <f t="shared" si="23"/>
        <v>160.25960819039281</v>
      </c>
      <c r="J67" s="381">
        <f t="shared" si="23"/>
        <v>165.99092253411524</v>
      </c>
      <c r="K67" s="381">
        <f t="shared" si="23"/>
        <v>168.49403414326284</v>
      </c>
      <c r="L67" s="381">
        <f t="shared" si="23"/>
        <v>167.6948719884399</v>
      </c>
      <c r="M67" s="381">
        <f t="shared" si="23"/>
        <v>167.76693750430877</v>
      </c>
      <c r="N67" s="283">
        <f t="shared" si="23"/>
        <v>0</v>
      </c>
      <c r="O67" s="374">
        <f t="shared" si="20"/>
        <v>13131.778420191735</v>
      </c>
      <c r="P67" s="431">
        <f t="shared" si="21"/>
        <v>830.20637436051959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3053.3876645996434</v>
      </c>
      <c r="G74" s="5">
        <f t="shared" ref="G74:N74" si="30">+SUM(G64:G73)</f>
        <v>948.94676416312268</v>
      </c>
      <c r="H74" s="5">
        <f t="shared" si="30"/>
        <v>8299.2376170684493</v>
      </c>
      <c r="I74" s="411">
        <f t="shared" si="30"/>
        <v>160.25960819039281</v>
      </c>
      <c r="J74" s="382">
        <f t="shared" si="30"/>
        <v>165.99092253411524</v>
      </c>
      <c r="K74" s="382">
        <f t="shared" si="30"/>
        <v>168.49403414326284</v>
      </c>
      <c r="L74" s="382">
        <f t="shared" si="30"/>
        <v>167.6948719884399</v>
      </c>
      <c r="M74" s="382">
        <f t="shared" si="30"/>
        <v>167.76693750430877</v>
      </c>
      <c r="N74" s="286">
        <f t="shared" si="30"/>
        <v>0</v>
      </c>
      <c r="O74" s="372">
        <f>SUM(O64:O73)</f>
        <v>13131.778420191735</v>
      </c>
      <c r="P74" s="428">
        <f>SUM(P64:P73)</f>
        <v>830.20637436051959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2779.9673709230797</v>
      </c>
      <c r="G76" s="280">
        <f t="shared" si="32"/>
        <v>878.48417999999992</v>
      </c>
      <c r="H76" s="280">
        <f t="shared" si="32"/>
        <v>7558.7252056534771</v>
      </c>
      <c r="I76" s="410">
        <f t="shared" si="32"/>
        <v>143.00799999999981</v>
      </c>
      <c r="J76" s="280">
        <f t="shared" si="32"/>
        <v>143.00799999999981</v>
      </c>
      <c r="K76" s="280">
        <f t="shared" si="32"/>
        <v>143.00799999999981</v>
      </c>
      <c r="L76" s="280">
        <f t="shared" si="32"/>
        <v>143.00799999999981</v>
      </c>
      <c r="M76" s="280">
        <f t="shared" si="32"/>
        <v>143.00799999999981</v>
      </c>
      <c r="N76" s="281">
        <f t="shared" si="32"/>
        <v>0</v>
      </c>
      <c r="O76" s="377">
        <f>SUM(F76:N76)</f>
        <v>11932.216756576556</v>
      </c>
      <c r="P76" s="378">
        <f t="shared" ref="P76:P80" si="33">SUM(I76:M76)</f>
        <v>715.03999999999905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2.3170020247500034</v>
      </c>
      <c r="H77" s="282">
        <f>IF(H$10="Prior",0,IF(AND(H76&lt;&gt;0,SUM($F76:G76)=0),H76/SUM($F$76:H76)*H61,IF(H76&lt;&gt;0,SUM($F$76:H76)/SUM($F$11:H11)*H61-G83,0)))</f>
        <v>50.09513950305363</v>
      </c>
      <c r="I77" s="407">
        <f>IF(I$10="Prior",0,IF(AND(I76&lt;&gt;0,SUM($F76:H76)=0),I76/SUM($F$76:I76)*I61,IF(I76&lt;&gt;0,SUM($F$76:I76)/SUM($F$11:I11)*I61-H83,0)))</f>
        <v>1.8141721994771132</v>
      </c>
      <c r="J77" s="282">
        <f>IF(J$10="Prior",0,IF(AND(J76&lt;&gt;0,SUM($F76:I76)=0),J76/SUM($F$76:J76)*J61,IF(J76&lt;&gt;0,SUM($F$76:J76)/SUM($F$11:J11)*J61-I83,0)))</f>
        <v>2.693663542894889</v>
      </c>
      <c r="K77" s="282">
        <f>IF(K$10="Prior",0,IF(AND(K76&lt;&gt;0,SUM($F76:J76)=0),K76/SUM($F$76:K76)*K61,IF(K76&lt;&gt;0,SUM($F$76:K76)/SUM($F$11:K11)*K61-J83,0)))</f>
        <v>3.5587993744908317</v>
      </c>
      <c r="L77" s="282">
        <f>IF(L$10="Prior",0,IF(AND(L76&lt;&gt;0,SUM($F76:K76)=0),L76/SUM($F$76:L76)*L61,IF(L76&lt;&gt;0,SUM($F$76:L76)/SUM($F$11:L11)*L61-K83,0)))</f>
        <v>4.5039317990459438</v>
      </c>
      <c r="M77" s="282">
        <f>IF(M$10="Prior",0,IF(AND(M76&lt;&gt;0,SUM($F76:L76)=0),M76/SUM($F$76:M76)*M61,IF(M76&lt;&gt;0,SUM($F$76:M76)/SUM($F$11:M11)*M61-L83,0)))</f>
        <v>5.4801875095302677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70.462895953242679</v>
      </c>
      <c r="P77" s="455">
        <f t="shared" si="33"/>
        <v>18.050754425439045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2779.9673709230797</v>
      </c>
      <c r="G78" s="457">
        <f t="shared" ref="G78:N78" si="34">SUM(G76:G77)</f>
        <v>880.80118202474989</v>
      </c>
      <c r="H78" s="457">
        <f t="shared" si="34"/>
        <v>7608.8203451565305</v>
      </c>
      <c r="I78" s="458">
        <f t="shared" si="34"/>
        <v>144.82217219947694</v>
      </c>
      <c r="J78" s="457">
        <f t="shared" si="34"/>
        <v>145.70166354289469</v>
      </c>
      <c r="K78" s="457">
        <f t="shared" si="34"/>
        <v>146.56679937449064</v>
      </c>
      <c r="L78" s="457">
        <f t="shared" si="34"/>
        <v>147.51193179904575</v>
      </c>
      <c r="M78" s="457">
        <f t="shared" si="34"/>
        <v>148.48818750953006</v>
      </c>
      <c r="N78" s="459">
        <f t="shared" si="34"/>
        <v>0</v>
      </c>
      <c r="O78" s="460">
        <f>SUM(F78:N78)</f>
        <v>12002.679652529801</v>
      </c>
      <c r="P78" s="461">
        <f t="shared" si="33"/>
        <v>733.09075442543804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2826.9968941153875</v>
      </c>
      <c r="G79" s="457">
        <f>G78*Assumptions!$G$21</f>
        <v>895.70195390110848</v>
      </c>
      <c r="H79" s="457">
        <f>H78*Assumptions!$G$21</f>
        <v>7737.5409900933901</v>
      </c>
      <c r="I79" s="458">
        <f>I78*Assumptions!$G$21</f>
        <v>147.27217135322749</v>
      </c>
      <c r="J79" s="457">
        <f>J78*Assumptions!$G$21</f>
        <v>148.16654130959782</v>
      </c>
      <c r="K79" s="457">
        <f>K78*Assumptions!$G$21</f>
        <v>149.04631289774332</v>
      </c>
      <c r="L79" s="457">
        <f>L78*Assumptions!$G$21</f>
        <v>150.00743440466871</v>
      </c>
      <c r="M79" s="457">
        <f>M78*Assumptions!$G$21</f>
        <v>151.00020571927777</v>
      </c>
      <c r="N79" s="459">
        <f>N78*Assumptions!$G$21</f>
        <v>0</v>
      </c>
      <c r="O79" s="460">
        <f>SUM(F79:N79)</f>
        <v>12205.732503794401</v>
      </c>
      <c r="P79" s="461">
        <f t="shared" si="33"/>
        <v>745.49266568451515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226.39077048425585</v>
      </c>
      <c r="G80" s="282">
        <f>IF(G$10="Prior",G79*G56,IF(AND(G79&lt;&gt;0,SUM($F79:F79)=0),G79/SUM($F$54:G54)*G60,IF(G79&lt;&gt;0,SUM($F$79:G79)/SUM($F$54:G54)*G60-F82,0)))</f>
        <v>53.244810262013885</v>
      </c>
      <c r="H80" s="282">
        <f>IF(H$10="Prior",H79*H56,IF(AND(H79&lt;&gt;0,SUM($F79:G79)=0),H79/SUM($F$54:H54)*H60,IF(H79&lt;&gt;0,SUM($F$79:H79)/SUM($F$54:H54)*H60-G82,0)))</f>
        <v>561.69662697505998</v>
      </c>
      <c r="I80" s="407">
        <f>IF(I$10="Prior",I79*I56,IF(AND(I79&lt;&gt;0,SUM($F79:H79)=0),I79/SUM($F$54:I54)*I60,IF(I79&lt;&gt;0,SUM($F$79:I79)/SUM($F$54:I54)*I60-H82,0)))</f>
        <v>12.987436837165092</v>
      </c>
      <c r="J80" s="282">
        <f>IF(J$10="Prior",J79*J56,IF(AND(J79&lt;&gt;0,SUM($F79:I79)=0),J79/SUM($F$54:J54)*J60,IF(J79&lt;&gt;0,SUM($F$79:J79)/SUM($F$54:J54)*J60-I82,0)))</f>
        <v>17.824381224517197</v>
      </c>
      <c r="K80" s="282">
        <f>IF(K$10="Prior",K79*K56,IF(AND(K79&lt;&gt;0,SUM($F79:J79)=0),K79/SUM($F$54:K54)*K60,IF(K79&lt;&gt;0,SUM($F$79:K79)/SUM($F$54:K54)*K60-J82,0)))</f>
        <v>19.447721245519233</v>
      </c>
      <c r="L80" s="282">
        <f>IF(L$10="Prior",L79*L56,IF(AND(L79&lt;&gt;0,SUM($F79:K79)=0),L79/SUM($F$54:L54)*L60,IF(L79&lt;&gt;0,SUM($F$79:L79)/SUM($F$54:L54)*L60-K82,0)))</f>
        <v>17.687437583770702</v>
      </c>
      <c r="M80" s="282">
        <f>IF(M$10="Prior",M79*M56,IF(AND(M79&lt;&gt;0,SUM($F79:L79)=0),M79/SUM($F$54:M54)*M60,IF(M79&lt;&gt;0,SUM($F$79:M79)/SUM($F$54:M54)*M60-L82,0)))</f>
        <v>16.766731785030743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926.04591639733269</v>
      </c>
      <c r="P80" s="300">
        <f t="shared" si="33"/>
        <v>84.713708676002966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3053.3876645996434</v>
      </c>
      <c r="G81" s="307">
        <f t="shared" ref="G81:P81" si="35">SUM(G79:G80)</f>
        <v>948.94676416312234</v>
      </c>
      <c r="H81" s="307">
        <f t="shared" si="35"/>
        <v>8299.2376170684493</v>
      </c>
      <c r="I81" s="417">
        <f t="shared" si="35"/>
        <v>160.25960819039258</v>
      </c>
      <c r="J81" s="387">
        <f t="shared" si="35"/>
        <v>165.99092253411501</v>
      </c>
      <c r="K81" s="387">
        <f t="shared" si="35"/>
        <v>168.49403414326255</v>
      </c>
      <c r="L81" s="387">
        <f t="shared" si="35"/>
        <v>167.69487198843942</v>
      </c>
      <c r="M81" s="387">
        <f t="shared" si="35"/>
        <v>167.76693750430852</v>
      </c>
      <c r="N81" s="420">
        <f t="shared" si="35"/>
        <v>0</v>
      </c>
      <c r="O81" s="421">
        <f t="shared" si="35"/>
        <v>13131.778420191733</v>
      </c>
      <c r="P81" s="388">
        <f t="shared" si="35"/>
        <v>830.20637436051811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226.39077048425585</v>
      </c>
      <c r="G82" s="252">
        <f t="shared" ref="G82:N82" si="36">G80+F82</f>
        <v>279.63558074626974</v>
      </c>
      <c r="H82" s="252">
        <f t="shared" si="36"/>
        <v>841.33220772132972</v>
      </c>
      <c r="I82" s="252">
        <f t="shared" si="36"/>
        <v>854.31964455849482</v>
      </c>
      <c r="J82" s="252">
        <f t="shared" si="36"/>
        <v>872.14402578301201</v>
      </c>
      <c r="K82" s="252">
        <f t="shared" si="36"/>
        <v>891.59174702853124</v>
      </c>
      <c r="L82" s="252">
        <f t="shared" si="36"/>
        <v>909.27918461230195</v>
      </c>
      <c r="M82" s="252">
        <f t="shared" si="36"/>
        <v>926.04591639733269</v>
      </c>
      <c r="N82" s="252">
        <f t="shared" si="36"/>
        <v>926.04591639733269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2.3170020247500034</v>
      </c>
      <c r="H83" s="252">
        <f t="shared" si="37"/>
        <v>52.412141527803634</v>
      </c>
      <c r="I83" s="252">
        <f t="shared" si="37"/>
        <v>54.226313727280747</v>
      </c>
      <c r="J83" s="252">
        <f t="shared" si="37"/>
        <v>56.919977270175636</v>
      </c>
      <c r="K83" s="252">
        <f t="shared" si="37"/>
        <v>60.478776644666468</v>
      </c>
      <c r="L83" s="252">
        <f t="shared" si="37"/>
        <v>64.982708443712411</v>
      </c>
      <c r="M83" s="252">
        <f t="shared" si="37"/>
        <v>70.462895953242679</v>
      </c>
      <c r="N83" s="252">
        <f t="shared" si="37"/>
        <v>70.462895953242679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3053.3876645996438</v>
      </c>
      <c r="G88" s="290">
        <f t="shared" si="43"/>
        <v>948.94676416312245</v>
      </c>
      <c r="H88" s="290">
        <f t="shared" si="43"/>
        <v>8299.2376170684493</v>
      </c>
      <c r="I88" s="416">
        <f t="shared" si="43"/>
        <v>160.25960819039261</v>
      </c>
      <c r="J88" s="381">
        <f t="shared" si="43"/>
        <v>165.99092253411504</v>
      </c>
      <c r="K88" s="381">
        <f t="shared" si="43"/>
        <v>168.49403414326258</v>
      </c>
      <c r="L88" s="381">
        <f t="shared" si="43"/>
        <v>167.69487198843944</v>
      </c>
      <c r="M88" s="381">
        <f t="shared" si="43"/>
        <v>167.76693750430854</v>
      </c>
      <c r="N88" s="346">
        <f t="shared" si="43"/>
        <v>0</v>
      </c>
      <c r="O88" s="374">
        <f t="shared" si="41"/>
        <v>13131.778420191731</v>
      </c>
      <c r="P88" s="431">
        <f t="shared" si="39"/>
        <v>830.20637436051823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3053.3876645996438</v>
      </c>
      <c r="G95" s="5">
        <f t="shared" ref="G95" si="50">+SUM(G85:G94)</f>
        <v>948.94676416312245</v>
      </c>
      <c r="H95" s="5">
        <f t="shared" ref="H95:N95" si="51">+SUM(H85:H94)</f>
        <v>8299.2376170684493</v>
      </c>
      <c r="I95" s="411">
        <f t="shared" si="51"/>
        <v>160.25960819039261</v>
      </c>
      <c r="J95" s="382">
        <f t="shared" si="51"/>
        <v>165.99092253411504</v>
      </c>
      <c r="K95" s="382">
        <f t="shared" si="51"/>
        <v>168.49403414326258</v>
      </c>
      <c r="L95" s="382">
        <f t="shared" si="51"/>
        <v>167.69487198843944</v>
      </c>
      <c r="M95" s="382">
        <f t="shared" si="51"/>
        <v>167.76693750430854</v>
      </c>
      <c r="N95" s="286">
        <f t="shared" si="51"/>
        <v>0</v>
      </c>
      <c r="O95" s="372">
        <f>SUM(O85:O94)</f>
        <v>13131.778420191731</v>
      </c>
      <c r="P95" s="428">
        <f>SUM(P85:P94)</f>
        <v>830.20637436051823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1</v>
      </c>
      <c r="H105" s="2">
        <f t="shared" si="55"/>
        <v>1</v>
      </c>
      <c r="I105" s="2">
        <f t="shared" si="55"/>
        <v>1</v>
      </c>
      <c r="J105" s="2">
        <f t="shared" si="55"/>
        <v>1</v>
      </c>
      <c r="K105" s="2">
        <f t="shared" si="55"/>
        <v>1</v>
      </c>
      <c r="L105" s="2">
        <f t="shared" si="55"/>
        <v>1</v>
      </c>
      <c r="M105" s="2">
        <f t="shared" si="55"/>
        <v>1</v>
      </c>
      <c r="N105" s="2">
        <f t="shared" si="55"/>
        <v>1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357.33830178947375</v>
      </c>
      <c r="H117" s="191">
        <f t="shared" si="62"/>
        <v>3074.6393505703245</v>
      </c>
      <c r="I117" s="191">
        <f t="shared" si="62"/>
        <v>58.170923308270687</v>
      </c>
      <c r="J117" s="191">
        <f t="shared" si="62"/>
        <v>58.170923308270687</v>
      </c>
      <c r="K117" s="191">
        <f t="shared" si="62"/>
        <v>58.170923308270687</v>
      </c>
      <c r="L117" s="191">
        <f t="shared" si="62"/>
        <v>58.170923308270687</v>
      </c>
      <c r="M117" s="191">
        <f t="shared" si="62"/>
        <v>58.170923308270687</v>
      </c>
      <c r="N117" s="191">
        <f t="shared" si="62"/>
        <v>0</v>
      </c>
      <c r="O117" s="191">
        <f t="shared" si="60"/>
        <v>3722.8322689011516</v>
      </c>
      <c r="P117" s="191">
        <f t="shared" si="61"/>
        <v>290.85461654135344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357.33830178947375</v>
      </c>
      <c r="H120" s="191">
        <f t="shared" ref="H120:P120" si="63">SUM(H111:H119)</f>
        <v>3074.6393505703245</v>
      </c>
      <c r="I120" s="191">
        <f t="shared" si="63"/>
        <v>58.170923308270687</v>
      </c>
      <c r="J120" s="191">
        <f t="shared" si="63"/>
        <v>58.170923308270687</v>
      </c>
      <c r="K120" s="191">
        <f t="shared" si="63"/>
        <v>58.170923308270687</v>
      </c>
      <c r="L120" s="191">
        <f t="shared" si="63"/>
        <v>58.170923308270687</v>
      </c>
      <c r="M120" s="191">
        <f t="shared" si="63"/>
        <v>58.170923308270687</v>
      </c>
      <c r="N120" s="191">
        <f t="shared" si="63"/>
        <v>0</v>
      </c>
      <c r="O120" s="191">
        <f t="shared" si="63"/>
        <v>3722.8322689011516</v>
      </c>
      <c r="P120" s="191">
        <f t="shared" si="63"/>
        <v>290.85461654135344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89.85941607812174</v>
      </c>
      <c r="H129" s="191">
        <f t="shared" si="67"/>
        <v>778.27867390237691</v>
      </c>
      <c r="I129" s="191">
        <f t="shared" si="67"/>
        <v>14.84324924659577</v>
      </c>
      <c r="J129" s="191">
        <f t="shared" si="67"/>
        <v>14.963479565493197</v>
      </c>
      <c r="K129" s="191">
        <f t="shared" si="67"/>
        <v>15.08730235889765</v>
      </c>
      <c r="L129" s="191">
        <f t="shared" si="67"/>
        <v>15.222333715009785</v>
      </c>
      <c r="M129" s="191">
        <f t="shared" si="67"/>
        <v>15.360856951816377</v>
      </c>
      <c r="N129" s="191">
        <f t="shared" si="67"/>
        <v>0</v>
      </c>
      <c r="O129" s="191">
        <f t="shared" si="65"/>
        <v>943.6153118183114</v>
      </c>
      <c r="P129" s="191">
        <f t="shared" si="66"/>
        <v>75.477221837812777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89.85941607812174</v>
      </c>
      <c r="H132" s="191">
        <f t="shared" ref="H132:P132" si="68">SUM(H123:H131)</f>
        <v>778.27867390237691</v>
      </c>
      <c r="I132" s="191">
        <f t="shared" si="68"/>
        <v>14.84324924659577</v>
      </c>
      <c r="J132" s="191">
        <f t="shared" si="68"/>
        <v>14.963479565493197</v>
      </c>
      <c r="K132" s="191">
        <f t="shared" si="68"/>
        <v>15.08730235889765</v>
      </c>
      <c r="L132" s="191">
        <f t="shared" si="68"/>
        <v>15.222333715009785</v>
      </c>
      <c r="M132" s="191">
        <f t="shared" si="68"/>
        <v>15.360856951816377</v>
      </c>
      <c r="N132" s="191">
        <f t="shared" si="68"/>
        <v>0</v>
      </c>
      <c r="O132" s="191">
        <f t="shared" si="68"/>
        <v>943.6153118183114</v>
      </c>
      <c r="P132" s="191">
        <f t="shared" si="68"/>
        <v>75.477221837812777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448.50423603351317</v>
      </c>
      <c r="H141" s="191">
        <f t="shared" si="72"/>
        <v>3884.6229656206888</v>
      </c>
      <c r="I141" s="191">
        <f t="shared" si="72"/>
        <v>74.257998798361228</v>
      </c>
      <c r="J141" s="191">
        <f t="shared" si="72"/>
        <v>75.032138435834128</v>
      </c>
      <c r="K141" s="191">
        <f t="shared" si="72"/>
        <v>75.788087230575172</v>
      </c>
      <c r="L141" s="191">
        <f t="shared" si="72"/>
        <v>76.614177381388444</v>
      </c>
      <c r="M141" s="191">
        <f t="shared" si="72"/>
        <v>77.468425459190925</v>
      </c>
      <c r="N141" s="191">
        <f t="shared" si="72"/>
        <v>0</v>
      </c>
      <c r="O141" s="191">
        <f t="shared" si="70"/>
        <v>4712.2880289595514</v>
      </c>
      <c r="P141" s="191">
        <f t="shared" si="71"/>
        <v>379.16082730534993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448.50423603351317</v>
      </c>
      <c r="H144" s="191">
        <f t="shared" ref="H144:P144" si="73">SUM(H135:H143)</f>
        <v>3884.6229656206888</v>
      </c>
      <c r="I144" s="191">
        <f t="shared" si="73"/>
        <v>74.257998798361228</v>
      </c>
      <c r="J144" s="191">
        <f t="shared" si="73"/>
        <v>75.032138435834128</v>
      </c>
      <c r="K144" s="191">
        <f t="shared" si="73"/>
        <v>75.788087230575172</v>
      </c>
      <c r="L144" s="191">
        <f t="shared" si="73"/>
        <v>76.614177381388444</v>
      </c>
      <c r="M144" s="191">
        <f t="shared" si="73"/>
        <v>77.468425459190925</v>
      </c>
      <c r="N144" s="191">
        <f t="shared" si="73"/>
        <v>0</v>
      </c>
      <c r="O144" s="191">
        <f t="shared" si="73"/>
        <v>4712.2880289595514</v>
      </c>
      <c r="P144" s="191">
        <f t="shared" si="73"/>
        <v>379.16082730534993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895.70195390110871</v>
      </c>
      <c r="H153" s="191">
        <f t="shared" si="74"/>
        <v>7737.5409900933901</v>
      </c>
      <c r="I153" s="191">
        <f t="shared" si="74"/>
        <v>147.27217135322769</v>
      </c>
      <c r="J153" s="191">
        <f t="shared" si="74"/>
        <v>148.16654130959802</v>
      </c>
      <c r="K153" s="191">
        <f t="shared" si="74"/>
        <v>149.04631289774352</v>
      </c>
      <c r="L153" s="191">
        <f t="shared" si="74"/>
        <v>150.00743440466891</v>
      </c>
      <c r="M153" s="191">
        <f t="shared" si="74"/>
        <v>151.00020571927797</v>
      </c>
      <c r="N153" s="191">
        <f t="shared" si="74"/>
        <v>0</v>
      </c>
      <c r="O153" s="191">
        <f t="shared" si="75"/>
        <v>9378.7356096790154</v>
      </c>
      <c r="P153" s="191">
        <f t="shared" si="76"/>
        <v>745.49266568451617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895.70195390110871</v>
      </c>
      <c r="H156" s="191">
        <f t="shared" ref="H156:N156" si="77">SUM(H147:H155)</f>
        <v>7737.5409900933901</v>
      </c>
      <c r="I156" s="191">
        <f t="shared" si="77"/>
        <v>147.27217135322769</v>
      </c>
      <c r="J156" s="191">
        <f t="shared" si="77"/>
        <v>148.16654130959802</v>
      </c>
      <c r="K156" s="191">
        <f t="shared" si="77"/>
        <v>149.04631289774352</v>
      </c>
      <c r="L156" s="191">
        <f t="shared" si="77"/>
        <v>150.00743440466891</v>
      </c>
      <c r="M156" s="191">
        <f t="shared" si="77"/>
        <v>151.00020571927797</v>
      </c>
      <c r="N156" s="191">
        <f t="shared" si="77"/>
        <v>0</v>
      </c>
      <c r="O156" s="191">
        <f t="shared" ref="O156:P156" si="78">SUM(O147:O155)</f>
        <v>9378.7356096790154</v>
      </c>
      <c r="P156" s="191">
        <f t="shared" si="78"/>
        <v>745.49266568451617</v>
      </c>
    </row>
    <row r="157" spans="4:16" collapsed="1"/>
  </sheetData>
  <mergeCells count="1">
    <mergeCell ref="C13:C14"/>
  </mergeCells>
  <phoneticPr fontId="6" type="noConversion"/>
  <conditionalFormatting sqref="R14">
    <cfRule type="cellIs" dxfId="60" priority="4" operator="equal">
      <formula>"Error"</formula>
    </cfRule>
  </conditionalFormatting>
  <conditionalFormatting sqref="R11">
    <cfRule type="cellIs" dxfId="59" priority="3" operator="equal">
      <formula>"Error"</formula>
    </cfRule>
  </conditionalFormatting>
  <conditionalFormatting sqref="R54">
    <cfRule type="cellIs" dxfId="5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Project_Inputs!B32</f>
        <v>0</v>
      </c>
      <c r="F3" s="249" t="s">
        <v>63</v>
      </c>
      <c r="G3" s="249">
        <f>Project_Inputs!F32</f>
        <v>0</v>
      </c>
    </row>
    <row r="4" spans="1:21" ht="18.75">
      <c r="A4" s="6"/>
      <c r="B4" s="6"/>
      <c r="C4" s="13" t="s">
        <v>15</v>
      </c>
      <c r="D4" s="339" t="str">
        <f>Project_Inputs!D32</f>
        <v>On-line monitoring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Project_Inputs!H32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Project_Inputs!I32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Project_Inputs!J32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0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148.24</v>
      </c>
      <c r="J11" s="320">
        <f>IF(J$10="Prior",SUMIFS(Project_Inputs!$W$5:$W$50,Project_Inputs!$D$5:$D$50,$D$4),SUMIFS(Project_Inputs!P$5:P$50,Project_Inputs!$D$5:$D$50,$D$4))</f>
        <v>174.4</v>
      </c>
      <c r="K11" s="320">
        <f>IF(K$10="Prior",SUMIFS(Project_Inputs!$W$5:$W$50,Project_Inputs!$D$5:$D$50,$D$4),SUMIFS(Project_Inputs!Q$5:Q$50,Project_Inputs!$D$5:$D$50,$D$4))</f>
        <v>87.2</v>
      </c>
      <c r="L11" s="320">
        <f>IF(L$10="Prior",SUMIFS(Project_Inputs!$W$5:$W$50,Project_Inputs!$D$5:$D$50,$D$4),SUMIFS(Project_Inputs!R$5:R$50,Project_Inputs!$D$5:$D$50,$D$4))</f>
        <v>87.2</v>
      </c>
      <c r="M11" s="320">
        <f>IF(M$10="Prior",SUMIFS(Project_Inputs!$W$5:$W$50,Project_Inputs!$D$5:$D$50,$D$4),SUMIFS(Project_Inputs!S$5:S$50,Project_Inputs!$D$5:$D$50,$D$4))</f>
        <v>87.2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584.24</v>
      </c>
      <c r="P11" s="300">
        <f t="shared" ref="P11" si="0">SUM(I11:M11)</f>
        <v>584.24</v>
      </c>
      <c r="R11" s="608" t="str">
        <f>IF(O11=Project_Inputs!V32,"ok","error")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148.24</v>
      </c>
      <c r="J14" s="447">
        <f>IF($G$3="Yes",SUMIFS(Project_Inputs!AN$5:AN$50,Project_Inputs!$D$5:$D$50,$D$4),IF(AND(J$13="X",J$10="Prior"),J11,IF(J$13="X",SUM($F11:J11)-SUM($F14:I14),0)))</f>
        <v>174.39999999999998</v>
      </c>
      <c r="K14" s="447">
        <f>IF($G$3="Yes",SUMIFS(Project_Inputs!AO$5:AO$50,Project_Inputs!$D$5:$D$50,$D$4),IF(AND(K$13="X",K$10="Prior"),K11,IF(K$13="X",SUM($F11:K11)-SUM($F14:J14),0)))</f>
        <v>87.199999999999989</v>
      </c>
      <c r="L14" s="447">
        <f>IF($G$3="Yes",SUMIFS(Project_Inputs!AP$5:AP$50,Project_Inputs!$D$5:$D$50,$D$4),IF(AND(L$13="X",L$10="Prior"),L11,IF(L$13="X",SUM($F11:L11)-SUM($F14:K14),0)))</f>
        <v>87.199999999999989</v>
      </c>
      <c r="M14" s="447">
        <f>IF($G$3="Yes",SUMIFS(Project_Inputs!AQ$5:AQ$50,Project_Inputs!$D$5:$D$50,$D$4),IF(AND(M$13="X",M$10="Prior"),M11,IF(M$13="X",SUM($F11:M11)-SUM($F14:L14),0)))</f>
        <v>87.200000000000045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584.24</v>
      </c>
      <c r="P14" s="451">
        <f>SUM(I14:M14)</f>
        <v>584.24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1</v>
      </c>
      <c r="G22" s="341">
        <v>1</v>
      </c>
      <c r="H22" s="392">
        <v>1</v>
      </c>
      <c r="I22" s="404">
        <v>1</v>
      </c>
      <c r="J22" s="341">
        <v>1</v>
      </c>
      <c r="K22" s="341">
        <v>1</v>
      </c>
      <c r="L22" s="341">
        <v>1</v>
      </c>
      <c r="M22" s="341">
        <v>1</v>
      </c>
      <c r="N22" s="342">
        <v>1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0</v>
      </c>
      <c r="I46" s="407">
        <f>IF(I$10="Prior",0,(I11*I29)*(Assumptions!I28-1))</f>
        <v>0.30633070941482654</v>
      </c>
      <c r="J46" s="282">
        <f>IF(J$10="Prior",0,(J11*J29)*(Assumptions!J28-1))</f>
        <v>0.50457222136598512</v>
      </c>
      <c r="K46" s="282">
        <f>IF(K$10="Prior",0,(K11*K29)*(Assumptions!K28-1))</f>
        <v>0.32653177824889379</v>
      </c>
      <c r="L46" s="282">
        <f>IF(L$10="Prior",0,(L11*L29)*(Assumptions!L28-1))</f>
        <v>0.40749823766422139</v>
      </c>
      <c r="M46" s="282">
        <f>IF(M$10="Prior",0,(M11*M29)*(Assumptions!M28-1))</f>
        <v>0.49055847162696725</v>
      </c>
      <c r="N46" s="283">
        <f>IF(N$10="Prior",0,(N11*N29)*(Assumptions!N28-1))</f>
        <v>0</v>
      </c>
      <c r="O46" s="362">
        <f t="shared" ref="O46:O47" si="6">SUM(F46:N46)</f>
        <v>2.0354914183208939</v>
      </c>
      <c r="P46" s="300">
        <f t="shared" ref="P46:P47" si="7">SUM(I46:M46)</f>
        <v>2.0354914183208939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0</v>
      </c>
      <c r="I47" s="407">
        <f>IF(I$10="Prior",0,(I11*I30)*(Assumptions!I30-1))</f>
        <v>1.57421364370169</v>
      </c>
      <c r="J47" s="282">
        <f>IF(J$10="Prior",0,(J11*J30)*(Assumptions!J30-1))</f>
        <v>2.7803833187497333</v>
      </c>
      <c r="K47" s="282">
        <f>IF(K$10="Prior",0,(K11*K30)*(Assumptions!K30-1))</f>
        <v>1.8434678403430749</v>
      </c>
      <c r="L47" s="282">
        <f>IF(L$10="Prior",0,(L11*L30)*(Assumptions!L30-1))</f>
        <v>2.338801639802814</v>
      </c>
      <c r="M47" s="282">
        <f>IF(M$10="Prior",0,(M11*M30)*(Assumptions!M30-1))</f>
        <v>2.8510192780866119</v>
      </c>
      <c r="N47" s="283">
        <f>IF(N$10="Prior",0,(N11*N30)*(Assumptions!N30-1))</f>
        <v>0</v>
      </c>
      <c r="O47" s="362">
        <f t="shared" si="6"/>
        <v>11.387885720683924</v>
      </c>
      <c r="P47" s="300">
        <f t="shared" si="7"/>
        <v>11.387885720683924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</v>
      </c>
      <c r="H48" s="253">
        <f t="shared" si="8"/>
        <v>0</v>
      </c>
      <c r="I48" s="408">
        <f t="shared" si="8"/>
        <v>1.8805443531165165</v>
      </c>
      <c r="J48" s="5">
        <f t="shared" si="8"/>
        <v>3.2849555401157184</v>
      </c>
      <c r="K48" s="5">
        <f t="shared" si="8"/>
        <v>2.1699996185919685</v>
      </c>
      <c r="L48" s="5">
        <f t="shared" si="8"/>
        <v>2.7462998774670355</v>
      </c>
      <c r="M48" s="5">
        <f t="shared" si="8"/>
        <v>3.3415777497135792</v>
      </c>
      <c r="N48" s="286">
        <f t="shared" si="8"/>
        <v>0</v>
      </c>
      <c r="O48" s="433">
        <f>SUM(O46:O47)</f>
        <v>13.423377139004817</v>
      </c>
      <c r="P48" s="434">
        <f>SUM(P46:P47)</f>
        <v>13.423377139004817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</v>
      </c>
      <c r="H49" s="253">
        <f t="shared" si="9"/>
        <v>0</v>
      </c>
      <c r="I49" s="408">
        <f t="shared" si="9"/>
        <v>1.8805443531165165</v>
      </c>
      <c r="J49" s="5">
        <f t="shared" si="9"/>
        <v>3.2849555401157184</v>
      </c>
      <c r="K49" s="5">
        <f t="shared" si="9"/>
        <v>2.1699996185919685</v>
      </c>
      <c r="L49" s="5">
        <f t="shared" si="9"/>
        <v>2.7462998774670355</v>
      </c>
      <c r="M49" s="5">
        <f t="shared" si="9"/>
        <v>3.3415777497135792</v>
      </c>
      <c r="N49" s="286">
        <f t="shared" si="9"/>
        <v>0</v>
      </c>
      <c r="O49" s="370">
        <f>O44+O48</f>
        <v>13.423377139004817</v>
      </c>
      <c r="P49" s="371">
        <f>P44+P48</f>
        <v>13.423377139004817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0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3.1494264649851327E-2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2.2975792720465592E-2</v>
      </c>
      <c r="P50" s="444">
        <f t="shared" si="10"/>
        <v>2.2975792720465592E-2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0</v>
      </c>
      <c r="G51" s="280">
        <f>(G29*G$11+G46)*Assumptions!$G$21</f>
        <v>0</v>
      </c>
      <c r="H51" s="280">
        <f>(H29*H$11+H46)*Assumptions!$G$21</f>
        <v>0</v>
      </c>
      <c r="I51" s="410">
        <f>(I29*I$11+I46)*Assumptions!$G$21</f>
        <v>15.386294950739517</v>
      </c>
      <c r="J51" s="280">
        <f>(J29*J$11+J46)*Assumptions!$G$21</f>
        <v>18.248145811577068</v>
      </c>
      <c r="K51" s="280">
        <f>(K29*K$11+K46)*Assumptions!$G$21</f>
        <v>9.1995746090839337</v>
      </c>
      <c r="L51" s="280">
        <f>(L29*L$11+L46)*Assumptions!$G$21</f>
        <v>9.2819108018352328</v>
      </c>
      <c r="M51" s="280">
        <f>(M29*M$11+M46)*Assumptions!$G$21</f>
        <v>9.3663761901319358</v>
      </c>
      <c r="N51" s="281">
        <f>(N29*N$11+N46)*Assumptions!$G$21</f>
        <v>0</v>
      </c>
      <c r="O51" s="373">
        <f t="shared" ref="O51:O53" si="11">SUM(F51:N51)</f>
        <v>61.482302363367687</v>
      </c>
      <c r="P51" s="375">
        <f>SUM(I51:M51)</f>
        <v>61.482302363367687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0</v>
      </c>
      <c r="G52" s="282">
        <f>(G30*G$11+G47)*Assumptions!$G$21</f>
        <v>0</v>
      </c>
      <c r="H52" s="282">
        <f>(H30*H$11+H47)*Assumptions!$G$21</f>
        <v>0</v>
      </c>
      <c r="I52" s="407">
        <f>(I30*I$11+I47)*Assumptions!$G$21</f>
        <v>76.974754851959815</v>
      </c>
      <c r="J52" s="282">
        <f>(J30*J$11+J47)*Assumptions!$G$21</f>
        <v>91.502607848578208</v>
      </c>
      <c r="K52" s="282">
        <f>(K30*K$11+K47)*Assumptions!$G$21</f>
        <v>46.212248311326327</v>
      </c>
      <c r="L52" s="282">
        <f>(L30*L$11+L47)*Assumptions!$G$21</f>
        <v>46.715961817919784</v>
      </c>
      <c r="M52" s="282">
        <f>(M30*M$11+M47)*Assumptions!$G$21</f>
        <v>47.236844792189586</v>
      </c>
      <c r="N52" s="283">
        <f>(N30*N$11+N47)*Assumptions!$G$21</f>
        <v>0</v>
      </c>
      <c r="O52" s="374">
        <f t="shared" si="11"/>
        <v>308.64241762197372</v>
      </c>
      <c r="P52" s="376">
        <f>SUM(I52:M52)</f>
        <v>308.64241762197372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0</v>
      </c>
      <c r="G53" s="282">
        <f>(G31*G$11+G$44)*Assumptions!$G$21</f>
        <v>0</v>
      </c>
      <c r="H53" s="282">
        <f>(H31*H$11+H$44)*Assumptions!$G$21</f>
        <v>0</v>
      </c>
      <c r="I53" s="407">
        <f>(I31*I$11+I$44)*Assumptions!$G$21</f>
        <v>60.299127819548886</v>
      </c>
      <c r="J53" s="282">
        <f>(J31*J$11+J$44)*Assumptions!$G$21</f>
        <v>70.940150375939865</v>
      </c>
      <c r="K53" s="282">
        <f>(K31*K$11+K$44)*Assumptions!$G$21</f>
        <v>35.470075187969933</v>
      </c>
      <c r="L53" s="282">
        <f>(L31*L$11+L$44)*Assumptions!$G$21</f>
        <v>35.470075187969933</v>
      </c>
      <c r="M53" s="282">
        <f>(M31*M$11+M$44)*Assumptions!$G$21</f>
        <v>35.470075187969933</v>
      </c>
      <c r="N53" s="283">
        <f>(N31*N$11+N$44)*Assumptions!$G$21</f>
        <v>0</v>
      </c>
      <c r="O53" s="374">
        <f t="shared" si="11"/>
        <v>237.64950375939856</v>
      </c>
      <c r="P53" s="376">
        <f>SUM(I53:M53)</f>
        <v>237.64950375939856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1">
        <f t="shared" si="12"/>
        <v>152.66017762224823</v>
      </c>
      <c r="J54" s="382">
        <f t="shared" si="12"/>
        <v>180.69090403609516</v>
      </c>
      <c r="K54" s="382">
        <f t="shared" si="12"/>
        <v>90.881898108380199</v>
      </c>
      <c r="L54" s="382">
        <f t="shared" si="12"/>
        <v>91.467947807724954</v>
      </c>
      <c r="M54" s="382">
        <f t="shared" si="12"/>
        <v>92.073296170291457</v>
      </c>
      <c r="N54" s="286">
        <f t="shared" si="12"/>
        <v>0</v>
      </c>
      <c r="O54" s="372">
        <f t="shared" si="12"/>
        <v>607.77422374473997</v>
      </c>
      <c r="P54" s="428">
        <f t="shared" si="12"/>
        <v>607.77422374473997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0</v>
      </c>
      <c r="H57" s="290">
        <f t="shared" si="13"/>
        <v>0</v>
      </c>
      <c r="I57" s="407">
        <f t="shared" si="13"/>
        <v>13.462586965354083</v>
      </c>
      <c r="J57" s="282">
        <f t="shared" si="13"/>
        <v>21.737050273801493</v>
      </c>
      <c r="K57" s="282">
        <f t="shared" si="13"/>
        <v>11.858366613121532</v>
      </c>
      <c r="L57" s="282">
        <f t="shared" si="13"/>
        <v>10.785022916933523</v>
      </c>
      <c r="M57" s="282">
        <f t="shared" si="13"/>
        <v>10.223616942091947</v>
      </c>
      <c r="N57" s="283">
        <f t="shared" si="13"/>
        <v>0</v>
      </c>
      <c r="O57" s="309">
        <f>SUM(F57:N57)</f>
        <v>68.066643711302575</v>
      </c>
      <c r="P57" s="300">
        <f>SUM(I57:M57)</f>
        <v>68.066643711302575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0</v>
      </c>
      <c r="G59" s="5">
        <f t="shared" si="14"/>
        <v>0</v>
      </c>
      <c r="H59" s="5">
        <f t="shared" si="14"/>
        <v>0</v>
      </c>
      <c r="I59" s="411">
        <f t="shared" si="14"/>
        <v>166.12276458760232</v>
      </c>
      <c r="J59" s="382">
        <f t="shared" si="14"/>
        <v>202.42795430989665</v>
      </c>
      <c r="K59" s="382">
        <f t="shared" si="14"/>
        <v>102.74026472150173</v>
      </c>
      <c r="L59" s="382">
        <f t="shared" si="14"/>
        <v>102.25297072465848</v>
      </c>
      <c r="M59" s="382">
        <f t="shared" si="14"/>
        <v>102.29691311238341</v>
      </c>
      <c r="N59" s="418">
        <f>N54+N57</f>
        <v>0</v>
      </c>
      <c r="O59" s="419">
        <f t="shared" ref="O59:P59" si="15">O54+O57</f>
        <v>675.84086745604259</v>
      </c>
      <c r="P59" s="429">
        <f t="shared" si="15"/>
        <v>675.84086745604259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0</v>
      </c>
      <c r="H60" s="290">
        <f t="shared" si="16"/>
        <v>0</v>
      </c>
      <c r="I60" s="290">
        <f t="shared" si="16"/>
        <v>13.462586965354083</v>
      </c>
      <c r="J60" s="290">
        <f t="shared" si="16"/>
        <v>35.199637239155578</v>
      </c>
      <c r="K60" s="290">
        <f t="shared" si="16"/>
        <v>47.05800385227711</v>
      </c>
      <c r="L60" s="290">
        <f t="shared" si="16"/>
        <v>57.843026769210631</v>
      </c>
      <c r="M60" s="290">
        <f t="shared" si="16"/>
        <v>68.066643711302575</v>
      </c>
      <c r="N60" s="290">
        <f t="shared" si="16"/>
        <v>68.066643711302575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0</v>
      </c>
      <c r="I61" s="252">
        <f t="shared" si="17"/>
        <v>1.8805443531165165</v>
      </c>
      <c r="J61" s="252">
        <f t="shared" si="17"/>
        <v>5.1654998932322354</v>
      </c>
      <c r="K61" s="252">
        <f t="shared" si="17"/>
        <v>7.3354995118242039</v>
      </c>
      <c r="L61" s="252">
        <f t="shared" si="17"/>
        <v>10.081799389291239</v>
      </c>
      <c r="M61" s="252">
        <f t="shared" si="17"/>
        <v>13.423377139004819</v>
      </c>
      <c r="N61" s="252">
        <f t="shared" si="17"/>
        <v>13.423377139004819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166.12276458760232</v>
      </c>
      <c r="J69" s="381">
        <f t="shared" si="25"/>
        <v>202.42795430989665</v>
      </c>
      <c r="K69" s="381">
        <f t="shared" si="25"/>
        <v>102.74026472150173</v>
      </c>
      <c r="L69" s="381">
        <f t="shared" si="25"/>
        <v>102.25297072465848</v>
      </c>
      <c r="M69" s="381">
        <f t="shared" si="25"/>
        <v>102.29691311238341</v>
      </c>
      <c r="N69" s="283">
        <f t="shared" si="25"/>
        <v>0</v>
      </c>
      <c r="O69" s="374">
        <f t="shared" si="20"/>
        <v>675.84086745604259</v>
      </c>
      <c r="P69" s="431">
        <f t="shared" si="21"/>
        <v>675.84086745604259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1">
        <f t="shared" si="30"/>
        <v>166.12276458760232</v>
      </c>
      <c r="J74" s="382">
        <f t="shared" si="30"/>
        <v>202.42795430989665</v>
      </c>
      <c r="K74" s="382">
        <f t="shared" si="30"/>
        <v>102.74026472150173</v>
      </c>
      <c r="L74" s="382">
        <f t="shared" si="30"/>
        <v>102.25297072465848</v>
      </c>
      <c r="M74" s="382">
        <f t="shared" si="30"/>
        <v>102.29691311238341</v>
      </c>
      <c r="N74" s="286">
        <f t="shared" si="30"/>
        <v>0</v>
      </c>
      <c r="O74" s="372">
        <f>SUM(O64:O73)</f>
        <v>675.84086745604259</v>
      </c>
      <c r="P74" s="428">
        <f>SUM(P64:P73)</f>
        <v>675.84086745604259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0</v>
      </c>
      <c r="I76" s="410">
        <f t="shared" si="32"/>
        <v>148.24</v>
      </c>
      <c r="J76" s="280">
        <f t="shared" si="32"/>
        <v>174.39999999999998</v>
      </c>
      <c r="K76" s="280">
        <f t="shared" si="32"/>
        <v>87.199999999999989</v>
      </c>
      <c r="L76" s="280">
        <f t="shared" si="32"/>
        <v>87.199999999999989</v>
      </c>
      <c r="M76" s="280">
        <f t="shared" si="32"/>
        <v>87.200000000000045</v>
      </c>
      <c r="N76" s="281">
        <f t="shared" si="32"/>
        <v>0</v>
      </c>
      <c r="O76" s="377">
        <f>SUM(F76:N76)</f>
        <v>584.24</v>
      </c>
      <c r="P76" s="378">
        <f t="shared" ref="P76:P80" si="33">SUM(I76:M76)</f>
        <v>584.24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1.8805443531165165</v>
      </c>
      <c r="J77" s="282">
        <f>IF(J$10="Prior",0,IF(AND(J76&lt;&gt;0,SUM($F76:I76)=0),J76/SUM($F$76:J76)*J61,IF(J76&lt;&gt;0,SUM($F$76:J76)/SUM($F$11:J11)*J61-I83,0)))</f>
        <v>3.2849555401157189</v>
      </c>
      <c r="K77" s="282">
        <f>IF(K$10="Prior",0,IF(AND(K76&lt;&gt;0,SUM($F76:J76)=0),K76/SUM($F$76:K76)*K61,IF(K76&lt;&gt;0,SUM($F$76:K76)/SUM($F$11:K11)*K61-J83,0)))</f>
        <v>2.1699996185919685</v>
      </c>
      <c r="L77" s="282">
        <f>IF(L$10="Prior",0,IF(AND(L76&lt;&gt;0,SUM($F76:K76)=0),L76/SUM($F$76:L76)*L61,IF(L76&lt;&gt;0,SUM($F$76:L76)/SUM($F$11:L11)*L61-K83,0)))</f>
        <v>2.7462998774670355</v>
      </c>
      <c r="M77" s="282">
        <f>IF(M$10="Prior",0,IF(AND(M76&lt;&gt;0,SUM($F76:L76)=0),M76/SUM($F$76:M76)*M61,IF(M76&lt;&gt;0,SUM($F$76:M76)/SUM($F$11:M11)*M61-L83,0)))</f>
        <v>3.3415777497135792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13.423377139004819</v>
      </c>
      <c r="P77" s="455">
        <f t="shared" si="33"/>
        <v>13.423377139004819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150.12054435311651</v>
      </c>
      <c r="J78" s="457">
        <f t="shared" si="34"/>
        <v>177.68495554011571</v>
      </c>
      <c r="K78" s="457">
        <f t="shared" si="34"/>
        <v>89.369999618591962</v>
      </c>
      <c r="L78" s="457">
        <f t="shared" si="34"/>
        <v>89.946299877467027</v>
      </c>
      <c r="M78" s="457">
        <f t="shared" si="34"/>
        <v>90.541577749713625</v>
      </c>
      <c r="N78" s="459">
        <f t="shared" si="34"/>
        <v>0</v>
      </c>
      <c r="O78" s="460">
        <f>SUM(F78:N78)</f>
        <v>597.66337713900487</v>
      </c>
      <c r="P78" s="461">
        <f t="shared" si="33"/>
        <v>597.66337713900487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0</v>
      </c>
      <c r="I79" s="458">
        <f>I78*Assumptions!$G$21</f>
        <v>152.6601776222482</v>
      </c>
      <c r="J79" s="457">
        <f>J78*Assumptions!$G$21</f>
        <v>180.69090403609513</v>
      </c>
      <c r="K79" s="457">
        <f>K78*Assumptions!$G$21</f>
        <v>90.881898108380184</v>
      </c>
      <c r="L79" s="457">
        <f>L78*Assumptions!$G$21</f>
        <v>91.46794780772494</v>
      </c>
      <c r="M79" s="457">
        <f>M78*Assumptions!$G$21</f>
        <v>92.073296170291499</v>
      </c>
      <c r="N79" s="459">
        <f>N78*Assumptions!$G$21</f>
        <v>0</v>
      </c>
      <c r="O79" s="460">
        <f>SUM(F79:N79)</f>
        <v>607.77422374473997</v>
      </c>
      <c r="P79" s="461">
        <f t="shared" si="33"/>
        <v>607.77422374473997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13.462586965354079</v>
      </c>
      <c r="J80" s="282">
        <f>IF(J$10="Prior",J79*J56,IF(AND(J79&lt;&gt;0,SUM($F79:I79)=0),J79/SUM($F$54:J54)*J60,IF(J79&lt;&gt;0,SUM($F$79:J79)/SUM($F$54:J54)*J60-I82,0)))</f>
        <v>21.737050273801493</v>
      </c>
      <c r="K80" s="282">
        <f>IF(K$10="Prior",K79*K56,IF(AND(K79&lt;&gt;0,SUM($F79:J79)=0),K79/SUM($F$54:K54)*K60,IF(K79&lt;&gt;0,SUM($F$79:K79)/SUM($F$54:K54)*K60-J82,0)))</f>
        <v>11.858366613121532</v>
      </c>
      <c r="L80" s="282">
        <f>IF(L$10="Prior",L79*L56,IF(AND(L79&lt;&gt;0,SUM($F79:K79)=0),L79/SUM($F$54:L54)*L60,IF(L79&lt;&gt;0,SUM($F$79:L79)/SUM($F$54:L54)*L60-K82,0)))</f>
        <v>10.785022916933514</v>
      </c>
      <c r="M80" s="282">
        <f>IF(M$10="Prior",M79*M56,IF(AND(M79&lt;&gt;0,SUM($F79:L79)=0),M79/SUM($F$54:M54)*M60,IF(M79&lt;&gt;0,SUM($F$79:M79)/SUM($F$54:M54)*M60-L82,0)))</f>
        <v>10.223616942091958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68.066643711302575</v>
      </c>
      <c r="P80" s="300">
        <f t="shared" si="33"/>
        <v>68.066643711302575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166.12276458760229</v>
      </c>
      <c r="J81" s="387">
        <f t="shared" si="35"/>
        <v>202.42795430989662</v>
      </c>
      <c r="K81" s="387">
        <f t="shared" si="35"/>
        <v>102.74026472150172</v>
      </c>
      <c r="L81" s="387">
        <f t="shared" si="35"/>
        <v>102.25297072465845</v>
      </c>
      <c r="M81" s="387">
        <f t="shared" si="35"/>
        <v>102.29691311238346</v>
      </c>
      <c r="N81" s="420">
        <f t="shared" si="35"/>
        <v>0</v>
      </c>
      <c r="O81" s="421">
        <f t="shared" si="35"/>
        <v>675.84086745604259</v>
      </c>
      <c r="P81" s="388">
        <f t="shared" si="35"/>
        <v>675.84086745604259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13.462586965354079</v>
      </c>
      <c r="J82" s="252">
        <f t="shared" si="36"/>
        <v>35.199637239155571</v>
      </c>
      <c r="K82" s="252">
        <f t="shared" si="36"/>
        <v>47.058003852277103</v>
      </c>
      <c r="L82" s="252">
        <f t="shared" si="36"/>
        <v>57.843026769210617</v>
      </c>
      <c r="M82" s="252">
        <f t="shared" si="36"/>
        <v>68.066643711302575</v>
      </c>
      <c r="N82" s="252">
        <f t="shared" si="36"/>
        <v>68.066643711302575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1.8805443531165165</v>
      </c>
      <c r="J83" s="252">
        <f t="shared" si="37"/>
        <v>5.1654998932322354</v>
      </c>
      <c r="K83" s="252">
        <f t="shared" si="37"/>
        <v>7.3354995118242039</v>
      </c>
      <c r="L83" s="252">
        <f t="shared" si="37"/>
        <v>10.081799389291239</v>
      </c>
      <c r="M83" s="252">
        <f t="shared" si="37"/>
        <v>13.423377139004819</v>
      </c>
      <c r="N83" s="252">
        <f t="shared" si="37"/>
        <v>13.423377139004819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166.12276458760229</v>
      </c>
      <c r="J90" s="381">
        <f t="shared" si="45"/>
        <v>202.42795430989662</v>
      </c>
      <c r="K90" s="381">
        <f t="shared" si="45"/>
        <v>102.74026472150172</v>
      </c>
      <c r="L90" s="381">
        <f t="shared" si="45"/>
        <v>102.25297072465845</v>
      </c>
      <c r="M90" s="381">
        <f t="shared" si="45"/>
        <v>102.29691311238346</v>
      </c>
      <c r="N90" s="346">
        <f t="shared" si="45"/>
        <v>0</v>
      </c>
      <c r="O90" s="374">
        <f t="shared" si="41"/>
        <v>675.84086745604247</v>
      </c>
      <c r="P90" s="431">
        <f t="shared" si="39"/>
        <v>675.84086745604247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166.12276458760229</v>
      </c>
      <c r="J95" s="382">
        <f t="shared" si="51"/>
        <v>202.42795430989662</v>
      </c>
      <c r="K95" s="382">
        <f t="shared" si="51"/>
        <v>102.74026472150172</v>
      </c>
      <c r="L95" s="382">
        <f t="shared" si="51"/>
        <v>102.25297072465845</v>
      </c>
      <c r="M95" s="382">
        <f t="shared" si="51"/>
        <v>102.29691311238346</v>
      </c>
      <c r="N95" s="286">
        <f t="shared" si="51"/>
        <v>0</v>
      </c>
      <c r="O95" s="372">
        <f>SUM(O85:O94)</f>
        <v>675.84086745604247</v>
      </c>
      <c r="P95" s="428">
        <f>SUM(P85:P94)</f>
        <v>675.84086745604247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60.299127819548886</v>
      </c>
      <c r="J119" s="912">
        <f t="shared" si="62"/>
        <v>70.940150375939865</v>
      </c>
      <c r="K119" s="912">
        <f t="shared" si="62"/>
        <v>35.470075187969933</v>
      </c>
      <c r="L119" s="912">
        <f t="shared" si="62"/>
        <v>35.470075187969933</v>
      </c>
      <c r="M119" s="912">
        <f t="shared" si="62"/>
        <v>35.470075187969933</v>
      </c>
      <c r="N119" s="912">
        <f t="shared" si="62"/>
        <v>0</v>
      </c>
      <c r="O119" s="912">
        <f t="shared" si="60"/>
        <v>237.64950375939856</v>
      </c>
      <c r="P119" s="912">
        <f t="shared" si="61"/>
        <v>237.64950375939856</v>
      </c>
    </row>
    <row r="120" spans="4:16" hidden="1" outlineLevel="1">
      <c r="D120" s="248" t="s">
        <v>440</v>
      </c>
      <c r="G120" s="191">
        <f>SUM(G111:G119)</f>
        <v>0</v>
      </c>
      <c r="H120" s="191">
        <f t="shared" ref="H120:P120" si="63">SUM(H111:H119)</f>
        <v>0</v>
      </c>
      <c r="I120" s="191">
        <f t="shared" si="63"/>
        <v>60.299127819548886</v>
      </c>
      <c r="J120" s="191">
        <f t="shared" si="63"/>
        <v>70.940150375939865</v>
      </c>
      <c r="K120" s="191">
        <f t="shared" si="63"/>
        <v>35.470075187969933</v>
      </c>
      <c r="L120" s="191">
        <f t="shared" si="63"/>
        <v>35.470075187969933</v>
      </c>
      <c r="M120" s="191">
        <f t="shared" si="63"/>
        <v>35.470075187969933</v>
      </c>
      <c r="N120" s="191">
        <f t="shared" si="63"/>
        <v>0</v>
      </c>
      <c r="O120" s="191">
        <f t="shared" si="63"/>
        <v>237.64950375939856</v>
      </c>
      <c r="P120" s="191">
        <f t="shared" si="63"/>
        <v>237.64950375939856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15.386294950739517</v>
      </c>
      <c r="J131" s="912">
        <f t="shared" si="67"/>
        <v>18.248145811577068</v>
      </c>
      <c r="K131" s="912">
        <f t="shared" si="67"/>
        <v>9.1995746090839337</v>
      </c>
      <c r="L131" s="912">
        <f t="shared" si="67"/>
        <v>9.2819108018352328</v>
      </c>
      <c r="M131" s="912">
        <f t="shared" si="67"/>
        <v>9.3663761901319358</v>
      </c>
      <c r="N131" s="912">
        <f t="shared" si="67"/>
        <v>0</v>
      </c>
      <c r="O131" s="912">
        <f t="shared" si="65"/>
        <v>61.482302363367687</v>
      </c>
      <c r="P131" s="912">
        <f t="shared" si="66"/>
        <v>61.482302363367687</v>
      </c>
    </row>
    <row r="132" spans="4:16" hidden="1" outlineLevel="1">
      <c r="D132" s="248" t="s">
        <v>441</v>
      </c>
      <c r="G132" s="191">
        <f>SUM(G123:G131)</f>
        <v>0</v>
      </c>
      <c r="H132" s="191">
        <f t="shared" ref="H132:P132" si="68">SUM(H123:H131)</f>
        <v>0</v>
      </c>
      <c r="I132" s="191">
        <f t="shared" si="68"/>
        <v>15.386294950739517</v>
      </c>
      <c r="J132" s="191">
        <f t="shared" si="68"/>
        <v>18.248145811577068</v>
      </c>
      <c r="K132" s="191">
        <f t="shared" si="68"/>
        <v>9.1995746090839337</v>
      </c>
      <c r="L132" s="191">
        <f t="shared" si="68"/>
        <v>9.2819108018352328</v>
      </c>
      <c r="M132" s="191">
        <f t="shared" si="68"/>
        <v>9.3663761901319358</v>
      </c>
      <c r="N132" s="191">
        <f t="shared" si="68"/>
        <v>0</v>
      </c>
      <c r="O132" s="191">
        <f t="shared" si="68"/>
        <v>61.482302363367687</v>
      </c>
      <c r="P132" s="191">
        <f t="shared" si="68"/>
        <v>61.482302363367687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76.974754851959815</v>
      </c>
      <c r="J143" s="912">
        <f t="shared" si="72"/>
        <v>91.502607848578208</v>
      </c>
      <c r="K143" s="912">
        <f t="shared" si="72"/>
        <v>46.212248311326327</v>
      </c>
      <c r="L143" s="912">
        <f t="shared" si="72"/>
        <v>46.715961817919784</v>
      </c>
      <c r="M143" s="912">
        <f t="shared" si="72"/>
        <v>47.236844792189586</v>
      </c>
      <c r="N143" s="912">
        <f t="shared" si="72"/>
        <v>0</v>
      </c>
      <c r="O143" s="912">
        <f t="shared" si="70"/>
        <v>308.64241762197372</v>
      </c>
      <c r="P143" s="912">
        <f t="shared" si="71"/>
        <v>308.64241762197372</v>
      </c>
    </row>
    <row r="144" spans="4:16" hidden="1" outlineLevel="1">
      <c r="D144" s="248" t="s">
        <v>442</v>
      </c>
      <c r="G144" s="191">
        <f>SUM(G135:G143)</f>
        <v>0</v>
      </c>
      <c r="H144" s="191">
        <f t="shared" ref="H144:P144" si="73">SUM(H135:H143)</f>
        <v>0</v>
      </c>
      <c r="I144" s="191">
        <f t="shared" si="73"/>
        <v>76.974754851959815</v>
      </c>
      <c r="J144" s="191">
        <f t="shared" si="73"/>
        <v>91.502607848578208</v>
      </c>
      <c r="K144" s="191">
        <f t="shared" si="73"/>
        <v>46.212248311326327</v>
      </c>
      <c r="L144" s="191">
        <f t="shared" si="73"/>
        <v>46.715961817919784</v>
      </c>
      <c r="M144" s="191">
        <f t="shared" si="73"/>
        <v>47.236844792189586</v>
      </c>
      <c r="N144" s="191">
        <f t="shared" si="73"/>
        <v>0</v>
      </c>
      <c r="O144" s="191">
        <f t="shared" si="73"/>
        <v>308.64241762197372</v>
      </c>
      <c r="P144" s="191">
        <f t="shared" si="73"/>
        <v>308.64241762197372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152.66017762224823</v>
      </c>
      <c r="J155" s="912">
        <f t="shared" si="74"/>
        <v>180.69090403609513</v>
      </c>
      <c r="K155" s="912">
        <f t="shared" si="74"/>
        <v>90.881898108380199</v>
      </c>
      <c r="L155" s="912">
        <f t="shared" si="74"/>
        <v>91.467947807724954</v>
      </c>
      <c r="M155" s="912">
        <f t="shared" si="74"/>
        <v>92.073296170291457</v>
      </c>
      <c r="N155" s="912">
        <f t="shared" si="74"/>
        <v>0</v>
      </c>
      <c r="O155" s="912">
        <f t="shared" si="75"/>
        <v>607.77422374473997</v>
      </c>
      <c r="P155" s="912">
        <f t="shared" si="76"/>
        <v>607.77422374473997</v>
      </c>
    </row>
    <row r="156" spans="4:16" hidden="1" outlineLevel="1">
      <c r="D156" s="248" t="s">
        <v>454</v>
      </c>
      <c r="G156" s="191">
        <f>SUM(G147:G155)</f>
        <v>0</v>
      </c>
      <c r="H156" s="191">
        <f t="shared" ref="H156:N156" si="77">SUM(H147:H155)</f>
        <v>0</v>
      </c>
      <c r="I156" s="191">
        <f t="shared" si="77"/>
        <v>152.66017762224823</v>
      </c>
      <c r="J156" s="191">
        <f t="shared" si="77"/>
        <v>180.69090403609513</v>
      </c>
      <c r="K156" s="191">
        <f t="shared" si="77"/>
        <v>90.881898108380199</v>
      </c>
      <c r="L156" s="191">
        <f t="shared" si="77"/>
        <v>91.467947807724954</v>
      </c>
      <c r="M156" s="191">
        <f t="shared" si="77"/>
        <v>92.073296170291457</v>
      </c>
      <c r="N156" s="191">
        <f t="shared" si="77"/>
        <v>0</v>
      </c>
      <c r="O156" s="191">
        <f t="shared" ref="O156:P156" si="78">SUM(O147:O155)</f>
        <v>607.77422374473997</v>
      </c>
      <c r="P156" s="191">
        <f t="shared" si="78"/>
        <v>607.77422374473997</v>
      </c>
    </row>
    <row r="157" spans="4:16" collapsed="1"/>
  </sheetData>
  <mergeCells count="1">
    <mergeCell ref="C13:C14"/>
  </mergeCells>
  <phoneticPr fontId="6" type="noConversion"/>
  <conditionalFormatting sqref="R14">
    <cfRule type="cellIs" dxfId="57" priority="4" operator="equal">
      <formula>"Error"</formula>
    </cfRule>
  </conditionalFormatting>
  <conditionalFormatting sqref="R11">
    <cfRule type="cellIs" dxfId="56" priority="3" operator="equal">
      <formula>"Error"</formula>
    </cfRule>
  </conditionalFormatting>
  <conditionalFormatting sqref="R54">
    <cfRule type="cellIs" dxfId="5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Project_Inputs!B33</f>
        <v>Various</v>
      </c>
      <c r="F3" s="249" t="s">
        <v>63</v>
      </c>
      <c r="G3" s="249">
        <f>Project_Inputs!F33</f>
        <v>0</v>
      </c>
    </row>
    <row r="4" spans="1:21" ht="18.75">
      <c r="A4" s="6"/>
      <c r="B4" s="6"/>
      <c r="C4" s="13" t="s">
        <v>15</v>
      </c>
      <c r="D4" s="339" t="str">
        <f>Project_Inputs!D33</f>
        <v>Fire protection systems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Project_Inputs!H33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Project_Inputs!I33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Project_Inputs!J33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2142.8670059999995</v>
      </c>
      <c r="G11" s="319">
        <f>IF(G$10="Prior",SUMIFS(Project_Inputs!$W$5:$W$50,Project_Inputs!$D$5:$D$50,$D$4),SUMIFS(Project_Inputs!M$5:M$50,Project_Inputs!$D$5:$D$50,$D$4))</f>
        <v>558.15</v>
      </c>
      <c r="H11" s="389">
        <f>IF(H$10="Prior",SUMIFS(Project_Inputs!$W$5:$W$50,Project_Inputs!$D$5:$D$50,$D$4),SUMIFS(Project_Inputs!N$5:N$50,Project_Inputs!$D$5:$D$50,$D$4))</f>
        <v>2375.0789561860561</v>
      </c>
      <c r="I11" s="399">
        <f>IF(I$10="Prior",SUMIFS(Project_Inputs!$W$5:$W$50,Project_Inputs!$D$5:$D$50,$D$4),SUMIFS(Project_Inputs!O$5:O$50,Project_Inputs!$D$5:$D$50,$D$4))</f>
        <v>1530.36</v>
      </c>
      <c r="J11" s="320">
        <f>IF(J$10="Prior",SUMIFS(Project_Inputs!$W$5:$W$50,Project_Inputs!$D$5:$D$50,$D$4),SUMIFS(Project_Inputs!P$5:P$50,Project_Inputs!$D$5:$D$50,$D$4))</f>
        <v>1530.36</v>
      </c>
      <c r="K11" s="320">
        <f>IF(K$10="Prior",SUMIFS(Project_Inputs!$W$5:$W$50,Project_Inputs!$D$5:$D$50,$D$4),SUMIFS(Project_Inputs!Q$5:Q$50,Project_Inputs!$D$5:$D$50,$D$4))</f>
        <v>1530.36</v>
      </c>
      <c r="L11" s="320">
        <f>IF(L$10="Prior",SUMIFS(Project_Inputs!$W$5:$W$50,Project_Inputs!$D$5:$D$50,$D$4),SUMIFS(Project_Inputs!R$5:R$50,Project_Inputs!$D$5:$D$50,$D$4))</f>
        <v>1530.36</v>
      </c>
      <c r="M11" s="320">
        <f>IF(M$10="Prior",SUMIFS(Project_Inputs!$W$5:$W$50,Project_Inputs!$D$5:$D$50,$D$4),SUMIFS(Project_Inputs!S$5:S$50,Project_Inputs!$D$5:$D$50,$D$4))</f>
        <v>1530.36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12727.895962186056</v>
      </c>
      <c r="P11" s="300">
        <f t="shared" ref="P11" si="0">SUM(I11:M11)</f>
        <v>7651.7999999999993</v>
      </c>
      <c r="R11" s="608" t="str">
        <f>IF(O11=Project_Inputs!V33,"ok","error")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2142.8670059999995</v>
      </c>
      <c r="G14" s="447">
        <f>IF($G$3="Yes",SUMIFS(Project_Inputs!AK$5:AK$50,Project_Inputs!$D$5:$D$50,$D$4),IF(AND(G$13="X",G$10="Prior"),G11,IF(G$13="X",SUM($F11:G11)-SUM(F14:$F14),0)))</f>
        <v>558.15000000000009</v>
      </c>
      <c r="H14" s="447">
        <f>IF($G$3="Yes",SUMIFS(Project_Inputs!AL$5:AL$50,Project_Inputs!$D$5:$D$50,$D$4),IF(AND(H$13="X",H$10="Prior"),H11,IF(H$13="X",SUM($F11:H11)-SUM($F14:G14),0)))</f>
        <v>2375.0789561860561</v>
      </c>
      <c r="I14" s="448">
        <f>IF($G$3="Yes",SUMIFS(Project_Inputs!AM$5:AM$50,Project_Inputs!$D$5:$D$50,$D$4),IF(AND(I$13="X",I$10="Prior"),I11,IF(I$13="X",SUM($F11:I11)-SUM($F14:H14),0)))</f>
        <v>1530.3599999999997</v>
      </c>
      <c r="J14" s="447">
        <f>IF($G$3="Yes",SUMIFS(Project_Inputs!AN$5:AN$50,Project_Inputs!$D$5:$D$50,$D$4),IF(AND(J$13="X",J$10="Prior"),J11,IF(J$13="X",SUM($F11:J11)-SUM($F14:I14),0)))</f>
        <v>1530.3599999999997</v>
      </c>
      <c r="K14" s="447">
        <f>IF($G$3="Yes",SUMIFS(Project_Inputs!AO$5:AO$50,Project_Inputs!$D$5:$D$50,$D$4),IF(AND(K$13="X",K$10="Prior"),K11,IF(K$13="X",SUM($F11:K11)-SUM($F14:J14),0)))</f>
        <v>1530.3599999999997</v>
      </c>
      <c r="L14" s="447">
        <f>IF($G$3="Yes",SUMIFS(Project_Inputs!AP$5:AP$50,Project_Inputs!$D$5:$D$50,$D$4),IF(AND(L$13="X",L$10="Prior"),L11,IF(L$13="X",SUM($F11:L11)-SUM($F14:K14),0)))</f>
        <v>1530.3600000000006</v>
      </c>
      <c r="M14" s="447">
        <f>IF($G$3="Yes",SUMIFS(Project_Inputs!AQ$5:AQ$50,Project_Inputs!$D$5:$D$50,$D$4),IF(AND(M$13="X",M$10="Prior"),M11,IF(M$13="X",SUM($F11:M11)-SUM($F14:L14),0)))</f>
        <v>1530.3600000000006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12727.895962186056</v>
      </c>
      <c r="P14" s="451">
        <f>SUM(I14:M14)</f>
        <v>7651.8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1</v>
      </c>
      <c r="G22" s="341">
        <v>1</v>
      </c>
      <c r="H22" s="392">
        <v>1</v>
      </c>
      <c r="I22" s="404">
        <v>1</v>
      </c>
      <c r="J22" s="341">
        <v>1</v>
      </c>
      <c r="K22" s="341">
        <v>1</v>
      </c>
      <c r="L22" s="341">
        <v>1</v>
      </c>
      <c r="M22" s="341">
        <v>1</v>
      </c>
      <c r="N22" s="342">
        <v>1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0.32791312500000414</v>
      </c>
      <c r="H46" s="290">
        <f>IF(H$10="Prior",0,(H11*H29)*(Assumptions!H28-1))</f>
        <v>2.9721203664947047</v>
      </c>
      <c r="I46" s="407">
        <f>IF(I$10="Prior",0,(I11*I29)*(Assumptions!I28-1))</f>
        <v>3.162414088370709</v>
      </c>
      <c r="J46" s="282">
        <f>IF(J$10="Prior",0,(J11*J29)*(Assumptions!J28-1))</f>
        <v>4.4276212424865191</v>
      </c>
      <c r="K46" s="282">
        <f>IF(K$10="Prior",0,(K11*K29)*(Assumptions!K28-1))</f>
        <v>5.730632708268085</v>
      </c>
      <c r="L46" s="282">
        <f>IF(L$10="Prior",0,(L11*L29)*(Assumptions!L28-1))</f>
        <v>7.1515940710070849</v>
      </c>
      <c r="M46" s="282">
        <f>IF(M$10="Prior",0,(M11*M29)*(Assumptions!M28-1))</f>
        <v>8.6093011770532737</v>
      </c>
      <c r="N46" s="283">
        <f>IF(N$10="Prior",0,(N11*N29)*(Assumptions!N28-1))</f>
        <v>0</v>
      </c>
      <c r="O46" s="362">
        <f t="shared" ref="O46:O47" si="6">SUM(F46:N46)</f>
        <v>32.381596778680382</v>
      </c>
      <c r="P46" s="300">
        <f t="shared" ref="P46:P47" si="7">SUM(I46:M46)</f>
        <v>29.081563287185674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1.1442074999999978</v>
      </c>
      <c r="H47" s="290">
        <f>IF(H$10="Prior",0,(H11*H30)*(Assumptions!H30-1))</f>
        <v>12.768617443621421</v>
      </c>
      <c r="I47" s="407">
        <f>IF(I$10="Prior",0,(I11*I30)*(Assumptions!I30-1))</f>
        <v>16.251440851155682</v>
      </c>
      <c r="J47" s="282">
        <f>IF(J$10="Prior",0,(J11*J30)*(Assumptions!J30-1))</f>
        <v>24.397863622028908</v>
      </c>
      <c r="K47" s="282">
        <f>IF(K$10="Prior",0,(K11*K30)*(Assumptions!K30-1))</f>
        <v>32.35286059802096</v>
      </c>
      <c r="L47" s="282">
        <f>IF(L$10="Prior",0,(L11*L30)*(Assumptions!L30-1))</f>
        <v>41.045968778539383</v>
      </c>
      <c r="M47" s="282">
        <f>IF(M$10="Prior",0,(M11*M30)*(Assumptions!M30-1))</f>
        <v>50.035388330420034</v>
      </c>
      <c r="N47" s="283">
        <f>IF(N$10="Prior",0,(N11*N30)*(Assumptions!N30-1))</f>
        <v>0</v>
      </c>
      <c r="O47" s="362">
        <f t="shared" si="6"/>
        <v>177.99634712378639</v>
      </c>
      <c r="P47" s="300">
        <f t="shared" si="7"/>
        <v>164.08352218016498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1.4721206250000018</v>
      </c>
      <c r="H48" s="253">
        <f t="shared" si="8"/>
        <v>15.740737810116126</v>
      </c>
      <c r="I48" s="408">
        <f t="shared" si="8"/>
        <v>19.413854939526392</v>
      </c>
      <c r="J48" s="5">
        <f t="shared" si="8"/>
        <v>28.825484864515428</v>
      </c>
      <c r="K48" s="5">
        <f t="shared" si="8"/>
        <v>38.083493306289043</v>
      </c>
      <c r="L48" s="5">
        <f t="shared" si="8"/>
        <v>48.197562849546465</v>
      </c>
      <c r="M48" s="5">
        <f t="shared" si="8"/>
        <v>58.644689507473309</v>
      </c>
      <c r="N48" s="286">
        <f t="shared" si="8"/>
        <v>0</v>
      </c>
      <c r="O48" s="433">
        <f>SUM(O46:O47)</f>
        <v>210.37794390246677</v>
      </c>
      <c r="P48" s="434">
        <f>SUM(P46:P47)</f>
        <v>193.16508546735065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1.4721206250000018</v>
      </c>
      <c r="H49" s="253">
        <f t="shared" si="9"/>
        <v>15.740737810116126</v>
      </c>
      <c r="I49" s="408">
        <f t="shared" si="9"/>
        <v>19.413854939526392</v>
      </c>
      <c r="J49" s="5">
        <f t="shared" si="9"/>
        <v>28.825484864515428</v>
      </c>
      <c r="K49" s="5">
        <f t="shared" si="9"/>
        <v>38.083493306289043</v>
      </c>
      <c r="L49" s="5">
        <f t="shared" si="9"/>
        <v>48.197562849546465</v>
      </c>
      <c r="M49" s="5">
        <f t="shared" si="9"/>
        <v>58.644689507473309</v>
      </c>
      <c r="N49" s="286">
        <f t="shared" si="9"/>
        <v>0</v>
      </c>
      <c r="O49" s="370">
        <f>O44+O48</f>
        <v>210.37794390246677</v>
      </c>
      <c r="P49" s="371">
        <f>P44+P48</f>
        <v>193.16508546735065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3.149426464985132E-2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1.6528886198275753E-2</v>
      </c>
      <c r="P50" s="444">
        <f t="shared" si="10"/>
        <v>2.5244398111209213E-2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217.91185154999997</v>
      </c>
      <c r="G51" s="280">
        <f>(G29*G$11+G46)*Assumptions!$G$21</f>
        <v>57.092699249295116</v>
      </c>
      <c r="H51" s="280">
        <f>(H29*H$11+H46)*Assumptions!$G$21</f>
        <v>244.54828693221671</v>
      </c>
      <c r="I51" s="410">
        <f>(I29*I$11+I46)*Assumptions!$G$21</f>
        <v>158.84086846204616</v>
      </c>
      <c r="J51" s="280">
        <f>(J29*J$11+J46)*Assumptions!$G$21</f>
        <v>160.12747949658873</v>
      </c>
      <c r="K51" s="280">
        <f>(K29*K$11+K46)*Assumptions!$G$21</f>
        <v>161.45253438942299</v>
      </c>
      <c r="L51" s="280">
        <f>(L29*L$11+L46)*Assumptions!$G$21</f>
        <v>162.89753457220834</v>
      </c>
      <c r="M51" s="280">
        <f>(M29*M$11+M46)*Assumptions!$G$21</f>
        <v>164.37990213681547</v>
      </c>
      <c r="N51" s="281">
        <f>(N29*N$11+N46)*Assumptions!$G$21</f>
        <v>0</v>
      </c>
      <c r="O51" s="373">
        <f t="shared" ref="O51:O53" si="11">SUM(F51:N51)</f>
        <v>1327.2511567885936</v>
      </c>
      <c r="P51" s="375">
        <f>SUM(I51:M51)</f>
        <v>807.69831905708179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1089.5592577499999</v>
      </c>
      <c r="G52" s="282">
        <f>(G30*G$11+G47)*Assumptions!$G$21</f>
        <v>284.95975800281957</v>
      </c>
      <c r="H52" s="282">
        <f>(H30*H$11+H47)*Assumptions!$G$21</f>
        <v>1220.6140595588861</v>
      </c>
      <c r="I52" s="407">
        <f>(I30*I$11+I47)*Assumptions!$G$21</f>
        <v>794.65114567758508</v>
      </c>
      <c r="J52" s="282">
        <f>(J30*J$11+J47)*Assumptions!$G$21</f>
        <v>802.93538387127376</v>
      </c>
      <c r="K52" s="282">
        <f>(K30*K$11+K47)*Assumptions!$G$21</f>
        <v>811.02495786377688</v>
      </c>
      <c r="L52" s="282">
        <f>(L30*L$11+L47)*Assumptions!$G$21</f>
        <v>819.86512990449216</v>
      </c>
      <c r="M52" s="282">
        <f>(M30*M$11+M47)*Assumptions!$G$21</f>
        <v>829.00662610292716</v>
      </c>
      <c r="N52" s="283">
        <f>(N30*N$11+N47)*Assumptions!$G$21</f>
        <v>0</v>
      </c>
      <c r="O52" s="374">
        <f t="shared" si="11"/>
        <v>6652.6163187317607</v>
      </c>
      <c r="P52" s="376">
        <f>SUM(I52:M52)</f>
        <v>4057.4832434200553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871.64740619999986</v>
      </c>
      <c r="G53" s="282">
        <f>(G31*G$11+G$44)*Assumptions!$G$21</f>
        <v>227.03695488721806</v>
      </c>
      <c r="H53" s="282">
        <f>(H31*H$11+H$44)*Assumptions!$G$21</f>
        <v>966.103545335832</v>
      </c>
      <c r="I53" s="407">
        <f>(I31*I$11+I$44)*Assumptions!$G$21</f>
        <v>622.49981954887221</v>
      </c>
      <c r="J53" s="282">
        <f>(J31*J$11+J$44)*Assumptions!$G$21</f>
        <v>622.49981954887221</v>
      </c>
      <c r="K53" s="282">
        <f>(K31*K$11+K$44)*Assumptions!$G$21</f>
        <v>622.49981954887221</v>
      </c>
      <c r="L53" s="282">
        <f>(L31*L$11+L$44)*Assumptions!$G$21</f>
        <v>622.49981954887221</v>
      </c>
      <c r="M53" s="282">
        <f>(M31*M$11+M$44)*Assumptions!$G$21</f>
        <v>622.49981954887221</v>
      </c>
      <c r="N53" s="283">
        <f>(N31*N$11+N$44)*Assumptions!$G$21</f>
        <v>0</v>
      </c>
      <c r="O53" s="374">
        <f t="shared" si="11"/>
        <v>5177.2870041674123</v>
      </c>
      <c r="P53" s="376">
        <f>SUM(I53:M53)</f>
        <v>3112.4990977443613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2179.1185154999998</v>
      </c>
      <c r="G54" s="5">
        <f t="shared" si="12"/>
        <v>569.08941213933269</v>
      </c>
      <c r="H54" s="5">
        <f t="shared" si="12"/>
        <v>2431.2658918269349</v>
      </c>
      <c r="I54" s="411">
        <f t="shared" si="12"/>
        <v>1575.9918336885034</v>
      </c>
      <c r="J54" s="382">
        <f t="shared" si="12"/>
        <v>1585.5626829167347</v>
      </c>
      <c r="K54" s="382">
        <f t="shared" si="12"/>
        <v>1594.9773118020721</v>
      </c>
      <c r="L54" s="382">
        <f t="shared" si="12"/>
        <v>1605.2624840255726</v>
      </c>
      <c r="M54" s="382">
        <f t="shared" si="12"/>
        <v>1615.8863477886148</v>
      </c>
      <c r="N54" s="286">
        <f t="shared" si="12"/>
        <v>0</v>
      </c>
      <c r="O54" s="372">
        <f t="shared" si="12"/>
        <v>13157.154479687766</v>
      </c>
      <c r="P54" s="428">
        <f t="shared" si="12"/>
        <v>7977.6806602214983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174.50755631442757</v>
      </c>
      <c r="G57" s="290">
        <f t="shared" ref="G57:N57" si="13">G54*G56</f>
        <v>33.82939787002546</v>
      </c>
      <c r="H57" s="290">
        <f t="shared" si="13"/>
        <v>176.49455459650073</v>
      </c>
      <c r="I57" s="407">
        <f t="shared" si="13"/>
        <v>138.98141249527299</v>
      </c>
      <c r="J57" s="282">
        <f t="shared" si="13"/>
        <v>190.74261615260806</v>
      </c>
      <c r="K57" s="282">
        <f t="shared" si="13"/>
        <v>208.11433406028283</v>
      </c>
      <c r="L57" s="282">
        <f t="shared" si="13"/>
        <v>189.27715219218328</v>
      </c>
      <c r="M57" s="282">
        <f t="shared" si="13"/>
        <v>179.42447733371364</v>
      </c>
      <c r="N57" s="283">
        <f t="shared" si="13"/>
        <v>0</v>
      </c>
      <c r="O57" s="309">
        <f>SUM(F57:N57)</f>
        <v>1291.3715010150145</v>
      </c>
      <c r="P57" s="300">
        <f>SUM(I57:M57)</f>
        <v>906.53999223406083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2353.6260718144276</v>
      </c>
      <c r="G59" s="5">
        <f t="shared" si="14"/>
        <v>602.91881000935814</v>
      </c>
      <c r="H59" s="5">
        <f t="shared" si="14"/>
        <v>2607.7604464234355</v>
      </c>
      <c r="I59" s="411">
        <f t="shared" si="14"/>
        <v>1714.9732461837764</v>
      </c>
      <c r="J59" s="382">
        <f t="shared" si="14"/>
        <v>1776.3052990693427</v>
      </c>
      <c r="K59" s="382">
        <f t="shared" si="14"/>
        <v>1803.0916458623549</v>
      </c>
      <c r="L59" s="382">
        <f t="shared" si="14"/>
        <v>1794.5396362177557</v>
      </c>
      <c r="M59" s="382">
        <f t="shared" si="14"/>
        <v>1795.3108251223284</v>
      </c>
      <c r="N59" s="418">
        <f>N54+N57</f>
        <v>0</v>
      </c>
      <c r="O59" s="419">
        <f t="shared" ref="O59:P59" si="15">O54+O57</f>
        <v>14448.52598070278</v>
      </c>
      <c r="P59" s="429">
        <f t="shared" si="15"/>
        <v>8884.2206524555586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174.50755631442757</v>
      </c>
      <c r="G60" s="290">
        <f t="shared" ref="G60:N60" si="16">G57+F60</f>
        <v>208.33695418445302</v>
      </c>
      <c r="H60" s="290">
        <f t="shared" si="16"/>
        <v>384.83150878095375</v>
      </c>
      <c r="I60" s="290">
        <f t="shared" si="16"/>
        <v>523.81292127622669</v>
      </c>
      <c r="J60" s="290">
        <f t="shared" si="16"/>
        <v>714.55553742883478</v>
      </c>
      <c r="K60" s="290">
        <f t="shared" si="16"/>
        <v>922.66987148911767</v>
      </c>
      <c r="L60" s="290">
        <f t="shared" si="16"/>
        <v>1111.9470236813008</v>
      </c>
      <c r="M60" s="290">
        <f t="shared" si="16"/>
        <v>1291.3715010150145</v>
      </c>
      <c r="N60" s="290">
        <f t="shared" si="16"/>
        <v>1291.3715010150145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1.4721206250000018</v>
      </c>
      <c r="H61" s="252">
        <f t="shared" ref="H61:N61" si="17">H49+G61</f>
        <v>17.212858435116129</v>
      </c>
      <c r="I61" s="252">
        <f t="shared" si="17"/>
        <v>36.62671337464252</v>
      </c>
      <c r="J61" s="252">
        <f t="shared" si="17"/>
        <v>65.452198239157951</v>
      </c>
      <c r="K61" s="252">
        <f t="shared" si="17"/>
        <v>103.53569154544699</v>
      </c>
      <c r="L61" s="252">
        <f t="shared" si="17"/>
        <v>151.73325439499345</v>
      </c>
      <c r="M61" s="252">
        <f t="shared" si="17"/>
        <v>210.37794390246677</v>
      </c>
      <c r="N61" s="252">
        <f t="shared" si="17"/>
        <v>210.37794390246677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2353.6260718144276</v>
      </c>
      <c r="G69" s="282">
        <f t="shared" si="25"/>
        <v>602.91881000935814</v>
      </c>
      <c r="H69" s="282">
        <f t="shared" si="25"/>
        <v>2607.7604464234355</v>
      </c>
      <c r="I69" s="416">
        <f t="shared" si="25"/>
        <v>1714.9732461837764</v>
      </c>
      <c r="J69" s="381">
        <f t="shared" si="25"/>
        <v>1776.3052990693427</v>
      </c>
      <c r="K69" s="381">
        <f t="shared" si="25"/>
        <v>1803.0916458623549</v>
      </c>
      <c r="L69" s="381">
        <f t="shared" si="25"/>
        <v>1794.5396362177557</v>
      </c>
      <c r="M69" s="381">
        <f t="shared" si="25"/>
        <v>1795.3108251223284</v>
      </c>
      <c r="N69" s="283">
        <f t="shared" si="25"/>
        <v>0</v>
      </c>
      <c r="O69" s="374">
        <f t="shared" si="20"/>
        <v>14448.52598070278</v>
      </c>
      <c r="P69" s="431">
        <f t="shared" si="21"/>
        <v>8884.2206524555586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2353.6260718144276</v>
      </c>
      <c r="G74" s="5">
        <f t="shared" ref="G74:N74" si="30">+SUM(G64:G73)</f>
        <v>602.91881000935814</v>
      </c>
      <c r="H74" s="5">
        <f t="shared" si="30"/>
        <v>2607.7604464234355</v>
      </c>
      <c r="I74" s="411">
        <f t="shared" si="30"/>
        <v>1714.9732461837764</v>
      </c>
      <c r="J74" s="382">
        <f t="shared" si="30"/>
        <v>1776.3052990693427</v>
      </c>
      <c r="K74" s="382">
        <f t="shared" si="30"/>
        <v>1803.0916458623549</v>
      </c>
      <c r="L74" s="382">
        <f t="shared" si="30"/>
        <v>1794.5396362177557</v>
      </c>
      <c r="M74" s="382">
        <f t="shared" si="30"/>
        <v>1795.3108251223284</v>
      </c>
      <c r="N74" s="286">
        <f t="shared" si="30"/>
        <v>0</v>
      </c>
      <c r="O74" s="372">
        <f>SUM(O64:O73)</f>
        <v>14448.52598070278</v>
      </c>
      <c r="P74" s="428">
        <f>SUM(P64:P73)</f>
        <v>8884.2206524555586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2142.8670059999995</v>
      </c>
      <c r="G76" s="280">
        <f t="shared" si="32"/>
        <v>558.15000000000009</v>
      </c>
      <c r="H76" s="280">
        <f t="shared" si="32"/>
        <v>2375.0789561860561</v>
      </c>
      <c r="I76" s="410">
        <f t="shared" si="32"/>
        <v>1530.3599999999997</v>
      </c>
      <c r="J76" s="280">
        <f t="shared" si="32"/>
        <v>1530.3599999999997</v>
      </c>
      <c r="K76" s="280">
        <f t="shared" si="32"/>
        <v>1530.3599999999997</v>
      </c>
      <c r="L76" s="280">
        <f t="shared" si="32"/>
        <v>1530.3600000000006</v>
      </c>
      <c r="M76" s="280">
        <f t="shared" si="32"/>
        <v>1530.3600000000006</v>
      </c>
      <c r="N76" s="281">
        <f t="shared" si="32"/>
        <v>0</v>
      </c>
      <c r="O76" s="377">
        <f>SUM(F76:N76)</f>
        <v>12727.895962186056</v>
      </c>
      <c r="P76" s="378">
        <f t="shared" ref="P76:P80" si="33">SUM(I76:M76)</f>
        <v>7651.8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1.4721206250000018</v>
      </c>
      <c r="H77" s="282">
        <f>IF(H$10="Prior",0,IF(AND(H76&lt;&gt;0,SUM($F76:G76)=0),H76/SUM($F$76:H76)*H61,IF(H76&lt;&gt;0,SUM($F$76:H76)/SUM($F$11:H11)*H61-G83,0)))</f>
        <v>15.740737810116126</v>
      </c>
      <c r="I77" s="407">
        <f>IF(I$10="Prior",0,IF(AND(I76&lt;&gt;0,SUM($F76:H76)=0),I76/SUM($F$76:I76)*I61,IF(I76&lt;&gt;0,SUM($F$76:I76)/SUM($F$11:I11)*I61-H83,0)))</f>
        <v>19.413854939526392</v>
      </c>
      <c r="J77" s="282">
        <f>IF(J$10="Prior",0,IF(AND(J76&lt;&gt;0,SUM($F76:I76)=0),J76/SUM($F$76:J76)*J61,IF(J76&lt;&gt;0,SUM($F$76:J76)/SUM($F$11:J11)*J61-I83,0)))</f>
        <v>28.825484864515431</v>
      </c>
      <c r="K77" s="282">
        <f>IF(K$10="Prior",0,IF(AND(K76&lt;&gt;0,SUM($F76:J76)=0),K76/SUM($F$76:K76)*K61,IF(K76&lt;&gt;0,SUM($F$76:K76)/SUM($F$11:K11)*K61-J83,0)))</f>
        <v>38.083493306289043</v>
      </c>
      <c r="L77" s="282">
        <f>IF(L$10="Prior",0,IF(AND(L76&lt;&gt;0,SUM($F76:K76)=0),L76/SUM($F$76:L76)*L61,IF(L76&lt;&gt;0,SUM($F$76:L76)/SUM($F$11:L11)*L61-K83,0)))</f>
        <v>48.197562849546458</v>
      </c>
      <c r="M77" s="282">
        <f>IF(M$10="Prior",0,IF(AND(M76&lt;&gt;0,SUM($F76:L76)=0),M76/SUM($F$76:M76)*M61,IF(M76&lt;&gt;0,SUM($F$76:M76)/SUM($F$11:M11)*M61-L83,0)))</f>
        <v>58.644689507473316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210.37794390246677</v>
      </c>
      <c r="P77" s="455">
        <f t="shared" si="33"/>
        <v>193.16508546735062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2142.8670059999995</v>
      </c>
      <c r="G78" s="457">
        <f t="shared" ref="G78:N78" si="34">SUM(G76:G77)</f>
        <v>559.62212062500009</v>
      </c>
      <c r="H78" s="457">
        <f t="shared" si="34"/>
        <v>2390.8196939961722</v>
      </c>
      <c r="I78" s="458">
        <f t="shared" si="34"/>
        <v>1549.773854939526</v>
      </c>
      <c r="J78" s="457">
        <f t="shared" si="34"/>
        <v>1559.185484864515</v>
      </c>
      <c r="K78" s="457">
        <f t="shared" si="34"/>
        <v>1568.4434933062887</v>
      </c>
      <c r="L78" s="457">
        <f t="shared" si="34"/>
        <v>1578.5575628495471</v>
      </c>
      <c r="M78" s="457">
        <f t="shared" si="34"/>
        <v>1589.0046895074738</v>
      </c>
      <c r="N78" s="459">
        <f t="shared" si="34"/>
        <v>0</v>
      </c>
      <c r="O78" s="460">
        <f>SUM(F78:N78)</f>
        <v>12938.273906088525</v>
      </c>
      <c r="P78" s="461">
        <f t="shared" si="33"/>
        <v>7844.9650854673509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2179.1185154999998</v>
      </c>
      <c r="G79" s="457">
        <f>G78*Assumptions!$G$21</f>
        <v>569.08941213933281</v>
      </c>
      <c r="H79" s="457">
        <f>H78*Assumptions!$G$21</f>
        <v>2431.2658918269349</v>
      </c>
      <c r="I79" s="458">
        <f>I78*Assumptions!$G$21</f>
        <v>1575.991833688503</v>
      </c>
      <c r="J79" s="457">
        <f>J78*Assumptions!$G$21</f>
        <v>1585.5626829167345</v>
      </c>
      <c r="K79" s="457">
        <f>K78*Assumptions!$G$21</f>
        <v>1594.9773118020719</v>
      </c>
      <c r="L79" s="457">
        <f>L78*Assumptions!$G$21</f>
        <v>1605.2624840255735</v>
      </c>
      <c r="M79" s="457">
        <f>M78*Assumptions!$G$21</f>
        <v>1615.8863477886155</v>
      </c>
      <c r="N79" s="459">
        <f>N78*Assumptions!$G$21</f>
        <v>0</v>
      </c>
      <c r="O79" s="460">
        <f>SUM(F79:N79)</f>
        <v>13157.154479687766</v>
      </c>
      <c r="P79" s="461">
        <f t="shared" si="33"/>
        <v>7977.6806602214983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174.50755631442757</v>
      </c>
      <c r="G80" s="282">
        <f>IF(G$10="Prior",G79*G56,IF(AND(G79&lt;&gt;0,SUM($F79:F79)=0),G79/SUM($F$54:G54)*G60,IF(G79&lt;&gt;0,SUM($F$79:G79)/SUM($F$54:G54)*G60-F82,0)))</f>
        <v>33.829397870025446</v>
      </c>
      <c r="H80" s="282">
        <f>IF(H$10="Prior",H79*H56,IF(AND(H79&lt;&gt;0,SUM($F79:G79)=0),H79/SUM($F$54:H54)*H60,IF(H79&lt;&gt;0,SUM($F$79:H79)/SUM($F$54:H54)*H60-G82,0)))</f>
        <v>176.49455459650073</v>
      </c>
      <c r="I80" s="407">
        <f>IF(I$10="Prior",I79*I56,IF(AND(I79&lt;&gt;0,SUM($F79:H79)=0),I79/SUM($F$54:I54)*I60,IF(I79&lt;&gt;0,SUM($F$79:I79)/SUM($F$54:I54)*I60-H82,0)))</f>
        <v>138.98141249527282</v>
      </c>
      <c r="J80" s="282">
        <f>IF(J$10="Prior",J79*J56,IF(AND(J79&lt;&gt;0,SUM($F79:I79)=0),J79/SUM($F$54:J54)*J60,IF(J79&lt;&gt;0,SUM($F$79:J79)/SUM($F$54:J54)*J60-I82,0)))</f>
        <v>190.74261615260821</v>
      </c>
      <c r="K80" s="282">
        <f>IF(K$10="Prior",K79*K56,IF(AND(K79&lt;&gt;0,SUM($F79:J79)=0),K79/SUM($F$54:K54)*K60,IF(K79&lt;&gt;0,SUM($F$79:K79)/SUM($F$54:K54)*K60-J82,0)))</f>
        <v>208.11433406028266</v>
      </c>
      <c r="L80" s="282">
        <f>IF(L$10="Prior",L79*L56,IF(AND(L79&lt;&gt;0,SUM($F79:K79)=0),L79/SUM($F$54:L54)*L60,IF(L79&lt;&gt;0,SUM($F$79:L79)/SUM($F$54:L54)*L60-K82,0)))</f>
        <v>189.27715219218339</v>
      </c>
      <c r="M80" s="282">
        <f>IF(M$10="Prior",M79*M56,IF(AND(M79&lt;&gt;0,SUM($F79:L79)=0),M79/SUM($F$54:M54)*M60,IF(M79&lt;&gt;0,SUM($F$79:M79)/SUM($F$54:M54)*M60-L82,0)))</f>
        <v>179.42447733371364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1291.3715010150145</v>
      </c>
      <c r="P80" s="300">
        <f t="shared" si="33"/>
        <v>906.53999223406072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2353.6260718144276</v>
      </c>
      <c r="G81" s="307">
        <f t="shared" ref="G81:P81" si="35">SUM(G79:G80)</f>
        <v>602.91881000935825</v>
      </c>
      <c r="H81" s="307">
        <f t="shared" si="35"/>
        <v>2607.7604464234355</v>
      </c>
      <c r="I81" s="417">
        <f t="shared" si="35"/>
        <v>1714.9732461837757</v>
      </c>
      <c r="J81" s="387">
        <f t="shared" si="35"/>
        <v>1776.3052990693427</v>
      </c>
      <c r="K81" s="387">
        <f t="shared" si="35"/>
        <v>1803.0916458623547</v>
      </c>
      <c r="L81" s="387">
        <f t="shared" si="35"/>
        <v>1794.5396362177569</v>
      </c>
      <c r="M81" s="387">
        <f t="shared" si="35"/>
        <v>1795.3108251223291</v>
      </c>
      <c r="N81" s="420">
        <f t="shared" si="35"/>
        <v>0</v>
      </c>
      <c r="O81" s="421">
        <f t="shared" si="35"/>
        <v>14448.52598070278</v>
      </c>
      <c r="P81" s="388">
        <f t="shared" si="35"/>
        <v>8884.2206524555586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174.50755631442757</v>
      </c>
      <c r="G82" s="252">
        <f t="shared" ref="G82:N82" si="36">G80+F82</f>
        <v>208.33695418445302</v>
      </c>
      <c r="H82" s="252">
        <f t="shared" si="36"/>
        <v>384.83150878095375</v>
      </c>
      <c r="I82" s="252">
        <f t="shared" si="36"/>
        <v>523.81292127622658</v>
      </c>
      <c r="J82" s="252">
        <f t="shared" si="36"/>
        <v>714.55553742883478</v>
      </c>
      <c r="K82" s="252">
        <f t="shared" si="36"/>
        <v>922.66987148911744</v>
      </c>
      <c r="L82" s="252">
        <f t="shared" si="36"/>
        <v>1111.9470236813008</v>
      </c>
      <c r="M82" s="252">
        <f t="shared" si="36"/>
        <v>1291.3715010150145</v>
      </c>
      <c r="N82" s="252">
        <f t="shared" si="36"/>
        <v>1291.3715010150145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1.4721206250000018</v>
      </c>
      <c r="H83" s="252">
        <f t="shared" si="37"/>
        <v>17.212858435116129</v>
      </c>
      <c r="I83" s="252">
        <f t="shared" si="37"/>
        <v>36.62671337464252</v>
      </c>
      <c r="J83" s="252">
        <f t="shared" si="37"/>
        <v>65.452198239157951</v>
      </c>
      <c r="K83" s="252">
        <f t="shared" si="37"/>
        <v>103.53569154544699</v>
      </c>
      <c r="L83" s="252">
        <f t="shared" si="37"/>
        <v>151.73325439499345</v>
      </c>
      <c r="M83" s="252">
        <f t="shared" si="37"/>
        <v>210.37794390246677</v>
      </c>
      <c r="N83" s="252">
        <f t="shared" si="37"/>
        <v>210.37794390246677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2353.6260718144276</v>
      </c>
      <c r="G90" s="290">
        <f t="shared" si="45"/>
        <v>602.91881000935825</v>
      </c>
      <c r="H90" s="290">
        <f t="shared" si="45"/>
        <v>2607.7604464234355</v>
      </c>
      <c r="I90" s="416">
        <f t="shared" si="45"/>
        <v>1714.9732461837757</v>
      </c>
      <c r="J90" s="381">
        <f t="shared" si="45"/>
        <v>1776.3052990693427</v>
      </c>
      <c r="K90" s="381">
        <f t="shared" si="45"/>
        <v>1803.0916458623547</v>
      </c>
      <c r="L90" s="381">
        <f t="shared" si="45"/>
        <v>1794.5396362177569</v>
      </c>
      <c r="M90" s="381">
        <f t="shared" si="45"/>
        <v>1795.3108251223291</v>
      </c>
      <c r="N90" s="346">
        <f t="shared" si="45"/>
        <v>0</v>
      </c>
      <c r="O90" s="374">
        <f t="shared" si="41"/>
        <v>14448.52598070278</v>
      </c>
      <c r="P90" s="431">
        <f t="shared" si="39"/>
        <v>8884.2206524555586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2353.6260718144276</v>
      </c>
      <c r="G95" s="5">
        <f t="shared" ref="G95" si="50">+SUM(G85:G94)</f>
        <v>602.91881000935825</v>
      </c>
      <c r="H95" s="5">
        <f t="shared" ref="H95:N95" si="51">+SUM(H85:H94)</f>
        <v>2607.7604464234355</v>
      </c>
      <c r="I95" s="411">
        <f t="shared" si="51"/>
        <v>1714.9732461837757</v>
      </c>
      <c r="J95" s="382">
        <f t="shared" si="51"/>
        <v>1776.3052990693427</v>
      </c>
      <c r="K95" s="382">
        <f t="shared" si="51"/>
        <v>1803.0916458623547</v>
      </c>
      <c r="L95" s="382">
        <f t="shared" si="51"/>
        <v>1794.5396362177569</v>
      </c>
      <c r="M95" s="382">
        <f t="shared" si="51"/>
        <v>1795.3108251223291</v>
      </c>
      <c r="N95" s="286">
        <f t="shared" si="51"/>
        <v>0</v>
      </c>
      <c r="O95" s="372">
        <f>SUM(O85:O94)</f>
        <v>14448.52598070278</v>
      </c>
      <c r="P95" s="428">
        <f>SUM(P85:P94)</f>
        <v>8884.2206524555586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227.03695488721806</v>
      </c>
      <c r="H119" s="912">
        <f t="shared" si="62"/>
        <v>966.103545335832</v>
      </c>
      <c r="I119" s="912">
        <f t="shared" si="62"/>
        <v>622.49981954887221</v>
      </c>
      <c r="J119" s="912">
        <f t="shared" si="62"/>
        <v>622.49981954887221</v>
      </c>
      <c r="K119" s="912">
        <f t="shared" si="62"/>
        <v>622.49981954887221</v>
      </c>
      <c r="L119" s="912">
        <f t="shared" si="62"/>
        <v>622.49981954887221</v>
      </c>
      <c r="M119" s="912">
        <f t="shared" si="62"/>
        <v>622.49981954887221</v>
      </c>
      <c r="N119" s="912">
        <f t="shared" si="62"/>
        <v>0</v>
      </c>
      <c r="O119" s="912">
        <f t="shared" si="60"/>
        <v>4305.6395979674116</v>
      </c>
      <c r="P119" s="912">
        <f t="shared" si="61"/>
        <v>3112.4990977443613</v>
      </c>
    </row>
    <row r="120" spans="4:16" hidden="1" outlineLevel="1">
      <c r="D120" s="248" t="s">
        <v>440</v>
      </c>
      <c r="G120" s="191">
        <f>SUM(G111:G119)</f>
        <v>227.03695488721806</v>
      </c>
      <c r="H120" s="191">
        <f t="shared" ref="H120:P120" si="63">SUM(H111:H119)</f>
        <v>966.103545335832</v>
      </c>
      <c r="I120" s="191">
        <f t="shared" si="63"/>
        <v>622.49981954887221</v>
      </c>
      <c r="J120" s="191">
        <f t="shared" si="63"/>
        <v>622.49981954887221</v>
      </c>
      <c r="K120" s="191">
        <f t="shared" si="63"/>
        <v>622.49981954887221</v>
      </c>
      <c r="L120" s="191">
        <f t="shared" si="63"/>
        <v>622.49981954887221</v>
      </c>
      <c r="M120" s="191">
        <f t="shared" si="63"/>
        <v>622.49981954887221</v>
      </c>
      <c r="N120" s="191">
        <f t="shared" si="63"/>
        <v>0</v>
      </c>
      <c r="O120" s="191">
        <f t="shared" si="63"/>
        <v>4305.6395979674116</v>
      </c>
      <c r="P120" s="191">
        <f t="shared" si="63"/>
        <v>3112.4990977443613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57.092699249295116</v>
      </c>
      <c r="H131" s="912">
        <f t="shared" si="67"/>
        <v>244.54828693221671</v>
      </c>
      <c r="I131" s="912">
        <f t="shared" si="67"/>
        <v>158.84086846204616</v>
      </c>
      <c r="J131" s="912">
        <f t="shared" si="67"/>
        <v>160.12747949658873</v>
      </c>
      <c r="K131" s="912">
        <f t="shared" si="67"/>
        <v>161.45253438942299</v>
      </c>
      <c r="L131" s="912">
        <f t="shared" si="67"/>
        <v>162.89753457220834</v>
      </c>
      <c r="M131" s="912">
        <f t="shared" si="67"/>
        <v>164.37990213681547</v>
      </c>
      <c r="N131" s="912">
        <f t="shared" si="67"/>
        <v>0</v>
      </c>
      <c r="O131" s="912">
        <f t="shared" si="65"/>
        <v>1109.3393052385936</v>
      </c>
      <c r="P131" s="912">
        <f t="shared" si="66"/>
        <v>807.69831905708179</v>
      </c>
    </row>
    <row r="132" spans="4:16" hidden="1" outlineLevel="1">
      <c r="D132" s="248" t="s">
        <v>441</v>
      </c>
      <c r="G132" s="191">
        <f>SUM(G123:G131)</f>
        <v>57.092699249295116</v>
      </c>
      <c r="H132" s="191">
        <f t="shared" ref="H132:P132" si="68">SUM(H123:H131)</f>
        <v>244.54828693221671</v>
      </c>
      <c r="I132" s="191">
        <f t="shared" si="68"/>
        <v>158.84086846204616</v>
      </c>
      <c r="J132" s="191">
        <f t="shared" si="68"/>
        <v>160.12747949658873</v>
      </c>
      <c r="K132" s="191">
        <f t="shared" si="68"/>
        <v>161.45253438942299</v>
      </c>
      <c r="L132" s="191">
        <f t="shared" si="68"/>
        <v>162.89753457220834</v>
      </c>
      <c r="M132" s="191">
        <f t="shared" si="68"/>
        <v>164.37990213681547</v>
      </c>
      <c r="N132" s="191">
        <f t="shared" si="68"/>
        <v>0</v>
      </c>
      <c r="O132" s="191">
        <f t="shared" si="68"/>
        <v>1109.3393052385936</v>
      </c>
      <c r="P132" s="191">
        <f t="shared" si="68"/>
        <v>807.69831905708179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284.95975800281957</v>
      </c>
      <c r="H143" s="912">
        <f t="shared" si="72"/>
        <v>1220.6140595588861</v>
      </c>
      <c r="I143" s="912">
        <f t="shared" si="72"/>
        <v>794.65114567758508</v>
      </c>
      <c r="J143" s="912">
        <f t="shared" si="72"/>
        <v>802.93538387127376</v>
      </c>
      <c r="K143" s="912">
        <f t="shared" si="72"/>
        <v>811.02495786377688</v>
      </c>
      <c r="L143" s="912">
        <f t="shared" si="72"/>
        <v>819.86512990449216</v>
      </c>
      <c r="M143" s="912">
        <f t="shared" si="72"/>
        <v>829.00662610292716</v>
      </c>
      <c r="N143" s="912">
        <f t="shared" si="72"/>
        <v>0</v>
      </c>
      <c r="O143" s="912">
        <f t="shared" si="70"/>
        <v>5563.0570609817605</v>
      </c>
      <c r="P143" s="912">
        <f t="shared" si="71"/>
        <v>4057.4832434200553</v>
      </c>
    </row>
    <row r="144" spans="4:16" hidden="1" outlineLevel="1">
      <c r="D144" s="248" t="s">
        <v>442</v>
      </c>
      <c r="G144" s="191">
        <f>SUM(G135:G143)</f>
        <v>284.95975800281957</v>
      </c>
      <c r="H144" s="191">
        <f t="shared" ref="H144:P144" si="73">SUM(H135:H143)</f>
        <v>1220.6140595588861</v>
      </c>
      <c r="I144" s="191">
        <f t="shared" si="73"/>
        <v>794.65114567758508</v>
      </c>
      <c r="J144" s="191">
        <f t="shared" si="73"/>
        <v>802.93538387127376</v>
      </c>
      <c r="K144" s="191">
        <f t="shared" si="73"/>
        <v>811.02495786377688</v>
      </c>
      <c r="L144" s="191">
        <f t="shared" si="73"/>
        <v>819.86512990449216</v>
      </c>
      <c r="M144" s="191">
        <f t="shared" si="73"/>
        <v>829.00662610292716</v>
      </c>
      <c r="N144" s="191">
        <f t="shared" si="73"/>
        <v>0</v>
      </c>
      <c r="O144" s="191">
        <f t="shared" si="73"/>
        <v>5563.0570609817605</v>
      </c>
      <c r="P144" s="191">
        <f t="shared" si="73"/>
        <v>4057.4832434200553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569.08941213933281</v>
      </c>
      <c r="H155" s="912">
        <f t="shared" si="74"/>
        <v>2431.2658918269349</v>
      </c>
      <c r="I155" s="912">
        <f t="shared" si="74"/>
        <v>1575.9918336885034</v>
      </c>
      <c r="J155" s="912">
        <f t="shared" si="74"/>
        <v>1585.5626829167347</v>
      </c>
      <c r="K155" s="912">
        <f t="shared" si="74"/>
        <v>1594.9773118020721</v>
      </c>
      <c r="L155" s="912">
        <f t="shared" si="74"/>
        <v>1605.2624840255726</v>
      </c>
      <c r="M155" s="912">
        <f t="shared" si="74"/>
        <v>1615.8863477886148</v>
      </c>
      <c r="N155" s="912">
        <f t="shared" si="74"/>
        <v>0</v>
      </c>
      <c r="O155" s="912">
        <f t="shared" si="75"/>
        <v>10978.035964187766</v>
      </c>
      <c r="P155" s="912">
        <f t="shared" si="76"/>
        <v>7977.6806602214983</v>
      </c>
    </row>
    <row r="156" spans="4:16" hidden="1" outlineLevel="1">
      <c r="D156" s="248" t="s">
        <v>454</v>
      </c>
      <c r="G156" s="191">
        <f>SUM(G147:G155)</f>
        <v>569.08941213933281</v>
      </c>
      <c r="H156" s="191">
        <f t="shared" ref="H156:N156" si="77">SUM(H147:H155)</f>
        <v>2431.2658918269349</v>
      </c>
      <c r="I156" s="191">
        <f t="shared" si="77"/>
        <v>1575.9918336885034</v>
      </c>
      <c r="J156" s="191">
        <f t="shared" si="77"/>
        <v>1585.5626829167347</v>
      </c>
      <c r="K156" s="191">
        <f t="shared" si="77"/>
        <v>1594.9773118020721</v>
      </c>
      <c r="L156" s="191">
        <f t="shared" si="77"/>
        <v>1605.2624840255726</v>
      </c>
      <c r="M156" s="191">
        <f t="shared" si="77"/>
        <v>1615.8863477886148</v>
      </c>
      <c r="N156" s="191">
        <f t="shared" si="77"/>
        <v>0</v>
      </c>
      <c r="O156" s="191">
        <f t="shared" ref="O156:P156" si="78">SUM(O147:O155)</f>
        <v>10978.035964187766</v>
      </c>
      <c r="P156" s="191">
        <f t="shared" si="78"/>
        <v>7977.6806602214983</v>
      </c>
    </row>
    <row r="157" spans="4:16" collapsed="1"/>
  </sheetData>
  <mergeCells count="1">
    <mergeCell ref="C13:C14"/>
  </mergeCells>
  <phoneticPr fontId="6" type="noConversion"/>
  <conditionalFormatting sqref="R14">
    <cfRule type="cellIs" dxfId="54" priority="4" operator="equal">
      <formula>"Error"</formula>
    </cfRule>
  </conditionalFormatting>
  <conditionalFormatting sqref="R11">
    <cfRule type="cellIs" dxfId="53" priority="3" operator="equal">
      <formula>"Error"</formula>
    </cfRule>
  </conditionalFormatting>
  <conditionalFormatting sqref="R54">
    <cfRule type="cellIs" dxfId="5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topLeftCell="B1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Project_Inputs!B34</f>
        <v>0</v>
      </c>
      <c r="F3" s="249" t="s">
        <v>63</v>
      </c>
      <c r="G3" s="249">
        <f>Project_Inputs!F34</f>
        <v>0</v>
      </c>
    </row>
    <row r="4" spans="1:21" ht="18.75">
      <c r="A4" s="6"/>
      <c r="B4" s="6"/>
      <c r="C4" s="13" t="s">
        <v>15</v>
      </c>
      <c r="D4" s="339" t="str">
        <f>Project_Inputs!D34</f>
        <v>Civils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Project_Inputs!H34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Project_Inputs!I34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Project_Inputs!J34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0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1543.44</v>
      </c>
      <c r="J11" s="320">
        <f>IF(J$10="Prior",SUMIFS(Project_Inputs!$W$5:$W$50,Project_Inputs!$D$5:$D$50,$D$4),SUMIFS(Project_Inputs!P$5:P$50,Project_Inputs!$D$5:$D$50,$D$4))</f>
        <v>1543.44</v>
      </c>
      <c r="K11" s="320">
        <f>IF(K$10="Prior",SUMIFS(Project_Inputs!$W$5:$W$50,Project_Inputs!$D$5:$D$50,$D$4),SUMIFS(Project_Inputs!Q$5:Q$50,Project_Inputs!$D$5:$D$50,$D$4))</f>
        <v>1543.44</v>
      </c>
      <c r="L11" s="320">
        <f>IF(L$10="Prior",SUMIFS(Project_Inputs!$W$5:$W$50,Project_Inputs!$D$5:$D$50,$D$4),SUMIFS(Project_Inputs!R$5:R$50,Project_Inputs!$D$5:$D$50,$D$4))</f>
        <v>1543.44</v>
      </c>
      <c r="M11" s="320">
        <f>IF(M$10="Prior",SUMIFS(Project_Inputs!$W$5:$W$50,Project_Inputs!$D$5:$D$50,$D$4),SUMIFS(Project_Inputs!S$5:S$50,Project_Inputs!$D$5:$D$50,$D$4))</f>
        <v>1543.44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7717.2000000000007</v>
      </c>
      <c r="P11" s="300">
        <f t="shared" ref="P11" si="0">SUM(I11:M11)</f>
        <v>7717.2000000000007</v>
      </c>
      <c r="R11" s="608" t="str">
        <f>IF(O11=Project_Inputs!V34,"ok","error")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1543.44</v>
      </c>
      <c r="J14" s="447">
        <f>IF($G$3="Yes",SUMIFS(Project_Inputs!AN$5:AN$50,Project_Inputs!$D$5:$D$50,$D$4),IF(AND(J$13="X",J$10="Prior"),J11,IF(J$13="X",SUM($F11:J11)-SUM($F14:I14),0)))</f>
        <v>1543.44</v>
      </c>
      <c r="K14" s="447">
        <f>IF($G$3="Yes",SUMIFS(Project_Inputs!AO$5:AO$50,Project_Inputs!$D$5:$D$50,$D$4),IF(AND(K$13="X",K$10="Prior"),K11,IF(K$13="X",SUM($F11:K11)-SUM($F14:J14),0)))</f>
        <v>1543.4399999999996</v>
      </c>
      <c r="L14" s="447">
        <f>IF($G$3="Yes",SUMIFS(Project_Inputs!AP$5:AP$50,Project_Inputs!$D$5:$D$50,$D$4),IF(AND(L$13="X",L$10="Prior"),L11,IF(L$13="X",SUM($F11:L11)-SUM($F14:K14),0)))</f>
        <v>1543.4400000000005</v>
      </c>
      <c r="M14" s="447">
        <f>IF($G$3="Yes",SUMIFS(Project_Inputs!AQ$5:AQ$50,Project_Inputs!$D$5:$D$50,$D$4),IF(AND(M$13="X",M$10="Prior"),M11,IF(M$13="X",SUM($F11:M11)-SUM($F14:L14),0)))</f>
        <v>1543.4400000000005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7717.2000000000007</v>
      </c>
      <c r="P14" s="451">
        <f>SUM(I14:M14)</f>
        <v>7717.2000000000007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1</v>
      </c>
      <c r="G22" s="341">
        <v>1</v>
      </c>
      <c r="H22" s="392">
        <v>1</v>
      </c>
      <c r="I22" s="404">
        <v>1</v>
      </c>
      <c r="J22" s="341">
        <v>1</v>
      </c>
      <c r="K22" s="341">
        <v>1</v>
      </c>
      <c r="L22" s="341">
        <v>1</v>
      </c>
      <c r="M22" s="341">
        <v>1</v>
      </c>
      <c r="N22" s="342">
        <v>1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0</v>
      </c>
      <c r="I46" s="407">
        <f>IF(I$10="Prior",0,(I11*I29)*(Assumptions!I28-1))</f>
        <v>3.1894432686131942</v>
      </c>
      <c r="J46" s="282">
        <f>IF(J$10="Prior",0,(J11*J29)*(Assumptions!J28-1))</f>
        <v>4.4654641590889685</v>
      </c>
      <c r="K46" s="282">
        <f>IF(K$10="Prior",0,(K11*K29)*(Assumptions!K28-1))</f>
        <v>5.7796124750054201</v>
      </c>
      <c r="L46" s="282">
        <f>IF(L$10="Prior",0,(L11*L29)*(Assumptions!L28-1))</f>
        <v>7.2127188066567189</v>
      </c>
      <c r="M46" s="282">
        <f>IF(M$10="Prior",0,(M11*M29)*(Assumptions!M28-1))</f>
        <v>8.6828849477973211</v>
      </c>
      <c r="N46" s="283">
        <f>IF(N$10="Prior",0,(N11*N29)*(Assumptions!N28-1))</f>
        <v>0</v>
      </c>
      <c r="O46" s="362">
        <f t="shared" ref="O46:O47" si="6">SUM(F46:N46)</f>
        <v>29.330123657161622</v>
      </c>
      <c r="P46" s="300">
        <f t="shared" ref="P46:P47" si="7">SUM(I46:M46)</f>
        <v>29.330123657161622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0</v>
      </c>
      <c r="I47" s="407">
        <f>IF(I$10="Prior",0,(I11*I30)*(Assumptions!I30-1))</f>
        <v>16.390342055011715</v>
      </c>
      <c r="J47" s="282">
        <f>IF(J$10="Prior",0,(J11*J30)*(Assumptions!J30-1))</f>
        <v>24.60639237093514</v>
      </c>
      <c r="K47" s="282">
        <f>IF(K$10="Prior",0,(K11*K30)*(Assumptions!K30-1))</f>
        <v>32.62938077407243</v>
      </c>
      <c r="L47" s="282">
        <f>IF(L$10="Prior",0,(L11*L30)*(Assumptions!L30-1))</f>
        <v>41.396789024509808</v>
      </c>
      <c r="M47" s="282">
        <f>IF(M$10="Prior",0,(M11*M30)*(Assumptions!M30-1))</f>
        <v>50.463041222133029</v>
      </c>
      <c r="N47" s="283">
        <f>IF(N$10="Prior",0,(N11*N30)*(Assumptions!N30-1))</f>
        <v>0</v>
      </c>
      <c r="O47" s="362">
        <f t="shared" si="6"/>
        <v>165.48594544666213</v>
      </c>
      <c r="P47" s="300">
        <f t="shared" si="7"/>
        <v>165.48594544666213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</v>
      </c>
      <c r="H48" s="253">
        <f t="shared" si="8"/>
        <v>0</v>
      </c>
      <c r="I48" s="408">
        <f t="shared" si="8"/>
        <v>19.579785323624908</v>
      </c>
      <c r="J48" s="5">
        <f t="shared" si="8"/>
        <v>29.071856530024107</v>
      </c>
      <c r="K48" s="5">
        <f t="shared" si="8"/>
        <v>38.408993249077852</v>
      </c>
      <c r="L48" s="5">
        <f t="shared" si="8"/>
        <v>48.609507831166525</v>
      </c>
      <c r="M48" s="5">
        <f t="shared" si="8"/>
        <v>59.145926169930348</v>
      </c>
      <c r="N48" s="286">
        <f t="shared" si="8"/>
        <v>0</v>
      </c>
      <c r="O48" s="433">
        <f>SUM(O46:O47)</f>
        <v>194.81606910382374</v>
      </c>
      <c r="P48" s="434">
        <f>SUM(P46:P47)</f>
        <v>194.81606910382374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</v>
      </c>
      <c r="H49" s="253">
        <f t="shared" si="9"/>
        <v>0</v>
      </c>
      <c r="I49" s="408">
        <f t="shared" si="9"/>
        <v>19.579785323624908</v>
      </c>
      <c r="J49" s="5">
        <f t="shared" si="9"/>
        <v>29.071856530024107</v>
      </c>
      <c r="K49" s="5">
        <f t="shared" si="9"/>
        <v>38.408993249077852</v>
      </c>
      <c r="L49" s="5">
        <f t="shared" si="9"/>
        <v>48.609507831166525</v>
      </c>
      <c r="M49" s="5">
        <f t="shared" si="9"/>
        <v>59.145926169930348</v>
      </c>
      <c r="N49" s="286">
        <f t="shared" si="9"/>
        <v>0</v>
      </c>
      <c r="O49" s="370">
        <f>O44+O48</f>
        <v>194.81606910382374</v>
      </c>
      <c r="P49" s="371">
        <f>P44+P48</f>
        <v>194.81606910382374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0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2.4885316726972122E-2</v>
      </c>
      <c r="L50" s="443">
        <f t="shared" si="10"/>
        <v>3.149426464985132E-2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2.524439811120921E-2</v>
      </c>
      <c r="P50" s="444">
        <f t="shared" si="10"/>
        <v>2.524439811120921E-2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0</v>
      </c>
      <c r="G51" s="280">
        <f>(G29*G$11+G46)*Assumptions!$G$21</f>
        <v>0</v>
      </c>
      <c r="H51" s="280">
        <f>(H29*H$11+H46)*Assumptions!$G$21</f>
        <v>0</v>
      </c>
      <c r="I51" s="410">
        <f>(I29*I$11+I46)*Assumptions!$G$21</f>
        <v>160.19848272240554</v>
      </c>
      <c r="J51" s="280">
        <f>(J29*J$11+J46)*Assumptions!$G$21</f>
        <v>161.49609043245707</v>
      </c>
      <c r="K51" s="280">
        <f>(K29*K$11+K46)*Assumptions!$G$21</f>
        <v>162.83247058078561</v>
      </c>
      <c r="L51" s="280">
        <f>(L29*L$11+L46)*Assumptions!$G$21</f>
        <v>164.28982119248366</v>
      </c>
      <c r="M51" s="280">
        <f>(M29*M$11+M46)*Assumptions!$G$21</f>
        <v>165.7848585653353</v>
      </c>
      <c r="N51" s="281">
        <f>(N29*N$11+N46)*Assumptions!$G$21</f>
        <v>0</v>
      </c>
      <c r="O51" s="373">
        <f t="shared" ref="O51:O53" si="11">SUM(F51:N51)</f>
        <v>814.60172349346726</v>
      </c>
      <c r="P51" s="375">
        <f>SUM(I51:M51)</f>
        <v>814.60172349346726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0</v>
      </c>
      <c r="G52" s="282">
        <f>(G30*G$11+G47)*Assumptions!$G$21</f>
        <v>0</v>
      </c>
      <c r="H52" s="282">
        <f>(H30*H$11+H47)*Assumptions!$G$21</f>
        <v>0</v>
      </c>
      <c r="I52" s="407">
        <f>(I30*I$11+I47)*Assumptions!$G$21</f>
        <v>801.44303581158158</v>
      </c>
      <c r="J52" s="282">
        <f>(J30*J$11+J47)*Assumptions!$G$21</f>
        <v>809.79807945991729</v>
      </c>
      <c r="K52" s="282">
        <f>(K30*K$11+K47)*Assumptions!$G$21</f>
        <v>817.95679511047592</v>
      </c>
      <c r="L52" s="282">
        <f>(L30*L$11+L47)*Assumptions!$G$21</f>
        <v>826.87252417718014</v>
      </c>
      <c r="M52" s="282">
        <f>(M30*M$11+M47)*Assumptions!$G$21</f>
        <v>836.09215282175569</v>
      </c>
      <c r="N52" s="283">
        <f>(N30*N$11+N47)*Assumptions!$G$21</f>
        <v>0</v>
      </c>
      <c r="O52" s="374">
        <f t="shared" si="11"/>
        <v>4092.1625873809107</v>
      </c>
      <c r="P52" s="376">
        <f>SUM(I52:M52)</f>
        <v>4092.1625873809107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0</v>
      </c>
      <c r="G53" s="282">
        <f>(G31*G$11+G$44)*Assumptions!$G$21</f>
        <v>0</v>
      </c>
      <c r="H53" s="282">
        <f>(H31*H$11+H$44)*Assumptions!$G$21</f>
        <v>0</v>
      </c>
      <c r="I53" s="407">
        <f>(I31*I$11+I$44)*Assumptions!$G$21</f>
        <v>627.82033082706778</v>
      </c>
      <c r="J53" s="282">
        <f>(J31*J$11+J$44)*Assumptions!$G$21</f>
        <v>627.82033082706778</v>
      </c>
      <c r="K53" s="282">
        <f>(K31*K$11+K$44)*Assumptions!$G$21</f>
        <v>627.82033082706778</v>
      </c>
      <c r="L53" s="282">
        <f>(L31*L$11+L$44)*Assumptions!$G$21</f>
        <v>627.82033082706778</v>
      </c>
      <c r="M53" s="282">
        <f>(M31*M$11+M$44)*Assumptions!$G$21</f>
        <v>627.82033082706778</v>
      </c>
      <c r="N53" s="283">
        <f>(N31*N$11+N$44)*Assumptions!$G$21</f>
        <v>0</v>
      </c>
      <c r="O53" s="374">
        <f t="shared" si="11"/>
        <v>3139.1016541353388</v>
      </c>
      <c r="P53" s="376">
        <f>SUM(I53:M53)</f>
        <v>3139.1016541353388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1">
        <f t="shared" si="12"/>
        <v>1589.4618493610549</v>
      </c>
      <c r="J54" s="382">
        <f t="shared" si="12"/>
        <v>1599.1145007194423</v>
      </c>
      <c r="K54" s="382">
        <f t="shared" si="12"/>
        <v>1608.6095965183295</v>
      </c>
      <c r="L54" s="382">
        <f t="shared" si="12"/>
        <v>1618.9826761967315</v>
      </c>
      <c r="M54" s="382">
        <f t="shared" si="12"/>
        <v>1629.6973422141587</v>
      </c>
      <c r="N54" s="286">
        <f t="shared" si="12"/>
        <v>0</v>
      </c>
      <c r="O54" s="372">
        <f t="shared" si="12"/>
        <v>8045.8659650097161</v>
      </c>
      <c r="P54" s="428">
        <f t="shared" si="12"/>
        <v>8045.8659650097161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0</v>
      </c>
      <c r="H57" s="290">
        <f t="shared" si="13"/>
        <v>0</v>
      </c>
      <c r="I57" s="407">
        <f t="shared" si="13"/>
        <v>140.16928781574543</v>
      </c>
      <c r="J57" s="282">
        <f t="shared" si="13"/>
        <v>192.37289492314324</v>
      </c>
      <c r="K57" s="282">
        <f t="shared" si="13"/>
        <v>209.8930890522511</v>
      </c>
      <c r="L57" s="282">
        <f t="shared" si="13"/>
        <v>190.89490562972333</v>
      </c>
      <c r="M57" s="282">
        <f t="shared" si="13"/>
        <v>180.95801987502745</v>
      </c>
      <c r="N57" s="283">
        <f t="shared" si="13"/>
        <v>0</v>
      </c>
      <c r="O57" s="309">
        <f>SUM(F57:N57)</f>
        <v>914.28819729589054</v>
      </c>
      <c r="P57" s="300">
        <f>SUM(I57:M57)</f>
        <v>914.28819729589054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0</v>
      </c>
      <c r="G59" s="5">
        <f t="shared" si="14"/>
        <v>0</v>
      </c>
      <c r="H59" s="5">
        <f t="shared" si="14"/>
        <v>0</v>
      </c>
      <c r="I59" s="411">
        <f t="shared" si="14"/>
        <v>1729.6311371768004</v>
      </c>
      <c r="J59" s="382">
        <f t="shared" si="14"/>
        <v>1791.4873956425854</v>
      </c>
      <c r="K59" s="382">
        <f t="shared" si="14"/>
        <v>1818.5026855705805</v>
      </c>
      <c r="L59" s="382">
        <f t="shared" si="14"/>
        <v>1809.8775818264548</v>
      </c>
      <c r="M59" s="382">
        <f t="shared" si="14"/>
        <v>1810.6553620891862</v>
      </c>
      <c r="N59" s="418">
        <f>N54+N57</f>
        <v>0</v>
      </c>
      <c r="O59" s="419">
        <f t="shared" ref="O59:P59" si="15">O54+O57</f>
        <v>8960.1541623056073</v>
      </c>
      <c r="P59" s="429">
        <f t="shared" si="15"/>
        <v>8960.1541623056073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0</v>
      </c>
      <c r="H60" s="290">
        <f t="shared" si="16"/>
        <v>0</v>
      </c>
      <c r="I60" s="290">
        <f t="shared" si="16"/>
        <v>140.16928781574543</v>
      </c>
      <c r="J60" s="290">
        <f t="shared" si="16"/>
        <v>332.54218273888864</v>
      </c>
      <c r="K60" s="290">
        <f t="shared" si="16"/>
        <v>542.43527179113971</v>
      </c>
      <c r="L60" s="290">
        <f t="shared" si="16"/>
        <v>733.33017742086304</v>
      </c>
      <c r="M60" s="290">
        <f t="shared" si="16"/>
        <v>914.28819729589054</v>
      </c>
      <c r="N60" s="290">
        <f t="shared" si="16"/>
        <v>914.28819729589054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0</v>
      </c>
      <c r="I61" s="252">
        <f t="shared" si="17"/>
        <v>19.579785323624908</v>
      </c>
      <c r="J61" s="252">
        <f t="shared" si="17"/>
        <v>48.651641853649011</v>
      </c>
      <c r="K61" s="252">
        <f t="shared" si="17"/>
        <v>87.060635102726863</v>
      </c>
      <c r="L61" s="252">
        <f t="shared" si="17"/>
        <v>135.67014293389337</v>
      </c>
      <c r="M61" s="252">
        <f t="shared" si="17"/>
        <v>194.81606910382374</v>
      </c>
      <c r="N61" s="252">
        <f t="shared" si="17"/>
        <v>194.81606910382374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1729.6311371768004</v>
      </c>
      <c r="J69" s="381">
        <f t="shared" si="25"/>
        <v>1791.4873956425854</v>
      </c>
      <c r="K69" s="381">
        <f t="shared" si="25"/>
        <v>1818.5026855705805</v>
      </c>
      <c r="L69" s="381">
        <f t="shared" si="25"/>
        <v>1809.8775818264548</v>
      </c>
      <c r="M69" s="381">
        <f t="shared" si="25"/>
        <v>1810.6553620891862</v>
      </c>
      <c r="N69" s="283">
        <f t="shared" si="25"/>
        <v>0</v>
      </c>
      <c r="O69" s="374">
        <f t="shared" si="20"/>
        <v>8960.1541623056073</v>
      </c>
      <c r="P69" s="431">
        <f t="shared" si="21"/>
        <v>8960.1541623056073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1">
        <f t="shared" si="30"/>
        <v>1729.6311371768004</v>
      </c>
      <c r="J74" s="382">
        <f t="shared" si="30"/>
        <v>1791.4873956425854</v>
      </c>
      <c r="K74" s="382">
        <f t="shared" si="30"/>
        <v>1818.5026855705805</v>
      </c>
      <c r="L74" s="382">
        <f t="shared" si="30"/>
        <v>1809.8775818264548</v>
      </c>
      <c r="M74" s="382">
        <f t="shared" si="30"/>
        <v>1810.6553620891862</v>
      </c>
      <c r="N74" s="286">
        <f t="shared" si="30"/>
        <v>0</v>
      </c>
      <c r="O74" s="372">
        <f>SUM(O64:O73)</f>
        <v>8960.1541623056073</v>
      </c>
      <c r="P74" s="428">
        <f>SUM(P64:P73)</f>
        <v>8960.1541623056073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0</v>
      </c>
      <c r="I76" s="410">
        <f t="shared" si="32"/>
        <v>1543.44</v>
      </c>
      <c r="J76" s="280">
        <f t="shared" si="32"/>
        <v>1543.44</v>
      </c>
      <c r="K76" s="280">
        <f t="shared" si="32"/>
        <v>1543.4399999999996</v>
      </c>
      <c r="L76" s="280">
        <f t="shared" si="32"/>
        <v>1543.4400000000005</v>
      </c>
      <c r="M76" s="280">
        <f t="shared" si="32"/>
        <v>1543.4400000000005</v>
      </c>
      <c r="N76" s="281">
        <f t="shared" si="32"/>
        <v>0</v>
      </c>
      <c r="O76" s="377">
        <f>SUM(F76:N76)</f>
        <v>7717.2000000000007</v>
      </c>
      <c r="P76" s="378">
        <f t="shared" ref="P76:P80" si="33">SUM(I76:M76)</f>
        <v>7717.2000000000007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IF(F$10="Prior",0,IF(AND(F76&lt;&gt;0,E76=0),F76/SUM($F$76:F76)*F61,IF(F76&lt;&gt;0,SUM($F$76:F76)/SUM($F$11:F11)*F61-E84,0)))</f>
        <v>0</v>
      </c>
      <c r="G77" s="282">
        <f>IF(G$10="Prior",0,IF(AND(G76&lt;&gt;0,F76=0),G76/SUM($F$76:G76)*G61,IF(G76&lt;&gt;0,SUM($F$76:G76)/SUM($F$11:G11)*G61-F83,0)))</f>
        <v>0</v>
      </c>
      <c r="H77" s="282">
        <f>IF(H$10="Prior",0,IF(AND(H76&lt;&gt;0,G76=0),H76/SUM($F$76:H76)*H61,IF(H76&lt;&gt;0,SUM($F$76:H76)/SUM($F$11:H11)*H61-G83,0)))</f>
        <v>0</v>
      </c>
      <c r="I77" s="407">
        <f>IF(I$10="Prior",0,IF(AND(I76&lt;&gt;0,H76=0),I76/SUM($F$76:I76)*I61,IF(I76&lt;&gt;0,SUM($F$76:I76)/SUM($F$11:I11)*I61-H83,0)))</f>
        <v>19.579785323624908</v>
      </c>
      <c r="J77" s="282">
        <f>IF(J$10="Prior",0,IF(AND(J76&lt;&gt;0,I76=0),J76/SUM($F$76:J76)*J61,IF(J76&lt;&gt;0,SUM($F$76:J76)/SUM($F$11:J11)*J61-I83,0)))</f>
        <v>29.071856530024103</v>
      </c>
      <c r="K77" s="282">
        <f>IF(K$10="Prior",0,IF(AND(K76&lt;&gt;0,J76=0),K76/SUM($F$76:K76)*K61,IF(K76&lt;&gt;0,SUM($F$76:K76)/SUM($F$11:K11)*K61-J83,0)))</f>
        <v>38.408993249077852</v>
      </c>
      <c r="L77" s="282">
        <f>IF(L$10="Prior",0,IF(AND(L76&lt;&gt;0,K76=0),L76/SUM($F$76:L76)*L61,IF(L76&lt;&gt;0,SUM($F$76:L76)/SUM($F$11:L11)*L61-K83,0)))</f>
        <v>48.609507831166511</v>
      </c>
      <c r="M77" s="282">
        <f>IF(M$10="Prior",0,IF(AND(M76&lt;&gt;0,L76=0),M76/SUM($F$76:M76)*M61,IF(M76&lt;&gt;0,SUM($F$76:M76)/SUM($F$11:M11)*M61-L83,0)))</f>
        <v>59.145926169930362</v>
      </c>
      <c r="N77" s="283">
        <f>IF(N$10="Prior",0,IF(AND(N76&lt;&gt;0,M76=0),N76/SUM($F$76:N76)*N61,IF(N76&lt;&gt;0,SUM($F$76:N76)/SUM($F$11:N11)*N61-M83,0)))</f>
        <v>0</v>
      </c>
      <c r="O77" s="379">
        <f>SUM(F77:N77)</f>
        <v>194.81606910382374</v>
      </c>
      <c r="P77" s="455">
        <f t="shared" si="33"/>
        <v>194.81606910382374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1563.019785323625</v>
      </c>
      <c r="J78" s="457">
        <f t="shared" si="34"/>
        <v>1572.5118565300243</v>
      </c>
      <c r="K78" s="457">
        <f t="shared" si="34"/>
        <v>1581.8489932490775</v>
      </c>
      <c r="L78" s="457">
        <f t="shared" si="34"/>
        <v>1592.0495078311669</v>
      </c>
      <c r="M78" s="457">
        <f t="shared" si="34"/>
        <v>1602.5859261699309</v>
      </c>
      <c r="N78" s="459">
        <f t="shared" si="34"/>
        <v>0</v>
      </c>
      <c r="O78" s="460">
        <f>SUM(F78:N78)</f>
        <v>7912.0160691038245</v>
      </c>
      <c r="P78" s="461">
        <f t="shared" si="33"/>
        <v>7912.0160691038245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0</v>
      </c>
      <c r="I79" s="458">
        <f>I78*Assumptions!$G$21</f>
        <v>1589.4618493610549</v>
      </c>
      <c r="J79" s="457">
        <f>J78*Assumptions!$G$21</f>
        <v>1599.114500719442</v>
      </c>
      <c r="K79" s="457">
        <f>K78*Assumptions!$G$21</f>
        <v>1608.6095965183288</v>
      </c>
      <c r="L79" s="457">
        <f>L78*Assumptions!$G$21</f>
        <v>1618.982676196732</v>
      </c>
      <c r="M79" s="457">
        <f>M78*Assumptions!$G$21</f>
        <v>1629.6973422141591</v>
      </c>
      <c r="N79" s="459">
        <f>N78*Assumptions!$G$21</f>
        <v>0</v>
      </c>
      <c r="O79" s="460">
        <f>SUM(F79:N79)</f>
        <v>8045.865965009717</v>
      </c>
      <c r="P79" s="461">
        <f t="shared" si="33"/>
        <v>8045.865965009717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IF(F$10="Prior",F79*F56,IF(AND(F79&lt;&gt;0,E79=0),F79/SUM($F$54:F54)*F60,IF(F79&lt;&gt;0,SUM($F$79:F79)/SUM($F$54:F54)*F60-E82,0)))</f>
        <v>0</v>
      </c>
      <c r="G80" s="282">
        <f>IF(G$10="Prior",G79*G56,IF(AND(G79&lt;&gt;0,F79=0),G79/SUM($F$54:G54)*G60,IF(G79&lt;&gt;0,SUM($F$79:G79)/SUM($F$54:G54)*G60-F82,0)))</f>
        <v>0</v>
      </c>
      <c r="H80" s="282">
        <f>IF(H$10="Prior",H79*H56,IF(AND(H79&lt;&gt;0,G79=0),H79/SUM($F$54:H54)*H60,IF(H79&lt;&gt;0,SUM($F$79:H79)/SUM($F$54:H54)*H60-G82,0)))</f>
        <v>0</v>
      </c>
      <c r="I80" s="407">
        <f>IF(I$10="Prior",I79*I56,IF(AND(I79&lt;&gt;0,H79=0),I79/SUM($F$54:I54)*I60,IF(I79&lt;&gt;0,SUM($F$79:I79)/SUM($F$54:I54)*I60-H82,0)))</f>
        <v>140.16928781574543</v>
      </c>
      <c r="J80" s="282">
        <f>IF(J$10="Prior",J79*J56,IF(AND(J79&lt;&gt;0,I79=0),J79/SUM($F$54:J54)*J60,IF(J79&lt;&gt;0,SUM($F$79:J79)/SUM($F$54:J54)*J60-I82,0)))</f>
        <v>192.37289492314321</v>
      </c>
      <c r="K80" s="282">
        <f>IF(K$10="Prior",K79*K56,IF(AND(K79&lt;&gt;0,J79=0),K79/SUM($F$54:K54)*K60,IF(K79&lt;&gt;0,SUM($F$79:K79)/SUM($F$54:K54)*K60-J82,0)))</f>
        <v>209.89308905225096</v>
      </c>
      <c r="L80" s="282">
        <f>IF(L$10="Prior",L79*L56,IF(AND(L79&lt;&gt;0,K79=0),L79/SUM($F$54:L54)*L60,IF(L79&lt;&gt;0,SUM($F$79:L79)/SUM($F$54:L54)*L60-K82,0)))</f>
        <v>190.89490562972344</v>
      </c>
      <c r="M80" s="282">
        <f>IF(M$10="Prior",M79*M56,IF(AND(M79&lt;&gt;0,L79=0),M79/SUM($F$54:M54)*M60,IF(M79&lt;&gt;0,SUM($F$79:M79)/SUM($F$54:M54)*M60-L82,0)))</f>
        <v>180.95801987502773</v>
      </c>
      <c r="N80" s="283">
        <f>IF(N$10="Prior",N79*N56,IF(AND(N79&lt;&gt;0,M79=0),N79/SUM($F$54:N54)*N60,IF(N79&lt;&gt;0,SUM($F$79:N79)/SUM($F$54:N54)*N60-M82,0)))</f>
        <v>0</v>
      </c>
      <c r="O80" s="379">
        <f>SUM(F80:N80)</f>
        <v>914.28819729589077</v>
      </c>
      <c r="P80" s="300">
        <f t="shared" si="33"/>
        <v>914.28819729589077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1729.6311371768004</v>
      </c>
      <c r="J81" s="387">
        <f t="shared" si="35"/>
        <v>1791.4873956425852</v>
      </c>
      <c r="K81" s="387">
        <f t="shared" si="35"/>
        <v>1818.5026855705796</v>
      </c>
      <c r="L81" s="387">
        <f t="shared" si="35"/>
        <v>1809.8775818264553</v>
      </c>
      <c r="M81" s="387">
        <f t="shared" si="35"/>
        <v>1810.6553620891868</v>
      </c>
      <c r="N81" s="420">
        <f t="shared" si="35"/>
        <v>0</v>
      </c>
      <c r="O81" s="421">
        <f t="shared" si="35"/>
        <v>8960.1541623056073</v>
      </c>
      <c r="P81" s="388">
        <f t="shared" si="35"/>
        <v>8960.1541623056073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140.16928781574543</v>
      </c>
      <c r="J82" s="252">
        <f t="shared" si="36"/>
        <v>332.54218273888864</v>
      </c>
      <c r="K82" s="252">
        <f t="shared" si="36"/>
        <v>542.4352717911396</v>
      </c>
      <c r="L82" s="252">
        <f t="shared" si="36"/>
        <v>733.33017742086304</v>
      </c>
      <c r="M82" s="252">
        <f t="shared" si="36"/>
        <v>914.28819729589077</v>
      </c>
      <c r="N82" s="252">
        <f t="shared" si="36"/>
        <v>914.28819729589077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19.579785323624908</v>
      </c>
      <c r="J83" s="252">
        <f t="shared" si="37"/>
        <v>48.651641853649011</v>
      </c>
      <c r="K83" s="252">
        <f t="shared" si="37"/>
        <v>87.060635102726863</v>
      </c>
      <c r="L83" s="252">
        <f t="shared" si="37"/>
        <v>135.67014293389337</v>
      </c>
      <c r="M83" s="252">
        <f t="shared" si="37"/>
        <v>194.81606910382374</v>
      </c>
      <c r="N83" s="252">
        <f t="shared" si="37"/>
        <v>194.81606910382374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1729.6311371768004</v>
      </c>
      <c r="J90" s="381">
        <f t="shared" si="45"/>
        <v>1791.4873956425854</v>
      </c>
      <c r="K90" s="381">
        <f t="shared" si="45"/>
        <v>1818.5026855705796</v>
      </c>
      <c r="L90" s="381">
        <f t="shared" si="45"/>
        <v>1809.8775818264553</v>
      </c>
      <c r="M90" s="381">
        <f t="shared" si="45"/>
        <v>1810.6553620891868</v>
      </c>
      <c r="N90" s="346">
        <f t="shared" si="45"/>
        <v>0</v>
      </c>
      <c r="O90" s="374">
        <f t="shared" si="41"/>
        <v>8960.1541623056073</v>
      </c>
      <c r="P90" s="431">
        <f t="shared" si="39"/>
        <v>8960.1541623056073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1729.6311371768004</v>
      </c>
      <c r="J95" s="382">
        <f t="shared" si="51"/>
        <v>1791.4873956425854</v>
      </c>
      <c r="K95" s="382">
        <f t="shared" si="51"/>
        <v>1818.5026855705796</v>
      </c>
      <c r="L95" s="382">
        <f t="shared" si="51"/>
        <v>1809.8775818264553</v>
      </c>
      <c r="M95" s="382">
        <f t="shared" si="51"/>
        <v>1810.6553620891868</v>
      </c>
      <c r="N95" s="286">
        <f t="shared" si="51"/>
        <v>0</v>
      </c>
      <c r="O95" s="372">
        <f>SUM(O85:O94)</f>
        <v>8960.1541623056073</v>
      </c>
      <c r="P95" s="428">
        <f>SUM(P85:P94)</f>
        <v>8960.1541623056073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627.82033082706778</v>
      </c>
      <c r="J119" s="912">
        <f t="shared" si="62"/>
        <v>627.82033082706778</v>
      </c>
      <c r="K119" s="912">
        <f t="shared" si="62"/>
        <v>627.82033082706778</v>
      </c>
      <c r="L119" s="912">
        <f t="shared" si="62"/>
        <v>627.82033082706778</v>
      </c>
      <c r="M119" s="912">
        <f t="shared" si="62"/>
        <v>627.82033082706778</v>
      </c>
      <c r="N119" s="912">
        <f t="shared" si="62"/>
        <v>0</v>
      </c>
      <c r="O119" s="912">
        <f t="shared" si="60"/>
        <v>3139.1016541353388</v>
      </c>
      <c r="P119" s="912">
        <f t="shared" si="61"/>
        <v>3139.1016541353388</v>
      </c>
    </row>
    <row r="120" spans="4:16" hidden="1" outlineLevel="1">
      <c r="D120" s="248" t="s">
        <v>440</v>
      </c>
      <c r="G120" s="191">
        <f>SUM(G111:G119)</f>
        <v>0</v>
      </c>
      <c r="H120" s="191">
        <f t="shared" ref="H120:P120" si="63">SUM(H111:H119)</f>
        <v>0</v>
      </c>
      <c r="I120" s="191">
        <f t="shared" si="63"/>
        <v>627.82033082706778</v>
      </c>
      <c r="J120" s="191">
        <f t="shared" si="63"/>
        <v>627.82033082706778</v>
      </c>
      <c r="K120" s="191">
        <f t="shared" si="63"/>
        <v>627.82033082706778</v>
      </c>
      <c r="L120" s="191">
        <f t="shared" si="63"/>
        <v>627.82033082706778</v>
      </c>
      <c r="M120" s="191">
        <f t="shared" si="63"/>
        <v>627.82033082706778</v>
      </c>
      <c r="N120" s="191">
        <f t="shared" si="63"/>
        <v>0</v>
      </c>
      <c r="O120" s="191">
        <f t="shared" si="63"/>
        <v>3139.1016541353388</v>
      </c>
      <c r="P120" s="191">
        <f t="shared" si="63"/>
        <v>3139.1016541353388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160.19848272240554</v>
      </c>
      <c r="J131" s="912">
        <f t="shared" si="67"/>
        <v>161.49609043245707</v>
      </c>
      <c r="K131" s="912">
        <f t="shared" si="67"/>
        <v>162.83247058078561</v>
      </c>
      <c r="L131" s="912">
        <f t="shared" si="67"/>
        <v>164.28982119248366</v>
      </c>
      <c r="M131" s="912">
        <f t="shared" si="67"/>
        <v>165.7848585653353</v>
      </c>
      <c r="N131" s="912">
        <f t="shared" si="67"/>
        <v>0</v>
      </c>
      <c r="O131" s="912">
        <f t="shared" si="65"/>
        <v>814.60172349346726</v>
      </c>
      <c r="P131" s="912">
        <f t="shared" si="66"/>
        <v>814.60172349346726</v>
      </c>
    </row>
    <row r="132" spans="4:16" hidden="1" outlineLevel="1">
      <c r="D132" s="248" t="s">
        <v>441</v>
      </c>
      <c r="G132" s="191">
        <f>SUM(G123:G131)</f>
        <v>0</v>
      </c>
      <c r="H132" s="191">
        <f t="shared" ref="H132:P132" si="68">SUM(H123:H131)</f>
        <v>0</v>
      </c>
      <c r="I132" s="191">
        <f t="shared" si="68"/>
        <v>160.19848272240554</v>
      </c>
      <c r="J132" s="191">
        <f t="shared" si="68"/>
        <v>161.49609043245707</v>
      </c>
      <c r="K132" s="191">
        <f t="shared" si="68"/>
        <v>162.83247058078561</v>
      </c>
      <c r="L132" s="191">
        <f t="shared" si="68"/>
        <v>164.28982119248366</v>
      </c>
      <c r="M132" s="191">
        <f t="shared" si="68"/>
        <v>165.7848585653353</v>
      </c>
      <c r="N132" s="191">
        <f t="shared" si="68"/>
        <v>0</v>
      </c>
      <c r="O132" s="191">
        <f t="shared" si="68"/>
        <v>814.60172349346726</v>
      </c>
      <c r="P132" s="191">
        <f t="shared" si="68"/>
        <v>814.60172349346726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801.44303581158158</v>
      </c>
      <c r="J143" s="912">
        <f t="shared" si="72"/>
        <v>809.79807945991729</v>
      </c>
      <c r="K143" s="912">
        <f t="shared" si="72"/>
        <v>817.95679511047592</v>
      </c>
      <c r="L143" s="912">
        <f t="shared" si="72"/>
        <v>826.87252417718014</v>
      </c>
      <c r="M143" s="912">
        <f t="shared" si="72"/>
        <v>836.09215282175569</v>
      </c>
      <c r="N143" s="912">
        <f t="shared" si="72"/>
        <v>0</v>
      </c>
      <c r="O143" s="912">
        <f t="shared" si="70"/>
        <v>4092.1625873809107</v>
      </c>
      <c r="P143" s="912">
        <f t="shared" si="71"/>
        <v>4092.1625873809107</v>
      </c>
    </row>
    <row r="144" spans="4:16" hidden="1" outlineLevel="1">
      <c r="D144" s="248" t="s">
        <v>442</v>
      </c>
      <c r="G144" s="191">
        <f>SUM(G135:G143)</f>
        <v>0</v>
      </c>
      <c r="H144" s="191">
        <f t="shared" ref="H144:P144" si="73">SUM(H135:H143)</f>
        <v>0</v>
      </c>
      <c r="I144" s="191">
        <f t="shared" si="73"/>
        <v>801.44303581158158</v>
      </c>
      <c r="J144" s="191">
        <f t="shared" si="73"/>
        <v>809.79807945991729</v>
      </c>
      <c r="K144" s="191">
        <f t="shared" si="73"/>
        <v>817.95679511047592</v>
      </c>
      <c r="L144" s="191">
        <f t="shared" si="73"/>
        <v>826.87252417718014</v>
      </c>
      <c r="M144" s="191">
        <f t="shared" si="73"/>
        <v>836.09215282175569</v>
      </c>
      <c r="N144" s="191">
        <f t="shared" si="73"/>
        <v>0</v>
      </c>
      <c r="O144" s="191">
        <f t="shared" si="73"/>
        <v>4092.1625873809107</v>
      </c>
      <c r="P144" s="191">
        <f t="shared" si="73"/>
        <v>4092.1625873809107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1589.4618493610549</v>
      </c>
      <c r="J155" s="912">
        <f t="shared" si="74"/>
        <v>1599.1145007194423</v>
      </c>
      <c r="K155" s="912">
        <f t="shared" si="74"/>
        <v>1608.6095965183295</v>
      </c>
      <c r="L155" s="912">
        <f t="shared" si="74"/>
        <v>1618.9826761967315</v>
      </c>
      <c r="M155" s="912">
        <f t="shared" si="74"/>
        <v>1629.6973422141587</v>
      </c>
      <c r="N155" s="912">
        <f t="shared" si="74"/>
        <v>0</v>
      </c>
      <c r="O155" s="912">
        <f t="shared" si="75"/>
        <v>8045.8659650097161</v>
      </c>
      <c r="P155" s="912">
        <f t="shared" si="76"/>
        <v>8045.8659650097161</v>
      </c>
    </row>
    <row r="156" spans="4:16" hidden="1" outlineLevel="1">
      <c r="D156" s="248" t="s">
        <v>454</v>
      </c>
      <c r="G156" s="191">
        <f>SUM(G147:G155)</f>
        <v>0</v>
      </c>
      <c r="H156" s="191">
        <f t="shared" ref="H156:N156" si="77">SUM(H147:H155)</f>
        <v>0</v>
      </c>
      <c r="I156" s="191">
        <f t="shared" si="77"/>
        <v>1589.4618493610549</v>
      </c>
      <c r="J156" s="191">
        <f t="shared" si="77"/>
        <v>1599.1145007194423</v>
      </c>
      <c r="K156" s="191">
        <f t="shared" si="77"/>
        <v>1608.6095965183295</v>
      </c>
      <c r="L156" s="191">
        <f t="shared" si="77"/>
        <v>1618.9826761967315</v>
      </c>
      <c r="M156" s="191">
        <f t="shared" si="77"/>
        <v>1629.6973422141587</v>
      </c>
      <c r="N156" s="191">
        <f t="shared" si="77"/>
        <v>0</v>
      </c>
      <c r="O156" s="191">
        <f t="shared" ref="O156:P156" si="78">SUM(O147:O155)</f>
        <v>8045.8659650097161</v>
      </c>
      <c r="P156" s="191">
        <f t="shared" si="78"/>
        <v>8045.8659650097161</v>
      </c>
    </row>
    <row r="157" spans="4:16" collapsed="1"/>
  </sheetData>
  <mergeCells count="1">
    <mergeCell ref="C13:C14"/>
  </mergeCells>
  <phoneticPr fontId="6" type="noConversion"/>
  <conditionalFormatting sqref="R14">
    <cfRule type="cellIs" dxfId="51" priority="4" operator="equal">
      <formula>"Error"</formula>
    </cfRule>
  </conditionalFormatting>
  <conditionalFormatting sqref="R11">
    <cfRule type="cellIs" dxfId="50" priority="3" operator="equal">
      <formula>"Error"</formula>
    </cfRule>
  </conditionalFormatting>
  <conditionalFormatting sqref="R54">
    <cfRule type="cellIs" dxfId="4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Project_Inputs!B35</f>
        <v>0</v>
      </c>
      <c r="F3" s="249" t="s">
        <v>63</v>
      </c>
      <c r="G3" s="249">
        <f>Project_Inputs!F35</f>
        <v>0</v>
      </c>
    </row>
    <row r="4" spans="1:21" ht="18.75">
      <c r="A4" s="6"/>
      <c r="B4" s="6"/>
      <c r="C4" s="13" t="s">
        <v>15</v>
      </c>
      <c r="D4" s="339" t="str">
        <f>Project_Inputs!D35</f>
        <v>Infrastructure security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Project_Inputs!H35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Project_Inputs!I35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Project_Inputs!J35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878.77678269230796</v>
      </c>
      <c r="G11" s="319">
        <f>IF(G$10="Prior",SUMIFS(Project_Inputs!$W$5:$W$50,Project_Inputs!$D$5:$D$50,$D$4),SUMIFS(Project_Inputs!M$5:M$50,Project_Inputs!$D$5:$D$50,$D$4))</f>
        <v>805.19969499999991</v>
      </c>
      <c r="H11" s="389">
        <f>IF(H$10="Prior",SUMIFS(Project_Inputs!$W$5:$W$50,Project_Inputs!$D$5:$D$50,$D$4),SUMIFS(Project_Inputs!N$5:N$50,Project_Inputs!$D$5:$D$50,$D$4))</f>
        <v>1764.490246001156</v>
      </c>
      <c r="I11" s="399">
        <f>IF(I$10="Prior",SUMIFS(Project_Inputs!$W$5:$W$50,Project_Inputs!$D$5:$D$50,$D$4),SUMIFS(Project_Inputs!O$5:O$50,Project_Inputs!$D$5:$D$50,$D$4))</f>
        <v>2180</v>
      </c>
      <c r="J11" s="320">
        <f>IF(J$10="Prior",SUMIFS(Project_Inputs!$W$5:$W$50,Project_Inputs!$D$5:$D$50,$D$4),SUMIFS(Project_Inputs!P$5:P$50,Project_Inputs!$D$5:$D$50,$D$4))</f>
        <v>2180</v>
      </c>
      <c r="K11" s="320">
        <f>IF(K$10="Prior",SUMIFS(Project_Inputs!$W$5:$W$50,Project_Inputs!$D$5:$D$50,$D$4),SUMIFS(Project_Inputs!Q$5:Q$50,Project_Inputs!$D$5:$D$50,$D$4))</f>
        <v>2180</v>
      </c>
      <c r="L11" s="320">
        <f>IF(L$10="Prior",SUMIFS(Project_Inputs!$W$5:$W$50,Project_Inputs!$D$5:$D$50,$D$4),SUMIFS(Project_Inputs!R$5:R$50,Project_Inputs!$D$5:$D$50,$D$4))</f>
        <v>2180</v>
      </c>
      <c r="M11" s="320">
        <f>IF(M$10="Prior",SUMIFS(Project_Inputs!$W$5:$W$50,Project_Inputs!$D$5:$D$50,$D$4),SUMIFS(Project_Inputs!S$5:S$50,Project_Inputs!$D$5:$D$50,$D$4))</f>
        <v>2180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14348.466723693464</v>
      </c>
      <c r="P11" s="300">
        <f t="shared" ref="P11" si="0">SUM(I11:M11)</f>
        <v>10900</v>
      </c>
      <c r="R11" s="608" t="str">
        <f>IF(O11=Project_Inputs!V35,"ok","error")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878.77678269230796</v>
      </c>
      <c r="G14" s="447">
        <f>IF($G$3="Yes",SUMIFS(Project_Inputs!AK$5:AK$50,Project_Inputs!$D$5:$D$50,$D$4),IF(AND(G$13="X",G$10="Prior"),G11,IF(G$13="X",SUM($F11:G11)-SUM(F14:$F14),0)))</f>
        <v>805.19969500000002</v>
      </c>
      <c r="H14" s="447">
        <f>IF($G$3="Yes",SUMIFS(Project_Inputs!AL$5:AL$50,Project_Inputs!$D$5:$D$50,$D$4),IF(AND(H$13="X",H$10="Prior"),H11,IF(H$13="X",SUM($F11:H11)-SUM($F14:G14),0)))</f>
        <v>1764.4902460011558</v>
      </c>
      <c r="I14" s="448">
        <f>IF($G$3="Yes",SUMIFS(Project_Inputs!AM$5:AM$50,Project_Inputs!$D$5:$D$50,$D$4),IF(AND(I$13="X",I$10="Prior"),I11,IF(I$13="X",SUM($F11:I11)-SUM($F14:H14),0)))</f>
        <v>2180</v>
      </c>
      <c r="J14" s="447">
        <f>IF($G$3="Yes",SUMIFS(Project_Inputs!AN$5:AN$50,Project_Inputs!$D$5:$D$50,$D$4),IF(AND(J$13="X",J$10="Prior"),J11,IF(J$13="X",SUM($F11:J11)-SUM($F14:I14),0)))</f>
        <v>2180</v>
      </c>
      <c r="K14" s="447">
        <f>IF($G$3="Yes",SUMIFS(Project_Inputs!AO$5:AO$50,Project_Inputs!$D$5:$D$50,$D$4),IF(AND(K$13="X",K$10="Prior"),K11,IF(K$13="X",SUM($F11:K11)-SUM($F14:J14),0)))</f>
        <v>2180</v>
      </c>
      <c r="L14" s="447">
        <f>IF($G$3="Yes",SUMIFS(Project_Inputs!AP$5:AP$50,Project_Inputs!$D$5:$D$50,$D$4),IF(AND(L$13="X",L$10="Prior"),L11,IF(L$13="X",SUM($F11:L11)-SUM($F14:K14),0)))</f>
        <v>2180</v>
      </c>
      <c r="M14" s="447">
        <f>IF($G$3="Yes",SUMIFS(Project_Inputs!AQ$5:AQ$50,Project_Inputs!$D$5:$D$50,$D$4),IF(AND(M$13="X",M$10="Prior"),M11,IF(M$13="X",SUM($F11:M11)-SUM($F14:L14),0)))</f>
        <v>2180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14348.466723693464</v>
      </c>
      <c r="P14" s="451">
        <f>SUM(I14:M14)</f>
        <v>10900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1</v>
      </c>
      <c r="G22" s="341">
        <v>1</v>
      </c>
      <c r="H22" s="392">
        <v>1</v>
      </c>
      <c r="I22" s="404">
        <v>1</v>
      </c>
      <c r="J22" s="341">
        <v>1</v>
      </c>
      <c r="K22" s="341">
        <v>1</v>
      </c>
      <c r="L22" s="341">
        <v>1</v>
      </c>
      <c r="M22" s="341">
        <v>1</v>
      </c>
      <c r="N22" s="342">
        <v>1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0.47305482081250599</v>
      </c>
      <c r="H46" s="290">
        <f>IF(H$10="Prior",0,(H11*H29)*(Assumptions!H28-1))</f>
        <v>2.2080433928153029</v>
      </c>
      <c r="I46" s="407">
        <f>IF(I$10="Prior",0,(I11*I29)*(Assumptions!I28-1))</f>
        <v>4.5048633737474493</v>
      </c>
      <c r="J46" s="282">
        <f>IF(J$10="Prior",0,(J11*J29)*(Assumptions!J28-1))</f>
        <v>6.3071527670748129</v>
      </c>
      <c r="K46" s="282">
        <f>IF(K$10="Prior",0,(K11*K29)*(Assumptions!K28-1))</f>
        <v>8.163294456222344</v>
      </c>
      <c r="L46" s="282">
        <f>IF(L$10="Prior",0,(L11*L29)*(Assumptions!L28-1))</f>
        <v>10.187455941605533</v>
      </c>
      <c r="M46" s="282">
        <f>IF(M$10="Prior",0,(M11*M29)*(Assumptions!M28-1))</f>
        <v>12.26396179067418</v>
      </c>
      <c r="N46" s="283">
        <f>IF(N$10="Prior",0,(N11*N29)*(Assumptions!N28-1))</f>
        <v>0</v>
      </c>
      <c r="O46" s="362">
        <f t="shared" ref="O46:O47" si="6">SUM(F46:N46)</f>
        <v>44.107826542952132</v>
      </c>
      <c r="P46" s="300">
        <f t="shared" ref="P46:P47" si="7">SUM(I46:M46)</f>
        <v>41.42672832932432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1.6506593747499969</v>
      </c>
      <c r="H47" s="290">
        <f>IF(H$10="Prior",0,(H11*H30)*(Assumptions!H30-1))</f>
        <v>9.4860429273346991</v>
      </c>
      <c r="I47" s="407">
        <f>IF(I$10="Prior",0,(I11*I30)*(Assumptions!I30-1))</f>
        <v>23.150200642671912</v>
      </c>
      <c r="J47" s="282">
        <f>IF(J$10="Prior",0,(J11*J30)*(Assumptions!J30-1))</f>
        <v>34.754791484371665</v>
      </c>
      <c r="K47" s="282">
        <f>IF(K$10="Prior",0,(K11*K30)*(Assumptions!K30-1))</f>
        <v>46.086696008576872</v>
      </c>
      <c r="L47" s="282">
        <f>IF(L$10="Prior",0,(L11*L30)*(Assumptions!L30-1))</f>
        <v>58.470040995070349</v>
      </c>
      <c r="M47" s="282">
        <f>IF(M$10="Prior",0,(M11*M30)*(Assumptions!M30-1))</f>
        <v>71.275481952165293</v>
      </c>
      <c r="N47" s="283">
        <f>IF(N$10="Prior",0,(N11*N30)*(Assumptions!N30-1))</f>
        <v>0</v>
      </c>
      <c r="O47" s="362">
        <f t="shared" si="6"/>
        <v>244.87391338494081</v>
      </c>
      <c r="P47" s="300">
        <f t="shared" si="7"/>
        <v>233.73721108285611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2.1237141955625027</v>
      </c>
      <c r="H48" s="253">
        <f t="shared" si="8"/>
        <v>11.694086320150003</v>
      </c>
      <c r="I48" s="408">
        <f t="shared" si="8"/>
        <v>27.65506401641936</v>
      </c>
      <c r="J48" s="5">
        <f t="shared" si="8"/>
        <v>41.061944251446477</v>
      </c>
      <c r="K48" s="5">
        <f t="shared" si="8"/>
        <v>54.249990464799218</v>
      </c>
      <c r="L48" s="5">
        <f t="shared" si="8"/>
        <v>68.657496936675884</v>
      </c>
      <c r="M48" s="5">
        <f t="shared" si="8"/>
        <v>83.539443742839467</v>
      </c>
      <c r="N48" s="286">
        <f t="shared" si="8"/>
        <v>0</v>
      </c>
      <c r="O48" s="433">
        <f>SUM(O46:O47)</f>
        <v>288.98173992789293</v>
      </c>
      <c r="P48" s="434">
        <f>SUM(P46:P47)</f>
        <v>275.16393941218041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2.1237141955625027</v>
      </c>
      <c r="H49" s="253">
        <f t="shared" si="9"/>
        <v>11.694086320150003</v>
      </c>
      <c r="I49" s="408">
        <f t="shared" si="9"/>
        <v>27.65506401641936</v>
      </c>
      <c r="J49" s="5">
        <f t="shared" si="9"/>
        <v>41.061944251446477</v>
      </c>
      <c r="K49" s="5">
        <f t="shared" si="9"/>
        <v>54.249990464799218</v>
      </c>
      <c r="L49" s="5">
        <f t="shared" si="9"/>
        <v>68.657496936675884</v>
      </c>
      <c r="M49" s="5">
        <f t="shared" si="9"/>
        <v>83.539443742839467</v>
      </c>
      <c r="N49" s="286">
        <f t="shared" si="9"/>
        <v>0</v>
      </c>
      <c r="O49" s="370">
        <f>O44+O48</f>
        <v>288.98173992789293</v>
      </c>
      <c r="P49" s="371">
        <f>P44+P48</f>
        <v>275.16393941218041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6.6274587499999937E-3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2.4885316726972119E-2</v>
      </c>
      <c r="L50" s="443">
        <f t="shared" si="10"/>
        <v>3.149426464985132E-2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2.0140252299620319E-2</v>
      </c>
      <c r="P50" s="444">
        <f t="shared" si="10"/>
        <v>2.5244398111209213E-2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89.364330721153877</v>
      </c>
      <c r="G51" s="280">
        <f>(G29*G$11+G46)*Assumptions!$G$21</f>
        <v>82.363207063081902</v>
      </c>
      <c r="H51" s="280">
        <f>(H29*H$11+H46)*Assumptions!$G$21</f>
        <v>181.67946200033015</v>
      </c>
      <c r="I51" s="410">
        <f>(I29*I$11+I46)*Assumptions!$G$21</f>
        <v>226.26904339322815</v>
      </c>
      <c r="J51" s="280">
        <f>(J29*J$11+J46)*Assumptions!$G$21</f>
        <v>228.10182264471334</v>
      </c>
      <c r="K51" s="280">
        <f>(K29*K$11+K46)*Assumptions!$G$21</f>
        <v>229.98936522709829</v>
      </c>
      <c r="L51" s="280">
        <f>(L29*L$11+L46)*Assumptions!$G$21</f>
        <v>232.04777004588081</v>
      </c>
      <c r="M51" s="280">
        <f>(M29*M$11+M46)*Assumptions!$G$21</f>
        <v>234.15940475329839</v>
      </c>
      <c r="N51" s="281">
        <f>(N29*N$11+N46)*Assumptions!$G$21</f>
        <v>0</v>
      </c>
      <c r="O51" s="373">
        <f t="shared" ref="O51:O53" si="11">SUM(F51:N51)</f>
        <v>1503.9744058487847</v>
      </c>
      <c r="P51" s="375">
        <f>SUM(I51:M51)</f>
        <v>1150.5674060642191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446.82165360576937</v>
      </c>
      <c r="G52" s="282">
        <f>(G30*G$11+G47)*Assumptions!$G$21</f>
        <v>411.0893312391724</v>
      </c>
      <c r="H52" s="282">
        <f>(H30*H$11+H47)*Assumptions!$G$21</f>
        <v>906.81684354699394</v>
      </c>
      <c r="I52" s="407">
        <f>(I30*I$11+I47)*Assumptions!$G$21</f>
        <v>1131.981688999409</v>
      </c>
      <c r="J52" s="282">
        <f>(J30*J$11+J47)*Assumptions!$G$21</f>
        <v>1143.7825981072276</v>
      </c>
      <c r="K52" s="282">
        <f>(K30*K$11+K47)*Assumptions!$G$21</f>
        <v>1155.306207783158</v>
      </c>
      <c r="L52" s="282">
        <f>(L30*L$11+L47)*Assumptions!$G$21</f>
        <v>1167.8990454479945</v>
      </c>
      <c r="M52" s="282">
        <f>(M30*M$11+M47)*Assumptions!$G$21</f>
        <v>1180.9211198047396</v>
      </c>
      <c r="N52" s="283">
        <f>(N30*N$11+N47)*Assumptions!$G$21</f>
        <v>0</v>
      </c>
      <c r="O52" s="374">
        <f t="shared" si="11"/>
        <v>7544.6184885344646</v>
      </c>
      <c r="P52" s="376">
        <f>SUM(I52:M52)</f>
        <v>5779.8906601425288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357.45732288461551</v>
      </c>
      <c r="G53" s="282">
        <f>(G31*G$11+G$44)*Assumptions!$G$21</f>
        <v>327.52859774060153</v>
      </c>
      <c r="H53" s="282">
        <f>(H31*H$11+H$44)*Assumptions!$G$21</f>
        <v>717.73625795986891</v>
      </c>
      <c r="I53" s="407">
        <f>(I31*I$11+I$44)*Assumptions!$G$21</f>
        <v>886.75187969924821</v>
      </c>
      <c r="J53" s="282">
        <f>(J31*J$11+J$44)*Assumptions!$G$21</f>
        <v>886.75187969924821</v>
      </c>
      <c r="K53" s="282">
        <f>(K31*K$11+K$44)*Assumptions!$G$21</f>
        <v>886.75187969924821</v>
      </c>
      <c r="L53" s="282">
        <f>(L31*L$11+L$44)*Assumptions!$G$21</f>
        <v>886.75187969924821</v>
      </c>
      <c r="M53" s="282">
        <f>(M31*M$11+M$44)*Assumptions!$G$21</f>
        <v>886.75187969924821</v>
      </c>
      <c r="N53" s="283">
        <f>(N31*N$11+N$44)*Assumptions!$G$21</f>
        <v>0</v>
      </c>
      <c r="O53" s="374">
        <f t="shared" si="11"/>
        <v>5836.4815770813266</v>
      </c>
      <c r="P53" s="376">
        <f>SUM(I53:M53)</f>
        <v>4433.7593984962414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893.64330721153874</v>
      </c>
      <c r="G54" s="5">
        <f t="shared" si="12"/>
        <v>820.98113604285584</v>
      </c>
      <c r="H54" s="5">
        <f t="shared" si="12"/>
        <v>1806.2325635071929</v>
      </c>
      <c r="I54" s="411">
        <f t="shared" si="12"/>
        <v>2245.0026120918856</v>
      </c>
      <c r="J54" s="382">
        <f t="shared" si="12"/>
        <v>2258.6363004511891</v>
      </c>
      <c r="K54" s="382">
        <f t="shared" si="12"/>
        <v>2272.0474527095043</v>
      </c>
      <c r="L54" s="382">
        <f t="shared" si="12"/>
        <v>2286.6986951931235</v>
      </c>
      <c r="M54" s="382">
        <f t="shared" si="12"/>
        <v>2301.8324042572863</v>
      </c>
      <c r="N54" s="286">
        <f t="shared" si="12"/>
        <v>0</v>
      </c>
      <c r="O54" s="372">
        <f t="shared" si="12"/>
        <v>14885.074471464577</v>
      </c>
      <c r="P54" s="428">
        <f t="shared" si="12"/>
        <v>11364.21746470299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71.564492086584224</v>
      </c>
      <c r="G57" s="290">
        <f t="shared" ref="G57:N57" si="13">G54*G56</f>
        <v>48.803047293699095</v>
      </c>
      <c r="H57" s="290">
        <f t="shared" si="13"/>
        <v>131.12108094205527</v>
      </c>
      <c r="I57" s="407">
        <f t="shared" si="13"/>
        <v>197.97922007873649</v>
      </c>
      <c r="J57" s="282">
        <f t="shared" si="13"/>
        <v>271.71312842251859</v>
      </c>
      <c r="K57" s="282">
        <f t="shared" si="13"/>
        <v>296.45916532803824</v>
      </c>
      <c r="L57" s="282">
        <f t="shared" si="13"/>
        <v>269.62557292333804</v>
      </c>
      <c r="M57" s="282">
        <f t="shared" si="13"/>
        <v>255.59042355229866</v>
      </c>
      <c r="N57" s="283">
        <f t="shared" si="13"/>
        <v>0</v>
      </c>
      <c r="O57" s="309">
        <f>SUM(F57:N57)</f>
        <v>1542.8561306272688</v>
      </c>
      <c r="P57" s="300">
        <f>SUM(I57:M57)</f>
        <v>1291.3675103049302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965.20779929812295</v>
      </c>
      <c r="G59" s="5">
        <f t="shared" si="14"/>
        <v>869.78418333655497</v>
      </c>
      <c r="H59" s="5">
        <f t="shared" si="14"/>
        <v>1937.3536444492481</v>
      </c>
      <c r="I59" s="411">
        <f t="shared" si="14"/>
        <v>2442.9818321706221</v>
      </c>
      <c r="J59" s="382">
        <f t="shared" si="14"/>
        <v>2530.3494288737074</v>
      </c>
      <c r="K59" s="382">
        <f t="shared" si="14"/>
        <v>2568.5066180375425</v>
      </c>
      <c r="L59" s="382">
        <f t="shared" si="14"/>
        <v>2556.3242681164616</v>
      </c>
      <c r="M59" s="382">
        <f t="shared" si="14"/>
        <v>2557.4228278095848</v>
      </c>
      <c r="N59" s="418">
        <f>N54+N57</f>
        <v>0</v>
      </c>
      <c r="O59" s="419">
        <f t="shared" ref="O59:P59" si="15">O54+O57</f>
        <v>16427.930602091845</v>
      </c>
      <c r="P59" s="429">
        <f t="shared" si="15"/>
        <v>12655.58497500792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71.564492086584224</v>
      </c>
      <c r="G60" s="290">
        <f t="shared" ref="G60:N60" si="16">G57+F60</f>
        <v>120.36753938028332</v>
      </c>
      <c r="H60" s="290">
        <f t="shared" si="16"/>
        <v>251.48862032233859</v>
      </c>
      <c r="I60" s="290">
        <f t="shared" si="16"/>
        <v>449.46784040107508</v>
      </c>
      <c r="J60" s="290">
        <f t="shared" si="16"/>
        <v>721.18096882359373</v>
      </c>
      <c r="K60" s="290">
        <f t="shared" si="16"/>
        <v>1017.640134151632</v>
      </c>
      <c r="L60" s="290">
        <f t="shared" si="16"/>
        <v>1287.2657070749701</v>
      </c>
      <c r="M60" s="290">
        <f t="shared" si="16"/>
        <v>1542.8561306272688</v>
      </c>
      <c r="N60" s="290">
        <f t="shared" si="16"/>
        <v>1542.8561306272688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2.1237141955625027</v>
      </c>
      <c r="H61" s="252">
        <f t="shared" ref="H61:N61" si="17">H49+G61</f>
        <v>13.817800515712506</v>
      </c>
      <c r="I61" s="252">
        <f t="shared" si="17"/>
        <v>41.472864532131865</v>
      </c>
      <c r="J61" s="252">
        <f t="shared" si="17"/>
        <v>82.534808783578342</v>
      </c>
      <c r="K61" s="252">
        <f t="shared" si="17"/>
        <v>136.78479924837757</v>
      </c>
      <c r="L61" s="252">
        <f t="shared" si="17"/>
        <v>205.44229618505346</v>
      </c>
      <c r="M61" s="252">
        <f t="shared" si="17"/>
        <v>288.98173992789293</v>
      </c>
      <c r="N61" s="252">
        <f t="shared" si="17"/>
        <v>288.98173992789293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965.20779929812295</v>
      </c>
      <c r="G69" s="282">
        <f t="shared" si="25"/>
        <v>869.78418333655497</v>
      </c>
      <c r="H69" s="282">
        <f t="shared" si="25"/>
        <v>1937.3536444492481</v>
      </c>
      <c r="I69" s="416">
        <f t="shared" si="25"/>
        <v>2442.9818321706221</v>
      </c>
      <c r="J69" s="381">
        <f t="shared" si="25"/>
        <v>2530.3494288737074</v>
      </c>
      <c r="K69" s="381">
        <f t="shared" si="25"/>
        <v>2568.5066180375425</v>
      </c>
      <c r="L69" s="381">
        <f t="shared" si="25"/>
        <v>2556.3242681164616</v>
      </c>
      <c r="M69" s="381">
        <f t="shared" si="25"/>
        <v>2557.4228278095848</v>
      </c>
      <c r="N69" s="283">
        <f t="shared" si="25"/>
        <v>0</v>
      </c>
      <c r="O69" s="374">
        <f t="shared" si="20"/>
        <v>16427.930602091845</v>
      </c>
      <c r="P69" s="431">
        <f t="shared" si="21"/>
        <v>12655.58497500792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965.20779929812295</v>
      </c>
      <c r="G74" s="5">
        <f t="shared" ref="G74:N74" si="30">+SUM(G64:G73)</f>
        <v>869.78418333655497</v>
      </c>
      <c r="H74" s="5">
        <f t="shared" si="30"/>
        <v>1937.3536444492481</v>
      </c>
      <c r="I74" s="411">
        <f t="shared" si="30"/>
        <v>2442.9818321706221</v>
      </c>
      <c r="J74" s="382">
        <f t="shared" si="30"/>
        <v>2530.3494288737074</v>
      </c>
      <c r="K74" s="382">
        <f t="shared" si="30"/>
        <v>2568.5066180375425</v>
      </c>
      <c r="L74" s="382">
        <f t="shared" si="30"/>
        <v>2556.3242681164616</v>
      </c>
      <c r="M74" s="382">
        <f t="shared" si="30"/>
        <v>2557.4228278095848</v>
      </c>
      <c r="N74" s="286">
        <f t="shared" si="30"/>
        <v>0</v>
      </c>
      <c r="O74" s="372">
        <f>SUM(O64:O73)</f>
        <v>16427.930602091845</v>
      </c>
      <c r="P74" s="428">
        <f>SUM(P64:P73)</f>
        <v>12655.58497500792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878.77678269230796</v>
      </c>
      <c r="G76" s="280">
        <f t="shared" si="32"/>
        <v>805.19969500000002</v>
      </c>
      <c r="H76" s="280">
        <f t="shared" si="32"/>
        <v>1764.4902460011558</v>
      </c>
      <c r="I76" s="410">
        <f t="shared" si="32"/>
        <v>2180</v>
      </c>
      <c r="J76" s="280">
        <f t="shared" si="32"/>
        <v>2180</v>
      </c>
      <c r="K76" s="280">
        <f t="shared" si="32"/>
        <v>2180</v>
      </c>
      <c r="L76" s="280">
        <f t="shared" si="32"/>
        <v>2180</v>
      </c>
      <c r="M76" s="280">
        <f t="shared" si="32"/>
        <v>2180</v>
      </c>
      <c r="N76" s="281">
        <f t="shared" si="32"/>
        <v>0</v>
      </c>
      <c r="O76" s="377">
        <f>SUM(F76:N76)</f>
        <v>14348.466723693464</v>
      </c>
      <c r="P76" s="378">
        <f t="shared" ref="P76:P80" si="33">SUM(I76:M76)</f>
        <v>10900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2.1237141955625027</v>
      </c>
      <c r="H77" s="282">
        <f>IF(H$10="Prior",0,IF(AND(H76&lt;&gt;0,SUM($F76:G76)=0),H76/SUM($F$76:H76)*H61,IF(H76&lt;&gt;0,SUM($F$76:H76)/SUM($F$11:H11)*H61-G83,0)))</f>
        <v>11.694086320150003</v>
      </c>
      <c r="I77" s="407">
        <f>IF(I$10="Prior",0,IF(AND(I76&lt;&gt;0,SUM($F76:H76)=0),I76/SUM($F$76:I76)*I61,IF(I76&lt;&gt;0,SUM($F$76:I76)/SUM($F$11:I11)*I61-H83,0)))</f>
        <v>27.65506401641936</v>
      </c>
      <c r="J77" s="282">
        <f>IF(J$10="Prior",0,IF(AND(J76&lt;&gt;0,SUM($F76:I76)=0),J76/SUM($F$76:J76)*J61,IF(J76&lt;&gt;0,SUM($F$76:J76)/SUM($F$11:J11)*J61-I83,0)))</f>
        <v>41.061944251446477</v>
      </c>
      <c r="K77" s="282">
        <f>IF(K$10="Prior",0,IF(AND(K76&lt;&gt;0,SUM($F76:J76)=0),K76/SUM($F$76:K76)*K61,IF(K76&lt;&gt;0,SUM($F$76:K76)/SUM($F$11:K11)*K61-J83,0)))</f>
        <v>54.249990464799225</v>
      </c>
      <c r="L77" s="282">
        <f>IF(L$10="Prior",0,IF(AND(L76&lt;&gt;0,SUM($F76:K76)=0),L76/SUM($F$76:L76)*L61,IF(L76&lt;&gt;0,SUM($F$76:L76)/SUM($F$11:L11)*L61-K83,0)))</f>
        <v>68.657496936675898</v>
      </c>
      <c r="M77" s="282">
        <f>IF(M$10="Prior",0,IF(AND(M76&lt;&gt;0,SUM($F76:L76)=0),M76/SUM($F$76:M76)*M61,IF(M76&lt;&gt;0,SUM($F$76:M76)/SUM($F$11:M11)*M61-L83,0)))</f>
        <v>83.539443742839467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288.98173992789293</v>
      </c>
      <c r="P77" s="455">
        <f t="shared" si="33"/>
        <v>275.16393941218041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878.77678269230796</v>
      </c>
      <c r="G78" s="457">
        <f t="shared" ref="G78:N78" si="34">SUM(G76:G77)</f>
        <v>807.32340919556248</v>
      </c>
      <c r="H78" s="457">
        <f t="shared" si="34"/>
        <v>1776.1843323213059</v>
      </c>
      <c r="I78" s="458">
        <f t="shared" si="34"/>
        <v>2207.6550640164191</v>
      </c>
      <c r="J78" s="457">
        <f t="shared" si="34"/>
        <v>2221.0619442514467</v>
      </c>
      <c r="K78" s="457">
        <f t="shared" si="34"/>
        <v>2234.2499904647993</v>
      </c>
      <c r="L78" s="457">
        <f t="shared" si="34"/>
        <v>2248.6574969366757</v>
      </c>
      <c r="M78" s="457">
        <f t="shared" si="34"/>
        <v>2263.5394437428395</v>
      </c>
      <c r="N78" s="459">
        <f t="shared" si="34"/>
        <v>0</v>
      </c>
      <c r="O78" s="460">
        <f>SUM(F78:N78)</f>
        <v>14637.448463621356</v>
      </c>
      <c r="P78" s="461">
        <f t="shared" si="33"/>
        <v>11175.163939412181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893.64330721153874</v>
      </c>
      <c r="G79" s="457">
        <f>G78*Assumptions!$G$21</f>
        <v>820.98113604285584</v>
      </c>
      <c r="H79" s="457">
        <f>H78*Assumptions!$G$21</f>
        <v>1806.2325635071927</v>
      </c>
      <c r="I79" s="458">
        <f>I78*Assumptions!$G$21</f>
        <v>2245.0026120918851</v>
      </c>
      <c r="J79" s="457">
        <f>J78*Assumptions!$G$21</f>
        <v>2258.6363004511895</v>
      </c>
      <c r="K79" s="457">
        <f>K78*Assumptions!$G$21</f>
        <v>2272.0474527095048</v>
      </c>
      <c r="L79" s="457">
        <f>L78*Assumptions!$G$21</f>
        <v>2286.6986951931235</v>
      </c>
      <c r="M79" s="457">
        <f>M78*Assumptions!$G$21</f>
        <v>2301.8324042572863</v>
      </c>
      <c r="N79" s="459">
        <f>N78*Assumptions!$G$21</f>
        <v>0</v>
      </c>
      <c r="O79" s="460">
        <f>SUM(F79:N79)</f>
        <v>14885.074471464575</v>
      </c>
      <c r="P79" s="461">
        <f t="shared" si="33"/>
        <v>11364.217464702988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71.564492086584224</v>
      </c>
      <c r="G80" s="282">
        <f>IF(G$10="Prior",G79*G56,IF(AND(G79&lt;&gt;0,SUM($F79:F79)=0),G79/SUM($F$54:G54)*G60,IF(G79&lt;&gt;0,SUM($F$79:G79)/SUM($F$54:G54)*G60-F82,0)))</f>
        <v>48.803047293699095</v>
      </c>
      <c r="H80" s="282">
        <f>IF(H$10="Prior",H79*H56,IF(AND(H79&lt;&gt;0,SUM($F79:G79)=0),H79/SUM($F$54:H54)*H60,IF(H79&lt;&gt;0,SUM($F$79:H79)/SUM($F$54:H54)*H60-G82,0)))</f>
        <v>131.12108094205527</v>
      </c>
      <c r="I80" s="407">
        <f>IF(I$10="Prior",I79*I56,IF(AND(I79&lt;&gt;0,SUM($F79:H79)=0),I79/SUM($F$54:I54)*I60,IF(I79&lt;&gt;0,SUM($F$79:I79)/SUM($F$54:I54)*I60-H82,0)))</f>
        <v>197.97922007873643</v>
      </c>
      <c r="J80" s="282">
        <f>IF(J$10="Prior",J79*J56,IF(AND(J79&lt;&gt;0,SUM($F79:I79)=0),J79/SUM($F$54:J54)*J60,IF(J79&lt;&gt;0,SUM($F$79:J79)/SUM($F$54:J54)*J60-I82,0)))</f>
        <v>271.71312842251871</v>
      </c>
      <c r="K80" s="282">
        <f>IF(K$10="Prior",K79*K56,IF(AND(K79&lt;&gt;0,SUM($F79:J79)=0),K79/SUM($F$54:K54)*K60,IF(K79&lt;&gt;0,SUM($F$79:K79)/SUM($F$54:K54)*K60-J82,0)))</f>
        <v>296.45916532803824</v>
      </c>
      <c r="L80" s="282">
        <f>IF(L$10="Prior",L79*L56,IF(AND(L79&lt;&gt;0,SUM($F79:K79)=0),L79/SUM($F$54:L54)*L60,IF(L79&lt;&gt;0,SUM($F$79:L79)/SUM($F$54:L54)*L60-K82,0)))</f>
        <v>269.62557292333815</v>
      </c>
      <c r="M80" s="282">
        <f>IF(M$10="Prior",M79*M56,IF(AND(M79&lt;&gt;0,SUM($F79:L79)=0),M79/SUM($F$54:M54)*M60,IF(M79&lt;&gt;0,SUM($F$79:M79)/SUM($F$54:M54)*M60-L82,0)))</f>
        <v>255.59042355229872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1542.8561306272688</v>
      </c>
      <c r="P80" s="300">
        <f t="shared" si="33"/>
        <v>1291.3675103049302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965.20779929812295</v>
      </c>
      <c r="G81" s="307">
        <f t="shared" ref="G81:P81" si="35">SUM(G79:G80)</f>
        <v>869.78418333655497</v>
      </c>
      <c r="H81" s="307">
        <f t="shared" si="35"/>
        <v>1937.3536444492479</v>
      </c>
      <c r="I81" s="417">
        <f t="shared" si="35"/>
        <v>2442.9818321706216</v>
      </c>
      <c r="J81" s="387">
        <f t="shared" si="35"/>
        <v>2530.3494288737083</v>
      </c>
      <c r="K81" s="387">
        <f t="shared" si="35"/>
        <v>2568.5066180375429</v>
      </c>
      <c r="L81" s="387">
        <f t="shared" si="35"/>
        <v>2556.3242681164616</v>
      </c>
      <c r="M81" s="387">
        <f t="shared" si="35"/>
        <v>2557.4228278095852</v>
      </c>
      <c r="N81" s="420">
        <f t="shared" si="35"/>
        <v>0</v>
      </c>
      <c r="O81" s="421">
        <f t="shared" si="35"/>
        <v>16427.930602091845</v>
      </c>
      <c r="P81" s="388">
        <f t="shared" si="35"/>
        <v>12655.584975007918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71.564492086584224</v>
      </c>
      <c r="G82" s="252">
        <f t="shared" ref="G82:N82" si="36">G80+F82</f>
        <v>120.36753938028332</v>
      </c>
      <c r="H82" s="252">
        <f t="shared" si="36"/>
        <v>251.48862032233859</v>
      </c>
      <c r="I82" s="252">
        <f t="shared" si="36"/>
        <v>449.46784040107502</v>
      </c>
      <c r="J82" s="252">
        <f t="shared" si="36"/>
        <v>721.18096882359373</v>
      </c>
      <c r="K82" s="252">
        <f t="shared" si="36"/>
        <v>1017.640134151632</v>
      </c>
      <c r="L82" s="252">
        <f t="shared" si="36"/>
        <v>1287.2657070749701</v>
      </c>
      <c r="M82" s="252">
        <f t="shared" si="36"/>
        <v>1542.8561306272688</v>
      </c>
      <c r="N82" s="252">
        <f t="shared" si="36"/>
        <v>1542.8561306272688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2.1237141955625027</v>
      </c>
      <c r="H83" s="252">
        <f t="shared" si="37"/>
        <v>13.817800515712506</v>
      </c>
      <c r="I83" s="252">
        <f t="shared" si="37"/>
        <v>41.472864532131865</v>
      </c>
      <c r="J83" s="252">
        <f t="shared" si="37"/>
        <v>82.534808783578342</v>
      </c>
      <c r="K83" s="252">
        <f t="shared" si="37"/>
        <v>136.78479924837757</v>
      </c>
      <c r="L83" s="252">
        <f t="shared" si="37"/>
        <v>205.44229618505346</v>
      </c>
      <c r="M83" s="252">
        <f t="shared" si="37"/>
        <v>288.98173992789293</v>
      </c>
      <c r="N83" s="252">
        <f t="shared" si="37"/>
        <v>288.98173992789293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965.20779929812295</v>
      </c>
      <c r="G90" s="290">
        <f t="shared" si="45"/>
        <v>869.78418333655497</v>
      </c>
      <c r="H90" s="290">
        <f t="shared" si="45"/>
        <v>1937.3536444492479</v>
      </c>
      <c r="I90" s="416">
        <f t="shared" si="45"/>
        <v>2442.9818321706216</v>
      </c>
      <c r="J90" s="381">
        <f t="shared" si="45"/>
        <v>2530.3494288737083</v>
      </c>
      <c r="K90" s="381">
        <f t="shared" si="45"/>
        <v>2568.5066180375429</v>
      </c>
      <c r="L90" s="381">
        <f t="shared" si="45"/>
        <v>2556.3242681164616</v>
      </c>
      <c r="M90" s="381">
        <f t="shared" si="45"/>
        <v>2557.4228278095852</v>
      </c>
      <c r="N90" s="346">
        <f t="shared" si="45"/>
        <v>0</v>
      </c>
      <c r="O90" s="374">
        <f t="shared" si="41"/>
        <v>16427.930602091845</v>
      </c>
      <c r="P90" s="431">
        <f t="shared" si="39"/>
        <v>12655.58497500792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965.20779929812295</v>
      </c>
      <c r="G95" s="5">
        <f t="shared" ref="G95" si="50">+SUM(G85:G94)</f>
        <v>869.78418333655497</v>
      </c>
      <c r="H95" s="5">
        <f t="shared" ref="H95:N95" si="51">+SUM(H85:H94)</f>
        <v>1937.3536444492479</v>
      </c>
      <c r="I95" s="411">
        <f t="shared" si="51"/>
        <v>2442.9818321706216</v>
      </c>
      <c r="J95" s="382">
        <f t="shared" si="51"/>
        <v>2530.3494288737083</v>
      </c>
      <c r="K95" s="382">
        <f t="shared" si="51"/>
        <v>2568.5066180375429</v>
      </c>
      <c r="L95" s="382">
        <f t="shared" si="51"/>
        <v>2556.3242681164616</v>
      </c>
      <c r="M95" s="382">
        <f t="shared" si="51"/>
        <v>2557.4228278095852</v>
      </c>
      <c r="N95" s="286">
        <f t="shared" si="51"/>
        <v>0</v>
      </c>
      <c r="O95" s="372">
        <f>SUM(O85:O94)</f>
        <v>16427.930602091845</v>
      </c>
      <c r="P95" s="428">
        <f>SUM(P85:P94)</f>
        <v>12655.58497500792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327.52859774060153</v>
      </c>
      <c r="H119" s="912">
        <f t="shared" si="62"/>
        <v>717.73625795986891</v>
      </c>
      <c r="I119" s="912">
        <f t="shared" si="62"/>
        <v>886.75187969924821</v>
      </c>
      <c r="J119" s="912">
        <f t="shared" si="62"/>
        <v>886.75187969924821</v>
      </c>
      <c r="K119" s="912">
        <f t="shared" si="62"/>
        <v>886.75187969924821</v>
      </c>
      <c r="L119" s="912">
        <f t="shared" si="62"/>
        <v>886.75187969924821</v>
      </c>
      <c r="M119" s="912">
        <f t="shared" si="62"/>
        <v>886.75187969924821</v>
      </c>
      <c r="N119" s="912">
        <f t="shared" si="62"/>
        <v>0</v>
      </c>
      <c r="O119" s="912">
        <f t="shared" si="60"/>
        <v>5479.0242541967109</v>
      </c>
      <c r="P119" s="912">
        <f t="shared" si="61"/>
        <v>4433.7593984962414</v>
      </c>
    </row>
    <row r="120" spans="4:16" hidden="1" outlineLevel="1">
      <c r="D120" s="248" t="s">
        <v>440</v>
      </c>
      <c r="G120" s="191">
        <f>SUM(G111:G119)</f>
        <v>327.52859774060153</v>
      </c>
      <c r="H120" s="191">
        <f t="shared" ref="H120:P120" si="63">SUM(H111:H119)</f>
        <v>717.73625795986891</v>
      </c>
      <c r="I120" s="191">
        <f t="shared" si="63"/>
        <v>886.75187969924821</v>
      </c>
      <c r="J120" s="191">
        <f t="shared" si="63"/>
        <v>886.75187969924821</v>
      </c>
      <c r="K120" s="191">
        <f t="shared" si="63"/>
        <v>886.75187969924821</v>
      </c>
      <c r="L120" s="191">
        <f t="shared" si="63"/>
        <v>886.75187969924821</v>
      </c>
      <c r="M120" s="191">
        <f t="shared" si="63"/>
        <v>886.75187969924821</v>
      </c>
      <c r="N120" s="191">
        <f t="shared" si="63"/>
        <v>0</v>
      </c>
      <c r="O120" s="191">
        <f t="shared" si="63"/>
        <v>5479.0242541967109</v>
      </c>
      <c r="P120" s="191">
        <f t="shared" si="63"/>
        <v>4433.7593984962414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82.363207063081902</v>
      </c>
      <c r="H131" s="912">
        <f t="shared" si="67"/>
        <v>181.67946200033015</v>
      </c>
      <c r="I131" s="912">
        <f t="shared" si="67"/>
        <v>226.26904339322815</v>
      </c>
      <c r="J131" s="912">
        <f t="shared" si="67"/>
        <v>228.10182264471334</v>
      </c>
      <c r="K131" s="912">
        <f t="shared" si="67"/>
        <v>229.98936522709829</v>
      </c>
      <c r="L131" s="912">
        <f t="shared" si="67"/>
        <v>232.04777004588081</v>
      </c>
      <c r="M131" s="912">
        <f t="shared" si="67"/>
        <v>234.15940475329839</v>
      </c>
      <c r="N131" s="912">
        <f t="shared" si="67"/>
        <v>0</v>
      </c>
      <c r="O131" s="912">
        <f t="shared" si="65"/>
        <v>1414.6100751276308</v>
      </c>
      <c r="P131" s="912">
        <f t="shared" si="66"/>
        <v>1150.5674060642191</v>
      </c>
    </row>
    <row r="132" spans="4:16" hidden="1" outlineLevel="1">
      <c r="D132" s="248" t="s">
        <v>441</v>
      </c>
      <c r="G132" s="191">
        <f>SUM(G123:G131)</f>
        <v>82.363207063081902</v>
      </c>
      <c r="H132" s="191">
        <f t="shared" ref="H132:P132" si="68">SUM(H123:H131)</f>
        <v>181.67946200033015</v>
      </c>
      <c r="I132" s="191">
        <f t="shared" si="68"/>
        <v>226.26904339322815</v>
      </c>
      <c r="J132" s="191">
        <f t="shared" si="68"/>
        <v>228.10182264471334</v>
      </c>
      <c r="K132" s="191">
        <f t="shared" si="68"/>
        <v>229.98936522709829</v>
      </c>
      <c r="L132" s="191">
        <f t="shared" si="68"/>
        <v>232.04777004588081</v>
      </c>
      <c r="M132" s="191">
        <f t="shared" si="68"/>
        <v>234.15940475329839</v>
      </c>
      <c r="N132" s="191">
        <f t="shared" si="68"/>
        <v>0</v>
      </c>
      <c r="O132" s="191">
        <f t="shared" si="68"/>
        <v>1414.6100751276308</v>
      </c>
      <c r="P132" s="191">
        <f t="shared" si="68"/>
        <v>1150.5674060642191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411.0893312391724</v>
      </c>
      <c r="H143" s="912">
        <f t="shared" si="72"/>
        <v>906.81684354699394</v>
      </c>
      <c r="I143" s="912">
        <f t="shared" si="72"/>
        <v>1131.981688999409</v>
      </c>
      <c r="J143" s="912">
        <f t="shared" si="72"/>
        <v>1143.7825981072276</v>
      </c>
      <c r="K143" s="912">
        <f t="shared" si="72"/>
        <v>1155.306207783158</v>
      </c>
      <c r="L143" s="912">
        <f t="shared" si="72"/>
        <v>1167.8990454479945</v>
      </c>
      <c r="M143" s="912">
        <f t="shared" si="72"/>
        <v>1180.9211198047396</v>
      </c>
      <c r="N143" s="912">
        <f t="shared" si="72"/>
        <v>0</v>
      </c>
      <c r="O143" s="912">
        <f t="shared" si="70"/>
        <v>7097.7968349286948</v>
      </c>
      <c r="P143" s="912">
        <f t="shared" si="71"/>
        <v>5779.8906601425288</v>
      </c>
    </row>
    <row r="144" spans="4:16" hidden="1" outlineLevel="1">
      <c r="D144" s="248" t="s">
        <v>442</v>
      </c>
      <c r="G144" s="191">
        <f>SUM(G135:G143)</f>
        <v>411.0893312391724</v>
      </c>
      <c r="H144" s="191">
        <f t="shared" ref="H144:P144" si="73">SUM(H135:H143)</f>
        <v>906.81684354699394</v>
      </c>
      <c r="I144" s="191">
        <f t="shared" si="73"/>
        <v>1131.981688999409</v>
      </c>
      <c r="J144" s="191">
        <f t="shared" si="73"/>
        <v>1143.7825981072276</v>
      </c>
      <c r="K144" s="191">
        <f t="shared" si="73"/>
        <v>1155.306207783158</v>
      </c>
      <c r="L144" s="191">
        <f t="shared" si="73"/>
        <v>1167.8990454479945</v>
      </c>
      <c r="M144" s="191">
        <f t="shared" si="73"/>
        <v>1180.9211198047396</v>
      </c>
      <c r="N144" s="191">
        <f t="shared" si="73"/>
        <v>0</v>
      </c>
      <c r="O144" s="191">
        <f t="shared" si="73"/>
        <v>7097.7968349286948</v>
      </c>
      <c r="P144" s="191">
        <f t="shared" si="73"/>
        <v>5779.8906601425288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820.98113604285584</v>
      </c>
      <c r="H155" s="912">
        <f t="shared" si="74"/>
        <v>1806.2325635071929</v>
      </c>
      <c r="I155" s="912">
        <f t="shared" si="74"/>
        <v>2245.0026120918856</v>
      </c>
      <c r="J155" s="912">
        <f t="shared" si="74"/>
        <v>2258.6363004511891</v>
      </c>
      <c r="K155" s="912">
        <f t="shared" si="74"/>
        <v>2272.0474527095048</v>
      </c>
      <c r="L155" s="912">
        <f t="shared" si="74"/>
        <v>2286.6986951931235</v>
      </c>
      <c r="M155" s="912">
        <f t="shared" si="74"/>
        <v>2301.8324042572863</v>
      </c>
      <c r="N155" s="912">
        <f t="shared" si="74"/>
        <v>0</v>
      </c>
      <c r="O155" s="912">
        <f t="shared" si="75"/>
        <v>13991.431164253037</v>
      </c>
      <c r="P155" s="912">
        <f t="shared" si="76"/>
        <v>11364.217464702988</v>
      </c>
    </row>
    <row r="156" spans="4:16" hidden="1" outlineLevel="1">
      <c r="D156" s="248" t="s">
        <v>454</v>
      </c>
      <c r="G156" s="191">
        <f>SUM(G147:G155)</f>
        <v>820.98113604285584</v>
      </c>
      <c r="H156" s="191">
        <f t="shared" ref="H156:N156" si="77">SUM(H147:H155)</f>
        <v>1806.2325635071929</v>
      </c>
      <c r="I156" s="191">
        <f t="shared" si="77"/>
        <v>2245.0026120918856</v>
      </c>
      <c r="J156" s="191">
        <f t="shared" si="77"/>
        <v>2258.6363004511891</v>
      </c>
      <c r="K156" s="191">
        <f t="shared" si="77"/>
        <v>2272.0474527095048</v>
      </c>
      <c r="L156" s="191">
        <f t="shared" si="77"/>
        <v>2286.6986951931235</v>
      </c>
      <c r="M156" s="191">
        <f t="shared" si="77"/>
        <v>2301.8324042572863</v>
      </c>
      <c r="N156" s="191">
        <f t="shared" si="77"/>
        <v>0</v>
      </c>
      <c r="O156" s="191">
        <f t="shared" ref="O156:P156" si="78">SUM(O147:O155)</f>
        <v>13991.431164253037</v>
      </c>
      <c r="P156" s="191">
        <f t="shared" si="78"/>
        <v>11364.217464702988</v>
      </c>
    </row>
    <row r="157" spans="4:16" collapsed="1"/>
  </sheetData>
  <mergeCells count="1">
    <mergeCell ref="C13:C14"/>
  </mergeCells>
  <phoneticPr fontId="6" type="noConversion"/>
  <conditionalFormatting sqref="R14">
    <cfRule type="cellIs" dxfId="48" priority="4" operator="equal">
      <formula>"Error"</formula>
    </cfRule>
  </conditionalFormatting>
  <conditionalFormatting sqref="R11">
    <cfRule type="cellIs" dxfId="47" priority="3" operator="equal">
      <formula>"Error"</formula>
    </cfRule>
  </conditionalFormatting>
  <conditionalFormatting sqref="R54">
    <cfRule type="cellIs" dxfId="4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Project_Inputs!B36</f>
        <v>0</v>
      </c>
      <c r="F3" s="249" t="s">
        <v>63</v>
      </c>
      <c r="G3" s="249">
        <f>Project_Inputs!F36</f>
        <v>0</v>
      </c>
    </row>
    <row r="4" spans="1:21" ht="18.75">
      <c r="A4" s="6"/>
      <c r="B4" s="6"/>
      <c r="C4" s="13" t="s">
        <v>15</v>
      </c>
      <c r="D4" s="339" t="str">
        <f>Project_Inputs!D36</f>
        <v>Structure fall arrests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Project_Inputs!H36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Project_Inputs!I36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Project_Inputs!J36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43.017612076923086</v>
      </c>
      <c r="G11" s="319">
        <f>IF(G$10="Prior",SUMIFS(Project_Inputs!$W$5:$W$50,Project_Inputs!$D$5:$D$50,$D$4),SUMIFS(Project_Inputs!M$5:M$50,Project_Inputs!$D$5:$D$50,$D$4))</f>
        <v>613.04999999999995</v>
      </c>
      <c r="H11" s="389">
        <f>IF(H$10="Prior",SUMIFS(Project_Inputs!$W$5:$W$50,Project_Inputs!$D$5:$D$50,$D$4),SUMIFS(Project_Inputs!N$5:N$50,Project_Inputs!$D$5:$D$50,$D$4))</f>
        <v>182.13795676273438</v>
      </c>
      <c r="I11" s="399">
        <f>IF(I$10="Prior",SUMIFS(Project_Inputs!$W$5:$W$50,Project_Inputs!$D$5:$D$50,$D$4),SUMIFS(Project_Inputs!O$5:O$50,Project_Inputs!$D$5:$D$50,$D$4))</f>
        <v>6.7308834160000002</v>
      </c>
      <c r="J11" s="320">
        <f>IF(J$10="Prior",SUMIFS(Project_Inputs!$W$5:$W$50,Project_Inputs!$D$5:$D$50,$D$4),SUMIFS(Project_Inputs!P$5:P$50,Project_Inputs!$D$5:$D$50,$D$4))</f>
        <v>297.59816559999996</v>
      </c>
      <c r="K11" s="320">
        <f>IF(K$10="Prior",SUMIFS(Project_Inputs!$W$5:$W$50,Project_Inputs!$D$5:$D$50,$D$4),SUMIFS(Project_Inputs!Q$5:Q$50,Project_Inputs!$D$5:$D$50,$D$4))</f>
        <v>461.70261855999996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1604.2372364156574</v>
      </c>
      <c r="P11" s="300">
        <f t="shared" ref="P11" si="0">SUM(I11:M11)</f>
        <v>766.0316675759999</v>
      </c>
      <c r="R11" s="608" t="str">
        <f>IF(O11=Project_Inputs!V36,"ok","error")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 t="s">
        <v>132</v>
      </c>
      <c r="H13" s="391" t="s">
        <v>132</v>
      </c>
      <c r="I13" s="401"/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656.06761207692307</v>
      </c>
      <c r="H14" s="447">
        <f>IF($G$3="Yes",SUMIFS(Project_Inputs!AL$5:AL$50,Project_Inputs!$D$5:$D$50,$D$4),IF(AND(H$13="X",H$10="Prior"),H11,IF(H$13="X",SUM($F11:H11)-SUM($F14:G14),0)))</f>
        <v>182.13795676273435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304.329049016</v>
      </c>
      <c r="K14" s="447">
        <f>IF($G$3="Yes",SUMIFS(Project_Inputs!AO$5:AO$50,Project_Inputs!$D$5:$D$50,$D$4),IF(AND(K$13="X",K$10="Prior"),K11,IF(K$13="X",SUM($F11:K11)-SUM($F14:J14),0)))</f>
        <v>461.70261856000002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1604.2372364156574</v>
      </c>
      <c r="P14" s="451">
        <f>SUM(I14:M14)</f>
        <v>766.03166757600002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1</v>
      </c>
      <c r="G18" s="341">
        <v>1</v>
      </c>
      <c r="H18" s="392">
        <v>1</v>
      </c>
      <c r="I18" s="404">
        <v>1</v>
      </c>
      <c r="J18" s="341">
        <v>1</v>
      </c>
      <c r="K18" s="341">
        <v>1</v>
      </c>
      <c r="L18" s="341">
        <v>1</v>
      </c>
      <c r="M18" s="341">
        <v>1</v>
      </c>
      <c r="N18" s="342">
        <v>1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0.36016687500000455</v>
      </c>
      <c r="H46" s="290">
        <f>IF(H$10="Prior",0,(H11*H29)*(Assumptions!H28-1))</f>
        <v>0.22792334098885772</v>
      </c>
      <c r="I46" s="407">
        <f>IF(I$10="Prior",0,(I11*I29)*(Assumptions!I28-1))</f>
        <v>1.3909041364083724E-2</v>
      </c>
      <c r="J46" s="282">
        <f>IF(J$10="Prior",0,(J11*J29)*(Assumptions!J28-1))</f>
        <v>0.86100784111946249</v>
      </c>
      <c r="K46" s="282">
        <f>IF(K$10="Prior",0,(K11*K29)*(Assumptions!K28-1))</f>
        <v>1.7289057002358657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3.191912798708274</v>
      </c>
      <c r="P46" s="300">
        <f t="shared" ref="P46:P47" si="7">SUM(I46:M46)</f>
        <v>2.6038225827194119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1.2567524999999977</v>
      </c>
      <c r="H47" s="290">
        <f>IF(H$10="Prior",0,(H11*H30)*(Assumptions!H30-1))</f>
        <v>0.97918845426544654</v>
      </c>
      <c r="I47" s="407">
        <f>IF(I$10="Prior",0,(I11*I30)*(Assumptions!I30-1))</f>
        <v>7.1477661276528867E-2</v>
      </c>
      <c r="J47" s="282">
        <f>IF(J$10="Prior",0,(J11*J30)*(Assumptions!J30-1))</f>
        <v>4.7444780695227093</v>
      </c>
      <c r="K47" s="282">
        <f>IF(K$10="Prior",0,(K11*K30)*(Assumptions!K30-1))</f>
        <v>9.7607101963021279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16.812606881366811</v>
      </c>
      <c r="P47" s="300">
        <f t="shared" si="7"/>
        <v>14.576665927101367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1.6169193750000024</v>
      </c>
      <c r="H48" s="253">
        <f t="shared" si="8"/>
        <v>1.2071117952543042</v>
      </c>
      <c r="I48" s="408">
        <f t="shared" si="8"/>
        <v>8.5386702640612586E-2</v>
      </c>
      <c r="J48" s="5">
        <f t="shared" si="8"/>
        <v>5.6054859106421722</v>
      </c>
      <c r="K48" s="5">
        <f t="shared" si="8"/>
        <v>11.489615896537993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20.004519680075084</v>
      </c>
      <c r="P48" s="434">
        <f>SUM(P46:P47)</f>
        <v>17.18048850982078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1.6169193750000024</v>
      </c>
      <c r="H49" s="253">
        <f t="shared" si="9"/>
        <v>1.2071117952543042</v>
      </c>
      <c r="I49" s="408">
        <f t="shared" si="9"/>
        <v>8.5386702640612586E-2</v>
      </c>
      <c r="J49" s="5">
        <f t="shared" si="9"/>
        <v>5.6054859106421722</v>
      </c>
      <c r="K49" s="5">
        <f t="shared" si="9"/>
        <v>11.489615896537993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20.004519680075084</v>
      </c>
      <c r="P49" s="371">
        <f>P44+P48</f>
        <v>17.18048850982078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1.2469801364772659E-2</v>
      </c>
      <c r="P50" s="444">
        <f t="shared" si="10"/>
        <v>2.2427908971682637E-2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4.3745353634615398</v>
      </c>
      <c r="G51" s="280">
        <f>(G29*G$11+G46)*Assumptions!$G$21</f>
        <v>62.708374585291359</v>
      </c>
      <c r="H51" s="280">
        <f>(H29*H$11+H46)*Assumptions!$G$21</f>
        <v>18.753702985599443</v>
      </c>
      <c r="I51" s="410">
        <f>(I29*I$11+I46)*Assumptions!$G$21</f>
        <v>0.69861951914204778</v>
      </c>
      <c r="J51" s="280">
        <f>(J29*J$11+J46)*Assumptions!$G$21</f>
        <v>31.138845866551936</v>
      </c>
      <c r="K51" s="280">
        <f>(K29*K$11+K46)*Assumptions!$G$21</f>
        <v>48.709491819405265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166.38357013945159</v>
      </c>
      <c r="P51" s="375">
        <f>SUM(I51:M51)</f>
        <v>80.546957205099247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21.872676817307699</v>
      </c>
      <c r="G52" s="282">
        <f>(G30*G$11+G47)*Assumptions!$G$21</f>
        <v>312.98858665883461</v>
      </c>
      <c r="H52" s="282">
        <f>(H30*H$11+H47)*Assumptions!$G$21</f>
        <v>93.605372665558747</v>
      </c>
      <c r="I52" s="407">
        <f>(I30*I$11+I47)*Assumptions!$G$21</f>
        <v>3.4950627420650417</v>
      </c>
      <c r="J52" s="282">
        <f>(J30*J$11+J47)*Assumptions!$G$21</f>
        <v>156.14110231280409</v>
      </c>
      <c r="K52" s="282">
        <f>(K30*K$11+K47)*Assumptions!$G$21</f>
        <v>244.68252356518695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832.78532476175724</v>
      </c>
      <c r="P52" s="376">
        <f>SUM(I52:M52)</f>
        <v>404.31868862005609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17.498141453846159</v>
      </c>
      <c r="G53" s="282">
        <f>(G31*G$11+G$44)*Assumptions!$G$21</f>
        <v>249.36845864661655</v>
      </c>
      <c r="H53" s="282">
        <f>(H31*H$11+H$44)*Assumptions!$G$21</f>
        <v>74.087695194465638</v>
      </c>
      <c r="I53" s="407">
        <f>(I31*I$11+I$44)*Assumptions!$G$21</f>
        <v>2.7379006977864666</v>
      </c>
      <c r="J53" s="282">
        <f>(J31*J$11+J$44)*Assumptions!$G$21</f>
        <v>121.05308841323308</v>
      </c>
      <c r="K53" s="282">
        <f>(K31*K$11+K$44)*Assumptions!$G$21</f>
        <v>187.80535085786465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652.55063526381264</v>
      </c>
      <c r="P53" s="376">
        <f>SUM(I53:M53)</f>
        <v>311.59633996888419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43.745353634615398</v>
      </c>
      <c r="G54" s="5">
        <f t="shared" si="12"/>
        <v>625.06541989074253</v>
      </c>
      <c r="H54" s="5">
        <f t="shared" si="12"/>
        <v>186.44677084562383</v>
      </c>
      <c r="I54" s="411">
        <f t="shared" si="12"/>
        <v>6.9315829589935563</v>
      </c>
      <c r="J54" s="382">
        <f t="shared" si="12"/>
        <v>308.33303659258911</v>
      </c>
      <c r="K54" s="382">
        <f t="shared" si="12"/>
        <v>481.19736624245689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1651.7195301650215</v>
      </c>
      <c r="P54" s="428">
        <f t="shared" si="12"/>
        <v>796.46198579403949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3.5032031110687867</v>
      </c>
      <c r="G57" s="290">
        <f t="shared" ref="G57:N57" si="13">G54*G56</f>
        <v>37.156879627732884</v>
      </c>
      <c r="H57" s="290">
        <f t="shared" si="13"/>
        <v>13.534858481326742</v>
      </c>
      <c r="I57" s="407">
        <f t="shared" si="13"/>
        <v>0.61127295832136774</v>
      </c>
      <c r="J57" s="282">
        <f t="shared" si="13"/>
        <v>37.092352563293005</v>
      </c>
      <c r="K57" s="282">
        <f t="shared" si="13"/>
        <v>62.787143544984964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154.68571028672775</v>
      </c>
      <c r="P57" s="300">
        <f>SUM(I57:M57)</f>
        <v>100.49076906659934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47.248556745684184</v>
      </c>
      <c r="G59" s="5">
        <f t="shared" si="14"/>
        <v>662.22229951847544</v>
      </c>
      <c r="H59" s="5">
        <f t="shared" si="14"/>
        <v>199.98162932695058</v>
      </c>
      <c r="I59" s="411">
        <f t="shared" si="14"/>
        <v>7.5428559173149239</v>
      </c>
      <c r="J59" s="382">
        <f t="shared" si="14"/>
        <v>345.4253891558821</v>
      </c>
      <c r="K59" s="382">
        <f t="shared" si="14"/>
        <v>543.98450978744188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1806.4052404517493</v>
      </c>
      <c r="P59" s="429">
        <f t="shared" si="15"/>
        <v>896.95275486063883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3.5032031110687867</v>
      </c>
      <c r="G60" s="290">
        <f t="shared" ref="G60:N60" si="16">G57+F60</f>
        <v>40.66008273880167</v>
      </c>
      <c r="H60" s="290">
        <f t="shared" si="16"/>
        <v>54.194941220128413</v>
      </c>
      <c r="I60" s="290">
        <f t="shared" si="16"/>
        <v>54.806214178449778</v>
      </c>
      <c r="J60" s="290">
        <f t="shared" si="16"/>
        <v>91.898566741742783</v>
      </c>
      <c r="K60" s="290">
        <f t="shared" si="16"/>
        <v>154.68571028672775</v>
      </c>
      <c r="L60" s="290">
        <f t="shared" si="16"/>
        <v>154.68571028672775</v>
      </c>
      <c r="M60" s="290">
        <f t="shared" si="16"/>
        <v>154.68571028672775</v>
      </c>
      <c r="N60" s="290">
        <f t="shared" si="16"/>
        <v>154.68571028672775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1.6169193750000024</v>
      </c>
      <c r="H61" s="252">
        <f t="shared" ref="H61:N61" si="17">H49+G61</f>
        <v>2.8240311702543064</v>
      </c>
      <c r="I61" s="252">
        <f t="shared" si="17"/>
        <v>2.9094178728949189</v>
      </c>
      <c r="J61" s="252">
        <f t="shared" si="17"/>
        <v>8.5149037835370915</v>
      </c>
      <c r="K61" s="252">
        <f t="shared" si="17"/>
        <v>20.004519680075084</v>
      </c>
      <c r="L61" s="252">
        <f t="shared" si="17"/>
        <v>20.004519680075084</v>
      </c>
      <c r="M61" s="252">
        <f t="shared" si="17"/>
        <v>20.004519680075084</v>
      </c>
      <c r="N61" s="252">
        <f t="shared" si="17"/>
        <v>20.004519680075084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47.248556745684184</v>
      </c>
      <c r="G65" s="282">
        <f t="shared" si="19"/>
        <v>662.22229951847544</v>
      </c>
      <c r="H65" s="282">
        <f t="shared" si="19"/>
        <v>199.98162932695058</v>
      </c>
      <c r="I65" s="416">
        <f t="shared" si="19"/>
        <v>7.5428559173149239</v>
      </c>
      <c r="J65" s="381">
        <f t="shared" si="19"/>
        <v>345.4253891558821</v>
      </c>
      <c r="K65" s="381">
        <f t="shared" si="19"/>
        <v>543.98450978744188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1806.4052404517493</v>
      </c>
      <c r="P65" s="431">
        <f t="shared" ref="P65:P73" si="21">SUM(I65:M65)</f>
        <v>896.95275486063883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47.248556745684184</v>
      </c>
      <c r="G74" s="5">
        <f t="shared" ref="G74:N74" si="30">+SUM(G64:G73)</f>
        <v>662.22229951847544</v>
      </c>
      <c r="H74" s="5">
        <f t="shared" si="30"/>
        <v>199.98162932695058</v>
      </c>
      <c r="I74" s="411">
        <f t="shared" si="30"/>
        <v>7.5428559173149239</v>
      </c>
      <c r="J74" s="382">
        <f t="shared" si="30"/>
        <v>345.4253891558821</v>
      </c>
      <c r="K74" s="382">
        <f t="shared" si="30"/>
        <v>543.98450978744188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1806.4052404517493</v>
      </c>
      <c r="P74" s="428">
        <f>SUM(P64:P73)</f>
        <v>896.95275486063883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656.06761207692307</v>
      </c>
      <c r="H76" s="280">
        <f t="shared" si="32"/>
        <v>182.13795676273435</v>
      </c>
      <c r="I76" s="410">
        <f t="shared" si="32"/>
        <v>0</v>
      </c>
      <c r="J76" s="280">
        <f t="shared" si="32"/>
        <v>304.329049016</v>
      </c>
      <c r="K76" s="280">
        <f t="shared" si="32"/>
        <v>461.70261856000002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1604.2372364156574</v>
      </c>
      <c r="P76" s="378">
        <f t="shared" ref="P76:P80" si="33">SUM(I76:M76)</f>
        <v>766.03166757600002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1.6169193750000024</v>
      </c>
      <c r="H77" s="282">
        <f>IF(H$10="Prior",0,IF(AND(H76&lt;&gt;0,SUM($F76:G76)=0),H76/SUM($F$76:H76)*H61,IF(H76&lt;&gt;0,SUM($F$76:H76)/SUM($F$11:H11)*H61-G83,0)))</f>
        <v>1.207111795254304</v>
      </c>
      <c r="I77" s="407">
        <f>IF(I$10="Prior",0,IF(AND(I76&lt;&gt;0,SUM($F76:H76)=0),I76/SUM($F$76:I76)*I61,IF(I76&lt;&gt;0,SUM($F$76:I76)/SUM($F$11:I11)*I61-H83,0)))</f>
        <v>0</v>
      </c>
      <c r="J77" s="282">
        <f>IF(J$10="Prior",0,IF(AND(J76&lt;&gt;0,SUM($F76:I76)=0),J76/SUM($F$76:J76)*J61,IF(J76&lt;&gt;0,SUM($F$76:J76)/SUM($F$11:J11)*J61-I83,0)))</f>
        <v>5.6908726132827852</v>
      </c>
      <c r="K77" s="282">
        <f>IF(K$10="Prior",0,IF(AND(K76&lt;&gt;0,SUM($F76:J76)=0),K76/SUM($F$76:K76)*K61,IF(K76&lt;&gt;0,SUM($F$76:K76)/SUM($F$11:K11)*K61-J83,0)))</f>
        <v>11.489615896537993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20.004519680075084</v>
      </c>
      <c r="P77" s="455">
        <f t="shared" si="33"/>
        <v>17.180488509820776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657.68453145192302</v>
      </c>
      <c r="H78" s="457">
        <f t="shared" si="34"/>
        <v>183.34506855798864</v>
      </c>
      <c r="I78" s="458">
        <f t="shared" si="34"/>
        <v>0</v>
      </c>
      <c r="J78" s="457">
        <f t="shared" si="34"/>
        <v>310.01992162928281</v>
      </c>
      <c r="K78" s="457">
        <f t="shared" si="34"/>
        <v>473.19223445653802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1624.2417560957324</v>
      </c>
      <c r="P78" s="461">
        <f t="shared" si="33"/>
        <v>783.21215608582088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668.81077352535783</v>
      </c>
      <c r="H79" s="457">
        <f>H78*Assumptions!$G$21</f>
        <v>186.4467708456238</v>
      </c>
      <c r="I79" s="458">
        <f>I78*Assumptions!$G$21</f>
        <v>0</v>
      </c>
      <c r="J79" s="457">
        <f>J78*Assumptions!$G$21</f>
        <v>315.26461955158271</v>
      </c>
      <c r="K79" s="457">
        <f>K78*Assumptions!$G$21</f>
        <v>481.19736624245695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1651.7195301650213</v>
      </c>
      <c r="P79" s="461">
        <f t="shared" si="33"/>
        <v>796.46198579403972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40.660082738801663</v>
      </c>
      <c r="H80" s="282">
        <f>IF(H$10="Prior",H79*H56,IF(AND(H79&lt;&gt;0,SUM($F79:G79)=0),H79/SUM($F$54:H54)*H60,IF(H79&lt;&gt;0,SUM($F$79:H79)/SUM($F$54:H54)*H60-G82,0)))</f>
        <v>13.534858481326737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37.70362552161437</v>
      </c>
      <c r="K80" s="282">
        <f>IF(K$10="Prior",K79*K56,IF(AND(K79&lt;&gt;0,SUM($F79:J79)=0),K79/SUM($F$54:K54)*K60,IF(K79&lt;&gt;0,SUM($F$79:K79)/SUM($F$54:K54)*K60-J82,0)))</f>
        <v>62.787143544984986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154.68571028672775</v>
      </c>
      <c r="P80" s="300">
        <f t="shared" si="33"/>
        <v>100.49076906659936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709.47085626415947</v>
      </c>
      <c r="H81" s="307">
        <f t="shared" si="35"/>
        <v>199.98162932695055</v>
      </c>
      <c r="I81" s="417">
        <f t="shared" si="35"/>
        <v>0</v>
      </c>
      <c r="J81" s="387">
        <f t="shared" si="35"/>
        <v>352.96824507319707</v>
      </c>
      <c r="K81" s="387">
        <f t="shared" si="35"/>
        <v>543.98450978744199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1806.405240451749</v>
      </c>
      <c r="P81" s="388">
        <f t="shared" si="35"/>
        <v>896.95275486063906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40.660082738801663</v>
      </c>
      <c r="H82" s="252">
        <f t="shared" si="36"/>
        <v>54.194941220128399</v>
      </c>
      <c r="I82" s="252">
        <f t="shared" si="36"/>
        <v>54.194941220128399</v>
      </c>
      <c r="J82" s="252">
        <f t="shared" si="36"/>
        <v>91.898566741742769</v>
      </c>
      <c r="K82" s="252">
        <f t="shared" si="36"/>
        <v>154.68571028672775</v>
      </c>
      <c r="L82" s="252">
        <f t="shared" si="36"/>
        <v>154.68571028672775</v>
      </c>
      <c r="M82" s="252">
        <f t="shared" si="36"/>
        <v>154.68571028672775</v>
      </c>
      <c r="N82" s="252">
        <f t="shared" si="36"/>
        <v>154.68571028672775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1.6169193750000024</v>
      </c>
      <c r="H83" s="252">
        <f t="shared" si="37"/>
        <v>2.8240311702543064</v>
      </c>
      <c r="I83" s="252">
        <f t="shared" si="37"/>
        <v>2.8240311702543064</v>
      </c>
      <c r="J83" s="252">
        <f t="shared" si="37"/>
        <v>8.5149037835370915</v>
      </c>
      <c r="K83" s="252">
        <f t="shared" si="37"/>
        <v>20.004519680075084</v>
      </c>
      <c r="L83" s="252">
        <f t="shared" si="37"/>
        <v>20.004519680075084</v>
      </c>
      <c r="M83" s="252">
        <f t="shared" si="37"/>
        <v>20.004519680075084</v>
      </c>
      <c r="N83" s="252">
        <f t="shared" si="37"/>
        <v>20.004519680075084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709.47085626415958</v>
      </c>
      <c r="H86" s="290">
        <f t="shared" si="40"/>
        <v>199.98162932695058</v>
      </c>
      <c r="I86" s="416">
        <f t="shared" si="40"/>
        <v>0</v>
      </c>
      <c r="J86" s="381">
        <f t="shared" si="40"/>
        <v>352.96824507319707</v>
      </c>
      <c r="K86" s="381">
        <f t="shared" si="40"/>
        <v>543.98450978744211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1806.4052404517493</v>
      </c>
      <c r="P86" s="431">
        <f t="shared" si="39"/>
        <v>896.95275486063917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709.47085626415958</v>
      </c>
      <c r="H95" s="5">
        <f t="shared" ref="H95:N95" si="51">+SUM(H85:H94)</f>
        <v>199.98162932695058</v>
      </c>
      <c r="I95" s="411">
        <f t="shared" si="51"/>
        <v>0</v>
      </c>
      <c r="J95" s="382">
        <f t="shared" si="51"/>
        <v>352.96824507319707</v>
      </c>
      <c r="K95" s="382">
        <f t="shared" si="51"/>
        <v>543.98450978744211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1806.4052404517493</v>
      </c>
      <c r="P95" s="428">
        <f>SUM(P85:P94)</f>
        <v>896.95275486063917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43">
        <v>0</v>
      </c>
      <c r="H103" s="243">
        <v>0</v>
      </c>
      <c r="I103" s="243">
        <v>0</v>
      </c>
      <c r="J103" s="243">
        <v>0</v>
      </c>
      <c r="K103" s="243">
        <v>0</v>
      </c>
      <c r="L103" s="243">
        <v>0</v>
      </c>
      <c r="M103" s="243">
        <v>0</v>
      </c>
      <c r="N103" s="243"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ref="H104:N105" si="55">H19</f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48" t="s">
        <v>387</v>
      </c>
      <c r="G107" s="2">
        <f>G22+G18</f>
        <v>1</v>
      </c>
      <c r="H107" s="2">
        <f t="shared" ref="H107:N107" si="57">H22+H18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0</v>
      </c>
      <c r="H118" s="191">
        <f t="shared" si="62"/>
        <v>0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0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249.36845864661655</v>
      </c>
      <c r="H119" s="912">
        <f t="shared" si="62"/>
        <v>74.087695194465638</v>
      </c>
      <c r="I119" s="912">
        <f t="shared" si="62"/>
        <v>2.7379006977864666</v>
      </c>
      <c r="J119" s="912">
        <f t="shared" si="62"/>
        <v>121.05308841323308</v>
      </c>
      <c r="K119" s="912">
        <f t="shared" si="62"/>
        <v>187.80535085786465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635.05249380996634</v>
      </c>
      <c r="P119" s="912">
        <f t="shared" si="61"/>
        <v>311.59633996888419</v>
      </c>
    </row>
    <row r="120" spans="4:16" hidden="1" outlineLevel="1">
      <c r="D120" s="248" t="s">
        <v>440</v>
      </c>
      <c r="G120" s="191">
        <f>SUM(G111:G119)</f>
        <v>249.36845864661655</v>
      </c>
      <c r="H120" s="191">
        <f t="shared" ref="H120:P120" si="63">SUM(H111:H119)</f>
        <v>74.087695194465638</v>
      </c>
      <c r="I120" s="191">
        <f t="shared" si="63"/>
        <v>2.7379006977864666</v>
      </c>
      <c r="J120" s="191">
        <f t="shared" si="63"/>
        <v>121.05308841323308</v>
      </c>
      <c r="K120" s="191">
        <f t="shared" si="63"/>
        <v>187.80535085786465</v>
      </c>
      <c r="L120" s="191">
        <f t="shared" si="63"/>
        <v>0</v>
      </c>
      <c r="M120" s="191">
        <f t="shared" si="63"/>
        <v>0</v>
      </c>
      <c r="N120" s="191">
        <f t="shared" si="63"/>
        <v>0</v>
      </c>
      <c r="O120" s="191">
        <f t="shared" si="63"/>
        <v>635.05249380996634</v>
      </c>
      <c r="P120" s="191">
        <f t="shared" si="63"/>
        <v>311.59633996888419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0</v>
      </c>
      <c r="H130" s="191">
        <f t="shared" si="67"/>
        <v>0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0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62.708374585291359</v>
      </c>
      <c r="H131" s="912">
        <f t="shared" si="67"/>
        <v>18.753702985599443</v>
      </c>
      <c r="I131" s="912">
        <f t="shared" si="67"/>
        <v>0.69861951914204778</v>
      </c>
      <c r="J131" s="912">
        <f t="shared" si="67"/>
        <v>31.138845866551936</v>
      </c>
      <c r="K131" s="912">
        <f t="shared" si="67"/>
        <v>48.709491819405265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162.00903477599005</v>
      </c>
      <c r="P131" s="912">
        <f t="shared" si="66"/>
        <v>80.546957205099247</v>
      </c>
    </row>
    <row r="132" spans="4:16" hidden="1" outlineLevel="1">
      <c r="D132" s="248" t="s">
        <v>441</v>
      </c>
      <c r="G132" s="191">
        <f>SUM(G123:G131)</f>
        <v>62.708374585291359</v>
      </c>
      <c r="H132" s="191">
        <f t="shared" ref="H132:P132" si="68">SUM(H123:H131)</f>
        <v>18.753702985599443</v>
      </c>
      <c r="I132" s="191">
        <f t="shared" si="68"/>
        <v>0.69861951914204778</v>
      </c>
      <c r="J132" s="191">
        <f t="shared" si="68"/>
        <v>31.138845866551936</v>
      </c>
      <c r="K132" s="191">
        <f t="shared" si="68"/>
        <v>48.709491819405265</v>
      </c>
      <c r="L132" s="191">
        <f t="shared" si="68"/>
        <v>0</v>
      </c>
      <c r="M132" s="191">
        <f t="shared" si="68"/>
        <v>0</v>
      </c>
      <c r="N132" s="191">
        <f t="shared" si="68"/>
        <v>0</v>
      </c>
      <c r="O132" s="191">
        <f t="shared" si="68"/>
        <v>162.00903477599005</v>
      </c>
      <c r="P132" s="191">
        <f t="shared" si="68"/>
        <v>80.546957205099247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0</v>
      </c>
      <c r="H142" s="191">
        <f t="shared" si="72"/>
        <v>0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0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312.98858665883461</v>
      </c>
      <c r="H143" s="912">
        <f t="shared" si="72"/>
        <v>93.605372665558747</v>
      </c>
      <c r="I143" s="912">
        <f t="shared" si="72"/>
        <v>3.4950627420650417</v>
      </c>
      <c r="J143" s="912">
        <f t="shared" si="72"/>
        <v>156.14110231280409</v>
      </c>
      <c r="K143" s="912">
        <f t="shared" si="72"/>
        <v>244.68252356518695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810.91264794444942</v>
      </c>
      <c r="P143" s="912">
        <f t="shared" si="71"/>
        <v>404.31868862005609</v>
      </c>
    </row>
    <row r="144" spans="4:16" hidden="1" outlineLevel="1">
      <c r="D144" s="248" t="s">
        <v>442</v>
      </c>
      <c r="G144" s="191">
        <f>SUM(G135:G143)</f>
        <v>312.98858665883461</v>
      </c>
      <c r="H144" s="191">
        <f t="shared" ref="H144:P144" si="73">SUM(H135:H143)</f>
        <v>93.605372665558747</v>
      </c>
      <c r="I144" s="191">
        <f t="shared" si="73"/>
        <v>3.4950627420650417</v>
      </c>
      <c r="J144" s="191">
        <f t="shared" si="73"/>
        <v>156.14110231280409</v>
      </c>
      <c r="K144" s="191">
        <f t="shared" si="73"/>
        <v>244.68252356518695</v>
      </c>
      <c r="L144" s="191">
        <f t="shared" si="73"/>
        <v>0</v>
      </c>
      <c r="M144" s="191">
        <f t="shared" si="73"/>
        <v>0</v>
      </c>
      <c r="N144" s="191">
        <f t="shared" si="73"/>
        <v>0</v>
      </c>
      <c r="O144" s="191">
        <f t="shared" si="73"/>
        <v>810.91264794444942</v>
      </c>
      <c r="P144" s="191">
        <f t="shared" si="73"/>
        <v>404.31868862005609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0</v>
      </c>
      <c r="H154" s="191">
        <f t="shared" si="74"/>
        <v>0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0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625.06541989074253</v>
      </c>
      <c r="H155" s="912">
        <f t="shared" si="74"/>
        <v>186.44677084562383</v>
      </c>
      <c r="I155" s="912">
        <f t="shared" si="74"/>
        <v>6.9315829589935563</v>
      </c>
      <c r="J155" s="912">
        <f t="shared" si="74"/>
        <v>308.33303659258911</v>
      </c>
      <c r="K155" s="912">
        <f t="shared" si="74"/>
        <v>481.19736624245684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1607.9741765304059</v>
      </c>
      <c r="P155" s="912">
        <f t="shared" si="76"/>
        <v>796.46198579403949</v>
      </c>
    </row>
    <row r="156" spans="4:16" hidden="1" outlineLevel="1">
      <c r="D156" s="248" t="s">
        <v>454</v>
      </c>
      <c r="G156" s="191">
        <f>SUM(G147:G155)</f>
        <v>625.06541989074253</v>
      </c>
      <c r="H156" s="191">
        <f t="shared" ref="H156:N156" si="77">SUM(H147:H155)</f>
        <v>186.44677084562383</v>
      </c>
      <c r="I156" s="191">
        <f t="shared" si="77"/>
        <v>6.9315829589935563</v>
      </c>
      <c r="J156" s="191">
        <f t="shared" si="77"/>
        <v>308.33303659258911</v>
      </c>
      <c r="K156" s="191">
        <f t="shared" si="77"/>
        <v>481.19736624245684</v>
      </c>
      <c r="L156" s="191">
        <f t="shared" si="77"/>
        <v>0</v>
      </c>
      <c r="M156" s="191">
        <f t="shared" si="77"/>
        <v>0</v>
      </c>
      <c r="N156" s="191">
        <f t="shared" si="77"/>
        <v>0</v>
      </c>
      <c r="O156" s="191">
        <f t="shared" ref="O156:P156" si="78">SUM(O147:O155)</f>
        <v>1607.9741765304059</v>
      </c>
      <c r="P156" s="191">
        <f t="shared" si="78"/>
        <v>796.46198579403949</v>
      </c>
    </row>
    <row r="157" spans="4:16" collapsed="1"/>
  </sheetData>
  <mergeCells count="1">
    <mergeCell ref="C13:C14"/>
  </mergeCells>
  <phoneticPr fontId="6" type="noConversion"/>
  <conditionalFormatting sqref="R14">
    <cfRule type="cellIs" dxfId="45" priority="4" operator="equal">
      <formula>"Error"</formula>
    </cfRule>
  </conditionalFormatting>
  <conditionalFormatting sqref="R11">
    <cfRule type="cellIs" dxfId="44" priority="3" operator="equal">
      <formula>"Error"</formula>
    </cfRule>
  </conditionalFormatting>
  <conditionalFormatting sqref="R54">
    <cfRule type="cellIs" dxfId="4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Lookups!$E$3:$E$10</xm:f>
          </x14:formula1>
          <xm:sqref>D7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Project_Inputs!B37</f>
        <v>0</v>
      </c>
      <c r="F3" s="249" t="s">
        <v>63</v>
      </c>
      <c r="G3" s="249">
        <f>Project_Inputs!F37</f>
        <v>0</v>
      </c>
    </row>
    <row r="4" spans="1:21" ht="18.75">
      <c r="A4" s="6"/>
      <c r="B4" s="6"/>
      <c r="C4" s="13" t="s">
        <v>15</v>
      </c>
      <c r="D4" s="339" t="str">
        <f>Project_Inputs!D37</f>
        <v>Earth wires (incl. OPGW)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Project_Inputs!H37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Project_Inputs!I37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Project_Inputs!J37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3075.3117031538445</v>
      </c>
      <c r="G11" s="319">
        <f>IF(G$10="Prior",SUMIFS(Project_Inputs!$W$5:$W$50,Project_Inputs!$D$5:$D$50,$D$4),SUMIFS(Project_Inputs!M$5:M$50,Project_Inputs!$D$5:$D$50,$D$4))</f>
        <v>164.7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3315.3440000000001</v>
      </c>
      <c r="J11" s="320">
        <f>IF(J$10="Prior",SUMIFS(Project_Inputs!$W$5:$W$50,Project_Inputs!$D$5:$D$50,$D$4),SUMIFS(Project_Inputs!P$5:P$50,Project_Inputs!$D$5:$D$50,$D$4))</f>
        <v>3315.3440000000001</v>
      </c>
      <c r="K11" s="320">
        <f>IF(K$10="Prior",SUMIFS(Project_Inputs!$W$5:$W$50,Project_Inputs!$D$5:$D$50,$D$4),SUMIFS(Project_Inputs!Q$5:Q$50,Project_Inputs!$D$5:$D$50,$D$4))</f>
        <v>3315.3440000000001</v>
      </c>
      <c r="L11" s="320">
        <f>IF(L$10="Prior",SUMIFS(Project_Inputs!$W$5:$W$50,Project_Inputs!$D$5:$D$50,$D$4),SUMIFS(Project_Inputs!R$5:R$50,Project_Inputs!$D$5:$D$50,$D$4))</f>
        <v>3315.3440000000001</v>
      </c>
      <c r="M11" s="320">
        <f>IF(M$10="Prior",SUMIFS(Project_Inputs!$W$5:$W$50,Project_Inputs!$D$5:$D$50,$D$4),SUMIFS(Project_Inputs!S$5:S$50,Project_Inputs!$D$5:$D$50,$D$4))</f>
        <v>3315.3440000000001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19816.731703153848</v>
      </c>
      <c r="P11" s="300">
        <f t="shared" ref="P11" si="0">SUM(I11:M11)</f>
        <v>16576.72</v>
      </c>
      <c r="R11" s="608" t="str">
        <f>IF(O11=Project_Inputs!V37,"ok","error")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/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3075.3117031538445</v>
      </c>
      <c r="G14" s="447">
        <f>IF($G$3="Yes",SUMIFS(Project_Inputs!AK$5:AK$50,Project_Inputs!$D$5:$D$50,$D$4),IF(AND(G$13="X",G$10="Prior"),G11,IF(G$13="X",SUM($F11:G11)-SUM(F14:$F14),0)))</f>
        <v>164.69999999999982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3315.3439999999996</v>
      </c>
      <c r="J14" s="447">
        <f>IF($G$3="Yes",SUMIFS(Project_Inputs!AN$5:AN$50,Project_Inputs!$D$5:$D$50,$D$4),IF(AND(J$13="X",J$10="Prior"),J11,IF(J$13="X",SUM($F11:J11)-SUM($F14:I14),0)))</f>
        <v>3315.344000000001</v>
      </c>
      <c r="K14" s="447">
        <f>IF($G$3="Yes",SUMIFS(Project_Inputs!AO$5:AO$50,Project_Inputs!$D$5:$D$50,$D$4),IF(AND(K$13="X",K$10="Prior"),K11,IF(K$13="X",SUM($F11:K11)-SUM($F14:J14),0)))</f>
        <v>3315.344000000001</v>
      </c>
      <c r="L14" s="447">
        <f>IF($G$3="Yes",SUMIFS(Project_Inputs!AP$5:AP$50,Project_Inputs!$D$5:$D$50,$D$4),IF(AND(L$13="X",L$10="Prior"),L11,IF(L$13="X",SUM($F11:L11)-SUM($F14:K14),0)))</f>
        <v>3315.344000000001</v>
      </c>
      <c r="M14" s="447">
        <f>IF($G$3="Yes",SUMIFS(Project_Inputs!AQ$5:AQ$50,Project_Inputs!$D$5:$D$50,$D$4),IF(AND(M$13="X",M$10="Prior"),M11,IF(M$13="X",SUM($F11:M11)-SUM($F14:L14),0)))</f>
        <v>3315.344000000001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19816.731703153848</v>
      </c>
      <c r="P14" s="451">
        <f>SUM(I14:M14)</f>
        <v>16576.72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</v>
      </c>
      <c r="G21" s="341">
        <v>1</v>
      </c>
      <c r="H21" s="392">
        <v>1</v>
      </c>
      <c r="I21" s="404">
        <v>1</v>
      </c>
      <c r="J21" s="341">
        <v>1</v>
      </c>
      <c r="K21" s="341">
        <v>1</v>
      </c>
      <c r="L21" s="341">
        <v>1</v>
      </c>
      <c r="M21" s="341">
        <v>1</v>
      </c>
      <c r="N21" s="342">
        <v>1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9.6761250000001228E-2</v>
      </c>
      <c r="H46" s="290">
        <f>IF(H$10="Prior",0,(H11*H29)*(Assumptions!H28-1))</f>
        <v>0</v>
      </c>
      <c r="I46" s="407">
        <f>IF(I$10="Prior",0,(I11*I29)*(Assumptions!I28-1))</f>
        <v>6.8509962187951201</v>
      </c>
      <c r="J46" s="282">
        <f>IF(J$10="Prior",0,(J11*J29)*(Assumptions!J28-1))</f>
        <v>9.5919179281673763</v>
      </c>
      <c r="K46" s="282">
        <f>IF(K$10="Prior",0,(K11*K29)*(Assumptions!K28-1))</f>
        <v>12.414738209022941</v>
      </c>
      <c r="L46" s="282">
        <f>IF(L$10="Prior",0,(L11*L29)*(Assumptions!L28-1))</f>
        <v>15.493082995993696</v>
      </c>
      <c r="M46" s="282">
        <f>IF(M$10="Prior",0,(M11*M29)*(Assumptions!M28-1))</f>
        <v>18.651033091257293</v>
      </c>
      <c r="N46" s="283">
        <f>IF(N$10="Prior",0,(N11*N29)*(Assumptions!N28-1))</f>
        <v>0</v>
      </c>
      <c r="O46" s="362">
        <f t="shared" ref="O46:O47" si="6">SUM(F46:N46)</f>
        <v>63.098529693236429</v>
      </c>
      <c r="P46" s="300">
        <f t="shared" ref="P46:P47" si="7">SUM(I46:M46)</f>
        <v>63.001768443236429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0.33763499999999935</v>
      </c>
      <c r="H47" s="290">
        <f>IF(H$10="Prior",0,(H11*H30)*(Assumptions!H30-1))</f>
        <v>0</v>
      </c>
      <c r="I47" s="407">
        <f>IF(I$10="Prior",0,(I11*I30)*(Assumptions!I30-1))</f>
        <v>35.206825137375446</v>
      </c>
      <c r="J47" s="282">
        <f>IF(J$10="Prior",0,(J11*J30)*(Assumptions!J30-1))</f>
        <v>52.855086889432428</v>
      </c>
      <c r="K47" s="282">
        <f>IF(K$10="Prior",0,(K11*K30)*(Assumptions!K30-1))</f>
        <v>70.088647289843706</v>
      </c>
      <c r="L47" s="282">
        <f>IF(L$10="Prior",0,(L11*L30)*(Assumptions!L30-1))</f>
        <v>88.921238345302982</v>
      </c>
      <c r="M47" s="282">
        <f>IF(M$10="Prior",0,(M11*M30)*(Assumptions!M30-1))</f>
        <v>108.39575295285299</v>
      </c>
      <c r="N47" s="283">
        <f>IF(N$10="Prior",0,(N11*N30)*(Assumptions!N30-1))</f>
        <v>0</v>
      </c>
      <c r="O47" s="362">
        <f t="shared" si="6"/>
        <v>355.80518561480756</v>
      </c>
      <c r="P47" s="300">
        <f t="shared" si="7"/>
        <v>355.46755061480758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0.43439625000000059</v>
      </c>
      <c r="H48" s="253">
        <f t="shared" si="8"/>
        <v>0</v>
      </c>
      <c r="I48" s="408">
        <f t="shared" si="8"/>
        <v>42.057821356170564</v>
      </c>
      <c r="J48" s="5">
        <f t="shared" si="8"/>
        <v>62.447004817599804</v>
      </c>
      <c r="K48" s="5">
        <f t="shared" si="8"/>
        <v>82.503385498866649</v>
      </c>
      <c r="L48" s="5">
        <f t="shared" si="8"/>
        <v>104.41432134129667</v>
      </c>
      <c r="M48" s="5">
        <f t="shared" si="8"/>
        <v>127.04678604411028</v>
      </c>
      <c r="N48" s="286">
        <f t="shared" si="8"/>
        <v>0</v>
      </c>
      <c r="O48" s="433">
        <f>SUM(O46:O47)</f>
        <v>418.90371530804396</v>
      </c>
      <c r="P48" s="434">
        <f>SUM(P46:P47)</f>
        <v>418.46931905804399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0.43439625000000059</v>
      </c>
      <c r="H49" s="253">
        <f t="shared" si="9"/>
        <v>0</v>
      </c>
      <c r="I49" s="408">
        <f t="shared" si="9"/>
        <v>42.057821356170564</v>
      </c>
      <c r="J49" s="5">
        <f t="shared" si="9"/>
        <v>62.447004817599804</v>
      </c>
      <c r="K49" s="5">
        <f t="shared" si="9"/>
        <v>82.503385498866649</v>
      </c>
      <c r="L49" s="5">
        <f t="shared" si="9"/>
        <v>104.41432134129667</v>
      </c>
      <c r="M49" s="5">
        <f t="shared" si="9"/>
        <v>127.04678604411028</v>
      </c>
      <c r="N49" s="286">
        <f t="shared" si="9"/>
        <v>0</v>
      </c>
      <c r="O49" s="370">
        <f>O44+O48</f>
        <v>418.90371530804396</v>
      </c>
      <c r="P49" s="371">
        <f>P44+P48</f>
        <v>418.46931905804399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0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2.4885316726972119E-2</v>
      </c>
      <c r="L50" s="443">
        <f t="shared" si="10"/>
        <v>3.149426464985132E-2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2.1138890185477714E-2</v>
      </c>
      <c r="P50" s="444">
        <f t="shared" si="10"/>
        <v>2.5244398111209213E-2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312.73376530192297</v>
      </c>
      <c r="G51" s="280">
        <f>(G29*G$11+G46)*Assumptions!$G$21</f>
        <v>16.84702600798872</v>
      </c>
      <c r="H51" s="280">
        <f>(H29*H$11+H46)*Assumptions!$G$21</f>
        <v>0</v>
      </c>
      <c r="I51" s="410">
        <f>(I29*I$11+I46)*Assumptions!$G$21</f>
        <v>344.10996119242134</v>
      </c>
      <c r="J51" s="280">
        <f>(J29*J$11+J46)*Assumptions!$G$21</f>
        <v>346.89725187808</v>
      </c>
      <c r="K51" s="280">
        <f>(K29*K$11+K46)*Assumptions!$G$21</f>
        <v>349.76782663737106</v>
      </c>
      <c r="L51" s="280">
        <f>(L29*L$11+L46)*Assumptions!$G$21</f>
        <v>352.89824868577557</v>
      </c>
      <c r="M51" s="280">
        <f>(M29*M$11+M46)*Assumptions!$G$21</f>
        <v>356.10962274881621</v>
      </c>
      <c r="N51" s="281">
        <f>(N29*N$11+N46)*Assumptions!$G$21</f>
        <v>0</v>
      </c>
      <c r="O51" s="373">
        <f t="shared" ref="O51:O53" si="11">SUM(F51:N51)</f>
        <v>2079.3637024523759</v>
      </c>
      <c r="P51" s="375">
        <f>SUM(I51:M51)</f>
        <v>1749.7829111424644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1563.6688265096147</v>
      </c>
      <c r="G52" s="282">
        <f>(G30*G$11+G47)*Assumptions!$G$21</f>
        <v>84.086485968045125</v>
      </c>
      <c r="H52" s="282">
        <f>(H30*H$11+H47)*Assumptions!$G$21</f>
        <v>0</v>
      </c>
      <c r="I52" s="407">
        <f>(I30*I$11+I47)*Assumptions!$G$21</f>
        <v>1721.5177526303012</v>
      </c>
      <c r="J52" s="282">
        <f>(J30*J$11+J47)*Assumptions!$G$21</f>
        <v>1739.4645752014719</v>
      </c>
      <c r="K52" s="282">
        <f>(K30*K$11+K47)*Assumptions!$G$21</f>
        <v>1756.989680796627</v>
      </c>
      <c r="L52" s="282">
        <f>(L30*L$11+L47)*Assumptions!$G$21</f>
        <v>1776.1408683173102</v>
      </c>
      <c r="M52" s="282">
        <f>(M30*M$11+M47)*Assumptions!$G$21</f>
        <v>1795.944838999048</v>
      </c>
      <c r="N52" s="283">
        <f>(N30*N$11+N47)*Assumptions!$G$21</f>
        <v>0</v>
      </c>
      <c r="O52" s="374">
        <f t="shared" si="11"/>
        <v>10437.813028422419</v>
      </c>
      <c r="P52" s="376">
        <f>SUM(I52:M52)</f>
        <v>8790.0577159447585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1250.9350612076919</v>
      </c>
      <c r="G53" s="282">
        <f>(G31*G$11+G$44)*Assumptions!$G$21</f>
        <v>66.994511278195489</v>
      </c>
      <c r="H53" s="282">
        <f>(H31*H$11+H$44)*Assumptions!$G$21</f>
        <v>0</v>
      </c>
      <c r="I53" s="407">
        <f>(I31*I$11+I$44)*Assumptions!$G$21</f>
        <v>1348.5722586466165</v>
      </c>
      <c r="J53" s="282">
        <f>(J31*J$11+J$44)*Assumptions!$G$21</f>
        <v>1348.5722586466165</v>
      </c>
      <c r="K53" s="282">
        <f>(K31*K$11+K$44)*Assumptions!$G$21</f>
        <v>1348.5722586466165</v>
      </c>
      <c r="L53" s="282">
        <f>(L31*L$11+L$44)*Assumptions!$G$21</f>
        <v>1348.5722586466165</v>
      </c>
      <c r="M53" s="282">
        <f>(M31*M$11+M$44)*Assumptions!$G$21</f>
        <v>1348.5722586466165</v>
      </c>
      <c r="N53" s="283">
        <f>(N31*N$11+N$44)*Assumptions!$G$21</f>
        <v>0</v>
      </c>
      <c r="O53" s="374">
        <f t="shared" si="11"/>
        <v>8060.7908657189691</v>
      </c>
      <c r="P53" s="376">
        <f>SUM(I53:M53)</f>
        <v>6742.8612932330825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3127.3376530192295</v>
      </c>
      <c r="G54" s="5">
        <f t="shared" si="12"/>
        <v>167.92802325422934</v>
      </c>
      <c r="H54" s="5">
        <f t="shared" si="12"/>
        <v>0</v>
      </c>
      <c r="I54" s="411">
        <f t="shared" si="12"/>
        <v>3414.1999724693387</v>
      </c>
      <c r="J54" s="382">
        <f t="shared" si="12"/>
        <v>3434.9340857261686</v>
      </c>
      <c r="K54" s="382">
        <f t="shared" si="12"/>
        <v>3455.3297660806147</v>
      </c>
      <c r="L54" s="382">
        <f t="shared" si="12"/>
        <v>3477.6113756497025</v>
      </c>
      <c r="M54" s="382">
        <f t="shared" si="12"/>
        <v>3500.6267203944808</v>
      </c>
      <c r="N54" s="286">
        <f t="shared" si="12"/>
        <v>0</v>
      </c>
      <c r="O54" s="372">
        <f t="shared" si="12"/>
        <v>20577.967596593764</v>
      </c>
      <c r="P54" s="428">
        <f t="shared" si="12"/>
        <v>17282.701920320305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250.44257470010146</v>
      </c>
      <c r="G57" s="290">
        <f t="shared" ref="G57:N57" si="13">G54*G56</f>
        <v>9.9824452731222681</v>
      </c>
      <c r="H57" s="290">
        <f t="shared" si="13"/>
        <v>0</v>
      </c>
      <c r="I57" s="407">
        <f t="shared" si="13"/>
        <v>301.08679789574239</v>
      </c>
      <c r="J57" s="282">
        <f t="shared" si="13"/>
        <v>413.22132570496632</v>
      </c>
      <c r="K57" s="282">
        <f t="shared" si="13"/>
        <v>450.8550986308806</v>
      </c>
      <c r="L57" s="282">
        <f t="shared" si="13"/>
        <v>410.04657130181249</v>
      </c>
      <c r="M57" s="282">
        <f t="shared" si="13"/>
        <v>388.70191613833578</v>
      </c>
      <c r="N57" s="283">
        <f t="shared" si="13"/>
        <v>0</v>
      </c>
      <c r="O57" s="309">
        <f>SUM(F57:N57)</f>
        <v>2224.3367296449615</v>
      </c>
      <c r="P57" s="300">
        <f>SUM(I57:M57)</f>
        <v>1963.9117096717375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3377.7802277193309</v>
      </c>
      <c r="G59" s="5">
        <f t="shared" si="14"/>
        <v>177.91046852735161</v>
      </c>
      <c r="H59" s="5">
        <f t="shared" si="14"/>
        <v>0</v>
      </c>
      <c r="I59" s="411">
        <f t="shared" si="14"/>
        <v>3715.2867703650809</v>
      </c>
      <c r="J59" s="382">
        <f t="shared" si="14"/>
        <v>3848.1554114311348</v>
      </c>
      <c r="K59" s="382">
        <f t="shared" si="14"/>
        <v>3906.1848647114953</v>
      </c>
      <c r="L59" s="382">
        <f t="shared" si="14"/>
        <v>3887.657946951515</v>
      </c>
      <c r="M59" s="382">
        <f t="shared" si="14"/>
        <v>3889.3286365328167</v>
      </c>
      <c r="N59" s="418">
        <f>N54+N57</f>
        <v>0</v>
      </c>
      <c r="O59" s="419">
        <f t="shared" ref="O59:P59" si="15">O54+O57</f>
        <v>22802.304326238725</v>
      </c>
      <c r="P59" s="429">
        <f t="shared" si="15"/>
        <v>19246.613629992044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250.44257470010146</v>
      </c>
      <c r="G60" s="290">
        <f t="shared" ref="G60:N60" si="16">G57+F60</f>
        <v>260.42501997322375</v>
      </c>
      <c r="H60" s="290">
        <f t="shared" si="16"/>
        <v>260.42501997322375</v>
      </c>
      <c r="I60" s="290">
        <f t="shared" si="16"/>
        <v>561.51181786896609</v>
      </c>
      <c r="J60" s="290">
        <f t="shared" si="16"/>
        <v>974.73314357393247</v>
      </c>
      <c r="K60" s="290">
        <f t="shared" si="16"/>
        <v>1425.588242204813</v>
      </c>
      <c r="L60" s="290">
        <f t="shared" si="16"/>
        <v>1835.6348135066255</v>
      </c>
      <c r="M60" s="290">
        <f t="shared" si="16"/>
        <v>2224.3367296449615</v>
      </c>
      <c r="N60" s="290">
        <f t="shared" si="16"/>
        <v>2224.3367296449615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0.43439625000000059</v>
      </c>
      <c r="H61" s="252">
        <f t="shared" ref="H61:N61" si="17">H49+G61</f>
        <v>0.43439625000000059</v>
      </c>
      <c r="I61" s="252">
        <f t="shared" si="17"/>
        <v>42.492217606170563</v>
      </c>
      <c r="J61" s="252">
        <f t="shared" si="17"/>
        <v>104.93922242377036</v>
      </c>
      <c r="K61" s="252">
        <f t="shared" si="17"/>
        <v>187.44260792263702</v>
      </c>
      <c r="L61" s="252">
        <f t="shared" si="17"/>
        <v>291.85692926393369</v>
      </c>
      <c r="M61" s="252">
        <f t="shared" si="17"/>
        <v>418.90371530804396</v>
      </c>
      <c r="N61" s="252">
        <f t="shared" si="17"/>
        <v>418.90371530804396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3377.7802277193309</v>
      </c>
      <c r="G68" s="282">
        <f t="shared" si="24"/>
        <v>177.91046852735161</v>
      </c>
      <c r="H68" s="282">
        <f t="shared" si="24"/>
        <v>0</v>
      </c>
      <c r="I68" s="416">
        <f t="shared" si="24"/>
        <v>3715.2867703650809</v>
      </c>
      <c r="J68" s="381">
        <f t="shared" si="24"/>
        <v>3848.1554114311348</v>
      </c>
      <c r="K68" s="381">
        <f t="shared" si="24"/>
        <v>3906.1848647114953</v>
      </c>
      <c r="L68" s="381">
        <f t="shared" si="24"/>
        <v>3887.657946951515</v>
      </c>
      <c r="M68" s="381">
        <f t="shared" si="24"/>
        <v>3889.3286365328167</v>
      </c>
      <c r="N68" s="283">
        <f t="shared" si="24"/>
        <v>0</v>
      </c>
      <c r="O68" s="374">
        <f t="shared" si="20"/>
        <v>22802.304326238725</v>
      </c>
      <c r="P68" s="431">
        <f t="shared" si="21"/>
        <v>19246.61362999204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3377.7802277193309</v>
      </c>
      <c r="G74" s="5">
        <f t="shared" ref="G74:N74" si="30">+SUM(G64:G73)</f>
        <v>177.91046852735161</v>
      </c>
      <c r="H74" s="5">
        <f t="shared" si="30"/>
        <v>0</v>
      </c>
      <c r="I74" s="411">
        <f t="shared" si="30"/>
        <v>3715.2867703650809</v>
      </c>
      <c r="J74" s="382">
        <f t="shared" si="30"/>
        <v>3848.1554114311348</v>
      </c>
      <c r="K74" s="382">
        <f t="shared" si="30"/>
        <v>3906.1848647114953</v>
      </c>
      <c r="L74" s="382">
        <f t="shared" si="30"/>
        <v>3887.657946951515</v>
      </c>
      <c r="M74" s="382">
        <f t="shared" si="30"/>
        <v>3889.3286365328167</v>
      </c>
      <c r="N74" s="286">
        <f t="shared" si="30"/>
        <v>0</v>
      </c>
      <c r="O74" s="372">
        <f>SUM(O64:O73)</f>
        <v>22802.304326238725</v>
      </c>
      <c r="P74" s="428">
        <f>SUM(P64:P73)</f>
        <v>19246.61362999204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3075.3117031538445</v>
      </c>
      <c r="G76" s="280">
        <f t="shared" si="32"/>
        <v>164.69999999999982</v>
      </c>
      <c r="H76" s="280">
        <f t="shared" si="32"/>
        <v>0</v>
      </c>
      <c r="I76" s="410">
        <f t="shared" si="32"/>
        <v>3315.3439999999996</v>
      </c>
      <c r="J76" s="280">
        <f t="shared" si="32"/>
        <v>3315.344000000001</v>
      </c>
      <c r="K76" s="280">
        <f t="shared" si="32"/>
        <v>3315.344000000001</v>
      </c>
      <c r="L76" s="280">
        <f t="shared" si="32"/>
        <v>3315.344000000001</v>
      </c>
      <c r="M76" s="280">
        <f t="shared" si="32"/>
        <v>3315.344000000001</v>
      </c>
      <c r="N76" s="281">
        <f t="shared" si="32"/>
        <v>0</v>
      </c>
      <c r="O76" s="377">
        <f>SUM(F76:N76)</f>
        <v>19816.731703153848</v>
      </c>
      <c r="P76" s="378">
        <f t="shared" ref="P76:P80" si="33">SUM(I76:M76)</f>
        <v>16576.72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0.43439625000000059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42.057821356170564</v>
      </c>
      <c r="J77" s="282">
        <f>IF(J$10="Prior",0,IF(AND(J76&lt;&gt;0,SUM($F76:I76)=0),J76/SUM($F$76:J76)*J61,IF(J76&lt;&gt;0,SUM($F$76:J76)/SUM($F$11:J11)*J61-I83,0)))</f>
        <v>62.447004817599797</v>
      </c>
      <c r="K77" s="282">
        <f>IF(K$10="Prior",0,IF(AND(K76&lt;&gt;0,SUM($F76:J76)=0),K76/SUM($F$76:K76)*K61,IF(K76&lt;&gt;0,SUM($F$76:K76)/SUM($F$11:K11)*K61-J83,0)))</f>
        <v>82.503385498866663</v>
      </c>
      <c r="L77" s="282">
        <f>IF(L$10="Prior",0,IF(AND(L76&lt;&gt;0,SUM($F76:K76)=0),L76/SUM($F$76:L76)*L61,IF(L76&lt;&gt;0,SUM($F$76:L76)/SUM($F$11:L11)*L61-K83,0)))</f>
        <v>104.41432134129667</v>
      </c>
      <c r="M77" s="282">
        <f>IF(M$10="Prior",0,IF(AND(M76&lt;&gt;0,SUM($F76:L76)=0),M76/SUM($F$76:M76)*M61,IF(M76&lt;&gt;0,SUM($F$76:M76)/SUM($F$11:M11)*M61-L83,0)))</f>
        <v>127.04678604411026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418.90371530804396</v>
      </c>
      <c r="P77" s="455">
        <f t="shared" si="33"/>
        <v>418.46931905804399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3075.3117031538445</v>
      </c>
      <c r="G78" s="457">
        <f t="shared" ref="G78:N78" si="34">SUM(G76:G77)</f>
        <v>165.13439624999981</v>
      </c>
      <c r="H78" s="457">
        <f t="shared" si="34"/>
        <v>0</v>
      </c>
      <c r="I78" s="458">
        <f t="shared" si="34"/>
        <v>3357.4018213561703</v>
      </c>
      <c r="J78" s="457">
        <f t="shared" si="34"/>
        <v>3377.7910048176009</v>
      </c>
      <c r="K78" s="457">
        <f t="shared" si="34"/>
        <v>3397.8473854988674</v>
      </c>
      <c r="L78" s="457">
        <f t="shared" si="34"/>
        <v>3419.7583213412977</v>
      </c>
      <c r="M78" s="457">
        <f t="shared" si="34"/>
        <v>3442.3907860441113</v>
      </c>
      <c r="N78" s="459">
        <f t="shared" si="34"/>
        <v>0</v>
      </c>
      <c r="O78" s="460">
        <f>SUM(F78:N78)</f>
        <v>20235.63541846189</v>
      </c>
      <c r="P78" s="461">
        <f t="shared" si="33"/>
        <v>16995.189319058049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3127.3376530192295</v>
      </c>
      <c r="G79" s="457">
        <f>G78*Assumptions!$G$21</f>
        <v>167.92802325422915</v>
      </c>
      <c r="H79" s="457">
        <f>H78*Assumptions!$G$21</f>
        <v>0</v>
      </c>
      <c r="I79" s="458">
        <f>I78*Assumptions!$G$21</f>
        <v>3414.1999724693387</v>
      </c>
      <c r="J79" s="457">
        <f>J78*Assumptions!$G$21</f>
        <v>3434.9340857261695</v>
      </c>
      <c r="K79" s="457">
        <f>K78*Assumptions!$G$21</f>
        <v>3455.3297660806156</v>
      </c>
      <c r="L79" s="457">
        <f>L78*Assumptions!$G$21</f>
        <v>3477.6113756497034</v>
      </c>
      <c r="M79" s="457">
        <f>M78*Assumptions!$G$21</f>
        <v>3500.6267203944817</v>
      </c>
      <c r="N79" s="459">
        <f>N78*Assumptions!$G$21</f>
        <v>0</v>
      </c>
      <c r="O79" s="460">
        <f>SUM(F79:N79)</f>
        <v>20577.967596593768</v>
      </c>
      <c r="P79" s="461">
        <f t="shared" si="33"/>
        <v>17282.701920320309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250.44257470010146</v>
      </c>
      <c r="G80" s="282">
        <f>IF(G$10="Prior",G79*G56,IF(AND(G79&lt;&gt;0,SUM($F79:F79)=0),G79/SUM($F$54:G54)*G60,IF(G79&lt;&gt;0,SUM($F$79:G79)/SUM($F$54:G54)*G60-F82,0)))</f>
        <v>9.9824452731222948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301.08679789574234</v>
      </c>
      <c r="J80" s="282">
        <f>IF(J$10="Prior",J79*J56,IF(AND(J79&lt;&gt;0,SUM($F79:I79)=0),J79/SUM($F$54:J54)*J60,IF(J79&lt;&gt;0,SUM($F$79:J79)/SUM($F$54:J54)*J60-I82,0)))</f>
        <v>413.22132570496638</v>
      </c>
      <c r="K80" s="282">
        <f>IF(K$10="Prior",K79*K56,IF(AND(K79&lt;&gt;0,SUM($F79:J79)=0),K79/SUM($F$54:K54)*K60,IF(K79&lt;&gt;0,SUM($F$79:K79)/SUM($F$54:K54)*K60-J82,0)))</f>
        <v>450.85509863088078</v>
      </c>
      <c r="L80" s="282">
        <f>IF(L$10="Prior",L79*L56,IF(AND(L79&lt;&gt;0,SUM($F79:K79)=0),L79/SUM($F$54:L54)*L60,IF(L79&lt;&gt;0,SUM($F$79:L79)/SUM($F$54:L54)*L60-K82,0)))</f>
        <v>410.04657130181272</v>
      </c>
      <c r="M80" s="282">
        <f>IF(M$10="Prior",M79*M56,IF(AND(M79&lt;&gt;0,SUM($F79:L79)=0),M79/SUM($F$54:M54)*M60,IF(M79&lt;&gt;0,SUM($F$79:M79)/SUM($F$54:M54)*M60-L82,0)))</f>
        <v>388.70191613833595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2224.3367296449619</v>
      </c>
      <c r="P80" s="300">
        <f t="shared" si="33"/>
        <v>1963.9117096717382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3377.7802277193309</v>
      </c>
      <c r="G81" s="307">
        <f t="shared" ref="G81:P81" si="35">SUM(G79:G80)</f>
        <v>177.91046852735144</v>
      </c>
      <c r="H81" s="307">
        <f t="shared" si="35"/>
        <v>0</v>
      </c>
      <c r="I81" s="417">
        <f t="shared" si="35"/>
        <v>3715.2867703650809</v>
      </c>
      <c r="J81" s="387">
        <f t="shared" si="35"/>
        <v>3848.1554114311357</v>
      </c>
      <c r="K81" s="387">
        <f t="shared" si="35"/>
        <v>3906.1848647114966</v>
      </c>
      <c r="L81" s="387">
        <f t="shared" si="35"/>
        <v>3887.6579469515164</v>
      </c>
      <c r="M81" s="387">
        <f t="shared" si="35"/>
        <v>3889.3286365328177</v>
      </c>
      <c r="N81" s="420">
        <f t="shared" si="35"/>
        <v>0</v>
      </c>
      <c r="O81" s="421">
        <f t="shared" si="35"/>
        <v>22802.304326238729</v>
      </c>
      <c r="P81" s="388">
        <f t="shared" si="35"/>
        <v>19246.613629992047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250.44257470010146</v>
      </c>
      <c r="G82" s="252">
        <f t="shared" ref="G82:N82" si="36">G80+F82</f>
        <v>260.42501997322375</v>
      </c>
      <c r="H82" s="252">
        <f t="shared" si="36"/>
        <v>260.42501997322375</v>
      </c>
      <c r="I82" s="252">
        <f t="shared" si="36"/>
        <v>561.51181786896609</v>
      </c>
      <c r="J82" s="252">
        <f t="shared" si="36"/>
        <v>974.73314357393247</v>
      </c>
      <c r="K82" s="252">
        <f t="shared" si="36"/>
        <v>1425.5882422048132</v>
      </c>
      <c r="L82" s="252">
        <f t="shared" si="36"/>
        <v>1835.634813506626</v>
      </c>
      <c r="M82" s="252">
        <f t="shared" si="36"/>
        <v>2224.3367296449619</v>
      </c>
      <c r="N82" s="252">
        <f t="shared" si="36"/>
        <v>2224.3367296449619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0.43439625000000059</v>
      </c>
      <c r="H83" s="252">
        <f t="shared" si="37"/>
        <v>0.43439625000000059</v>
      </c>
      <c r="I83" s="252">
        <f t="shared" si="37"/>
        <v>42.492217606170563</v>
      </c>
      <c r="J83" s="252">
        <f t="shared" si="37"/>
        <v>104.93922242377036</v>
      </c>
      <c r="K83" s="252">
        <f t="shared" si="37"/>
        <v>187.44260792263702</v>
      </c>
      <c r="L83" s="252">
        <f t="shared" si="37"/>
        <v>291.85692926393369</v>
      </c>
      <c r="M83" s="252">
        <f t="shared" si="37"/>
        <v>418.90371530804396</v>
      </c>
      <c r="N83" s="252">
        <f t="shared" si="37"/>
        <v>418.90371530804396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3377.7802277193305</v>
      </c>
      <c r="G89" s="290">
        <f t="shared" si="44"/>
        <v>177.91046852735141</v>
      </c>
      <c r="H89" s="290">
        <f t="shared" si="44"/>
        <v>0</v>
      </c>
      <c r="I89" s="416">
        <f t="shared" si="44"/>
        <v>3715.2867703650804</v>
      </c>
      <c r="J89" s="381">
        <f t="shared" si="44"/>
        <v>3848.1554114311348</v>
      </c>
      <c r="K89" s="381">
        <f t="shared" si="44"/>
        <v>3906.1848647114962</v>
      </c>
      <c r="L89" s="381">
        <f t="shared" si="44"/>
        <v>3887.6579469515159</v>
      </c>
      <c r="M89" s="381">
        <f t="shared" si="44"/>
        <v>3889.3286365328172</v>
      </c>
      <c r="N89" s="346">
        <f t="shared" si="44"/>
        <v>0</v>
      </c>
      <c r="O89" s="374">
        <f t="shared" si="41"/>
        <v>22802.304326238725</v>
      </c>
      <c r="P89" s="431">
        <f t="shared" si="39"/>
        <v>19246.613629992047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3377.7802277193305</v>
      </c>
      <c r="G95" s="5">
        <f t="shared" ref="G95" si="50">+SUM(G85:G94)</f>
        <v>177.91046852735141</v>
      </c>
      <c r="H95" s="5">
        <f t="shared" ref="H95:N95" si="51">+SUM(H85:H94)</f>
        <v>0</v>
      </c>
      <c r="I95" s="411">
        <f t="shared" si="51"/>
        <v>3715.2867703650804</v>
      </c>
      <c r="J95" s="382">
        <f t="shared" si="51"/>
        <v>3848.1554114311348</v>
      </c>
      <c r="K95" s="382">
        <f t="shared" si="51"/>
        <v>3906.1848647114962</v>
      </c>
      <c r="L95" s="382">
        <f t="shared" si="51"/>
        <v>3887.6579469515159</v>
      </c>
      <c r="M95" s="382">
        <f t="shared" si="51"/>
        <v>3889.3286365328172</v>
      </c>
      <c r="N95" s="286">
        <f t="shared" si="51"/>
        <v>0</v>
      </c>
      <c r="O95" s="372">
        <f>SUM(O85:O94)</f>
        <v>22802.304326238725</v>
      </c>
      <c r="P95" s="428">
        <f>SUM(P85:P94)</f>
        <v>19246.613629992047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3">H18</f>
        <v>0</v>
      </c>
      <c r="I103" s="2">
        <f t="shared" si="53"/>
        <v>0</v>
      </c>
      <c r="J103" s="2">
        <f t="shared" si="53"/>
        <v>0</v>
      </c>
      <c r="K103" s="2">
        <f t="shared" si="53"/>
        <v>0</v>
      </c>
      <c r="L103" s="2">
        <f t="shared" si="53"/>
        <v>0</v>
      </c>
      <c r="M103" s="2">
        <f t="shared" si="53"/>
        <v>0</v>
      </c>
      <c r="N103" s="2">
        <f t="shared" si="53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3"/>
        <v>0</v>
      </c>
      <c r="I104" s="2">
        <f t="shared" si="53"/>
        <v>0</v>
      </c>
      <c r="J104" s="2">
        <f t="shared" si="53"/>
        <v>0</v>
      </c>
      <c r="K104" s="2">
        <f t="shared" si="53"/>
        <v>0</v>
      </c>
      <c r="L104" s="2">
        <f t="shared" si="53"/>
        <v>0</v>
      </c>
      <c r="M104" s="2">
        <f t="shared" si="53"/>
        <v>0</v>
      </c>
      <c r="N104" s="2">
        <f t="shared" si="53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3"/>
        <v>0</v>
      </c>
      <c r="I105" s="2">
        <f t="shared" si="53"/>
        <v>0</v>
      </c>
      <c r="J105" s="2">
        <f t="shared" si="53"/>
        <v>0</v>
      </c>
      <c r="K105" s="2">
        <f t="shared" si="53"/>
        <v>0</v>
      </c>
      <c r="L105" s="2">
        <f t="shared" si="53"/>
        <v>0</v>
      </c>
      <c r="M105" s="2">
        <f t="shared" si="53"/>
        <v>0</v>
      </c>
      <c r="N105" s="2">
        <f t="shared" si="53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4">H17+H23</f>
        <v>0</v>
      </c>
      <c r="I106" s="2">
        <f t="shared" si="54"/>
        <v>0</v>
      </c>
      <c r="J106" s="2">
        <f t="shared" si="54"/>
        <v>0</v>
      </c>
      <c r="K106" s="2">
        <f t="shared" si="54"/>
        <v>0</v>
      </c>
      <c r="L106" s="2">
        <f t="shared" si="54"/>
        <v>0</v>
      </c>
      <c r="M106" s="2">
        <f t="shared" si="54"/>
        <v>0</v>
      </c>
      <c r="N106" s="2">
        <f t="shared" si="54"/>
        <v>0</v>
      </c>
    </row>
    <row r="107" spans="3:16" hidden="1" outlineLevel="1">
      <c r="D107" s="248" t="s">
        <v>387</v>
      </c>
      <c r="G107" s="2">
        <f>G22+G21</f>
        <v>1</v>
      </c>
      <c r="H107" s="2">
        <f t="shared" ref="H107:N107" si="55">H22+H21</f>
        <v>1</v>
      </c>
      <c r="I107" s="2">
        <f t="shared" si="55"/>
        <v>1</v>
      </c>
      <c r="J107" s="2">
        <f t="shared" si="55"/>
        <v>1</v>
      </c>
      <c r="K107" s="2">
        <f t="shared" si="55"/>
        <v>1</v>
      </c>
      <c r="L107" s="2">
        <f t="shared" si="55"/>
        <v>1</v>
      </c>
      <c r="M107" s="2">
        <f t="shared" si="55"/>
        <v>1</v>
      </c>
      <c r="N107" s="2">
        <f t="shared" si="55"/>
        <v>1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6">SUM(H99:H107)</f>
        <v>1</v>
      </c>
      <c r="I108" s="2">
        <f t="shared" si="56"/>
        <v>1</v>
      </c>
      <c r="J108" s="2">
        <f t="shared" si="56"/>
        <v>1</v>
      </c>
      <c r="K108" s="2">
        <f t="shared" si="56"/>
        <v>1</v>
      </c>
      <c r="L108" s="2">
        <f t="shared" si="56"/>
        <v>1</v>
      </c>
      <c r="M108" s="2">
        <f t="shared" si="56"/>
        <v>1</v>
      </c>
      <c r="N108" s="2">
        <f t="shared" si="56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7">H99*H$53</f>
        <v>0</v>
      </c>
      <c r="I111" s="191">
        <f t="shared" si="57"/>
        <v>0</v>
      </c>
      <c r="J111" s="191">
        <f t="shared" si="57"/>
        <v>0</v>
      </c>
      <c r="K111" s="191">
        <f t="shared" si="57"/>
        <v>0</v>
      </c>
      <c r="L111" s="191">
        <f t="shared" si="57"/>
        <v>0</v>
      </c>
      <c r="M111" s="191">
        <f t="shared" si="57"/>
        <v>0</v>
      </c>
      <c r="N111" s="191">
        <f t="shared" si="57"/>
        <v>0</v>
      </c>
      <c r="O111" s="191">
        <f t="shared" ref="O111:O119" si="58">SUM(F111:N111)</f>
        <v>0</v>
      </c>
      <c r="P111" s="191">
        <f t="shared" ref="P111:P119" si="59">SUM(I111:M111)</f>
        <v>0</v>
      </c>
    </row>
    <row r="112" spans="3:16" hidden="1" outlineLevel="1">
      <c r="D112" s="248" t="s">
        <v>380</v>
      </c>
      <c r="G112" s="191">
        <f t="shared" ref="G112:N119" si="60">G100*G$53</f>
        <v>0</v>
      </c>
      <c r="H112" s="191">
        <f t="shared" si="60"/>
        <v>0</v>
      </c>
      <c r="I112" s="191">
        <f t="shared" si="60"/>
        <v>0</v>
      </c>
      <c r="J112" s="191">
        <f t="shared" si="60"/>
        <v>0</v>
      </c>
      <c r="K112" s="191">
        <f t="shared" si="60"/>
        <v>0</v>
      </c>
      <c r="L112" s="191">
        <f t="shared" si="60"/>
        <v>0</v>
      </c>
      <c r="M112" s="191">
        <f t="shared" si="60"/>
        <v>0</v>
      </c>
      <c r="N112" s="191">
        <f t="shared" si="60"/>
        <v>0</v>
      </c>
      <c r="O112" s="191">
        <f t="shared" si="58"/>
        <v>0</v>
      </c>
      <c r="P112" s="191">
        <f t="shared" si="59"/>
        <v>0</v>
      </c>
    </row>
    <row r="113" spans="4:16" hidden="1" outlineLevel="1">
      <c r="D113" s="248" t="s">
        <v>381</v>
      </c>
      <c r="G113" s="191">
        <f t="shared" si="60"/>
        <v>0</v>
      </c>
      <c r="H113" s="191">
        <f t="shared" si="60"/>
        <v>0</v>
      </c>
      <c r="I113" s="191">
        <f t="shared" si="60"/>
        <v>0</v>
      </c>
      <c r="J113" s="191">
        <f t="shared" si="60"/>
        <v>0</v>
      </c>
      <c r="K113" s="191">
        <f t="shared" si="60"/>
        <v>0</v>
      </c>
      <c r="L113" s="191">
        <f t="shared" si="60"/>
        <v>0</v>
      </c>
      <c r="M113" s="191">
        <f t="shared" si="60"/>
        <v>0</v>
      </c>
      <c r="N113" s="191">
        <f t="shared" si="60"/>
        <v>0</v>
      </c>
      <c r="O113" s="191">
        <f t="shared" si="58"/>
        <v>0</v>
      </c>
      <c r="P113" s="191">
        <f t="shared" si="59"/>
        <v>0</v>
      </c>
    </row>
    <row r="114" spans="4:16" hidden="1" outlineLevel="1">
      <c r="D114" s="248" t="s">
        <v>382</v>
      </c>
      <c r="G114" s="191">
        <f t="shared" si="60"/>
        <v>0</v>
      </c>
      <c r="H114" s="191">
        <f t="shared" si="60"/>
        <v>0</v>
      </c>
      <c r="I114" s="191">
        <f t="shared" si="60"/>
        <v>0</v>
      </c>
      <c r="J114" s="191">
        <f t="shared" si="60"/>
        <v>0</v>
      </c>
      <c r="K114" s="191">
        <f t="shared" si="60"/>
        <v>0</v>
      </c>
      <c r="L114" s="191">
        <f t="shared" si="60"/>
        <v>0</v>
      </c>
      <c r="M114" s="191">
        <f t="shared" si="60"/>
        <v>0</v>
      </c>
      <c r="N114" s="191">
        <f t="shared" si="60"/>
        <v>0</v>
      </c>
      <c r="O114" s="191">
        <f t="shared" si="58"/>
        <v>0</v>
      </c>
      <c r="P114" s="191">
        <f t="shared" si="59"/>
        <v>0</v>
      </c>
    </row>
    <row r="115" spans="4:16" hidden="1" outlineLevel="1">
      <c r="D115" s="248" t="s">
        <v>383</v>
      </c>
      <c r="G115" s="191">
        <f t="shared" si="60"/>
        <v>0</v>
      </c>
      <c r="H115" s="191">
        <f t="shared" si="60"/>
        <v>0</v>
      </c>
      <c r="I115" s="191">
        <f t="shared" si="60"/>
        <v>0</v>
      </c>
      <c r="J115" s="191">
        <f t="shared" si="60"/>
        <v>0</v>
      </c>
      <c r="K115" s="191">
        <f t="shared" si="60"/>
        <v>0</v>
      </c>
      <c r="L115" s="191">
        <f t="shared" si="60"/>
        <v>0</v>
      </c>
      <c r="M115" s="191">
        <f t="shared" si="60"/>
        <v>0</v>
      </c>
      <c r="N115" s="191">
        <f t="shared" si="60"/>
        <v>0</v>
      </c>
      <c r="O115" s="191">
        <f t="shared" si="58"/>
        <v>0</v>
      </c>
      <c r="P115" s="191">
        <f t="shared" si="59"/>
        <v>0</v>
      </c>
    </row>
    <row r="116" spans="4:16" hidden="1" outlineLevel="1">
      <c r="D116" s="248" t="s">
        <v>384</v>
      </c>
      <c r="G116" s="191">
        <f t="shared" si="60"/>
        <v>0</v>
      </c>
      <c r="H116" s="191">
        <f t="shared" si="60"/>
        <v>0</v>
      </c>
      <c r="I116" s="191">
        <f t="shared" si="60"/>
        <v>0</v>
      </c>
      <c r="J116" s="191">
        <f t="shared" si="60"/>
        <v>0</v>
      </c>
      <c r="K116" s="191">
        <f t="shared" si="60"/>
        <v>0</v>
      </c>
      <c r="L116" s="191">
        <f t="shared" si="60"/>
        <v>0</v>
      </c>
      <c r="M116" s="191">
        <f t="shared" si="60"/>
        <v>0</v>
      </c>
      <c r="N116" s="191">
        <f t="shared" si="60"/>
        <v>0</v>
      </c>
      <c r="O116" s="191">
        <f t="shared" si="58"/>
        <v>0</v>
      </c>
      <c r="P116" s="191">
        <f t="shared" si="59"/>
        <v>0</v>
      </c>
    </row>
    <row r="117" spans="4:16" hidden="1" outlineLevel="1">
      <c r="D117" s="248" t="s">
        <v>385</v>
      </c>
      <c r="G117" s="191">
        <f t="shared" si="60"/>
        <v>0</v>
      </c>
      <c r="H117" s="191">
        <f t="shared" si="60"/>
        <v>0</v>
      </c>
      <c r="I117" s="191">
        <f t="shared" si="60"/>
        <v>0</v>
      </c>
      <c r="J117" s="191">
        <f t="shared" si="60"/>
        <v>0</v>
      </c>
      <c r="K117" s="191">
        <f t="shared" si="60"/>
        <v>0</v>
      </c>
      <c r="L117" s="191">
        <f t="shared" si="60"/>
        <v>0</v>
      </c>
      <c r="M117" s="191">
        <f t="shared" si="60"/>
        <v>0</v>
      </c>
      <c r="N117" s="191">
        <f t="shared" si="60"/>
        <v>0</v>
      </c>
      <c r="O117" s="191">
        <f t="shared" si="58"/>
        <v>0</v>
      </c>
      <c r="P117" s="191">
        <f t="shared" si="59"/>
        <v>0</v>
      </c>
    </row>
    <row r="118" spans="4:16" hidden="1" outlineLevel="1">
      <c r="D118" s="248" t="s">
        <v>386</v>
      </c>
      <c r="G118" s="191">
        <f t="shared" si="60"/>
        <v>0</v>
      </c>
      <c r="H118" s="191">
        <f t="shared" si="60"/>
        <v>0</v>
      </c>
      <c r="I118" s="191">
        <f t="shared" si="60"/>
        <v>0</v>
      </c>
      <c r="J118" s="191">
        <f t="shared" si="60"/>
        <v>0</v>
      </c>
      <c r="K118" s="191">
        <f t="shared" si="60"/>
        <v>0</v>
      </c>
      <c r="L118" s="191">
        <f t="shared" si="60"/>
        <v>0</v>
      </c>
      <c r="M118" s="191">
        <f t="shared" si="60"/>
        <v>0</v>
      </c>
      <c r="N118" s="191">
        <f t="shared" si="60"/>
        <v>0</v>
      </c>
      <c r="O118" s="191">
        <f t="shared" si="58"/>
        <v>0</v>
      </c>
      <c r="P118" s="191">
        <f t="shared" si="59"/>
        <v>0</v>
      </c>
    </row>
    <row r="119" spans="4:16" hidden="1" outlineLevel="1">
      <c r="D119" s="248" t="s">
        <v>387</v>
      </c>
      <c r="G119" s="912">
        <f t="shared" si="60"/>
        <v>66.994511278195489</v>
      </c>
      <c r="H119" s="912">
        <f t="shared" si="60"/>
        <v>0</v>
      </c>
      <c r="I119" s="912">
        <f t="shared" si="60"/>
        <v>1348.5722586466165</v>
      </c>
      <c r="J119" s="912">
        <f t="shared" si="60"/>
        <v>1348.5722586466165</v>
      </c>
      <c r="K119" s="912">
        <f t="shared" si="60"/>
        <v>1348.5722586466165</v>
      </c>
      <c r="L119" s="912">
        <f t="shared" si="60"/>
        <v>1348.5722586466165</v>
      </c>
      <c r="M119" s="912">
        <f t="shared" si="60"/>
        <v>1348.5722586466165</v>
      </c>
      <c r="N119" s="912">
        <f t="shared" si="60"/>
        <v>0</v>
      </c>
      <c r="O119" s="912">
        <f t="shared" si="58"/>
        <v>6809.8558045112777</v>
      </c>
      <c r="P119" s="912">
        <f t="shared" si="59"/>
        <v>6742.8612932330825</v>
      </c>
    </row>
    <row r="120" spans="4:16" hidden="1" outlineLevel="1">
      <c r="D120" s="248" t="s">
        <v>440</v>
      </c>
      <c r="G120" s="191">
        <f>SUM(G111:G119)</f>
        <v>66.994511278195489</v>
      </c>
      <c r="H120" s="191">
        <f t="shared" ref="H120:P120" si="61">SUM(H111:H119)</f>
        <v>0</v>
      </c>
      <c r="I120" s="191">
        <f t="shared" si="61"/>
        <v>1348.5722586466165</v>
      </c>
      <c r="J120" s="191">
        <f t="shared" si="61"/>
        <v>1348.5722586466165</v>
      </c>
      <c r="K120" s="191">
        <f t="shared" si="61"/>
        <v>1348.5722586466165</v>
      </c>
      <c r="L120" s="191">
        <f t="shared" si="61"/>
        <v>1348.5722586466165</v>
      </c>
      <c r="M120" s="191">
        <f t="shared" si="61"/>
        <v>1348.5722586466165</v>
      </c>
      <c r="N120" s="191">
        <f t="shared" si="61"/>
        <v>0</v>
      </c>
      <c r="O120" s="191">
        <f t="shared" si="61"/>
        <v>6809.8558045112777</v>
      </c>
      <c r="P120" s="191">
        <f t="shared" si="61"/>
        <v>6742.8612932330825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2">H99*H$51</f>
        <v>0</v>
      </c>
      <c r="I123" s="191">
        <f t="shared" si="62"/>
        <v>0</v>
      </c>
      <c r="J123" s="191">
        <f t="shared" si="62"/>
        <v>0</v>
      </c>
      <c r="K123" s="191">
        <f t="shared" si="62"/>
        <v>0</v>
      </c>
      <c r="L123" s="191">
        <f t="shared" si="62"/>
        <v>0</v>
      </c>
      <c r="M123" s="191">
        <f t="shared" si="62"/>
        <v>0</v>
      </c>
      <c r="N123" s="191">
        <f t="shared" si="62"/>
        <v>0</v>
      </c>
      <c r="O123" s="191">
        <f t="shared" ref="O123:O131" si="63">SUM(F123:N123)</f>
        <v>0</v>
      </c>
      <c r="P123" s="191">
        <f t="shared" ref="P123:P131" si="64">SUM(I123:M123)</f>
        <v>0</v>
      </c>
    </row>
    <row r="124" spans="4:16" hidden="1" outlineLevel="1">
      <c r="D124" s="248" t="s">
        <v>380</v>
      </c>
      <c r="G124" s="191">
        <f t="shared" ref="G124:N131" si="65">G100*G$51</f>
        <v>0</v>
      </c>
      <c r="H124" s="191">
        <f t="shared" si="65"/>
        <v>0</v>
      </c>
      <c r="I124" s="191">
        <f t="shared" si="65"/>
        <v>0</v>
      </c>
      <c r="J124" s="191">
        <f t="shared" si="65"/>
        <v>0</v>
      </c>
      <c r="K124" s="191">
        <f t="shared" si="65"/>
        <v>0</v>
      </c>
      <c r="L124" s="191">
        <f t="shared" si="65"/>
        <v>0</v>
      </c>
      <c r="M124" s="191">
        <f t="shared" si="65"/>
        <v>0</v>
      </c>
      <c r="N124" s="191">
        <f t="shared" si="65"/>
        <v>0</v>
      </c>
      <c r="O124" s="191">
        <f t="shared" si="63"/>
        <v>0</v>
      </c>
      <c r="P124" s="191">
        <f t="shared" si="64"/>
        <v>0</v>
      </c>
    </row>
    <row r="125" spans="4:16" hidden="1" outlineLevel="1">
      <c r="D125" s="248" t="s">
        <v>381</v>
      </c>
      <c r="G125" s="191">
        <f t="shared" si="65"/>
        <v>0</v>
      </c>
      <c r="H125" s="191">
        <f t="shared" si="65"/>
        <v>0</v>
      </c>
      <c r="I125" s="191">
        <f t="shared" si="65"/>
        <v>0</v>
      </c>
      <c r="J125" s="191">
        <f t="shared" si="65"/>
        <v>0</v>
      </c>
      <c r="K125" s="191">
        <f t="shared" si="65"/>
        <v>0</v>
      </c>
      <c r="L125" s="191">
        <f t="shared" si="65"/>
        <v>0</v>
      </c>
      <c r="M125" s="191">
        <f t="shared" si="65"/>
        <v>0</v>
      </c>
      <c r="N125" s="191">
        <f t="shared" si="65"/>
        <v>0</v>
      </c>
      <c r="O125" s="191">
        <f t="shared" si="63"/>
        <v>0</v>
      </c>
      <c r="P125" s="191">
        <f t="shared" si="64"/>
        <v>0</v>
      </c>
    </row>
    <row r="126" spans="4:16" hidden="1" outlineLevel="1">
      <c r="D126" s="248" t="s">
        <v>382</v>
      </c>
      <c r="G126" s="191">
        <f t="shared" si="65"/>
        <v>0</v>
      </c>
      <c r="H126" s="191">
        <f t="shared" si="65"/>
        <v>0</v>
      </c>
      <c r="I126" s="191">
        <f t="shared" si="65"/>
        <v>0</v>
      </c>
      <c r="J126" s="191">
        <f t="shared" si="65"/>
        <v>0</v>
      </c>
      <c r="K126" s="191">
        <f t="shared" si="65"/>
        <v>0</v>
      </c>
      <c r="L126" s="191">
        <f t="shared" si="65"/>
        <v>0</v>
      </c>
      <c r="M126" s="191">
        <f t="shared" si="65"/>
        <v>0</v>
      </c>
      <c r="N126" s="191">
        <f t="shared" si="65"/>
        <v>0</v>
      </c>
      <c r="O126" s="191">
        <f t="shared" si="63"/>
        <v>0</v>
      </c>
      <c r="P126" s="191">
        <f t="shared" si="64"/>
        <v>0</v>
      </c>
    </row>
    <row r="127" spans="4:16" hidden="1" outlineLevel="1">
      <c r="D127" s="248" t="s">
        <v>383</v>
      </c>
      <c r="G127" s="191">
        <f t="shared" si="65"/>
        <v>0</v>
      </c>
      <c r="H127" s="191">
        <f t="shared" si="65"/>
        <v>0</v>
      </c>
      <c r="I127" s="191">
        <f t="shared" si="65"/>
        <v>0</v>
      </c>
      <c r="J127" s="191">
        <f t="shared" si="65"/>
        <v>0</v>
      </c>
      <c r="K127" s="191">
        <f t="shared" si="65"/>
        <v>0</v>
      </c>
      <c r="L127" s="191">
        <f t="shared" si="65"/>
        <v>0</v>
      </c>
      <c r="M127" s="191">
        <f t="shared" si="65"/>
        <v>0</v>
      </c>
      <c r="N127" s="191">
        <f t="shared" si="65"/>
        <v>0</v>
      </c>
      <c r="O127" s="191">
        <f t="shared" si="63"/>
        <v>0</v>
      </c>
      <c r="P127" s="191">
        <f t="shared" si="64"/>
        <v>0</v>
      </c>
    </row>
    <row r="128" spans="4:16" hidden="1" outlineLevel="1">
      <c r="D128" s="248" t="s">
        <v>384</v>
      </c>
      <c r="G128" s="191">
        <f t="shared" si="65"/>
        <v>0</v>
      </c>
      <c r="H128" s="191">
        <f t="shared" si="65"/>
        <v>0</v>
      </c>
      <c r="I128" s="191">
        <f t="shared" si="65"/>
        <v>0</v>
      </c>
      <c r="J128" s="191">
        <f t="shared" si="65"/>
        <v>0</v>
      </c>
      <c r="K128" s="191">
        <f t="shared" si="65"/>
        <v>0</v>
      </c>
      <c r="L128" s="191">
        <f t="shared" si="65"/>
        <v>0</v>
      </c>
      <c r="M128" s="191">
        <f t="shared" si="65"/>
        <v>0</v>
      </c>
      <c r="N128" s="191">
        <f t="shared" si="65"/>
        <v>0</v>
      </c>
      <c r="O128" s="191">
        <f t="shared" si="63"/>
        <v>0</v>
      </c>
      <c r="P128" s="191">
        <f t="shared" si="64"/>
        <v>0</v>
      </c>
    </row>
    <row r="129" spans="4:16" hidden="1" outlineLevel="1">
      <c r="D129" s="248" t="s">
        <v>385</v>
      </c>
      <c r="G129" s="191">
        <f t="shared" si="65"/>
        <v>0</v>
      </c>
      <c r="H129" s="191">
        <f t="shared" si="65"/>
        <v>0</v>
      </c>
      <c r="I129" s="191">
        <f t="shared" si="65"/>
        <v>0</v>
      </c>
      <c r="J129" s="191">
        <f t="shared" si="65"/>
        <v>0</v>
      </c>
      <c r="K129" s="191">
        <f t="shared" si="65"/>
        <v>0</v>
      </c>
      <c r="L129" s="191">
        <f t="shared" si="65"/>
        <v>0</v>
      </c>
      <c r="M129" s="191">
        <f t="shared" si="65"/>
        <v>0</v>
      </c>
      <c r="N129" s="191">
        <f t="shared" si="65"/>
        <v>0</v>
      </c>
      <c r="O129" s="191">
        <f t="shared" si="63"/>
        <v>0</v>
      </c>
      <c r="P129" s="191">
        <f t="shared" si="64"/>
        <v>0</v>
      </c>
    </row>
    <row r="130" spans="4:16" hidden="1" outlineLevel="1">
      <c r="D130" s="248" t="s">
        <v>386</v>
      </c>
      <c r="G130" s="191">
        <f t="shared" si="65"/>
        <v>0</v>
      </c>
      <c r="H130" s="191">
        <f t="shared" si="65"/>
        <v>0</v>
      </c>
      <c r="I130" s="191">
        <f t="shared" si="65"/>
        <v>0</v>
      </c>
      <c r="J130" s="191">
        <f t="shared" si="65"/>
        <v>0</v>
      </c>
      <c r="K130" s="191">
        <f t="shared" si="65"/>
        <v>0</v>
      </c>
      <c r="L130" s="191">
        <f t="shared" si="65"/>
        <v>0</v>
      </c>
      <c r="M130" s="191">
        <f t="shared" si="65"/>
        <v>0</v>
      </c>
      <c r="N130" s="191">
        <f t="shared" si="65"/>
        <v>0</v>
      </c>
      <c r="O130" s="191">
        <f t="shared" si="63"/>
        <v>0</v>
      </c>
      <c r="P130" s="191">
        <f t="shared" si="64"/>
        <v>0</v>
      </c>
    </row>
    <row r="131" spans="4:16" hidden="1" outlineLevel="1">
      <c r="D131" s="248" t="s">
        <v>387</v>
      </c>
      <c r="G131" s="912">
        <f t="shared" si="65"/>
        <v>16.84702600798872</v>
      </c>
      <c r="H131" s="912">
        <f t="shared" si="65"/>
        <v>0</v>
      </c>
      <c r="I131" s="912">
        <f t="shared" si="65"/>
        <v>344.10996119242134</v>
      </c>
      <c r="J131" s="912">
        <f t="shared" si="65"/>
        <v>346.89725187808</v>
      </c>
      <c r="K131" s="912">
        <f t="shared" si="65"/>
        <v>349.76782663737106</v>
      </c>
      <c r="L131" s="912">
        <f t="shared" si="65"/>
        <v>352.89824868577557</v>
      </c>
      <c r="M131" s="912">
        <f t="shared" si="65"/>
        <v>356.10962274881621</v>
      </c>
      <c r="N131" s="912">
        <f t="shared" si="65"/>
        <v>0</v>
      </c>
      <c r="O131" s="912">
        <f t="shared" si="63"/>
        <v>1766.6299371504529</v>
      </c>
      <c r="P131" s="912">
        <f t="shared" si="64"/>
        <v>1749.7829111424644</v>
      </c>
    </row>
    <row r="132" spans="4:16" hidden="1" outlineLevel="1">
      <c r="D132" s="248" t="s">
        <v>441</v>
      </c>
      <c r="G132" s="191">
        <f>SUM(G123:G131)</f>
        <v>16.84702600798872</v>
      </c>
      <c r="H132" s="191">
        <f t="shared" ref="H132:P132" si="66">SUM(H123:H131)</f>
        <v>0</v>
      </c>
      <c r="I132" s="191">
        <f t="shared" si="66"/>
        <v>344.10996119242134</v>
      </c>
      <c r="J132" s="191">
        <f t="shared" si="66"/>
        <v>346.89725187808</v>
      </c>
      <c r="K132" s="191">
        <f t="shared" si="66"/>
        <v>349.76782663737106</v>
      </c>
      <c r="L132" s="191">
        <f t="shared" si="66"/>
        <v>352.89824868577557</v>
      </c>
      <c r="M132" s="191">
        <f t="shared" si="66"/>
        <v>356.10962274881621</v>
      </c>
      <c r="N132" s="191">
        <f t="shared" si="66"/>
        <v>0</v>
      </c>
      <c r="O132" s="191">
        <f t="shared" si="66"/>
        <v>1766.6299371504529</v>
      </c>
      <c r="P132" s="191">
        <f t="shared" si="66"/>
        <v>1749.7829111424644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7">H99*H$52</f>
        <v>0</v>
      </c>
      <c r="I135" s="191">
        <f t="shared" si="67"/>
        <v>0</v>
      </c>
      <c r="J135" s="191">
        <f t="shared" si="67"/>
        <v>0</v>
      </c>
      <c r="K135" s="191">
        <f t="shared" si="67"/>
        <v>0</v>
      </c>
      <c r="L135" s="191">
        <f t="shared" si="67"/>
        <v>0</v>
      </c>
      <c r="M135" s="191">
        <f t="shared" si="67"/>
        <v>0</v>
      </c>
      <c r="N135" s="191">
        <f t="shared" si="67"/>
        <v>0</v>
      </c>
      <c r="O135" s="191">
        <f t="shared" ref="O135:O143" si="68">SUM(F135:N135)</f>
        <v>0</v>
      </c>
      <c r="P135" s="191">
        <f t="shared" ref="P135:P143" si="69">SUM(I135:M135)</f>
        <v>0</v>
      </c>
    </row>
    <row r="136" spans="4:16" hidden="1" outlineLevel="1">
      <c r="D136" s="248" t="s">
        <v>380</v>
      </c>
      <c r="G136" s="191">
        <f t="shared" ref="G136:N143" si="70">G100*G$52</f>
        <v>0</v>
      </c>
      <c r="H136" s="191">
        <f t="shared" si="70"/>
        <v>0</v>
      </c>
      <c r="I136" s="191">
        <f t="shared" si="70"/>
        <v>0</v>
      </c>
      <c r="J136" s="191">
        <f t="shared" si="70"/>
        <v>0</v>
      </c>
      <c r="K136" s="191">
        <f t="shared" si="70"/>
        <v>0</v>
      </c>
      <c r="L136" s="191">
        <f t="shared" si="70"/>
        <v>0</v>
      </c>
      <c r="M136" s="191">
        <f t="shared" si="70"/>
        <v>0</v>
      </c>
      <c r="N136" s="191">
        <f t="shared" si="70"/>
        <v>0</v>
      </c>
      <c r="O136" s="191">
        <f t="shared" si="68"/>
        <v>0</v>
      </c>
      <c r="P136" s="191">
        <f t="shared" si="69"/>
        <v>0</v>
      </c>
    </row>
    <row r="137" spans="4:16" hidden="1" outlineLevel="1">
      <c r="D137" s="248" t="s">
        <v>381</v>
      </c>
      <c r="G137" s="191">
        <f t="shared" si="70"/>
        <v>0</v>
      </c>
      <c r="H137" s="191">
        <f t="shared" si="70"/>
        <v>0</v>
      </c>
      <c r="I137" s="191">
        <f t="shared" si="70"/>
        <v>0</v>
      </c>
      <c r="J137" s="191">
        <f t="shared" si="70"/>
        <v>0</v>
      </c>
      <c r="K137" s="191">
        <f t="shared" si="70"/>
        <v>0</v>
      </c>
      <c r="L137" s="191">
        <f t="shared" si="70"/>
        <v>0</v>
      </c>
      <c r="M137" s="191">
        <f t="shared" si="70"/>
        <v>0</v>
      </c>
      <c r="N137" s="191">
        <f t="shared" si="70"/>
        <v>0</v>
      </c>
      <c r="O137" s="191">
        <f t="shared" si="68"/>
        <v>0</v>
      </c>
      <c r="P137" s="191">
        <f t="shared" si="69"/>
        <v>0</v>
      </c>
    </row>
    <row r="138" spans="4:16" hidden="1" outlineLevel="1">
      <c r="D138" s="248" t="s">
        <v>382</v>
      </c>
      <c r="G138" s="191">
        <f t="shared" si="70"/>
        <v>0</v>
      </c>
      <c r="H138" s="191">
        <f t="shared" si="70"/>
        <v>0</v>
      </c>
      <c r="I138" s="191">
        <f t="shared" si="70"/>
        <v>0</v>
      </c>
      <c r="J138" s="191">
        <f t="shared" si="70"/>
        <v>0</v>
      </c>
      <c r="K138" s="191">
        <f t="shared" si="70"/>
        <v>0</v>
      </c>
      <c r="L138" s="191">
        <f t="shared" si="70"/>
        <v>0</v>
      </c>
      <c r="M138" s="191">
        <f t="shared" si="70"/>
        <v>0</v>
      </c>
      <c r="N138" s="191">
        <f t="shared" si="70"/>
        <v>0</v>
      </c>
      <c r="O138" s="191">
        <f t="shared" si="68"/>
        <v>0</v>
      </c>
      <c r="P138" s="191">
        <f t="shared" si="69"/>
        <v>0</v>
      </c>
    </row>
    <row r="139" spans="4:16" hidden="1" outlineLevel="1">
      <c r="D139" s="248" t="s">
        <v>383</v>
      </c>
      <c r="G139" s="191">
        <f t="shared" si="70"/>
        <v>0</v>
      </c>
      <c r="H139" s="191">
        <f t="shared" si="70"/>
        <v>0</v>
      </c>
      <c r="I139" s="191">
        <f t="shared" si="70"/>
        <v>0</v>
      </c>
      <c r="J139" s="191">
        <f t="shared" si="70"/>
        <v>0</v>
      </c>
      <c r="K139" s="191">
        <f t="shared" si="70"/>
        <v>0</v>
      </c>
      <c r="L139" s="191">
        <f t="shared" si="70"/>
        <v>0</v>
      </c>
      <c r="M139" s="191">
        <f t="shared" si="70"/>
        <v>0</v>
      </c>
      <c r="N139" s="191">
        <f t="shared" si="70"/>
        <v>0</v>
      </c>
      <c r="O139" s="191">
        <f t="shared" si="68"/>
        <v>0</v>
      </c>
      <c r="P139" s="191">
        <f t="shared" si="69"/>
        <v>0</v>
      </c>
    </row>
    <row r="140" spans="4:16" hidden="1" outlineLevel="1">
      <c r="D140" s="248" t="s">
        <v>384</v>
      </c>
      <c r="G140" s="191">
        <f t="shared" si="70"/>
        <v>0</v>
      </c>
      <c r="H140" s="191">
        <f t="shared" si="70"/>
        <v>0</v>
      </c>
      <c r="I140" s="191">
        <f t="shared" si="70"/>
        <v>0</v>
      </c>
      <c r="J140" s="191">
        <f t="shared" si="70"/>
        <v>0</v>
      </c>
      <c r="K140" s="191">
        <f t="shared" si="70"/>
        <v>0</v>
      </c>
      <c r="L140" s="191">
        <f t="shared" si="70"/>
        <v>0</v>
      </c>
      <c r="M140" s="191">
        <f t="shared" si="70"/>
        <v>0</v>
      </c>
      <c r="N140" s="191">
        <f t="shared" si="70"/>
        <v>0</v>
      </c>
      <c r="O140" s="191">
        <f t="shared" si="68"/>
        <v>0</v>
      </c>
      <c r="P140" s="191">
        <f t="shared" si="69"/>
        <v>0</v>
      </c>
    </row>
    <row r="141" spans="4:16" hidden="1" outlineLevel="1">
      <c r="D141" s="248" t="s">
        <v>385</v>
      </c>
      <c r="G141" s="191">
        <f t="shared" si="70"/>
        <v>0</v>
      </c>
      <c r="H141" s="191">
        <f t="shared" si="70"/>
        <v>0</v>
      </c>
      <c r="I141" s="191">
        <f t="shared" si="70"/>
        <v>0</v>
      </c>
      <c r="J141" s="191">
        <f t="shared" si="70"/>
        <v>0</v>
      </c>
      <c r="K141" s="191">
        <f t="shared" si="70"/>
        <v>0</v>
      </c>
      <c r="L141" s="191">
        <f t="shared" si="70"/>
        <v>0</v>
      </c>
      <c r="M141" s="191">
        <f t="shared" si="70"/>
        <v>0</v>
      </c>
      <c r="N141" s="191">
        <f t="shared" si="70"/>
        <v>0</v>
      </c>
      <c r="O141" s="191">
        <f t="shared" si="68"/>
        <v>0</v>
      </c>
      <c r="P141" s="191">
        <f t="shared" si="69"/>
        <v>0</v>
      </c>
    </row>
    <row r="142" spans="4:16" hidden="1" outlineLevel="1">
      <c r="D142" s="248" t="s">
        <v>386</v>
      </c>
      <c r="G142" s="191">
        <f t="shared" si="70"/>
        <v>0</v>
      </c>
      <c r="H142" s="191">
        <f t="shared" si="70"/>
        <v>0</v>
      </c>
      <c r="I142" s="191">
        <f t="shared" si="70"/>
        <v>0</v>
      </c>
      <c r="J142" s="191">
        <f t="shared" si="70"/>
        <v>0</v>
      </c>
      <c r="K142" s="191">
        <f t="shared" si="70"/>
        <v>0</v>
      </c>
      <c r="L142" s="191">
        <f t="shared" si="70"/>
        <v>0</v>
      </c>
      <c r="M142" s="191">
        <f t="shared" si="70"/>
        <v>0</v>
      </c>
      <c r="N142" s="191">
        <f t="shared" si="70"/>
        <v>0</v>
      </c>
      <c r="O142" s="191">
        <f t="shared" si="68"/>
        <v>0</v>
      </c>
      <c r="P142" s="191">
        <f t="shared" si="69"/>
        <v>0</v>
      </c>
    </row>
    <row r="143" spans="4:16" hidden="1" outlineLevel="1">
      <c r="D143" s="248" t="s">
        <v>387</v>
      </c>
      <c r="G143" s="912">
        <f t="shared" si="70"/>
        <v>84.086485968045125</v>
      </c>
      <c r="H143" s="912">
        <f t="shared" si="70"/>
        <v>0</v>
      </c>
      <c r="I143" s="912">
        <f t="shared" si="70"/>
        <v>1721.5177526303012</v>
      </c>
      <c r="J143" s="912">
        <f t="shared" si="70"/>
        <v>1739.4645752014719</v>
      </c>
      <c r="K143" s="912">
        <f t="shared" si="70"/>
        <v>1756.989680796627</v>
      </c>
      <c r="L143" s="912">
        <f t="shared" si="70"/>
        <v>1776.1408683173102</v>
      </c>
      <c r="M143" s="912">
        <f t="shared" si="70"/>
        <v>1795.944838999048</v>
      </c>
      <c r="N143" s="912">
        <f t="shared" si="70"/>
        <v>0</v>
      </c>
      <c r="O143" s="912">
        <f t="shared" si="68"/>
        <v>8874.1442019128044</v>
      </c>
      <c r="P143" s="912">
        <f t="shared" si="69"/>
        <v>8790.0577159447585</v>
      </c>
    </row>
    <row r="144" spans="4:16" hidden="1" outlineLevel="1">
      <c r="D144" s="248" t="s">
        <v>442</v>
      </c>
      <c r="G144" s="191">
        <f>SUM(G135:G143)</f>
        <v>84.086485968045125</v>
      </c>
      <c r="H144" s="191">
        <f t="shared" ref="H144:P144" si="71">SUM(H135:H143)</f>
        <v>0</v>
      </c>
      <c r="I144" s="191">
        <f t="shared" si="71"/>
        <v>1721.5177526303012</v>
      </c>
      <c r="J144" s="191">
        <f t="shared" si="71"/>
        <v>1739.4645752014719</v>
      </c>
      <c r="K144" s="191">
        <f t="shared" si="71"/>
        <v>1756.989680796627</v>
      </c>
      <c r="L144" s="191">
        <f t="shared" si="71"/>
        <v>1776.1408683173102</v>
      </c>
      <c r="M144" s="191">
        <f t="shared" si="71"/>
        <v>1795.944838999048</v>
      </c>
      <c r="N144" s="191">
        <f t="shared" si="71"/>
        <v>0</v>
      </c>
      <c r="O144" s="191">
        <f t="shared" si="71"/>
        <v>8874.1442019128044</v>
      </c>
      <c r="P144" s="191">
        <f t="shared" si="71"/>
        <v>8790.0577159447585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2">G111+G123+G135</f>
        <v>0</v>
      </c>
      <c r="H147" s="191">
        <f t="shared" si="72"/>
        <v>0</v>
      </c>
      <c r="I147" s="191">
        <f t="shared" si="72"/>
        <v>0</v>
      </c>
      <c r="J147" s="191">
        <f t="shared" si="72"/>
        <v>0</v>
      </c>
      <c r="K147" s="191">
        <f t="shared" si="72"/>
        <v>0</v>
      </c>
      <c r="L147" s="191">
        <f t="shared" si="72"/>
        <v>0</v>
      </c>
      <c r="M147" s="191">
        <f t="shared" si="72"/>
        <v>0</v>
      </c>
      <c r="N147" s="191">
        <f t="shared" si="72"/>
        <v>0</v>
      </c>
      <c r="O147" s="191">
        <f t="shared" ref="O147:O155" si="73">SUM(F147:N147)</f>
        <v>0</v>
      </c>
      <c r="P147" s="191">
        <f t="shared" ref="P147:P155" si="74">SUM(I147:M147)</f>
        <v>0</v>
      </c>
    </row>
    <row r="148" spans="4:16" hidden="1" outlineLevel="1">
      <c r="D148" s="248" t="s">
        <v>380</v>
      </c>
      <c r="G148" s="191">
        <f t="shared" si="72"/>
        <v>0</v>
      </c>
      <c r="H148" s="191">
        <f t="shared" si="72"/>
        <v>0</v>
      </c>
      <c r="I148" s="191">
        <f t="shared" si="72"/>
        <v>0</v>
      </c>
      <c r="J148" s="191">
        <f t="shared" si="72"/>
        <v>0</v>
      </c>
      <c r="K148" s="191">
        <f t="shared" si="72"/>
        <v>0</v>
      </c>
      <c r="L148" s="191">
        <f t="shared" si="72"/>
        <v>0</v>
      </c>
      <c r="M148" s="191">
        <f t="shared" si="72"/>
        <v>0</v>
      </c>
      <c r="N148" s="191">
        <f t="shared" si="72"/>
        <v>0</v>
      </c>
      <c r="O148" s="191">
        <f t="shared" si="73"/>
        <v>0</v>
      </c>
      <c r="P148" s="191">
        <f t="shared" si="74"/>
        <v>0</v>
      </c>
    </row>
    <row r="149" spans="4:16" hidden="1" outlineLevel="1">
      <c r="D149" s="248" t="s">
        <v>381</v>
      </c>
      <c r="G149" s="191">
        <f t="shared" si="72"/>
        <v>0</v>
      </c>
      <c r="H149" s="191">
        <f t="shared" si="72"/>
        <v>0</v>
      </c>
      <c r="I149" s="191">
        <f t="shared" si="72"/>
        <v>0</v>
      </c>
      <c r="J149" s="191">
        <f t="shared" si="72"/>
        <v>0</v>
      </c>
      <c r="K149" s="191">
        <f t="shared" si="72"/>
        <v>0</v>
      </c>
      <c r="L149" s="191">
        <f t="shared" si="72"/>
        <v>0</v>
      </c>
      <c r="M149" s="191">
        <f t="shared" si="72"/>
        <v>0</v>
      </c>
      <c r="N149" s="191">
        <f t="shared" si="72"/>
        <v>0</v>
      </c>
      <c r="O149" s="191">
        <f t="shared" si="73"/>
        <v>0</v>
      </c>
      <c r="P149" s="191">
        <f t="shared" si="74"/>
        <v>0</v>
      </c>
    </row>
    <row r="150" spans="4:16" hidden="1" outlineLevel="1">
      <c r="D150" s="248" t="s">
        <v>382</v>
      </c>
      <c r="G150" s="191">
        <f t="shared" si="72"/>
        <v>0</v>
      </c>
      <c r="H150" s="191">
        <f t="shared" si="72"/>
        <v>0</v>
      </c>
      <c r="I150" s="191">
        <f t="shared" si="72"/>
        <v>0</v>
      </c>
      <c r="J150" s="191">
        <f t="shared" si="72"/>
        <v>0</v>
      </c>
      <c r="K150" s="191">
        <f t="shared" si="72"/>
        <v>0</v>
      </c>
      <c r="L150" s="191">
        <f t="shared" si="72"/>
        <v>0</v>
      </c>
      <c r="M150" s="191">
        <f t="shared" si="72"/>
        <v>0</v>
      </c>
      <c r="N150" s="191">
        <f t="shared" si="72"/>
        <v>0</v>
      </c>
      <c r="O150" s="191">
        <f t="shared" si="73"/>
        <v>0</v>
      </c>
      <c r="P150" s="191">
        <f t="shared" si="74"/>
        <v>0</v>
      </c>
    </row>
    <row r="151" spans="4:16" hidden="1" outlineLevel="1">
      <c r="D151" s="248" t="s">
        <v>383</v>
      </c>
      <c r="G151" s="191">
        <f t="shared" si="72"/>
        <v>0</v>
      </c>
      <c r="H151" s="191">
        <f t="shared" si="72"/>
        <v>0</v>
      </c>
      <c r="I151" s="191">
        <f t="shared" si="72"/>
        <v>0</v>
      </c>
      <c r="J151" s="191">
        <f t="shared" si="72"/>
        <v>0</v>
      </c>
      <c r="K151" s="191">
        <f t="shared" si="72"/>
        <v>0</v>
      </c>
      <c r="L151" s="191">
        <f t="shared" si="72"/>
        <v>0</v>
      </c>
      <c r="M151" s="191">
        <f t="shared" si="72"/>
        <v>0</v>
      </c>
      <c r="N151" s="191">
        <f t="shared" si="72"/>
        <v>0</v>
      </c>
      <c r="O151" s="191">
        <f t="shared" si="73"/>
        <v>0</v>
      </c>
      <c r="P151" s="191">
        <f t="shared" si="74"/>
        <v>0</v>
      </c>
    </row>
    <row r="152" spans="4:16" hidden="1" outlineLevel="1">
      <c r="D152" s="248" t="s">
        <v>384</v>
      </c>
      <c r="G152" s="191">
        <f t="shared" si="72"/>
        <v>0</v>
      </c>
      <c r="H152" s="191">
        <f t="shared" si="72"/>
        <v>0</v>
      </c>
      <c r="I152" s="191">
        <f t="shared" si="72"/>
        <v>0</v>
      </c>
      <c r="J152" s="191">
        <f t="shared" si="72"/>
        <v>0</v>
      </c>
      <c r="K152" s="191">
        <f t="shared" si="72"/>
        <v>0</v>
      </c>
      <c r="L152" s="191">
        <f t="shared" si="72"/>
        <v>0</v>
      </c>
      <c r="M152" s="191">
        <f t="shared" si="72"/>
        <v>0</v>
      </c>
      <c r="N152" s="191">
        <f t="shared" si="72"/>
        <v>0</v>
      </c>
      <c r="O152" s="191">
        <f t="shared" si="73"/>
        <v>0</v>
      </c>
      <c r="P152" s="191">
        <f t="shared" si="74"/>
        <v>0</v>
      </c>
    </row>
    <row r="153" spans="4:16" hidden="1" outlineLevel="1">
      <c r="D153" s="248" t="s">
        <v>385</v>
      </c>
      <c r="G153" s="191">
        <f t="shared" si="72"/>
        <v>0</v>
      </c>
      <c r="H153" s="191">
        <f t="shared" si="72"/>
        <v>0</v>
      </c>
      <c r="I153" s="191">
        <f t="shared" si="72"/>
        <v>0</v>
      </c>
      <c r="J153" s="191">
        <f t="shared" si="72"/>
        <v>0</v>
      </c>
      <c r="K153" s="191">
        <f t="shared" si="72"/>
        <v>0</v>
      </c>
      <c r="L153" s="191">
        <f t="shared" si="72"/>
        <v>0</v>
      </c>
      <c r="M153" s="191">
        <f t="shared" si="72"/>
        <v>0</v>
      </c>
      <c r="N153" s="191">
        <f t="shared" si="72"/>
        <v>0</v>
      </c>
      <c r="O153" s="191">
        <f t="shared" si="73"/>
        <v>0</v>
      </c>
      <c r="P153" s="191">
        <f t="shared" si="74"/>
        <v>0</v>
      </c>
    </row>
    <row r="154" spans="4:16" hidden="1" outlineLevel="1">
      <c r="D154" s="248" t="s">
        <v>386</v>
      </c>
      <c r="G154" s="191">
        <f t="shared" si="72"/>
        <v>0</v>
      </c>
      <c r="H154" s="191">
        <f t="shared" si="72"/>
        <v>0</v>
      </c>
      <c r="I154" s="191">
        <f t="shared" si="72"/>
        <v>0</v>
      </c>
      <c r="J154" s="191">
        <f t="shared" si="72"/>
        <v>0</v>
      </c>
      <c r="K154" s="191">
        <f t="shared" si="72"/>
        <v>0</v>
      </c>
      <c r="L154" s="191">
        <f t="shared" si="72"/>
        <v>0</v>
      </c>
      <c r="M154" s="191">
        <f t="shared" si="72"/>
        <v>0</v>
      </c>
      <c r="N154" s="191">
        <f t="shared" si="72"/>
        <v>0</v>
      </c>
      <c r="O154" s="191">
        <f t="shared" si="73"/>
        <v>0</v>
      </c>
      <c r="P154" s="191">
        <f t="shared" si="74"/>
        <v>0</v>
      </c>
    </row>
    <row r="155" spans="4:16" hidden="1" outlineLevel="1">
      <c r="D155" s="248" t="s">
        <v>387</v>
      </c>
      <c r="G155" s="912">
        <f t="shared" si="72"/>
        <v>167.92802325422934</v>
      </c>
      <c r="H155" s="912">
        <f t="shared" si="72"/>
        <v>0</v>
      </c>
      <c r="I155" s="912">
        <f t="shared" si="72"/>
        <v>3414.1999724693387</v>
      </c>
      <c r="J155" s="912">
        <f t="shared" si="72"/>
        <v>3434.9340857261686</v>
      </c>
      <c r="K155" s="912">
        <f t="shared" si="72"/>
        <v>3455.3297660806147</v>
      </c>
      <c r="L155" s="912">
        <f t="shared" si="72"/>
        <v>3477.6113756497025</v>
      </c>
      <c r="M155" s="912">
        <f t="shared" si="72"/>
        <v>3500.6267203944808</v>
      </c>
      <c r="N155" s="912">
        <f t="shared" si="72"/>
        <v>0</v>
      </c>
      <c r="O155" s="912">
        <f t="shared" si="73"/>
        <v>17450.629943574535</v>
      </c>
      <c r="P155" s="912">
        <f t="shared" si="74"/>
        <v>17282.701920320305</v>
      </c>
    </row>
    <row r="156" spans="4:16" hidden="1" outlineLevel="1">
      <c r="D156" s="248" t="s">
        <v>454</v>
      </c>
      <c r="G156" s="191">
        <f>SUM(G147:G155)</f>
        <v>167.92802325422934</v>
      </c>
      <c r="H156" s="191">
        <f t="shared" ref="H156:N156" si="75">SUM(H147:H155)</f>
        <v>0</v>
      </c>
      <c r="I156" s="191">
        <f t="shared" si="75"/>
        <v>3414.1999724693387</v>
      </c>
      <c r="J156" s="191">
        <f t="shared" si="75"/>
        <v>3434.9340857261686</v>
      </c>
      <c r="K156" s="191">
        <f t="shared" si="75"/>
        <v>3455.3297660806147</v>
      </c>
      <c r="L156" s="191">
        <f t="shared" si="75"/>
        <v>3477.6113756497025</v>
      </c>
      <c r="M156" s="191">
        <f t="shared" si="75"/>
        <v>3500.6267203944808</v>
      </c>
      <c r="N156" s="191">
        <f t="shared" si="75"/>
        <v>0</v>
      </c>
      <c r="O156" s="191">
        <f t="shared" ref="O156:P156" si="76">SUM(O147:O155)</f>
        <v>17450.629943574535</v>
      </c>
      <c r="P156" s="191">
        <f t="shared" si="76"/>
        <v>17282.701920320305</v>
      </c>
    </row>
    <row r="157" spans="4:16" collapsed="1"/>
  </sheetData>
  <mergeCells count="1">
    <mergeCell ref="C13:C14"/>
  </mergeCells>
  <phoneticPr fontId="6" type="noConversion"/>
  <conditionalFormatting sqref="R14">
    <cfRule type="cellIs" dxfId="42" priority="4" operator="equal">
      <formula>"Error"</formula>
    </cfRule>
  </conditionalFormatting>
  <conditionalFormatting sqref="R11">
    <cfRule type="cellIs" dxfId="41" priority="3" operator="equal">
      <formula>"Error"</formula>
    </cfRule>
  </conditionalFormatting>
  <conditionalFormatting sqref="R54">
    <cfRule type="cellIs" dxfId="4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Project_Inputs!B38</f>
        <v>0</v>
      </c>
      <c r="F3" s="249" t="s">
        <v>63</v>
      </c>
      <c r="G3" s="249">
        <f>Project_Inputs!F38</f>
        <v>0</v>
      </c>
    </row>
    <row r="4" spans="1:21" ht="18.75">
      <c r="A4" s="6"/>
      <c r="B4" s="6"/>
      <c r="C4" s="13" t="s">
        <v>15</v>
      </c>
      <c r="D4" s="339" t="str">
        <f>Project_Inputs!D38</f>
        <v>Conductor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Project_Inputs!H38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Project_Inputs!I38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Project_Inputs!J38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678.54316492307692</v>
      </c>
      <c r="G11" s="319">
        <f>IF(G$10="Prior",SUMIFS(Project_Inputs!$W$5:$W$50,Project_Inputs!$D$5:$D$50,$D$4),SUMIFS(Project_Inputs!M$5:M$50,Project_Inputs!$D$5:$D$50,$D$4))</f>
        <v>8014.4849999999997</v>
      </c>
      <c r="H11" s="389">
        <f>IF(H$10="Prior",SUMIFS(Project_Inputs!$W$5:$W$50,Project_Inputs!$D$5:$D$50,$D$4),SUMIFS(Project_Inputs!N$5:N$50,Project_Inputs!$D$5:$D$50,$D$4))</f>
        <v>409.81040271615234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9102.8385676392281</v>
      </c>
      <c r="P11" s="300">
        <f t="shared" ref="P11" si="0">SUM(I11:M11)</f>
        <v>0</v>
      </c>
      <c r="R11" s="608" t="str">
        <f>IF(O11=Project_Inputs!V38,"ok","error")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678.54316492307692</v>
      </c>
      <c r="G14" s="447">
        <f>IF($G$3="Yes",SUMIFS(Project_Inputs!AK$5:AK$50,Project_Inputs!$D$5:$D$50,$D$4),IF(AND(G$13="X",G$10="Prior"),G11,IF(G$13="X",SUM($F11:G11)-SUM(F14:$F14),0)))</f>
        <v>8014.4849999999997</v>
      </c>
      <c r="H14" s="447">
        <f>IF($G$3="Yes",SUMIFS(Project_Inputs!AL$5:AL$50,Project_Inputs!$D$5:$D$50,$D$4),IF(AND(H$13="X",H$10="Prior"),H11,IF(H$13="X",SUM($F11:H11)-SUM($F14:G14),0)))</f>
        <v>409.81040271615166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9102.8385676392281</v>
      </c>
      <c r="P14" s="451">
        <f>SUM(I14:M14)</f>
        <v>0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</v>
      </c>
      <c r="G21" s="341">
        <v>1</v>
      </c>
      <c r="H21" s="392">
        <v>1</v>
      </c>
      <c r="I21" s="404">
        <v>1</v>
      </c>
      <c r="J21" s="341">
        <v>1</v>
      </c>
      <c r="K21" s="341">
        <v>1</v>
      </c>
      <c r="L21" s="341">
        <v>1</v>
      </c>
      <c r="M21" s="341">
        <v>1</v>
      </c>
      <c r="N21" s="342">
        <v>1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4.7085099375000592</v>
      </c>
      <c r="H46" s="290">
        <f>IF(H$10="Prior",0,(H11*H29)*(Assumptions!H28-1))</f>
        <v>0.51282751722492981</v>
      </c>
      <c r="I46" s="407">
        <f>IF(I$10="Prior",0,(I11*I29)*(Assumptions!I28-1))</f>
        <v>0</v>
      </c>
      <c r="J46" s="282">
        <f>IF(J$10="Prior",0,(J11*J29)*(Assumptions!J28-1))</f>
        <v>0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5.2213374547249893</v>
      </c>
      <c r="P46" s="300">
        <f t="shared" ref="P46:P47" si="7">SUM(I46:M46)</f>
        <v>0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16.429694249999969</v>
      </c>
      <c r="H47" s="290">
        <f>IF(H$10="Prior",0,(H11*H30)*(Assumptions!H30-1))</f>
        <v>2.2031740220972549</v>
      </c>
      <c r="I47" s="407">
        <f>IF(I$10="Prior",0,(I11*I30)*(Assumptions!I30-1))</f>
        <v>0</v>
      </c>
      <c r="J47" s="282">
        <f>IF(J$10="Prior",0,(J11*J30)*(Assumptions!J30-1))</f>
        <v>0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18.632868272097223</v>
      </c>
      <c r="P47" s="300">
        <f t="shared" si="7"/>
        <v>0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21.13820418750003</v>
      </c>
      <c r="H48" s="253">
        <f t="shared" si="8"/>
        <v>2.7160015393221846</v>
      </c>
      <c r="I48" s="408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23.854205726822212</v>
      </c>
      <c r="P48" s="434">
        <f>SUM(P46:P47)</f>
        <v>0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21.13820418750003</v>
      </c>
      <c r="H49" s="253">
        <f t="shared" si="9"/>
        <v>2.7160015393221846</v>
      </c>
      <c r="I49" s="408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23.854205726822212</v>
      </c>
      <c r="P49" s="371">
        <f>P44+P48</f>
        <v>0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442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2.6205238673158928E-3</v>
      </c>
      <c r="P50" s="444">
        <f t="shared" si="10"/>
        <v>0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69.002227861538458</v>
      </c>
      <c r="G51" s="280">
        <f>(G29*G$11+G46)*Assumptions!$G$21</f>
        <v>819.79500446651787</v>
      </c>
      <c r="H51" s="280">
        <f>(H29*H$11+H46)*Assumptions!$G$21</f>
        <v>42.195831717598743</v>
      </c>
      <c r="I51" s="410">
        <f>(I29*I$11+I46)*Assumptions!$G$21</f>
        <v>0</v>
      </c>
      <c r="J51" s="280">
        <f>(J29*J$11+J46)*Assumptions!$G$21</f>
        <v>0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930.99306404565505</v>
      </c>
      <c r="P51" s="375">
        <f>SUM(I51:M51)</f>
        <v>0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345.0111393076923</v>
      </c>
      <c r="G52" s="282">
        <f>(G30*G$11+G47)*Assumptions!$G$21</f>
        <v>4091.7418366339289</v>
      </c>
      <c r="H52" s="282">
        <f>(H30*H$11+H47)*Assumptions!$G$21</f>
        <v>210.61208849750719</v>
      </c>
      <c r="I52" s="407">
        <f>(I30*I$11+I47)*Assumptions!$G$21</f>
        <v>0</v>
      </c>
      <c r="J52" s="282">
        <f>(J30*J$11+J47)*Assumptions!$G$21</f>
        <v>0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4647.3650644391282</v>
      </c>
      <c r="P52" s="376">
        <f>SUM(I52:M52)</f>
        <v>0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276.00891144615383</v>
      </c>
      <c r="G53" s="282">
        <f>(G31*G$11+G$44)*Assumptions!$G$21</f>
        <v>3260.0273571428575</v>
      </c>
      <c r="H53" s="282">
        <f>(H31*H$11+H$44)*Assumptions!$G$21</f>
        <v>166.6973141875477</v>
      </c>
      <c r="I53" s="407">
        <f>(I31*I$11+I$44)*Assumptions!$G$21</f>
        <v>0</v>
      </c>
      <c r="J53" s="282">
        <f>(J31*J$11+J$44)*Assumptions!$G$21</f>
        <v>0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3702.7335827765592</v>
      </c>
      <c r="P53" s="376">
        <f>SUM(I53:M53)</f>
        <v>0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690.02227861538461</v>
      </c>
      <c r="G54" s="5">
        <f t="shared" si="12"/>
        <v>8171.5641982433044</v>
      </c>
      <c r="H54" s="5">
        <f t="shared" si="12"/>
        <v>419.50523440265363</v>
      </c>
      <c r="I54" s="411">
        <f t="shared" si="12"/>
        <v>0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9281.0917112613424</v>
      </c>
      <c r="P54" s="428">
        <f t="shared" si="12"/>
        <v>0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55.258170121166991</v>
      </c>
      <c r="G57" s="290">
        <f t="shared" ref="G57:N57" si="13">G54*G56</f>
        <v>485.75687859598861</v>
      </c>
      <c r="H57" s="290">
        <f t="shared" si="13"/>
        <v>30.453431582985171</v>
      </c>
      <c r="I57" s="407">
        <f t="shared" si="13"/>
        <v>0</v>
      </c>
      <c r="J57" s="282">
        <f t="shared" si="13"/>
        <v>0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571.46848030014087</v>
      </c>
      <c r="P57" s="300">
        <f>SUM(I57:M57)</f>
        <v>0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745.28044873655165</v>
      </c>
      <c r="G59" s="5">
        <f t="shared" si="14"/>
        <v>8657.3210768392928</v>
      </c>
      <c r="H59" s="5">
        <f t="shared" si="14"/>
        <v>449.95866598563879</v>
      </c>
      <c r="I59" s="411">
        <f t="shared" si="14"/>
        <v>0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9852.5601915614825</v>
      </c>
      <c r="P59" s="429">
        <f t="shared" si="15"/>
        <v>0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55.258170121166991</v>
      </c>
      <c r="G60" s="290">
        <f t="shared" ref="G60:N60" si="16">G57+F60</f>
        <v>541.01504871715565</v>
      </c>
      <c r="H60" s="290">
        <f t="shared" si="16"/>
        <v>571.46848030014087</v>
      </c>
      <c r="I60" s="290">
        <f t="shared" si="16"/>
        <v>571.46848030014087</v>
      </c>
      <c r="J60" s="290">
        <f t="shared" si="16"/>
        <v>571.46848030014087</v>
      </c>
      <c r="K60" s="290">
        <f t="shared" si="16"/>
        <v>571.46848030014087</v>
      </c>
      <c r="L60" s="290">
        <f t="shared" si="16"/>
        <v>571.46848030014087</v>
      </c>
      <c r="M60" s="290">
        <f t="shared" si="16"/>
        <v>571.46848030014087</v>
      </c>
      <c r="N60" s="290">
        <f t="shared" si="16"/>
        <v>571.46848030014087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21.13820418750003</v>
      </c>
      <c r="H61" s="252">
        <f t="shared" ref="H61:N61" si="17">H49+G61</f>
        <v>23.854205726822215</v>
      </c>
      <c r="I61" s="252">
        <f t="shared" si="17"/>
        <v>23.854205726822215</v>
      </c>
      <c r="J61" s="252">
        <f t="shared" si="17"/>
        <v>23.854205726822215</v>
      </c>
      <c r="K61" s="252">
        <f t="shared" si="17"/>
        <v>23.854205726822215</v>
      </c>
      <c r="L61" s="252">
        <f t="shared" si="17"/>
        <v>23.854205726822215</v>
      </c>
      <c r="M61" s="252">
        <f t="shared" si="17"/>
        <v>23.854205726822215</v>
      </c>
      <c r="N61" s="252">
        <f t="shared" si="17"/>
        <v>23.854205726822215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745.28044873655165</v>
      </c>
      <c r="G68" s="282">
        <f t="shared" si="24"/>
        <v>8657.3210768392928</v>
      </c>
      <c r="H68" s="282">
        <f t="shared" si="24"/>
        <v>449.95866598563879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9852.5601915614843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745.28044873655165</v>
      </c>
      <c r="G74" s="5">
        <f t="shared" ref="G74:N74" si="30">+SUM(G64:G73)</f>
        <v>8657.3210768392928</v>
      </c>
      <c r="H74" s="5">
        <f t="shared" si="30"/>
        <v>449.95866598563879</v>
      </c>
      <c r="I74" s="411">
        <f t="shared" si="30"/>
        <v>0</v>
      </c>
      <c r="J74" s="382">
        <f t="shared" si="30"/>
        <v>0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9852.5601915614843</v>
      </c>
      <c r="P74" s="428">
        <f>SUM(P64:P73)</f>
        <v>0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678.54316492307692</v>
      </c>
      <c r="G76" s="280">
        <f t="shared" si="32"/>
        <v>8014.4849999999997</v>
      </c>
      <c r="H76" s="280">
        <f t="shared" si="32"/>
        <v>409.81040271615166</v>
      </c>
      <c r="I76" s="410">
        <f t="shared" si="32"/>
        <v>0</v>
      </c>
      <c r="J76" s="280">
        <f t="shared" si="32"/>
        <v>0</v>
      </c>
      <c r="K76" s="280">
        <f t="shared" si="32"/>
        <v>0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9102.8385676392281</v>
      </c>
      <c r="P76" s="378">
        <f t="shared" ref="P76:P80" si="33">SUM(I76:M76)</f>
        <v>0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21.13820418750003</v>
      </c>
      <c r="H77" s="282">
        <f>IF(H$10="Prior",0,IF(AND(H76&lt;&gt;0,SUM($F76:G76)=0),H76/SUM($F$76:H76)*H61,IF(H76&lt;&gt;0,SUM($F$76:H76)/SUM($F$11:H11)*H61-G83,0)))</f>
        <v>2.7160015393221855</v>
      </c>
      <c r="I77" s="407">
        <f>IF(I$10="Prior",0,IF(AND(I76&lt;&gt;0,SUM($F76:H76)=0),I76/SUM($F$76:I76)*I61,IF(I76&lt;&gt;0,SUM($F$76:I76)/SUM($F$11:I11)*I61-H83,0)))</f>
        <v>0</v>
      </c>
      <c r="J77" s="282">
        <f>IF(J$10="Prior",0,IF(AND(J76&lt;&gt;0,SUM($F76:I76)=0),J76/SUM($F$76:J76)*J61,IF(J76&lt;&gt;0,SUM($F$76:J76)/SUM($F$11:J11)*J61-I83,0)))</f>
        <v>0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23.854205726822215</v>
      </c>
      <c r="P77" s="455">
        <f t="shared" si="33"/>
        <v>0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678.54316492307692</v>
      </c>
      <c r="G78" s="457">
        <f t="shared" ref="G78:N78" si="34">SUM(G76:G77)</f>
        <v>8035.6232041875001</v>
      </c>
      <c r="H78" s="457">
        <f t="shared" si="34"/>
        <v>412.52640425547384</v>
      </c>
      <c r="I78" s="458">
        <f t="shared" si="34"/>
        <v>0</v>
      </c>
      <c r="J78" s="457">
        <f t="shared" si="34"/>
        <v>0</v>
      </c>
      <c r="K78" s="457">
        <f t="shared" si="34"/>
        <v>0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9126.6927733660505</v>
      </c>
      <c r="P78" s="461">
        <f t="shared" si="33"/>
        <v>0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690.02227861538461</v>
      </c>
      <c r="G79" s="457">
        <f>G78*Assumptions!$G$21</f>
        <v>8171.5641982433044</v>
      </c>
      <c r="H79" s="457">
        <f>H78*Assumptions!$G$21</f>
        <v>419.50523440265295</v>
      </c>
      <c r="I79" s="458">
        <f>I78*Assumptions!$G$21</f>
        <v>0</v>
      </c>
      <c r="J79" s="457">
        <f>J78*Assumptions!$G$21</f>
        <v>0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9281.0917112613424</v>
      </c>
      <c r="P79" s="461">
        <f t="shared" si="33"/>
        <v>0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55.258170121166991</v>
      </c>
      <c r="G80" s="282">
        <f>IF(G$10="Prior",G79*G56,IF(AND(G79&lt;&gt;0,SUM($F79:F79)=0),G79/SUM($F$54:G54)*G60,IF(G79&lt;&gt;0,SUM($F$79:G79)/SUM($F$54:G54)*G60-F82,0)))</f>
        <v>485.75687859598867</v>
      </c>
      <c r="H80" s="282">
        <f>IF(H$10="Prior",H79*H56,IF(AND(H79&lt;&gt;0,SUM($F79:G79)=0),H79/SUM($F$54:H54)*H60,IF(H79&lt;&gt;0,SUM($F$79:H79)/SUM($F$54:H54)*H60-G82,0)))</f>
        <v>30.453431582985218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0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571.46848030014087</v>
      </c>
      <c r="P80" s="300">
        <f t="shared" si="33"/>
        <v>0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745.28044873655165</v>
      </c>
      <c r="G81" s="307">
        <f t="shared" ref="G81:P81" si="35">SUM(G79:G80)</f>
        <v>8657.3210768392928</v>
      </c>
      <c r="H81" s="307">
        <f t="shared" si="35"/>
        <v>449.95866598563816</v>
      </c>
      <c r="I81" s="417">
        <f t="shared" si="35"/>
        <v>0</v>
      </c>
      <c r="J81" s="387">
        <f t="shared" si="35"/>
        <v>0</v>
      </c>
      <c r="K81" s="387">
        <f t="shared" si="35"/>
        <v>0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9852.5601915614825</v>
      </c>
      <c r="P81" s="388">
        <f t="shared" si="35"/>
        <v>0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55.258170121166991</v>
      </c>
      <c r="G82" s="252">
        <f t="shared" ref="G82:N82" si="36">G80+F82</f>
        <v>541.01504871715565</v>
      </c>
      <c r="H82" s="252">
        <f t="shared" si="36"/>
        <v>571.46848030014087</v>
      </c>
      <c r="I82" s="252">
        <f t="shared" si="36"/>
        <v>571.46848030014087</v>
      </c>
      <c r="J82" s="252">
        <f t="shared" si="36"/>
        <v>571.46848030014087</v>
      </c>
      <c r="K82" s="252">
        <f t="shared" si="36"/>
        <v>571.46848030014087</v>
      </c>
      <c r="L82" s="252">
        <f t="shared" si="36"/>
        <v>571.46848030014087</v>
      </c>
      <c r="M82" s="252">
        <f t="shared" si="36"/>
        <v>571.46848030014087</v>
      </c>
      <c r="N82" s="252">
        <f t="shared" si="36"/>
        <v>571.46848030014087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21.13820418750003</v>
      </c>
      <c r="H83" s="252">
        <f t="shared" si="37"/>
        <v>23.854205726822215</v>
      </c>
      <c r="I83" s="252">
        <f t="shared" si="37"/>
        <v>23.854205726822215</v>
      </c>
      <c r="J83" s="252">
        <f t="shared" si="37"/>
        <v>23.854205726822215</v>
      </c>
      <c r="K83" s="252">
        <f t="shared" si="37"/>
        <v>23.854205726822215</v>
      </c>
      <c r="L83" s="252">
        <f t="shared" si="37"/>
        <v>23.854205726822215</v>
      </c>
      <c r="M83" s="252">
        <f t="shared" si="37"/>
        <v>23.854205726822215</v>
      </c>
      <c r="N83" s="252">
        <f t="shared" si="37"/>
        <v>23.854205726822215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745.28044873655188</v>
      </c>
      <c r="G89" s="290">
        <f t="shared" si="44"/>
        <v>8657.3210768392946</v>
      </c>
      <c r="H89" s="290">
        <f t="shared" si="44"/>
        <v>449.95866598563828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9852.5601915614843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745.28044873655188</v>
      </c>
      <c r="G95" s="5">
        <f t="shared" ref="G95" si="50">+SUM(G85:G94)</f>
        <v>8657.3210768392946</v>
      </c>
      <c r="H95" s="5">
        <f t="shared" ref="H95:N95" si="51">+SUM(H85:H94)</f>
        <v>449.95866598563828</v>
      </c>
      <c r="I95" s="411">
        <f t="shared" si="51"/>
        <v>0</v>
      </c>
      <c r="J95" s="382">
        <f t="shared" si="51"/>
        <v>0</v>
      </c>
      <c r="K95" s="382">
        <f t="shared" si="51"/>
        <v>0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9852.5601915614843</v>
      </c>
      <c r="P95" s="428">
        <f>SUM(P85:P94)</f>
        <v>0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G21</f>
        <v>1</v>
      </c>
      <c r="H101" s="2">
        <f t="shared" ref="H101:N101" si="53">H21</f>
        <v>1</v>
      </c>
      <c r="I101" s="2">
        <f t="shared" si="53"/>
        <v>1</v>
      </c>
      <c r="J101" s="2">
        <f t="shared" si="53"/>
        <v>1</v>
      </c>
      <c r="K101" s="2">
        <f t="shared" si="53"/>
        <v>1</v>
      </c>
      <c r="L101" s="2">
        <f t="shared" si="53"/>
        <v>1</v>
      </c>
      <c r="M101" s="2">
        <f t="shared" si="53"/>
        <v>1</v>
      </c>
      <c r="N101" s="2">
        <f t="shared" si="53"/>
        <v>1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48" t="s">
        <v>387</v>
      </c>
      <c r="G107" s="911">
        <f>G22</f>
        <v>0</v>
      </c>
      <c r="H107" s="911">
        <f t="shared" ref="H107:N107" si="56">H22</f>
        <v>0</v>
      </c>
      <c r="I107" s="911">
        <f t="shared" si="56"/>
        <v>0</v>
      </c>
      <c r="J107" s="911">
        <f t="shared" si="56"/>
        <v>0</v>
      </c>
      <c r="K107" s="911">
        <f t="shared" si="56"/>
        <v>0</v>
      </c>
      <c r="L107" s="911">
        <f t="shared" si="56"/>
        <v>0</v>
      </c>
      <c r="M107" s="911">
        <f t="shared" si="56"/>
        <v>0</v>
      </c>
      <c r="N107" s="911">
        <f t="shared" si="56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8">H99*H$53</f>
        <v>0</v>
      </c>
      <c r="I111" s="191">
        <f t="shared" si="58"/>
        <v>0</v>
      </c>
      <c r="J111" s="191">
        <f t="shared" si="58"/>
        <v>0</v>
      </c>
      <c r="K111" s="191">
        <f t="shared" si="58"/>
        <v>0</v>
      </c>
      <c r="L111" s="191">
        <f t="shared" si="58"/>
        <v>0</v>
      </c>
      <c r="M111" s="191">
        <f t="shared" si="58"/>
        <v>0</v>
      </c>
      <c r="N111" s="191">
        <f t="shared" si="58"/>
        <v>0</v>
      </c>
      <c r="O111" s="191">
        <f t="shared" ref="O111:O119" si="59">SUM(F111:N111)</f>
        <v>0</v>
      </c>
      <c r="P111" s="191">
        <f t="shared" ref="P111:P119" si="60">SUM(I111:M111)</f>
        <v>0</v>
      </c>
    </row>
    <row r="112" spans="3:16" hidden="1" outlineLevel="1">
      <c r="D112" s="248" t="s">
        <v>380</v>
      </c>
      <c r="G112" s="191">
        <f t="shared" ref="G112:N119" si="61">G100*G$53</f>
        <v>0</v>
      </c>
      <c r="H112" s="191">
        <f t="shared" si="61"/>
        <v>0</v>
      </c>
      <c r="I112" s="191">
        <f t="shared" si="61"/>
        <v>0</v>
      </c>
      <c r="J112" s="191">
        <f t="shared" si="61"/>
        <v>0</v>
      </c>
      <c r="K112" s="191">
        <f t="shared" si="61"/>
        <v>0</v>
      </c>
      <c r="L112" s="191">
        <f t="shared" si="61"/>
        <v>0</v>
      </c>
      <c r="M112" s="191">
        <f t="shared" si="61"/>
        <v>0</v>
      </c>
      <c r="N112" s="191">
        <f t="shared" si="61"/>
        <v>0</v>
      </c>
      <c r="O112" s="191">
        <f t="shared" si="59"/>
        <v>0</v>
      </c>
      <c r="P112" s="191">
        <f t="shared" si="60"/>
        <v>0</v>
      </c>
    </row>
    <row r="113" spans="4:16" hidden="1" outlineLevel="1">
      <c r="D113" s="248" t="s">
        <v>381</v>
      </c>
      <c r="G113" s="191">
        <f t="shared" si="61"/>
        <v>3260.0273571428575</v>
      </c>
      <c r="H113" s="191">
        <f t="shared" si="61"/>
        <v>166.6973141875477</v>
      </c>
      <c r="I113" s="191">
        <f t="shared" si="61"/>
        <v>0</v>
      </c>
      <c r="J113" s="191">
        <f t="shared" si="61"/>
        <v>0</v>
      </c>
      <c r="K113" s="191">
        <f t="shared" si="61"/>
        <v>0</v>
      </c>
      <c r="L113" s="191">
        <f t="shared" si="61"/>
        <v>0</v>
      </c>
      <c r="M113" s="191">
        <f t="shared" si="61"/>
        <v>0</v>
      </c>
      <c r="N113" s="191">
        <f t="shared" si="61"/>
        <v>0</v>
      </c>
      <c r="O113" s="191">
        <f t="shared" si="59"/>
        <v>3426.7246713304053</v>
      </c>
      <c r="P113" s="191">
        <f t="shared" si="60"/>
        <v>0</v>
      </c>
    </row>
    <row r="114" spans="4:16" hidden="1" outlineLevel="1">
      <c r="D114" s="248" t="s">
        <v>382</v>
      </c>
      <c r="G114" s="191">
        <f t="shared" si="61"/>
        <v>0</v>
      </c>
      <c r="H114" s="191">
        <f t="shared" si="61"/>
        <v>0</v>
      </c>
      <c r="I114" s="191">
        <f t="shared" si="61"/>
        <v>0</v>
      </c>
      <c r="J114" s="191">
        <f t="shared" si="61"/>
        <v>0</v>
      </c>
      <c r="K114" s="191">
        <f t="shared" si="61"/>
        <v>0</v>
      </c>
      <c r="L114" s="191">
        <f t="shared" si="61"/>
        <v>0</v>
      </c>
      <c r="M114" s="191">
        <f t="shared" si="61"/>
        <v>0</v>
      </c>
      <c r="N114" s="191">
        <f t="shared" si="61"/>
        <v>0</v>
      </c>
      <c r="O114" s="191">
        <f t="shared" si="59"/>
        <v>0</v>
      </c>
      <c r="P114" s="191">
        <f t="shared" si="60"/>
        <v>0</v>
      </c>
    </row>
    <row r="115" spans="4:16" hidden="1" outlineLevel="1">
      <c r="D115" s="248" t="s">
        <v>383</v>
      </c>
      <c r="G115" s="191">
        <f t="shared" si="61"/>
        <v>0</v>
      </c>
      <c r="H115" s="191">
        <f t="shared" si="61"/>
        <v>0</v>
      </c>
      <c r="I115" s="191">
        <f t="shared" si="61"/>
        <v>0</v>
      </c>
      <c r="J115" s="191">
        <f t="shared" si="61"/>
        <v>0</v>
      </c>
      <c r="K115" s="191">
        <f t="shared" si="61"/>
        <v>0</v>
      </c>
      <c r="L115" s="191">
        <f t="shared" si="61"/>
        <v>0</v>
      </c>
      <c r="M115" s="191">
        <f t="shared" si="61"/>
        <v>0</v>
      </c>
      <c r="N115" s="191">
        <f t="shared" si="61"/>
        <v>0</v>
      </c>
      <c r="O115" s="191">
        <f t="shared" si="59"/>
        <v>0</v>
      </c>
      <c r="P115" s="191">
        <f t="shared" si="60"/>
        <v>0</v>
      </c>
    </row>
    <row r="116" spans="4:16" hidden="1" outlineLevel="1">
      <c r="D116" s="248" t="s">
        <v>384</v>
      </c>
      <c r="G116" s="191">
        <f t="shared" si="61"/>
        <v>0</v>
      </c>
      <c r="H116" s="191">
        <f t="shared" si="61"/>
        <v>0</v>
      </c>
      <c r="I116" s="191">
        <f t="shared" si="61"/>
        <v>0</v>
      </c>
      <c r="J116" s="191">
        <f t="shared" si="61"/>
        <v>0</v>
      </c>
      <c r="K116" s="191">
        <f t="shared" si="61"/>
        <v>0</v>
      </c>
      <c r="L116" s="191">
        <f t="shared" si="61"/>
        <v>0</v>
      </c>
      <c r="M116" s="191">
        <f t="shared" si="61"/>
        <v>0</v>
      </c>
      <c r="N116" s="191">
        <f t="shared" si="61"/>
        <v>0</v>
      </c>
      <c r="O116" s="191">
        <f t="shared" si="59"/>
        <v>0</v>
      </c>
      <c r="P116" s="191">
        <f t="shared" si="60"/>
        <v>0</v>
      </c>
    </row>
    <row r="117" spans="4:16" hidden="1" outlineLevel="1">
      <c r="D117" s="248" t="s">
        <v>385</v>
      </c>
      <c r="G117" s="191">
        <f t="shared" si="61"/>
        <v>0</v>
      </c>
      <c r="H117" s="191">
        <f t="shared" si="61"/>
        <v>0</v>
      </c>
      <c r="I117" s="191">
        <f t="shared" si="61"/>
        <v>0</v>
      </c>
      <c r="J117" s="191">
        <f t="shared" si="61"/>
        <v>0</v>
      </c>
      <c r="K117" s="191">
        <f t="shared" si="61"/>
        <v>0</v>
      </c>
      <c r="L117" s="191">
        <f t="shared" si="61"/>
        <v>0</v>
      </c>
      <c r="M117" s="191">
        <f t="shared" si="61"/>
        <v>0</v>
      </c>
      <c r="N117" s="191">
        <f t="shared" si="61"/>
        <v>0</v>
      </c>
      <c r="O117" s="191">
        <f t="shared" si="59"/>
        <v>0</v>
      </c>
      <c r="P117" s="191">
        <f t="shared" si="60"/>
        <v>0</v>
      </c>
    </row>
    <row r="118" spans="4:16" hidden="1" outlineLevel="1">
      <c r="D118" s="248" t="s">
        <v>386</v>
      </c>
      <c r="G118" s="191">
        <f t="shared" si="61"/>
        <v>0</v>
      </c>
      <c r="H118" s="191">
        <f t="shared" si="61"/>
        <v>0</v>
      </c>
      <c r="I118" s="191">
        <f t="shared" si="61"/>
        <v>0</v>
      </c>
      <c r="J118" s="191">
        <f t="shared" si="61"/>
        <v>0</v>
      </c>
      <c r="K118" s="191">
        <f t="shared" si="61"/>
        <v>0</v>
      </c>
      <c r="L118" s="191">
        <f t="shared" si="61"/>
        <v>0</v>
      </c>
      <c r="M118" s="191">
        <f t="shared" si="61"/>
        <v>0</v>
      </c>
      <c r="N118" s="191">
        <f t="shared" si="61"/>
        <v>0</v>
      </c>
      <c r="O118" s="191">
        <f t="shared" si="59"/>
        <v>0</v>
      </c>
      <c r="P118" s="191">
        <f t="shared" si="60"/>
        <v>0</v>
      </c>
    </row>
    <row r="119" spans="4:16" hidden="1" outlineLevel="1">
      <c r="D119" s="248" t="s">
        <v>387</v>
      </c>
      <c r="G119" s="912">
        <f t="shared" si="61"/>
        <v>0</v>
      </c>
      <c r="H119" s="912">
        <f t="shared" si="61"/>
        <v>0</v>
      </c>
      <c r="I119" s="912">
        <f t="shared" si="61"/>
        <v>0</v>
      </c>
      <c r="J119" s="912">
        <f t="shared" si="61"/>
        <v>0</v>
      </c>
      <c r="K119" s="912">
        <f t="shared" si="61"/>
        <v>0</v>
      </c>
      <c r="L119" s="912">
        <f t="shared" si="61"/>
        <v>0</v>
      </c>
      <c r="M119" s="912">
        <f t="shared" si="61"/>
        <v>0</v>
      </c>
      <c r="N119" s="912">
        <f t="shared" si="61"/>
        <v>0</v>
      </c>
      <c r="O119" s="912">
        <f t="shared" si="59"/>
        <v>0</v>
      </c>
      <c r="P119" s="912">
        <f t="shared" si="60"/>
        <v>0</v>
      </c>
    </row>
    <row r="120" spans="4:16" hidden="1" outlineLevel="1">
      <c r="D120" s="248" t="s">
        <v>440</v>
      </c>
      <c r="G120" s="191">
        <f>SUM(G111:G119)</f>
        <v>3260.0273571428575</v>
      </c>
      <c r="H120" s="191">
        <f t="shared" ref="H120:P120" si="62">SUM(H111:H119)</f>
        <v>166.6973141875477</v>
      </c>
      <c r="I120" s="191">
        <f t="shared" si="62"/>
        <v>0</v>
      </c>
      <c r="J120" s="191">
        <f t="shared" si="62"/>
        <v>0</v>
      </c>
      <c r="K120" s="191">
        <f t="shared" si="62"/>
        <v>0</v>
      </c>
      <c r="L120" s="191">
        <f t="shared" si="62"/>
        <v>0</v>
      </c>
      <c r="M120" s="191">
        <f t="shared" si="62"/>
        <v>0</v>
      </c>
      <c r="N120" s="191">
        <f t="shared" si="62"/>
        <v>0</v>
      </c>
      <c r="O120" s="191">
        <f t="shared" si="62"/>
        <v>3426.7246713304053</v>
      </c>
      <c r="P120" s="191">
        <f t="shared" si="62"/>
        <v>0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3">H99*H$51</f>
        <v>0</v>
      </c>
      <c r="I123" s="191">
        <f t="shared" si="63"/>
        <v>0</v>
      </c>
      <c r="J123" s="191">
        <f t="shared" si="63"/>
        <v>0</v>
      </c>
      <c r="K123" s="191">
        <f t="shared" si="63"/>
        <v>0</v>
      </c>
      <c r="L123" s="191">
        <f t="shared" si="63"/>
        <v>0</v>
      </c>
      <c r="M123" s="191">
        <f t="shared" si="63"/>
        <v>0</v>
      </c>
      <c r="N123" s="191">
        <f t="shared" si="63"/>
        <v>0</v>
      </c>
      <c r="O123" s="191">
        <f t="shared" ref="O123:O131" si="64">SUM(F123:N123)</f>
        <v>0</v>
      </c>
      <c r="P123" s="191">
        <f t="shared" ref="P123:P131" si="65">SUM(I123:M123)</f>
        <v>0</v>
      </c>
    </row>
    <row r="124" spans="4:16" hidden="1" outlineLevel="1">
      <c r="D124" s="248" t="s">
        <v>380</v>
      </c>
      <c r="G124" s="191">
        <f t="shared" ref="G124:N131" si="66">G100*G$51</f>
        <v>0</v>
      </c>
      <c r="H124" s="191">
        <f t="shared" si="66"/>
        <v>0</v>
      </c>
      <c r="I124" s="191">
        <f t="shared" si="66"/>
        <v>0</v>
      </c>
      <c r="J124" s="191">
        <f t="shared" si="66"/>
        <v>0</v>
      </c>
      <c r="K124" s="191">
        <f t="shared" si="66"/>
        <v>0</v>
      </c>
      <c r="L124" s="191">
        <f t="shared" si="66"/>
        <v>0</v>
      </c>
      <c r="M124" s="191">
        <f t="shared" si="66"/>
        <v>0</v>
      </c>
      <c r="N124" s="191">
        <f t="shared" si="66"/>
        <v>0</v>
      </c>
      <c r="O124" s="191">
        <f t="shared" si="64"/>
        <v>0</v>
      </c>
      <c r="P124" s="191">
        <f t="shared" si="65"/>
        <v>0</v>
      </c>
    </row>
    <row r="125" spans="4:16" hidden="1" outlineLevel="1">
      <c r="D125" s="248" t="s">
        <v>381</v>
      </c>
      <c r="G125" s="191">
        <f t="shared" si="66"/>
        <v>819.79500446651787</v>
      </c>
      <c r="H125" s="191">
        <f t="shared" si="66"/>
        <v>42.195831717598743</v>
      </c>
      <c r="I125" s="191">
        <f t="shared" si="66"/>
        <v>0</v>
      </c>
      <c r="J125" s="191">
        <f t="shared" si="66"/>
        <v>0</v>
      </c>
      <c r="K125" s="191">
        <f t="shared" si="66"/>
        <v>0</v>
      </c>
      <c r="L125" s="191">
        <f t="shared" si="66"/>
        <v>0</v>
      </c>
      <c r="M125" s="191">
        <f t="shared" si="66"/>
        <v>0</v>
      </c>
      <c r="N125" s="191">
        <f t="shared" si="66"/>
        <v>0</v>
      </c>
      <c r="O125" s="191">
        <f t="shared" si="64"/>
        <v>861.99083618411657</v>
      </c>
      <c r="P125" s="191">
        <f t="shared" si="65"/>
        <v>0</v>
      </c>
    </row>
    <row r="126" spans="4:16" hidden="1" outlineLevel="1">
      <c r="D126" s="248" t="s">
        <v>382</v>
      </c>
      <c r="G126" s="191">
        <f t="shared" si="66"/>
        <v>0</v>
      </c>
      <c r="H126" s="191">
        <f t="shared" si="66"/>
        <v>0</v>
      </c>
      <c r="I126" s="191">
        <f t="shared" si="66"/>
        <v>0</v>
      </c>
      <c r="J126" s="191">
        <f t="shared" si="66"/>
        <v>0</v>
      </c>
      <c r="K126" s="191">
        <f t="shared" si="66"/>
        <v>0</v>
      </c>
      <c r="L126" s="191">
        <f t="shared" si="66"/>
        <v>0</v>
      </c>
      <c r="M126" s="191">
        <f t="shared" si="66"/>
        <v>0</v>
      </c>
      <c r="N126" s="191">
        <f t="shared" si="66"/>
        <v>0</v>
      </c>
      <c r="O126" s="191">
        <f t="shared" si="64"/>
        <v>0</v>
      </c>
      <c r="P126" s="191">
        <f t="shared" si="65"/>
        <v>0</v>
      </c>
    </row>
    <row r="127" spans="4:16" hidden="1" outlineLevel="1">
      <c r="D127" s="248" t="s">
        <v>383</v>
      </c>
      <c r="G127" s="191">
        <f t="shared" si="66"/>
        <v>0</v>
      </c>
      <c r="H127" s="191">
        <f t="shared" si="66"/>
        <v>0</v>
      </c>
      <c r="I127" s="191">
        <f t="shared" si="66"/>
        <v>0</v>
      </c>
      <c r="J127" s="191">
        <f t="shared" si="66"/>
        <v>0</v>
      </c>
      <c r="K127" s="191">
        <f t="shared" si="66"/>
        <v>0</v>
      </c>
      <c r="L127" s="191">
        <f t="shared" si="66"/>
        <v>0</v>
      </c>
      <c r="M127" s="191">
        <f t="shared" si="66"/>
        <v>0</v>
      </c>
      <c r="N127" s="191">
        <f t="shared" si="66"/>
        <v>0</v>
      </c>
      <c r="O127" s="191">
        <f t="shared" si="64"/>
        <v>0</v>
      </c>
      <c r="P127" s="191">
        <f t="shared" si="65"/>
        <v>0</v>
      </c>
    </row>
    <row r="128" spans="4:16" hidden="1" outlineLevel="1">
      <c r="D128" s="248" t="s">
        <v>384</v>
      </c>
      <c r="G128" s="191">
        <f t="shared" si="66"/>
        <v>0</v>
      </c>
      <c r="H128" s="191">
        <f t="shared" si="66"/>
        <v>0</v>
      </c>
      <c r="I128" s="191">
        <f t="shared" si="66"/>
        <v>0</v>
      </c>
      <c r="J128" s="191">
        <f t="shared" si="66"/>
        <v>0</v>
      </c>
      <c r="K128" s="191">
        <f t="shared" si="66"/>
        <v>0</v>
      </c>
      <c r="L128" s="191">
        <f t="shared" si="66"/>
        <v>0</v>
      </c>
      <c r="M128" s="191">
        <f t="shared" si="66"/>
        <v>0</v>
      </c>
      <c r="N128" s="191">
        <f t="shared" si="66"/>
        <v>0</v>
      </c>
      <c r="O128" s="191">
        <f t="shared" si="64"/>
        <v>0</v>
      </c>
      <c r="P128" s="191">
        <f t="shared" si="65"/>
        <v>0</v>
      </c>
    </row>
    <row r="129" spans="4:16" hidden="1" outlineLevel="1">
      <c r="D129" s="248" t="s">
        <v>385</v>
      </c>
      <c r="G129" s="191">
        <f t="shared" si="66"/>
        <v>0</v>
      </c>
      <c r="H129" s="191">
        <f t="shared" si="66"/>
        <v>0</v>
      </c>
      <c r="I129" s="191">
        <f t="shared" si="66"/>
        <v>0</v>
      </c>
      <c r="J129" s="191">
        <f t="shared" si="66"/>
        <v>0</v>
      </c>
      <c r="K129" s="191">
        <f t="shared" si="66"/>
        <v>0</v>
      </c>
      <c r="L129" s="191">
        <f t="shared" si="66"/>
        <v>0</v>
      </c>
      <c r="M129" s="191">
        <f t="shared" si="66"/>
        <v>0</v>
      </c>
      <c r="N129" s="191">
        <f t="shared" si="66"/>
        <v>0</v>
      </c>
      <c r="O129" s="191">
        <f t="shared" si="64"/>
        <v>0</v>
      </c>
      <c r="P129" s="191">
        <f t="shared" si="65"/>
        <v>0</v>
      </c>
    </row>
    <row r="130" spans="4:16" hidden="1" outlineLevel="1">
      <c r="D130" s="248" t="s">
        <v>386</v>
      </c>
      <c r="G130" s="191">
        <f t="shared" si="66"/>
        <v>0</v>
      </c>
      <c r="H130" s="191">
        <f t="shared" si="66"/>
        <v>0</v>
      </c>
      <c r="I130" s="191">
        <f t="shared" si="66"/>
        <v>0</v>
      </c>
      <c r="J130" s="191">
        <f t="shared" si="66"/>
        <v>0</v>
      </c>
      <c r="K130" s="191">
        <f t="shared" si="66"/>
        <v>0</v>
      </c>
      <c r="L130" s="191">
        <f t="shared" si="66"/>
        <v>0</v>
      </c>
      <c r="M130" s="191">
        <f t="shared" si="66"/>
        <v>0</v>
      </c>
      <c r="N130" s="191">
        <f t="shared" si="66"/>
        <v>0</v>
      </c>
      <c r="O130" s="191">
        <f t="shared" si="64"/>
        <v>0</v>
      </c>
      <c r="P130" s="191">
        <f t="shared" si="65"/>
        <v>0</v>
      </c>
    </row>
    <row r="131" spans="4:16" hidden="1" outlineLevel="1">
      <c r="D131" s="248" t="s">
        <v>387</v>
      </c>
      <c r="G131" s="912">
        <f t="shared" si="66"/>
        <v>0</v>
      </c>
      <c r="H131" s="912">
        <f t="shared" si="66"/>
        <v>0</v>
      </c>
      <c r="I131" s="912">
        <f t="shared" si="66"/>
        <v>0</v>
      </c>
      <c r="J131" s="912">
        <f t="shared" si="66"/>
        <v>0</v>
      </c>
      <c r="K131" s="912">
        <f t="shared" si="66"/>
        <v>0</v>
      </c>
      <c r="L131" s="912">
        <f t="shared" si="66"/>
        <v>0</v>
      </c>
      <c r="M131" s="912">
        <f t="shared" si="66"/>
        <v>0</v>
      </c>
      <c r="N131" s="912">
        <f t="shared" si="66"/>
        <v>0</v>
      </c>
      <c r="O131" s="912">
        <f t="shared" si="64"/>
        <v>0</v>
      </c>
      <c r="P131" s="912">
        <f t="shared" si="65"/>
        <v>0</v>
      </c>
    </row>
    <row r="132" spans="4:16" hidden="1" outlineLevel="1">
      <c r="D132" s="248" t="s">
        <v>441</v>
      </c>
      <c r="G132" s="191">
        <f>SUM(G123:G131)</f>
        <v>819.79500446651787</v>
      </c>
      <c r="H132" s="191">
        <f t="shared" ref="H132:P132" si="67">SUM(H123:H131)</f>
        <v>42.195831717598743</v>
      </c>
      <c r="I132" s="191">
        <f t="shared" si="67"/>
        <v>0</v>
      </c>
      <c r="J132" s="191">
        <f t="shared" si="67"/>
        <v>0</v>
      </c>
      <c r="K132" s="191">
        <f t="shared" si="67"/>
        <v>0</v>
      </c>
      <c r="L132" s="191">
        <f t="shared" si="67"/>
        <v>0</v>
      </c>
      <c r="M132" s="191">
        <f t="shared" si="67"/>
        <v>0</v>
      </c>
      <c r="N132" s="191">
        <f t="shared" si="67"/>
        <v>0</v>
      </c>
      <c r="O132" s="191">
        <f t="shared" si="67"/>
        <v>861.99083618411657</v>
      </c>
      <c r="P132" s="191">
        <f t="shared" si="67"/>
        <v>0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8">H99*H$52</f>
        <v>0</v>
      </c>
      <c r="I135" s="191">
        <f t="shared" si="68"/>
        <v>0</v>
      </c>
      <c r="J135" s="191">
        <f t="shared" si="68"/>
        <v>0</v>
      </c>
      <c r="K135" s="191">
        <f t="shared" si="68"/>
        <v>0</v>
      </c>
      <c r="L135" s="191">
        <f t="shared" si="68"/>
        <v>0</v>
      </c>
      <c r="M135" s="191">
        <f t="shared" si="68"/>
        <v>0</v>
      </c>
      <c r="N135" s="191">
        <f t="shared" si="68"/>
        <v>0</v>
      </c>
      <c r="O135" s="191">
        <f t="shared" ref="O135:O143" si="69">SUM(F135:N135)</f>
        <v>0</v>
      </c>
      <c r="P135" s="191">
        <f t="shared" ref="P135:P143" si="70">SUM(I135:M135)</f>
        <v>0</v>
      </c>
    </row>
    <row r="136" spans="4:16" hidden="1" outlineLevel="1">
      <c r="D136" s="248" t="s">
        <v>380</v>
      </c>
      <c r="G136" s="191">
        <f t="shared" ref="G136:N143" si="71">G100*G$52</f>
        <v>0</v>
      </c>
      <c r="H136" s="191">
        <f t="shared" si="71"/>
        <v>0</v>
      </c>
      <c r="I136" s="191">
        <f t="shared" si="71"/>
        <v>0</v>
      </c>
      <c r="J136" s="191">
        <f t="shared" si="71"/>
        <v>0</v>
      </c>
      <c r="K136" s="191">
        <f t="shared" si="71"/>
        <v>0</v>
      </c>
      <c r="L136" s="191">
        <f t="shared" si="71"/>
        <v>0</v>
      </c>
      <c r="M136" s="191">
        <f t="shared" si="71"/>
        <v>0</v>
      </c>
      <c r="N136" s="191">
        <f t="shared" si="71"/>
        <v>0</v>
      </c>
      <c r="O136" s="191">
        <f t="shared" si="69"/>
        <v>0</v>
      </c>
      <c r="P136" s="191">
        <f t="shared" si="70"/>
        <v>0</v>
      </c>
    </row>
    <row r="137" spans="4:16" hidden="1" outlineLevel="1">
      <c r="D137" s="248" t="s">
        <v>381</v>
      </c>
      <c r="G137" s="191">
        <f t="shared" si="71"/>
        <v>4091.7418366339289</v>
      </c>
      <c r="H137" s="191">
        <f t="shared" si="71"/>
        <v>210.61208849750719</v>
      </c>
      <c r="I137" s="191">
        <f t="shared" si="71"/>
        <v>0</v>
      </c>
      <c r="J137" s="191">
        <f t="shared" si="71"/>
        <v>0</v>
      </c>
      <c r="K137" s="191">
        <f t="shared" si="71"/>
        <v>0</v>
      </c>
      <c r="L137" s="191">
        <f t="shared" si="71"/>
        <v>0</v>
      </c>
      <c r="M137" s="191">
        <f t="shared" si="71"/>
        <v>0</v>
      </c>
      <c r="N137" s="191">
        <f t="shared" si="71"/>
        <v>0</v>
      </c>
      <c r="O137" s="191">
        <f t="shared" si="69"/>
        <v>4302.353925131436</v>
      </c>
      <c r="P137" s="191">
        <f t="shared" si="70"/>
        <v>0</v>
      </c>
    </row>
    <row r="138" spans="4:16" hidden="1" outlineLevel="1">
      <c r="D138" s="248" t="s">
        <v>382</v>
      </c>
      <c r="G138" s="191">
        <f t="shared" si="71"/>
        <v>0</v>
      </c>
      <c r="H138" s="191">
        <f t="shared" si="71"/>
        <v>0</v>
      </c>
      <c r="I138" s="191">
        <f t="shared" si="71"/>
        <v>0</v>
      </c>
      <c r="J138" s="191">
        <f t="shared" si="71"/>
        <v>0</v>
      </c>
      <c r="K138" s="191">
        <f t="shared" si="71"/>
        <v>0</v>
      </c>
      <c r="L138" s="191">
        <f t="shared" si="71"/>
        <v>0</v>
      </c>
      <c r="M138" s="191">
        <f t="shared" si="71"/>
        <v>0</v>
      </c>
      <c r="N138" s="191">
        <f t="shared" si="71"/>
        <v>0</v>
      </c>
      <c r="O138" s="191">
        <f t="shared" si="69"/>
        <v>0</v>
      </c>
      <c r="P138" s="191">
        <f t="shared" si="70"/>
        <v>0</v>
      </c>
    </row>
    <row r="139" spans="4:16" hidden="1" outlineLevel="1">
      <c r="D139" s="248" t="s">
        <v>383</v>
      </c>
      <c r="G139" s="191">
        <f t="shared" si="71"/>
        <v>0</v>
      </c>
      <c r="H139" s="191">
        <f t="shared" si="71"/>
        <v>0</v>
      </c>
      <c r="I139" s="191">
        <f t="shared" si="71"/>
        <v>0</v>
      </c>
      <c r="J139" s="191">
        <f t="shared" si="71"/>
        <v>0</v>
      </c>
      <c r="K139" s="191">
        <f t="shared" si="71"/>
        <v>0</v>
      </c>
      <c r="L139" s="191">
        <f t="shared" si="71"/>
        <v>0</v>
      </c>
      <c r="M139" s="191">
        <f t="shared" si="71"/>
        <v>0</v>
      </c>
      <c r="N139" s="191">
        <f t="shared" si="71"/>
        <v>0</v>
      </c>
      <c r="O139" s="191">
        <f t="shared" si="69"/>
        <v>0</v>
      </c>
      <c r="P139" s="191">
        <f t="shared" si="70"/>
        <v>0</v>
      </c>
    </row>
    <row r="140" spans="4:16" hidden="1" outlineLevel="1">
      <c r="D140" s="248" t="s">
        <v>384</v>
      </c>
      <c r="G140" s="191">
        <f t="shared" si="71"/>
        <v>0</v>
      </c>
      <c r="H140" s="191">
        <f t="shared" si="71"/>
        <v>0</v>
      </c>
      <c r="I140" s="191">
        <f t="shared" si="71"/>
        <v>0</v>
      </c>
      <c r="J140" s="191">
        <f t="shared" si="71"/>
        <v>0</v>
      </c>
      <c r="K140" s="191">
        <f t="shared" si="71"/>
        <v>0</v>
      </c>
      <c r="L140" s="191">
        <f t="shared" si="71"/>
        <v>0</v>
      </c>
      <c r="M140" s="191">
        <f t="shared" si="71"/>
        <v>0</v>
      </c>
      <c r="N140" s="191">
        <f t="shared" si="71"/>
        <v>0</v>
      </c>
      <c r="O140" s="191">
        <f t="shared" si="69"/>
        <v>0</v>
      </c>
      <c r="P140" s="191">
        <f t="shared" si="70"/>
        <v>0</v>
      </c>
    </row>
    <row r="141" spans="4:16" hidden="1" outlineLevel="1">
      <c r="D141" s="248" t="s">
        <v>385</v>
      </c>
      <c r="G141" s="191">
        <f t="shared" si="71"/>
        <v>0</v>
      </c>
      <c r="H141" s="191">
        <f t="shared" si="71"/>
        <v>0</v>
      </c>
      <c r="I141" s="191">
        <f t="shared" si="71"/>
        <v>0</v>
      </c>
      <c r="J141" s="191">
        <f t="shared" si="71"/>
        <v>0</v>
      </c>
      <c r="K141" s="191">
        <f t="shared" si="71"/>
        <v>0</v>
      </c>
      <c r="L141" s="191">
        <f t="shared" si="71"/>
        <v>0</v>
      </c>
      <c r="M141" s="191">
        <f t="shared" si="71"/>
        <v>0</v>
      </c>
      <c r="N141" s="191">
        <f t="shared" si="71"/>
        <v>0</v>
      </c>
      <c r="O141" s="191">
        <f t="shared" si="69"/>
        <v>0</v>
      </c>
      <c r="P141" s="191">
        <f t="shared" si="70"/>
        <v>0</v>
      </c>
    </row>
    <row r="142" spans="4:16" hidden="1" outlineLevel="1">
      <c r="D142" s="248" t="s">
        <v>386</v>
      </c>
      <c r="G142" s="191">
        <f t="shared" si="71"/>
        <v>0</v>
      </c>
      <c r="H142" s="191">
        <f t="shared" si="71"/>
        <v>0</v>
      </c>
      <c r="I142" s="191">
        <f t="shared" si="71"/>
        <v>0</v>
      </c>
      <c r="J142" s="191">
        <f t="shared" si="71"/>
        <v>0</v>
      </c>
      <c r="K142" s="191">
        <f t="shared" si="71"/>
        <v>0</v>
      </c>
      <c r="L142" s="191">
        <f t="shared" si="71"/>
        <v>0</v>
      </c>
      <c r="M142" s="191">
        <f t="shared" si="71"/>
        <v>0</v>
      </c>
      <c r="N142" s="191">
        <f t="shared" si="71"/>
        <v>0</v>
      </c>
      <c r="O142" s="191">
        <f t="shared" si="69"/>
        <v>0</v>
      </c>
      <c r="P142" s="191">
        <f t="shared" si="70"/>
        <v>0</v>
      </c>
    </row>
    <row r="143" spans="4:16" hidden="1" outlineLevel="1">
      <c r="D143" s="248" t="s">
        <v>387</v>
      </c>
      <c r="G143" s="912">
        <f t="shared" si="71"/>
        <v>0</v>
      </c>
      <c r="H143" s="912">
        <f t="shared" si="71"/>
        <v>0</v>
      </c>
      <c r="I143" s="912">
        <f t="shared" si="71"/>
        <v>0</v>
      </c>
      <c r="J143" s="912">
        <f t="shared" si="71"/>
        <v>0</v>
      </c>
      <c r="K143" s="912">
        <f t="shared" si="71"/>
        <v>0</v>
      </c>
      <c r="L143" s="912">
        <f t="shared" si="71"/>
        <v>0</v>
      </c>
      <c r="M143" s="912">
        <f t="shared" si="71"/>
        <v>0</v>
      </c>
      <c r="N143" s="912">
        <f t="shared" si="71"/>
        <v>0</v>
      </c>
      <c r="O143" s="912">
        <f t="shared" si="69"/>
        <v>0</v>
      </c>
      <c r="P143" s="912">
        <f t="shared" si="70"/>
        <v>0</v>
      </c>
    </row>
    <row r="144" spans="4:16" hidden="1" outlineLevel="1">
      <c r="D144" s="248" t="s">
        <v>442</v>
      </c>
      <c r="G144" s="191">
        <f>SUM(G135:G143)</f>
        <v>4091.7418366339289</v>
      </c>
      <c r="H144" s="191">
        <f t="shared" ref="H144:P144" si="72">SUM(H135:H143)</f>
        <v>210.61208849750719</v>
      </c>
      <c r="I144" s="191">
        <f t="shared" si="72"/>
        <v>0</v>
      </c>
      <c r="J144" s="191">
        <f t="shared" si="72"/>
        <v>0</v>
      </c>
      <c r="K144" s="191">
        <f t="shared" si="72"/>
        <v>0</v>
      </c>
      <c r="L144" s="191">
        <f t="shared" si="72"/>
        <v>0</v>
      </c>
      <c r="M144" s="191">
        <f t="shared" si="72"/>
        <v>0</v>
      </c>
      <c r="N144" s="191">
        <f t="shared" si="72"/>
        <v>0</v>
      </c>
      <c r="O144" s="191">
        <f t="shared" si="72"/>
        <v>4302.353925131436</v>
      </c>
      <c r="P144" s="191">
        <f t="shared" si="72"/>
        <v>0</v>
      </c>
    </row>
    <row r="145" spans="4:16" hidden="1" outlineLevel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3">G111+G123+G135</f>
        <v>0</v>
      </c>
      <c r="H147" s="191">
        <f t="shared" si="73"/>
        <v>0</v>
      </c>
      <c r="I147" s="191">
        <f t="shared" si="73"/>
        <v>0</v>
      </c>
      <c r="J147" s="191">
        <f t="shared" si="73"/>
        <v>0</v>
      </c>
      <c r="K147" s="191">
        <f t="shared" si="73"/>
        <v>0</v>
      </c>
      <c r="L147" s="191">
        <f t="shared" si="73"/>
        <v>0</v>
      </c>
      <c r="M147" s="191">
        <f t="shared" si="73"/>
        <v>0</v>
      </c>
      <c r="N147" s="191">
        <f t="shared" si="73"/>
        <v>0</v>
      </c>
      <c r="O147" s="191">
        <f t="shared" ref="O147:O155" si="74">SUM(F147:N147)</f>
        <v>0</v>
      </c>
      <c r="P147" s="191">
        <f t="shared" ref="P147:P155" si="75">SUM(I147:M147)</f>
        <v>0</v>
      </c>
    </row>
    <row r="148" spans="4:16" hidden="1" outlineLevel="1">
      <c r="D148" s="248" t="s">
        <v>380</v>
      </c>
      <c r="G148" s="191">
        <f t="shared" si="73"/>
        <v>0</v>
      </c>
      <c r="H148" s="191">
        <f t="shared" si="73"/>
        <v>0</v>
      </c>
      <c r="I148" s="191">
        <f t="shared" si="73"/>
        <v>0</v>
      </c>
      <c r="J148" s="191">
        <f t="shared" si="73"/>
        <v>0</v>
      </c>
      <c r="K148" s="191">
        <f t="shared" si="73"/>
        <v>0</v>
      </c>
      <c r="L148" s="191">
        <f t="shared" si="73"/>
        <v>0</v>
      </c>
      <c r="M148" s="191">
        <f t="shared" si="73"/>
        <v>0</v>
      </c>
      <c r="N148" s="191">
        <f t="shared" si="73"/>
        <v>0</v>
      </c>
      <c r="O148" s="191">
        <f t="shared" si="74"/>
        <v>0</v>
      </c>
      <c r="P148" s="191">
        <f t="shared" si="75"/>
        <v>0</v>
      </c>
    </row>
    <row r="149" spans="4:16" hidden="1" outlineLevel="1">
      <c r="D149" s="248" t="s">
        <v>381</v>
      </c>
      <c r="G149" s="191">
        <f t="shared" si="73"/>
        <v>8171.5641982433044</v>
      </c>
      <c r="H149" s="191">
        <f t="shared" si="73"/>
        <v>419.50523440265363</v>
      </c>
      <c r="I149" s="191">
        <f t="shared" si="73"/>
        <v>0</v>
      </c>
      <c r="J149" s="191">
        <f t="shared" si="73"/>
        <v>0</v>
      </c>
      <c r="K149" s="191">
        <f t="shared" si="73"/>
        <v>0</v>
      </c>
      <c r="L149" s="191">
        <f t="shared" si="73"/>
        <v>0</v>
      </c>
      <c r="M149" s="191">
        <f t="shared" si="73"/>
        <v>0</v>
      </c>
      <c r="N149" s="191">
        <f t="shared" si="73"/>
        <v>0</v>
      </c>
      <c r="O149" s="191">
        <f t="shared" si="74"/>
        <v>8591.0694326459579</v>
      </c>
      <c r="P149" s="191">
        <f t="shared" si="75"/>
        <v>0</v>
      </c>
    </row>
    <row r="150" spans="4:16" hidden="1" outlineLevel="1">
      <c r="D150" s="248" t="s">
        <v>382</v>
      </c>
      <c r="G150" s="191">
        <f t="shared" si="73"/>
        <v>0</v>
      </c>
      <c r="H150" s="191">
        <f t="shared" si="73"/>
        <v>0</v>
      </c>
      <c r="I150" s="191">
        <f t="shared" si="73"/>
        <v>0</v>
      </c>
      <c r="J150" s="191">
        <f t="shared" si="73"/>
        <v>0</v>
      </c>
      <c r="K150" s="191">
        <f t="shared" si="73"/>
        <v>0</v>
      </c>
      <c r="L150" s="191">
        <f t="shared" si="73"/>
        <v>0</v>
      </c>
      <c r="M150" s="191">
        <f t="shared" si="73"/>
        <v>0</v>
      </c>
      <c r="N150" s="191">
        <f t="shared" si="73"/>
        <v>0</v>
      </c>
      <c r="O150" s="191">
        <f t="shared" si="74"/>
        <v>0</v>
      </c>
      <c r="P150" s="191">
        <f t="shared" si="75"/>
        <v>0</v>
      </c>
    </row>
    <row r="151" spans="4:16" hidden="1" outlineLevel="1">
      <c r="D151" s="248" t="s">
        <v>383</v>
      </c>
      <c r="G151" s="191">
        <f t="shared" si="73"/>
        <v>0</v>
      </c>
      <c r="H151" s="191">
        <f t="shared" si="73"/>
        <v>0</v>
      </c>
      <c r="I151" s="191">
        <f t="shared" si="73"/>
        <v>0</v>
      </c>
      <c r="J151" s="191">
        <f t="shared" si="73"/>
        <v>0</v>
      </c>
      <c r="K151" s="191">
        <f t="shared" si="73"/>
        <v>0</v>
      </c>
      <c r="L151" s="191">
        <f t="shared" si="73"/>
        <v>0</v>
      </c>
      <c r="M151" s="191">
        <f t="shared" si="73"/>
        <v>0</v>
      </c>
      <c r="N151" s="191">
        <f t="shared" si="73"/>
        <v>0</v>
      </c>
      <c r="O151" s="191">
        <f t="shared" si="74"/>
        <v>0</v>
      </c>
      <c r="P151" s="191">
        <f t="shared" si="75"/>
        <v>0</v>
      </c>
    </row>
    <row r="152" spans="4:16" hidden="1" outlineLevel="1">
      <c r="D152" s="248" t="s">
        <v>384</v>
      </c>
      <c r="G152" s="191">
        <f t="shared" si="73"/>
        <v>0</v>
      </c>
      <c r="H152" s="191">
        <f t="shared" si="73"/>
        <v>0</v>
      </c>
      <c r="I152" s="191">
        <f t="shared" si="73"/>
        <v>0</v>
      </c>
      <c r="J152" s="191">
        <f t="shared" si="73"/>
        <v>0</v>
      </c>
      <c r="K152" s="191">
        <f t="shared" si="73"/>
        <v>0</v>
      </c>
      <c r="L152" s="191">
        <f t="shared" si="73"/>
        <v>0</v>
      </c>
      <c r="M152" s="191">
        <f t="shared" si="73"/>
        <v>0</v>
      </c>
      <c r="N152" s="191">
        <f t="shared" si="73"/>
        <v>0</v>
      </c>
      <c r="O152" s="191">
        <f t="shared" si="74"/>
        <v>0</v>
      </c>
      <c r="P152" s="191">
        <f t="shared" si="75"/>
        <v>0</v>
      </c>
    </row>
    <row r="153" spans="4:16" hidden="1" outlineLevel="1">
      <c r="D153" s="248" t="s">
        <v>385</v>
      </c>
      <c r="G153" s="191">
        <f t="shared" si="73"/>
        <v>0</v>
      </c>
      <c r="H153" s="191">
        <f t="shared" si="73"/>
        <v>0</v>
      </c>
      <c r="I153" s="191">
        <f t="shared" si="73"/>
        <v>0</v>
      </c>
      <c r="J153" s="191">
        <f t="shared" si="73"/>
        <v>0</v>
      </c>
      <c r="K153" s="191">
        <f t="shared" si="73"/>
        <v>0</v>
      </c>
      <c r="L153" s="191">
        <f t="shared" si="73"/>
        <v>0</v>
      </c>
      <c r="M153" s="191">
        <f t="shared" si="73"/>
        <v>0</v>
      </c>
      <c r="N153" s="191">
        <f t="shared" si="73"/>
        <v>0</v>
      </c>
      <c r="O153" s="191">
        <f t="shared" si="74"/>
        <v>0</v>
      </c>
      <c r="P153" s="191">
        <f t="shared" si="75"/>
        <v>0</v>
      </c>
    </row>
    <row r="154" spans="4:16" hidden="1" outlineLevel="1">
      <c r="D154" s="248" t="s">
        <v>386</v>
      </c>
      <c r="G154" s="191">
        <f t="shared" si="73"/>
        <v>0</v>
      </c>
      <c r="H154" s="191">
        <f t="shared" si="73"/>
        <v>0</v>
      </c>
      <c r="I154" s="191">
        <f t="shared" si="73"/>
        <v>0</v>
      </c>
      <c r="J154" s="191">
        <f t="shared" si="73"/>
        <v>0</v>
      </c>
      <c r="K154" s="191">
        <f t="shared" si="73"/>
        <v>0</v>
      </c>
      <c r="L154" s="191">
        <f t="shared" si="73"/>
        <v>0</v>
      </c>
      <c r="M154" s="191">
        <f t="shared" si="73"/>
        <v>0</v>
      </c>
      <c r="N154" s="191">
        <f t="shared" si="73"/>
        <v>0</v>
      </c>
      <c r="O154" s="191">
        <f t="shared" si="74"/>
        <v>0</v>
      </c>
      <c r="P154" s="191">
        <f t="shared" si="75"/>
        <v>0</v>
      </c>
    </row>
    <row r="155" spans="4:16" hidden="1" outlineLevel="1">
      <c r="D155" s="248" t="s">
        <v>387</v>
      </c>
      <c r="G155" s="912">
        <f t="shared" si="73"/>
        <v>0</v>
      </c>
      <c r="H155" s="912">
        <f t="shared" si="73"/>
        <v>0</v>
      </c>
      <c r="I155" s="912">
        <f t="shared" si="73"/>
        <v>0</v>
      </c>
      <c r="J155" s="912">
        <f t="shared" si="73"/>
        <v>0</v>
      </c>
      <c r="K155" s="912">
        <f t="shared" si="73"/>
        <v>0</v>
      </c>
      <c r="L155" s="912">
        <f t="shared" si="73"/>
        <v>0</v>
      </c>
      <c r="M155" s="912">
        <f t="shared" si="73"/>
        <v>0</v>
      </c>
      <c r="N155" s="912">
        <f t="shared" si="73"/>
        <v>0</v>
      </c>
      <c r="O155" s="912">
        <f t="shared" si="74"/>
        <v>0</v>
      </c>
      <c r="P155" s="912">
        <f t="shared" si="75"/>
        <v>0</v>
      </c>
    </row>
    <row r="156" spans="4:16" hidden="1" outlineLevel="1">
      <c r="D156" s="248" t="s">
        <v>454</v>
      </c>
      <c r="G156" s="191">
        <f>SUM(G147:G155)</f>
        <v>8171.5641982433044</v>
      </c>
      <c r="H156" s="191">
        <f t="shared" ref="H156:N156" si="76">SUM(H147:H155)</f>
        <v>419.50523440265363</v>
      </c>
      <c r="I156" s="191">
        <f t="shared" si="76"/>
        <v>0</v>
      </c>
      <c r="J156" s="191">
        <f t="shared" si="76"/>
        <v>0</v>
      </c>
      <c r="K156" s="191">
        <f t="shared" si="76"/>
        <v>0</v>
      </c>
      <c r="L156" s="191">
        <f t="shared" si="76"/>
        <v>0</v>
      </c>
      <c r="M156" s="191">
        <f t="shared" si="76"/>
        <v>0</v>
      </c>
      <c r="N156" s="191">
        <f t="shared" si="76"/>
        <v>0</v>
      </c>
      <c r="O156" s="191">
        <f t="shared" ref="O156:P156" si="77">SUM(O147:O155)</f>
        <v>8591.0694326459579</v>
      </c>
      <c r="P156" s="191">
        <f t="shared" si="77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39" priority="4" operator="equal">
      <formula>"Error"</formula>
    </cfRule>
  </conditionalFormatting>
  <conditionalFormatting sqref="R11">
    <cfRule type="cellIs" dxfId="38" priority="3" operator="equal">
      <formula>"Error"</formula>
    </cfRule>
  </conditionalFormatting>
  <conditionalFormatting sqref="R54">
    <cfRule type="cellIs" dxfId="3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59" activePane="bottomLeft" state="frozen"/>
      <selection activeCell="C2" sqref="C2"/>
      <selection pane="bottomLeft" activeCell="F64" sqref="F64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Project_Inputs!B39</f>
        <v>0</v>
      </c>
      <c r="F3" s="249" t="s">
        <v>63</v>
      </c>
      <c r="G3" s="249">
        <f>Project_Inputs!F39</f>
        <v>0</v>
      </c>
    </row>
    <row r="4" spans="1:21" ht="18.75">
      <c r="A4" s="6"/>
      <c r="B4" s="6"/>
      <c r="C4" s="13" t="s">
        <v>15</v>
      </c>
      <c r="D4" s="339" t="str">
        <f>Project_Inputs!D39</f>
        <v>Insulators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Project_Inputs!H39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Project_Inputs!I39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Project_Inputs!J39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1189.1556395384603</v>
      </c>
      <c r="G11" s="319">
        <f>IF(G$10="Prior",SUMIFS(Project_Inputs!$W$5:$W$50,Project_Inputs!$D$5:$D$50,$D$4),SUMIFS(Project_Inputs!M$5:M$50,Project_Inputs!$D$5:$D$50,$D$4))</f>
        <v>6325.8396899999989</v>
      </c>
      <c r="H11" s="389">
        <f>IF(H$10="Prior",SUMIFS(Project_Inputs!$W$5:$W$50,Project_Inputs!$D$5:$D$50,$D$4),SUMIFS(Project_Inputs!N$5:N$50,Project_Inputs!$D$5:$D$50,$D$4))</f>
        <v>638.02926253985856</v>
      </c>
      <c r="I11" s="399">
        <f>IF(I$10="Prior",SUMIFS(Project_Inputs!$W$5:$W$50,Project_Inputs!$D$5:$D$50,$D$4),SUMIFS(Project_Inputs!O$5:O$50,Project_Inputs!$D$5:$D$50,$D$4))</f>
        <v>988.98926400000005</v>
      </c>
      <c r="J11" s="320">
        <f>IF(J$10="Prior",SUMIFS(Project_Inputs!$W$5:$W$50,Project_Inputs!$D$5:$D$50,$D$4),SUMIFS(Project_Inputs!P$5:P$50,Project_Inputs!$D$5:$D$50,$D$4))</f>
        <v>932.96064800000011</v>
      </c>
      <c r="K11" s="320">
        <f>IF(K$10="Prior",SUMIFS(Project_Inputs!$W$5:$W$50,Project_Inputs!$D$5:$D$50,$D$4),SUMIFS(Project_Inputs!Q$5:Q$50,Project_Inputs!$D$5:$D$50,$D$4))</f>
        <v>932.96064800000011</v>
      </c>
      <c r="L11" s="320">
        <f>IF(L$10="Prior",SUMIFS(Project_Inputs!$W$5:$W$50,Project_Inputs!$D$5:$D$50,$D$4),SUMIFS(Project_Inputs!R$5:R$50,Project_Inputs!$D$5:$D$50,$D$4))</f>
        <v>932.96064800000011</v>
      </c>
      <c r="M11" s="320">
        <f>IF(M$10="Prior",SUMIFS(Project_Inputs!$W$5:$W$50,Project_Inputs!$D$5:$D$50,$D$4),SUMIFS(Project_Inputs!S$5:S$50,Project_Inputs!$D$5:$D$50,$D$4))</f>
        <v>773.34627999999998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12714.242080078318</v>
      </c>
      <c r="P11" s="300">
        <f t="shared" ref="P11" si="0">SUM(I11:M11)</f>
        <v>4561.2174880000002</v>
      </c>
      <c r="R11" s="608" t="str">
        <f>IF(O11=Project_Inputs!V39,"ok","error")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1189.1556395384603</v>
      </c>
      <c r="G14" s="447">
        <f>IF($G$3="Yes",SUMIFS(Project_Inputs!AK$5:AK$50,Project_Inputs!$D$5:$D$50,$D$4),IF(AND(G$13="X",G$10="Prior"),G11,IF(G$13="X",SUM($F11:G11)-SUM(F14:$F14),0)))</f>
        <v>6325.8396899999989</v>
      </c>
      <c r="H14" s="447">
        <f>IF($G$3="Yes",SUMIFS(Project_Inputs!AL$5:AL$50,Project_Inputs!$D$5:$D$50,$D$4),IF(AND(H$13="X",H$10="Prior"),H11,IF(H$13="X",SUM($F11:H11)-SUM($F14:G14),0)))</f>
        <v>638.02926253985879</v>
      </c>
      <c r="I14" s="448">
        <f>IF($G$3="Yes",SUMIFS(Project_Inputs!AM$5:AM$50,Project_Inputs!$D$5:$D$50,$D$4),IF(AND(I$13="X",I$10="Prior"),I11,IF(I$13="X",SUM($F11:I11)-SUM($F14:H14),0)))</f>
        <v>988.98926399999982</v>
      </c>
      <c r="J14" s="447">
        <f>IF($G$3="Yes",SUMIFS(Project_Inputs!AN$5:AN$50,Project_Inputs!$D$5:$D$50,$D$4),IF(AND(J$13="X",J$10="Prior"),J11,IF(J$13="X",SUM($F11:J11)-SUM($F14:I14),0)))</f>
        <v>932.96064800000022</v>
      </c>
      <c r="K14" s="447">
        <f>IF($G$3="Yes",SUMIFS(Project_Inputs!AO$5:AO$50,Project_Inputs!$D$5:$D$50,$D$4),IF(AND(K$13="X",K$10="Prior"),K11,IF(K$13="X",SUM($F11:K11)-SUM($F14:J14),0)))</f>
        <v>932.96064800000022</v>
      </c>
      <c r="L14" s="447">
        <f>IF($G$3="Yes",SUMIFS(Project_Inputs!AP$5:AP$50,Project_Inputs!$D$5:$D$50,$D$4),IF(AND(L$13="X",L$10="Prior"),L11,IF(L$13="X",SUM($F11:L11)-SUM($F14:K14),0)))</f>
        <v>932.96064800000022</v>
      </c>
      <c r="M14" s="447">
        <f>IF($G$3="Yes",SUMIFS(Project_Inputs!AQ$5:AQ$50,Project_Inputs!$D$5:$D$50,$D$4),IF(AND(M$13="X",M$10="Prior"),M11,IF(M$13="X",SUM($F11:M11)-SUM($F14:L14),0)))</f>
        <v>773.34627999999975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12714.242080078318</v>
      </c>
      <c r="P14" s="451">
        <f>SUM(I14:M14)</f>
        <v>4561.2174880000002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</v>
      </c>
      <c r="G21" s="341">
        <v>1</v>
      </c>
      <c r="H21" s="392">
        <v>1</v>
      </c>
      <c r="I21" s="404">
        <v>1</v>
      </c>
      <c r="J21" s="341">
        <v>1</v>
      </c>
      <c r="K21" s="341">
        <v>1</v>
      </c>
      <c r="L21" s="341">
        <v>1</v>
      </c>
      <c r="M21" s="341">
        <v>1</v>
      </c>
      <c r="N21" s="342">
        <v>1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3.7164308178750467</v>
      </c>
      <c r="H46" s="290">
        <f>IF(H$10="Prior",0,(H11*H29)*(Assumptions!H28-1))</f>
        <v>0.79841546348396863</v>
      </c>
      <c r="I46" s="407">
        <f>IF(I$10="Prior",0,(I11*I29)*(Assumptions!I28-1))</f>
        <v>2.0436979414784617</v>
      </c>
      <c r="J46" s="282">
        <f>IF(J$10="Prior",0,(J11*J29)*(Assumptions!J28-1))</f>
        <v>2.6992318039472987</v>
      </c>
      <c r="K46" s="282">
        <f>IF(K$10="Prior",0,(K11*K29)*(Assumptions!K28-1))</f>
        <v>3.4935928833449568</v>
      </c>
      <c r="L46" s="282">
        <f>IF(L$10="Prior",0,(L11*L29)*(Assumptions!L28-1))</f>
        <v>4.3598603196108945</v>
      </c>
      <c r="M46" s="282">
        <f>IF(M$10="Prior",0,(M11*M29)*(Assumptions!M28-1))</f>
        <v>4.350591389394503</v>
      </c>
      <c r="N46" s="283">
        <f>IF(N$10="Prior",0,(N11*N29)*(Assumptions!N28-1))</f>
        <v>0</v>
      </c>
      <c r="O46" s="362">
        <f t="shared" ref="O46:O47" si="6">SUM(F46:N46)</f>
        <v>21.461820619135132</v>
      </c>
      <c r="P46" s="300">
        <f t="shared" ref="P46:P47" si="7">SUM(I46:M46)</f>
        <v>16.946974337776116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12.967971364499974</v>
      </c>
      <c r="H47" s="290">
        <f>IF(H$10="Prior",0,(H11*H30)*(Assumptions!H30-1))</f>
        <v>3.4300971552918593</v>
      </c>
      <c r="I47" s="407">
        <f>IF(I$10="Prior",0,(I11*I30)*(Assumptions!I30-1))</f>
        <v>10.502431144517624</v>
      </c>
      <c r="J47" s="282">
        <f>IF(J$10="Prior",0,(J11*J30)*(Assumptions!J30-1))</f>
        <v>14.873785680901042</v>
      </c>
      <c r="K47" s="282">
        <f>IF(K$10="Prior",0,(K11*K30)*(Assumptions!K30-1))</f>
        <v>19.723428335936191</v>
      </c>
      <c r="L47" s="282">
        <f>IF(L$10="Prior",0,(L11*L30)*(Assumptions!L30-1))</f>
        <v>25.023049236397892</v>
      </c>
      <c r="M47" s="282">
        <f>IF(M$10="Prior",0,(M11*M30)*(Assumptions!M30-1))</f>
        <v>25.284692120602827</v>
      </c>
      <c r="N47" s="283">
        <f>IF(N$10="Prior",0,(N11*N30)*(Assumptions!N30-1))</f>
        <v>0</v>
      </c>
      <c r="O47" s="362">
        <f t="shared" si="6"/>
        <v>111.80545503814741</v>
      </c>
      <c r="P47" s="300">
        <f t="shared" si="7"/>
        <v>95.40738651835558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16.68440218237502</v>
      </c>
      <c r="H48" s="253">
        <f t="shared" si="8"/>
        <v>4.2285126187758282</v>
      </c>
      <c r="I48" s="408">
        <f t="shared" si="8"/>
        <v>12.546129085996085</v>
      </c>
      <c r="J48" s="5">
        <f t="shared" si="8"/>
        <v>17.573017484848339</v>
      </c>
      <c r="K48" s="5">
        <f t="shared" si="8"/>
        <v>23.217021219281147</v>
      </c>
      <c r="L48" s="5">
        <f t="shared" si="8"/>
        <v>29.382909556008787</v>
      </c>
      <c r="M48" s="5">
        <f t="shared" si="8"/>
        <v>29.635283509997329</v>
      </c>
      <c r="N48" s="286">
        <f t="shared" si="8"/>
        <v>0</v>
      </c>
      <c r="O48" s="433">
        <f>SUM(O46:O47)</f>
        <v>133.26727565728254</v>
      </c>
      <c r="P48" s="434">
        <f>SUM(P46:P47)</f>
        <v>112.35436085613169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16.68440218237502</v>
      </c>
      <c r="H49" s="253">
        <f t="shared" si="9"/>
        <v>4.2285126187758282</v>
      </c>
      <c r="I49" s="408">
        <f t="shared" si="9"/>
        <v>12.546129085996085</v>
      </c>
      <c r="J49" s="5">
        <f t="shared" si="9"/>
        <v>17.573017484848339</v>
      </c>
      <c r="K49" s="5">
        <f t="shared" si="9"/>
        <v>23.217021219281147</v>
      </c>
      <c r="L49" s="5">
        <f t="shared" si="9"/>
        <v>29.382909556008787</v>
      </c>
      <c r="M49" s="5">
        <f t="shared" si="9"/>
        <v>29.635283509997329</v>
      </c>
      <c r="N49" s="286">
        <f t="shared" si="9"/>
        <v>0</v>
      </c>
      <c r="O49" s="370">
        <f>O44+O48</f>
        <v>133.26727565728254</v>
      </c>
      <c r="P49" s="371">
        <f>P44+P48</f>
        <v>112.35436085613169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442">
        <f t="shared" si="10"/>
        <v>1.2685809181843742E-2</v>
      </c>
      <c r="J50" s="443">
        <f t="shared" si="10"/>
        <v>1.8835754243782785E-2</v>
      </c>
      <c r="K50" s="443">
        <f t="shared" si="10"/>
        <v>2.4885316726972116E-2</v>
      </c>
      <c r="L50" s="443">
        <f t="shared" si="10"/>
        <v>3.1494264649851327E-2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1.0481731810510063E-2</v>
      </c>
      <c r="P50" s="444">
        <f t="shared" si="10"/>
        <v>2.4632537508181125E-2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120.92729341923065</v>
      </c>
      <c r="G51" s="280">
        <f>(G29*G$11+G46)*Assumptions!$G$21</f>
        <v>647.06488026592172</v>
      </c>
      <c r="H51" s="280">
        <f>(H29*H$11+H46)*Assumptions!$G$21</f>
        <v>65.694221558554844</v>
      </c>
      <c r="I51" s="410">
        <f>(I29*I$11+I46)*Assumptions!$G$21</f>
        <v>102.65030031718017</v>
      </c>
      <c r="J51" s="280">
        <f>(J29*J$11+J46)*Assumptions!$G$21</f>
        <v>97.619277185593035</v>
      </c>
      <c r="K51" s="280">
        <f>(K29*K$11+K46)*Assumptions!$G$21</f>
        <v>98.427076704303815</v>
      </c>
      <c r="L51" s="280">
        <f>(L29*L$11+L46)*Assumptions!$G$21</f>
        <v>99.307999040807331</v>
      </c>
      <c r="M51" s="280">
        <f>(M29*M$11+M46)*Assumptions!$G$21</f>
        <v>83.0671121986136</v>
      </c>
      <c r="N51" s="281">
        <f>(N29*N$11+N46)*Assumptions!$G$21</f>
        <v>0</v>
      </c>
      <c r="O51" s="373">
        <f t="shared" ref="O51:O53" si="11">SUM(F51:N51)</f>
        <v>1314.7581606902052</v>
      </c>
      <c r="P51" s="375">
        <f>SUM(I51:M51)</f>
        <v>481.07176544649792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604.63646709615318</v>
      </c>
      <c r="G52" s="282">
        <f>(G30*G$11+G47)*Assumptions!$G$21</f>
        <v>3229.6152418293127</v>
      </c>
      <c r="H52" s="282">
        <f>(H30*H$11+H47)*Assumptions!$G$21</f>
        <v>327.89962044745232</v>
      </c>
      <c r="I52" s="407">
        <f>(I30*I$11+I47)*Assumptions!$G$21</f>
        <v>513.54024654357909</v>
      </c>
      <c r="J52" s="282">
        <f>(J30*J$11+J47)*Assumptions!$G$21</f>
        <v>489.4973183033224</v>
      </c>
      <c r="K52" s="282">
        <f>(K30*K$11+K47)*Assumptions!$G$21</f>
        <v>494.42900378522847</v>
      </c>
      <c r="L52" s="282">
        <f>(L30*L$11+L47)*Assumptions!$G$21</f>
        <v>499.81827992648738</v>
      </c>
      <c r="M52" s="282">
        <f>(M30*M$11+M47)*Assumptions!$G$21</f>
        <v>418.92704356625211</v>
      </c>
      <c r="N52" s="283">
        <f>(N30*N$11+N47)*Assumptions!$G$21</f>
        <v>0</v>
      </c>
      <c r="O52" s="374">
        <f t="shared" si="11"/>
        <v>6578.3632214977888</v>
      </c>
      <c r="P52" s="376">
        <f>SUM(I52:M52)</f>
        <v>2416.2118921248693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483.7091736769226</v>
      </c>
      <c r="G53" s="282">
        <f>(G31*G$11+G$44)*Assumptions!$G$21</f>
        <v>2573.1423099924809</v>
      </c>
      <c r="H53" s="282">
        <f>(H31*H$11+H$44)*Assumptions!$G$21</f>
        <v>259.52919626621315</v>
      </c>
      <c r="I53" s="407">
        <f>(I31*I$11+I$44)*Assumptions!$G$21</f>
        <v>402.2881141533835</v>
      </c>
      <c r="J53" s="282">
        <f>(J31*J$11+J$44)*Assumptions!$G$21</f>
        <v>379.49752674285719</v>
      </c>
      <c r="K53" s="282">
        <f>(K31*K$11+K$44)*Assumptions!$G$21</f>
        <v>379.49752674285719</v>
      </c>
      <c r="L53" s="282">
        <f>(L31*L$11+L$44)*Assumptions!$G$21</f>
        <v>379.49752674285719</v>
      </c>
      <c r="M53" s="282">
        <f>(M31*M$11+M$44)*Assumptions!$G$21</f>
        <v>314.57168231578953</v>
      </c>
      <c r="N53" s="283">
        <f>(N31*N$11+N$44)*Assumptions!$G$21</f>
        <v>0</v>
      </c>
      <c r="O53" s="374">
        <f t="shared" si="11"/>
        <v>5171.7330566333603</v>
      </c>
      <c r="P53" s="376">
        <f>SUM(I53:M53)</f>
        <v>1855.3523766977446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1209.2729341923064</v>
      </c>
      <c r="G54" s="5">
        <f t="shared" si="12"/>
        <v>6449.8224320877152</v>
      </c>
      <c r="H54" s="5">
        <f t="shared" si="12"/>
        <v>653.12303827222036</v>
      </c>
      <c r="I54" s="411">
        <f t="shared" si="12"/>
        <v>1018.4786610141427</v>
      </c>
      <c r="J54" s="382">
        <f t="shared" si="12"/>
        <v>966.61412223177263</v>
      </c>
      <c r="K54" s="382">
        <f t="shared" si="12"/>
        <v>972.35360723238944</v>
      </c>
      <c r="L54" s="382">
        <f t="shared" si="12"/>
        <v>978.62380571015194</v>
      </c>
      <c r="M54" s="382">
        <f t="shared" si="12"/>
        <v>816.56583808065523</v>
      </c>
      <c r="N54" s="286">
        <f t="shared" si="12"/>
        <v>0</v>
      </c>
      <c r="O54" s="372">
        <f t="shared" si="12"/>
        <v>13064.854438821354</v>
      </c>
      <c r="P54" s="428">
        <f t="shared" si="12"/>
        <v>4752.6360342691114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96.840655137408461</v>
      </c>
      <c r="G57" s="290">
        <f t="shared" ref="G57:N57" si="13">G54*G56</f>
        <v>383.4083091194276</v>
      </c>
      <c r="H57" s="290">
        <f t="shared" si="13"/>
        <v>47.412609260087585</v>
      </c>
      <c r="I57" s="407">
        <f t="shared" si="13"/>
        <v>89.816203281175973</v>
      </c>
      <c r="J57" s="282">
        <f t="shared" si="13"/>
        <v>116.28332860696339</v>
      </c>
      <c r="K57" s="282">
        <f t="shared" si="13"/>
        <v>126.87373164678245</v>
      </c>
      <c r="L57" s="282">
        <f t="shared" si="13"/>
        <v>115.38993084033427</v>
      </c>
      <c r="M57" s="282">
        <f t="shared" si="13"/>
        <v>90.669680393483745</v>
      </c>
      <c r="N57" s="283">
        <f t="shared" si="13"/>
        <v>0</v>
      </c>
      <c r="O57" s="309">
        <f>SUM(F57:N57)</f>
        <v>1066.6944482856634</v>
      </c>
      <c r="P57" s="300">
        <f>SUM(I57:M57)</f>
        <v>539.03287476873982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1306.1135893297148</v>
      </c>
      <c r="G59" s="5">
        <f t="shared" si="14"/>
        <v>6833.2307412071432</v>
      </c>
      <c r="H59" s="5">
        <f t="shared" si="14"/>
        <v>700.53564753230796</v>
      </c>
      <c r="I59" s="411">
        <f t="shared" si="14"/>
        <v>1108.2948642953188</v>
      </c>
      <c r="J59" s="382">
        <f t="shared" si="14"/>
        <v>1082.8974508387359</v>
      </c>
      <c r="K59" s="382">
        <f t="shared" si="14"/>
        <v>1099.2273388791718</v>
      </c>
      <c r="L59" s="382">
        <f t="shared" si="14"/>
        <v>1094.0137365504861</v>
      </c>
      <c r="M59" s="382">
        <f t="shared" si="14"/>
        <v>907.23551847413898</v>
      </c>
      <c r="N59" s="418">
        <f>N54+N57</f>
        <v>0</v>
      </c>
      <c r="O59" s="419">
        <f t="shared" ref="O59:P59" si="15">O54+O57</f>
        <v>14131.548887107017</v>
      </c>
      <c r="P59" s="429">
        <f t="shared" si="15"/>
        <v>5291.6689090378513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96.840655137408461</v>
      </c>
      <c r="G60" s="290">
        <f t="shared" ref="G60:N60" si="16">G57+F60</f>
        <v>480.24896425683608</v>
      </c>
      <c r="H60" s="290">
        <f t="shared" si="16"/>
        <v>527.66157351692368</v>
      </c>
      <c r="I60" s="290">
        <f t="shared" si="16"/>
        <v>617.47777679809963</v>
      </c>
      <c r="J60" s="290">
        <f t="shared" si="16"/>
        <v>733.76110540506306</v>
      </c>
      <c r="K60" s="290">
        <f t="shared" si="16"/>
        <v>860.63483705184547</v>
      </c>
      <c r="L60" s="290">
        <f t="shared" si="16"/>
        <v>976.02476789217974</v>
      </c>
      <c r="M60" s="290">
        <f t="shared" si="16"/>
        <v>1066.6944482856634</v>
      </c>
      <c r="N60" s="290">
        <f t="shared" si="16"/>
        <v>1066.6944482856634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16.68440218237502</v>
      </c>
      <c r="H61" s="252">
        <f t="shared" ref="H61:N61" si="17">H49+G61</f>
        <v>20.912914801150848</v>
      </c>
      <c r="I61" s="252">
        <f t="shared" si="17"/>
        <v>33.459043887146933</v>
      </c>
      <c r="J61" s="252">
        <f t="shared" si="17"/>
        <v>51.032061371995269</v>
      </c>
      <c r="K61" s="252">
        <f t="shared" si="17"/>
        <v>74.249082591276419</v>
      </c>
      <c r="L61" s="252">
        <f t="shared" si="17"/>
        <v>103.6319921472852</v>
      </c>
      <c r="M61" s="252">
        <f t="shared" si="17"/>
        <v>133.26727565728254</v>
      </c>
      <c r="N61" s="252">
        <f t="shared" si="17"/>
        <v>133.26727565728254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1306.1135893297148</v>
      </c>
      <c r="G68" s="282">
        <f t="shared" si="24"/>
        <v>6833.2307412071432</v>
      </c>
      <c r="H68" s="282">
        <f t="shared" si="24"/>
        <v>700.53564753230796</v>
      </c>
      <c r="I68" s="416">
        <f t="shared" si="24"/>
        <v>1108.2948642953188</v>
      </c>
      <c r="J68" s="381">
        <f t="shared" si="24"/>
        <v>1082.8974508387359</v>
      </c>
      <c r="K68" s="381">
        <f t="shared" si="24"/>
        <v>1099.2273388791718</v>
      </c>
      <c r="L68" s="381">
        <f t="shared" si="24"/>
        <v>1094.0137365504861</v>
      </c>
      <c r="M68" s="381">
        <f t="shared" si="24"/>
        <v>907.23551847413898</v>
      </c>
      <c r="N68" s="283">
        <f t="shared" si="24"/>
        <v>0</v>
      </c>
      <c r="O68" s="374">
        <f t="shared" si="20"/>
        <v>14131.548887107019</v>
      </c>
      <c r="P68" s="431">
        <f t="shared" si="21"/>
        <v>5291.6689090378513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1306.1135893297148</v>
      </c>
      <c r="G74" s="5">
        <f t="shared" ref="G74:N74" si="30">+SUM(G64:G73)</f>
        <v>6833.2307412071432</v>
      </c>
      <c r="H74" s="5">
        <f t="shared" si="30"/>
        <v>700.53564753230796</v>
      </c>
      <c r="I74" s="411">
        <f t="shared" si="30"/>
        <v>1108.2948642953188</v>
      </c>
      <c r="J74" s="382">
        <f t="shared" si="30"/>
        <v>1082.8974508387359</v>
      </c>
      <c r="K74" s="382">
        <f t="shared" si="30"/>
        <v>1099.2273388791718</v>
      </c>
      <c r="L74" s="382">
        <f t="shared" si="30"/>
        <v>1094.0137365504861</v>
      </c>
      <c r="M74" s="382">
        <f t="shared" si="30"/>
        <v>907.23551847413898</v>
      </c>
      <c r="N74" s="286">
        <f t="shared" si="30"/>
        <v>0</v>
      </c>
      <c r="O74" s="372">
        <f>SUM(O64:O73)</f>
        <v>14131.548887107019</v>
      </c>
      <c r="P74" s="428">
        <f>SUM(P64:P73)</f>
        <v>5291.6689090378513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1189.1556395384603</v>
      </c>
      <c r="G76" s="280">
        <f t="shared" si="32"/>
        <v>6325.8396899999989</v>
      </c>
      <c r="H76" s="280">
        <f t="shared" si="32"/>
        <v>638.02926253985879</v>
      </c>
      <c r="I76" s="410">
        <f t="shared" si="32"/>
        <v>988.98926399999982</v>
      </c>
      <c r="J76" s="280">
        <f t="shared" si="32"/>
        <v>932.96064800000022</v>
      </c>
      <c r="K76" s="280">
        <f t="shared" si="32"/>
        <v>932.96064800000022</v>
      </c>
      <c r="L76" s="280">
        <f t="shared" si="32"/>
        <v>932.96064800000022</v>
      </c>
      <c r="M76" s="280">
        <f t="shared" si="32"/>
        <v>773.34627999999975</v>
      </c>
      <c r="N76" s="281">
        <f t="shared" si="32"/>
        <v>0</v>
      </c>
      <c r="O76" s="377">
        <f>SUM(F76:N76)</f>
        <v>12714.242080078318</v>
      </c>
      <c r="P76" s="378">
        <f t="shared" ref="P76:P80" si="33">SUM(I76:M76)</f>
        <v>4561.2174880000002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16.68440218237502</v>
      </c>
      <c r="H77" s="282">
        <f>IF(H$10="Prior",0,IF(AND(H76&lt;&gt;0,SUM($F76:G76)=0),H76/SUM($F$76:H76)*H61,IF(H76&lt;&gt;0,SUM($F$76:H76)/SUM($F$11:H11)*H61-G83,0)))</f>
        <v>4.2285126187758273</v>
      </c>
      <c r="I77" s="407">
        <f>IF(I$10="Prior",0,IF(AND(I76&lt;&gt;0,SUM($F76:H76)=0),I76/SUM($F$76:I76)*I61,IF(I76&lt;&gt;0,SUM($F$76:I76)/SUM($F$11:I11)*I61-H83,0)))</f>
        <v>12.546129085996085</v>
      </c>
      <c r="J77" s="282">
        <f>IF(J$10="Prior",0,IF(AND(J76&lt;&gt;0,SUM($F76:I76)=0),J76/SUM($F$76:J76)*J61,IF(J76&lt;&gt;0,SUM($F$76:J76)/SUM($F$11:J11)*J61-I83,0)))</f>
        <v>17.573017484848336</v>
      </c>
      <c r="K77" s="282">
        <f>IF(K$10="Prior",0,IF(AND(K76&lt;&gt;0,SUM($F76:J76)=0),K76/SUM($F$76:K76)*K61,IF(K76&lt;&gt;0,SUM($F$76:K76)/SUM($F$11:K11)*K61-J83,0)))</f>
        <v>23.21702121928115</v>
      </c>
      <c r="L77" s="282">
        <f>IF(L$10="Prior",0,IF(AND(L76&lt;&gt;0,SUM($F76:K76)=0),L76/SUM($F$76:L76)*L61,IF(L76&lt;&gt;0,SUM($F$76:L76)/SUM($F$11:L11)*L61-K83,0)))</f>
        <v>29.382909556008784</v>
      </c>
      <c r="M77" s="282">
        <f>IF(M$10="Prior",0,IF(AND(M76&lt;&gt;0,SUM($F76:L76)=0),M76/SUM($F$76:M76)*M61,IF(M76&lt;&gt;0,SUM($F$76:M76)/SUM($F$11:M11)*M61-L83,0)))</f>
        <v>29.635283509997336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133.26727565728254</v>
      </c>
      <c r="P77" s="455">
        <f t="shared" si="33"/>
        <v>112.35436085613169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1189.1556395384603</v>
      </c>
      <c r="G78" s="457">
        <f t="shared" ref="G78:N78" si="34">SUM(G76:G77)</f>
        <v>6342.5240921823743</v>
      </c>
      <c r="H78" s="457">
        <f t="shared" si="34"/>
        <v>642.25777515863467</v>
      </c>
      <c r="I78" s="458">
        <f t="shared" si="34"/>
        <v>1001.5353930859959</v>
      </c>
      <c r="J78" s="457">
        <f t="shared" si="34"/>
        <v>950.5336654848486</v>
      </c>
      <c r="K78" s="457">
        <f t="shared" si="34"/>
        <v>956.17766921928137</v>
      </c>
      <c r="L78" s="457">
        <f t="shared" si="34"/>
        <v>962.34355755600905</v>
      </c>
      <c r="M78" s="457">
        <f t="shared" si="34"/>
        <v>802.98156350999705</v>
      </c>
      <c r="N78" s="459">
        <f t="shared" si="34"/>
        <v>0</v>
      </c>
      <c r="O78" s="460">
        <f>SUM(F78:N78)</f>
        <v>12847.509355735601</v>
      </c>
      <c r="P78" s="461">
        <f t="shared" si="33"/>
        <v>4673.5718488561315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1209.2729341923064</v>
      </c>
      <c r="G79" s="457">
        <f>G78*Assumptions!$G$21</f>
        <v>6449.8224320877152</v>
      </c>
      <c r="H79" s="457">
        <f>H78*Assumptions!$G$21</f>
        <v>653.1230382722207</v>
      </c>
      <c r="I79" s="458">
        <f>I78*Assumptions!$G$21</f>
        <v>1018.4786610141425</v>
      </c>
      <c r="J79" s="457">
        <f>J78*Assumptions!$G$21</f>
        <v>966.61412223177274</v>
      </c>
      <c r="K79" s="457">
        <f>K78*Assumptions!$G$21</f>
        <v>972.35360723238955</v>
      </c>
      <c r="L79" s="457">
        <f>L78*Assumptions!$G$21</f>
        <v>978.62380571015217</v>
      </c>
      <c r="M79" s="457">
        <f>M78*Assumptions!$G$21</f>
        <v>816.565838080655</v>
      </c>
      <c r="N79" s="459">
        <f>N78*Assumptions!$G$21</f>
        <v>0</v>
      </c>
      <c r="O79" s="460">
        <f>SUM(F79:N79)</f>
        <v>13064.854438821354</v>
      </c>
      <c r="P79" s="461">
        <f t="shared" si="33"/>
        <v>4752.6360342691123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96.840655137408461</v>
      </c>
      <c r="G80" s="282">
        <f>IF(G$10="Prior",G79*G56,IF(AND(G79&lt;&gt;0,SUM($F79:F79)=0),G79/SUM($F$54:G54)*G60,IF(G79&lt;&gt;0,SUM($F$79:G79)/SUM($F$54:G54)*G60-F82,0)))</f>
        <v>383.4083091194276</v>
      </c>
      <c r="H80" s="282">
        <f>IF(H$10="Prior",H79*H56,IF(AND(H79&lt;&gt;0,SUM($F79:G79)=0),H79/SUM($F$54:H54)*H60,IF(H79&lt;&gt;0,SUM($F$79:H79)/SUM($F$54:H54)*H60-G82,0)))</f>
        <v>47.412609260087606</v>
      </c>
      <c r="I80" s="407">
        <f>IF(I$10="Prior",I79*I56,IF(AND(I79&lt;&gt;0,SUM($F79:H79)=0),I79/SUM($F$54:I54)*I60,IF(I79&lt;&gt;0,SUM($F$79:I79)/SUM($F$54:I54)*I60-H82,0)))</f>
        <v>89.816203281175831</v>
      </c>
      <c r="J80" s="282">
        <f>IF(J$10="Prior",J79*J56,IF(AND(J79&lt;&gt;0,SUM($F79:I79)=0),J79/SUM($F$54:J54)*J60,IF(J79&lt;&gt;0,SUM($F$79:J79)/SUM($F$54:J54)*J60-I82,0)))</f>
        <v>116.28332860696344</v>
      </c>
      <c r="K80" s="282">
        <f>IF(K$10="Prior",K79*K56,IF(AND(K79&lt;&gt;0,SUM($F79:J79)=0),K79/SUM($F$54:K54)*K60,IF(K79&lt;&gt;0,SUM($F$79:K79)/SUM($F$54:K54)*K60-J82,0)))</f>
        <v>126.8737316467824</v>
      </c>
      <c r="L80" s="282">
        <f>IF(L$10="Prior",L79*L56,IF(AND(L79&lt;&gt;0,SUM($F79:K79)=0),L79/SUM($F$54:L54)*L60,IF(L79&lt;&gt;0,SUM($F$79:L79)/SUM($F$54:L54)*L60-K82,0)))</f>
        <v>115.38993084033427</v>
      </c>
      <c r="M80" s="282">
        <f>IF(M$10="Prior",M79*M56,IF(AND(M79&lt;&gt;0,SUM($F79:L79)=0),M79/SUM($F$54:M54)*M60,IF(M79&lt;&gt;0,SUM($F$79:M79)/SUM($F$54:M54)*M60-L82,0)))</f>
        <v>90.669680393483532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1066.6944482856632</v>
      </c>
      <c r="P80" s="300">
        <f t="shared" si="33"/>
        <v>539.03287476873948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1306.1135893297148</v>
      </c>
      <c r="G81" s="307">
        <f t="shared" ref="G81:P81" si="35">SUM(G79:G80)</f>
        <v>6833.2307412071432</v>
      </c>
      <c r="H81" s="307">
        <f t="shared" si="35"/>
        <v>700.5356475323083</v>
      </c>
      <c r="I81" s="417">
        <f t="shared" si="35"/>
        <v>1108.2948642953183</v>
      </c>
      <c r="J81" s="387">
        <f t="shared" si="35"/>
        <v>1082.8974508387362</v>
      </c>
      <c r="K81" s="387">
        <f t="shared" si="35"/>
        <v>1099.2273388791718</v>
      </c>
      <c r="L81" s="387">
        <f t="shared" si="35"/>
        <v>1094.0137365504866</v>
      </c>
      <c r="M81" s="387">
        <f t="shared" si="35"/>
        <v>907.23551847413853</v>
      </c>
      <c r="N81" s="420">
        <f t="shared" si="35"/>
        <v>0</v>
      </c>
      <c r="O81" s="421">
        <f t="shared" si="35"/>
        <v>14131.548887107017</v>
      </c>
      <c r="P81" s="388">
        <f t="shared" si="35"/>
        <v>5291.6689090378513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96.840655137408461</v>
      </c>
      <c r="G82" s="252">
        <f t="shared" ref="G82:N82" si="36">G80+F82</f>
        <v>480.24896425683608</v>
      </c>
      <c r="H82" s="252">
        <f t="shared" si="36"/>
        <v>527.66157351692368</v>
      </c>
      <c r="I82" s="252">
        <f t="shared" si="36"/>
        <v>617.47777679809951</v>
      </c>
      <c r="J82" s="252">
        <f t="shared" si="36"/>
        <v>733.76110540506295</v>
      </c>
      <c r="K82" s="252">
        <f t="shared" si="36"/>
        <v>860.63483705184535</v>
      </c>
      <c r="L82" s="252">
        <f t="shared" si="36"/>
        <v>976.02476789217963</v>
      </c>
      <c r="M82" s="252">
        <f t="shared" si="36"/>
        <v>1066.6944482856632</v>
      </c>
      <c r="N82" s="252">
        <f t="shared" si="36"/>
        <v>1066.6944482856632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16.68440218237502</v>
      </c>
      <c r="H83" s="252">
        <f t="shared" si="37"/>
        <v>20.912914801150848</v>
      </c>
      <c r="I83" s="252">
        <f t="shared" si="37"/>
        <v>33.459043887146933</v>
      </c>
      <c r="J83" s="252">
        <f t="shared" si="37"/>
        <v>51.032061371995269</v>
      </c>
      <c r="K83" s="252">
        <f t="shared" si="37"/>
        <v>74.249082591276419</v>
      </c>
      <c r="L83" s="252">
        <f t="shared" si="37"/>
        <v>103.6319921472852</v>
      </c>
      <c r="M83" s="252">
        <f t="shared" si="37"/>
        <v>133.26727565728254</v>
      </c>
      <c r="N83" s="252">
        <f t="shared" si="37"/>
        <v>133.26727565728254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1306.1135893297151</v>
      </c>
      <c r="G89" s="290">
        <f t="shared" si="44"/>
        <v>6833.2307412071441</v>
      </c>
      <c r="H89" s="290">
        <f t="shared" si="44"/>
        <v>700.53564753230842</v>
      </c>
      <c r="I89" s="416">
        <f t="shared" si="44"/>
        <v>1108.2948642953186</v>
      </c>
      <c r="J89" s="381">
        <f t="shared" si="44"/>
        <v>1082.8974508387364</v>
      </c>
      <c r="K89" s="381">
        <f t="shared" si="44"/>
        <v>1099.2273388791721</v>
      </c>
      <c r="L89" s="381">
        <f t="shared" si="44"/>
        <v>1094.0137365504868</v>
      </c>
      <c r="M89" s="381">
        <f t="shared" si="44"/>
        <v>907.23551847413864</v>
      </c>
      <c r="N89" s="346">
        <f t="shared" si="44"/>
        <v>0</v>
      </c>
      <c r="O89" s="374">
        <f t="shared" si="41"/>
        <v>14131.548887107021</v>
      </c>
      <c r="P89" s="431">
        <f t="shared" si="39"/>
        <v>5291.6689090378532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1306.1135893297151</v>
      </c>
      <c r="G95" s="5">
        <f t="shared" ref="G95" si="50">+SUM(G85:G94)</f>
        <v>6833.2307412071441</v>
      </c>
      <c r="H95" s="5">
        <f t="shared" ref="H95:N95" si="51">+SUM(H85:H94)</f>
        <v>700.53564753230842</v>
      </c>
      <c r="I95" s="411">
        <f t="shared" si="51"/>
        <v>1108.2948642953186</v>
      </c>
      <c r="J95" s="382">
        <f t="shared" si="51"/>
        <v>1082.8974508387364</v>
      </c>
      <c r="K95" s="382">
        <f t="shared" si="51"/>
        <v>1099.2273388791721</v>
      </c>
      <c r="L95" s="382">
        <f t="shared" si="51"/>
        <v>1094.0137365504868</v>
      </c>
      <c r="M95" s="382">
        <f t="shared" si="51"/>
        <v>907.23551847413864</v>
      </c>
      <c r="N95" s="286">
        <f t="shared" si="51"/>
        <v>0</v>
      </c>
      <c r="O95" s="372">
        <f>SUM(O85:O94)</f>
        <v>14131.548887107021</v>
      </c>
      <c r="P95" s="428">
        <f>SUM(P85:P94)</f>
        <v>5291.6689090378532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G21</f>
        <v>1</v>
      </c>
      <c r="H101" s="2">
        <f t="shared" ref="H101:N101" si="53">H21</f>
        <v>1</v>
      </c>
      <c r="I101" s="2">
        <f t="shared" si="53"/>
        <v>1</v>
      </c>
      <c r="J101" s="2">
        <f t="shared" si="53"/>
        <v>1</v>
      </c>
      <c r="K101" s="2">
        <f t="shared" si="53"/>
        <v>1</v>
      </c>
      <c r="L101" s="2">
        <f t="shared" si="53"/>
        <v>1</v>
      </c>
      <c r="M101" s="2">
        <f t="shared" si="53"/>
        <v>1</v>
      </c>
      <c r="N101" s="2">
        <f t="shared" si="53"/>
        <v>1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6">H22</f>
        <v>0</v>
      </c>
      <c r="I107" s="2">
        <f t="shared" si="56"/>
        <v>0</v>
      </c>
      <c r="J107" s="2">
        <f t="shared" si="56"/>
        <v>0</v>
      </c>
      <c r="K107" s="2">
        <f t="shared" si="56"/>
        <v>0</v>
      </c>
      <c r="L107" s="2">
        <f t="shared" si="56"/>
        <v>0</v>
      </c>
      <c r="M107" s="2">
        <f t="shared" si="56"/>
        <v>0</v>
      </c>
      <c r="N107" s="2">
        <f t="shared" si="56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8">H99*H$53</f>
        <v>0</v>
      </c>
      <c r="I111" s="191">
        <f t="shared" si="58"/>
        <v>0</v>
      </c>
      <c r="J111" s="191">
        <f t="shared" si="58"/>
        <v>0</v>
      </c>
      <c r="K111" s="191">
        <f t="shared" si="58"/>
        <v>0</v>
      </c>
      <c r="L111" s="191">
        <f t="shared" si="58"/>
        <v>0</v>
      </c>
      <c r="M111" s="191">
        <f t="shared" si="58"/>
        <v>0</v>
      </c>
      <c r="N111" s="191">
        <f t="shared" si="58"/>
        <v>0</v>
      </c>
      <c r="O111" s="191">
        <f t="shared" ref="O111:O119" si="59">SUM(F111:N111)</f>
        <v>0</v>
      </c>
      <c r="P111" s="191">
        <f t="shared" ref="P111:P119" si="60">SUM(I111:M111)</f>
        <v>0</v>
      </c>
    </row>
    <row r="112" spans="3:16" hidden="1" outlineLevel="1">
      <c r="D112" s="248" t="s">
        <v>380</v>
      </c>
      <c r="G112" s="191">
        <f t="shared" ref="G112:N119" si="61">G100*G$53</f>
        <v>0</v>
      </c>
      <c r="H112" s="191">
        <f t="shared" si="61"/>
        <v>0</v>
      </c>
      <c r="I112" s="191">
        <f t="shared" si="61"/>
        <v>0</v>
      </c>
      <c r="J112" s="191">
        <f t="shared" si="61"/>
        <v>0</v>
      </c>
      <c r="K112" s="191">
        <f t="shared" si="61"/>
        <v>0</v>
      </c>
      <c r="L112" s="191">
        <f t="shared" si="61"/>
        <v>0</v>
      </c>
      <c r="M112" s="191">
        <f t="shared" si="61"/>
        <v>0</v>
      </c>
      <c r="N112" s="191">
        <f t="shared" si="61"/>
        <v>0</v>
      </c>
      <c r="O112" s="191">
        <f t="shared" si="59"/>
        <v>0</v>
      </c>
      <c r="P112" s="191">
        <f t="shared" si="60"/>
        <v>0</v>
      </c>
    </row>
    <row r="113" spans="4:16" hidden="1" outlineLevel="1">
      <c r="D113" s="248" t="s">
        <v>381</v>
      </c>
      <c r="G113" s="191">
        <f t="shared" si="61"/>
        <v>2573.1423099924809</v>
      </c>
      <c r="H113" s="191">
        <f t="shared" si="61"/>
        <v>259.52919626621315</v>
      </c>
      <c r="I113" s="191">
        <f t="shared" si="61"/>
        <v>402.2881141533835</v>
      </c>
      <c r="J113" s="191">
        <f t="shared" si="61"/>
        <v>379.49752674285719</v>
      </c>
      <c r="K113" s="191">
        <f t="shared" si="61"/>
        <v>379.49752674285719</v>
      </c>
      <c r="L113" s="191">
        <f t="shared" si="61"/>
        <v>379.49752674285719</v>
      </c>
      <c r="M113" s="191">
        <f t="shared" si="61"/>
        <v>314.57168231578953</v>
      </c>
      <c r="N113" s="191">
        <f t="shared" si="61"/>
        <v>0</v>
      </c>
      <c r="O113" s="191">
        <f t="shared" si="59"/>
        <v>4688.0238829564387</v>
      </c>
      <c r="P113" s="191">
        <f t="shared" si="60"/>
        <v>1855.3523766977446</v>
      </c>
    </row>
    <row r="114" spans="4:16" hidden="1" outlineLevel="1">
      <c r="D114" s="248" t="s">
        <v>382</v>
      </c>
      <c r="G114" s="191">
        <f t="shared" si="61"/>
        <v>0</v>
      </c>
      <c r="H114" s="191">
        <f t="shared" si="61"/>
        <v>0</v>
      </c>
      <c r="I114" s="191">
        <f t="shared" si="61"/>
        <v>0</v>
      </c>
      <c r="J114" s="191">
        <f t="shared" si="61"/>
        <v>0</v>
      </c>
      <c r="K114" s="191">
        <f t="shared" si="61"/>
        <v>0</v>
      </c>
      <c r="L114" s="191">
        <f t="shared" si="61"/>
        <v>0</v>
      </c>
      <c r="M114" s="191">
        <f t="shared" si="61"/>
        <v>0</v>
      </c>
      <c r="N114" s="191">
        <f t="shared" si="61"/>
        <v>0</v>
      </c>
      <c r="O114" s="191">
        <f t="shared" si="59"/>
        <v>0</v>
      </c>
      <c r="P114" s="191">
        <f t="shared" si="60"/>
        <v>0</v>
      </c>
    </row>
    <row r="115" spans="4:16" hidden="1" outlineLevel="1">
      <c r="D115" s="248" t="s">
        <v>383</v>
      </c>
      <c r="G115" s="191">
        <f t="shared" si="61"/>
        <v>0</v>
      </c>
      <c r="H115" s="191">
        <f t="shared" si="61"/>
        <v>0</v>
      </c>
      <c r="I115" s="191">
        <f t="shared" si="61"/>
        <v>0</v>
      </c>
      <c r="J115" s="191">
        <f t="shared" si="61"/>
        <v>0</v>
      </c>
      <c r="K115" s="191">
        <f t="shared" si="61"/>
        <v>0</v>
      </c>
      <c r="L115" s="191">
        <f t="shared" si="61"/>
        <v>0</v>
      </c>
      <c r="M115" s="191">
        <f t="shared" si="61"/>
        <v>0</v>
      </c>
      <c r="N115" s="191">
        <f t="shared" si="61"/>
        <v>0</v>
      </c>
      <c r="O115" s="191">
        <f t="shared" si="59"/>
        <v>0</v>
      </c>
      <c r="P115" s="191">
        <f t="shared" si="60"/>
        <v>0</v>
      </c>
    </row>
    <row r="116" spans="4:16" hidden="1" outlineLevel="1">
      <c r="D116" s="248" t="s">
        <v>384</v>
      </c>
      <c r="G116" s="191">
        <f t="shared" si="61"/>
        <v>0</v>
      </c>
      <c r="H116" s="191">
        <f t="shared" si="61"/>
        <v>0</v>
      </c>
      <c r="I116" s="191">
        <f t="shared" si="61"/>
        <v>0</v>
      </c>
      <c r="J116" s="191">
        <f t="shared" si="61"/>
        <v>0</v>
      </c>
      <c r="K116" s="191">
        <f t="shared" si="61"/>
        <v>0</v>
      </c>
      <c r="L116" s="191">
        <f t="shared" si="61"/>
        <v>0</v>
      </c>
      <c r="M116" s="191">
        <f t="shared" si="61"/>
        <v>0</v>
      </c>
      <c r="N116" s="191">
        <f t="shared" si="61"/>
        <v>0</v>
      </c>
      <c r="O116" s="191">
        <f t="shared" si="59"/>
        <v>0</v>
      </c>
      <c r="P116" s="191">
        <f t="shared" si="60"/>
        <v>0</v>
      </c>
    </row>
    <row r="117" spans="4:16" hidden="1" outlineLevel="1">
      <c r="D117" s="248" t="s">
        <v>385</v>
      </c>
      <c r="G117" s="191">
        <f t="shared" si="61"/>
        <v>0</v>
      </c>
      <c r="H117" s="191">
        <f t="shared" si="61"/>
        <v>0</v>
      </c>
      <c r="I117" s="191">
        <f t="shared" si="61"/>
        <v>0</v>
      </c>
      <c r="J117" s="191">
        <f t="shared" si="61"/>
        <v>0</v>
      </c>
      <c r="K117" s="191">
        <f t="shared" si="61"/>
        <v>0</v>
      </c>
      <c r="L117" s="191">
        <f t="shared" si="61"/>
        <v>0</v>
      </c>
      <c r="M117" s="191">
        <f t="shared" si="61"/>
        <v>0</v>
      </c>
      <c r="N117" s="191">
        <f t="shared" si="61"/>
        <v>0</v>
      </c>
      <c r="O117" s="191">
        <f t="shared" si="59"/>
        <v>0</v>
      </c>
      <c r="P117" s="191">
        <f t="shared" si="60"/>
        <v>0</v>
      </c>
    </row>
    <row r="118" spans="4:16" hidden="1" outlineLevel="1">
      <c r="D118" s="248" t="s">
        <v>386</v>
      </c>
      <c r="G118" s="191">
        <f t="shared" si="61"/>
        <v>0</v>
      </c>
      <c r="H118" s="191">
        <f t="shared" si="61"/>
        <v>0</v>
      </c>
      <c r="I118" s="191">
        <f t="shared" si="61"/>
        <v>0</v>
      </c>
      <c r="J118" s="191">
        <f t="shared" si="61"/>
        <v>0</v>
      </c>
      <c r="K118" s="191">
        <f t="shared" si="61"/>
        <v>0</v>
      </c>
      <c r="L118" s="191">
        <f t="shared" si="61"/>
        <v>0</v>
      </c>
      <c r="M118" s="191">
        <f t="shared" si="61"/>
        <v>0</v>
      </c>
      <c r="N118" s="191">
        <f t="shared" si="61"/>
        <v>0</v>
      </c>
      <c r="O118" s="191">
        <f t="shared" si="59"/>
        <v>0</v>
      </c>
      <c r="P118" s="191">
        <f t="shared" si="60"/>
        <v>0</v>
      </c>
    </row>
    <row r="119" spans="4:16" hidden="1" outlineLevel="1">
      <c r="D119" s="248" t="s">
        <v>387</v>
      </c>
      <c r="G119" s="912">
        <f t="shared" si="61"/>
        <v>0</v>
      </c>
      <c r="H119" s="912">
        <f t="shared" si="61"/>
        <v>0</v>
      </c>
      <c r="I119" s="912">
        <f t="shared" si="61"/>
        <v>0</v>
      </c>
      <c r="J119" s="912">
        <f t="shared" si="61"/>
        <v>0</v>
      </c>
      <c r="K119" s="912">
        <f t="shared" si="61"/>
        <v>0</v>
      </c>
      <c r="L119" s="912">
        <f t="shared" si="61"/>
        <v>0</v>
      </c>
      <c r="M119" s="912">
        <f t="shared" si="61"/>
        <v>0</v>
      </c>
      <c r="N119" s="912">
        <f t="shared" si="61"/>
        <v>0</v>
      </c>
      <c r="O119" s="912">
        <f t="shared" si="59"/>
        <v>0</v>
      </c>
      <c r="P119" s="912">
        <f t="shared" si="60"/>
        <v>0</v>
      </c>
    </row>
    <row r="120" spans="4:16" hidden="1" outlineLevel="1">
      <c r="D120" s="248" t="s">
        <v>440</v>
      </c>
      <c r="G120" s="191">
        <f>SUM(G111:G119)</f>
        <v>2573.1423099924809</v>
      </c>
      <c r="H120" s="191">
        <f t="shared" ref="H120:P120" si="62">SUM(H111:H119)</f>
        <v>259.52919626621315</v>
      </c>
      <c r="I120" s="191">
        <f t="shared" si="62"/>
        <v>402.2881141533835</v>
      </c>
      <c r="J120" s="191">
        <f t="shared" si="62"/>
        <v>379.49752674285719</v>
      </c>
      <c r="K120" s="191">
        <f t="shared" si="62"/>
        <v>379.49752674285719</v>
      </c>
      <c r="L120" s="191">
        <f t="shared" si="62"/>
        <v>379.49752674285719</v>
      </c>
      <c r="M120" s="191">
        <f t="shared" si="62"/>
        <v>314.57168231578953</v>
      </c>
      <c r="N120" s="191">
        <f t="shared" si="62"/>
        <v>0</v>
      </c>
      <c r="O120" s="191">
        <f t="shared" si="62"/>
        <v>4688.0238829564387</v>
      </c>
      <c r="P120" s="191">
        <f t="shared" si="62"/>
        <v>1855.3523766977446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3">H99*H$51</f>
        <v>0</v>
      </c>
      <c r="I123" s="191">
        <f t="shared" si="63"/>
        <v>0</v>
      </c>
      <c r="J123" s="191">
        <f t="shared" si="63"/>
        <v>0</v>
      </c>
      <c r="K123" s="191">
        <f t="shared" si="63"/>
        <v>0</v>
      </c>
      <c r="L123" s="191">
        <f t="shared" si="63"/>
        <v>0</v>
      </c>
      <c r="M123" s="191">
        <f t="shared" si="63"/>
        <v>0</v>
      </c>
      <c r="N123" s="191">
        <f t="shared" si="63"/>
        <v>0</v>
      </c>
      <c r="O123" s="191">
        <f t="shared" ref="O123:O131" si="64">SUM(F123:N123)</f>
        <v>0</v>
      </c>
      <c r="P123" s="191">
        <f t="shared" ref="P123:P131" si="65">SUM(I123:M123)</f>
        <v>0</v>
      </c>
    </row>
    <row r="124" spans="4:16" hidden="1" outlineLevel="1">
      <c r="D124" s="248" t="s">
        <v>380</v>
      </c>
      <c r="G124" s="191">
        <f t="shared" ref="G124:N131" si="66">G100*G$51</f>
        <v>0</v>
      </c>
      <c r="H124" s="191">
        <f t="shared" si="66"/>
        <v>0</v>
      </c>
      <c r="I124" s="191">
        <f t="shared" si="66"/>
        <v>0</v>
      </c>
      <c r="J124" s="191">
        <f t="shared" si="66"/>
        <v>0</v>
      </c>
      <c r="K124" s="191">
        <f t="shared" si="66"/>
        <v>0</v>
      </c>
      <c r="L124" s="191">
        <f t="shared" si="66"/>
        <v>0</v>
      </c>
      <c r="M124" s="191">
        <f t="shared" si="66"/>
        <v>0</v>
      </c>
      <c r="N124" s="191">
        <f t="shared" si="66"/>
        <v>0</v>
      </c>
      <c r="O124" s="191">
        <f t="shared" si="64"/>
        <v>0</v>
      </c>
      <c r="P124" s="191">
        <f t="shared" si="65"/>
        <v>0</v>
      </c>
    </row>
    <row r="125" spans="4:16" hidden="1" outlineLevel="1">
      <c r="D125" s="248" t="s">
        <v>381</v>
      </c>
      <c r="G125" s="191">
        <f t="shared" si="66"/>
        <v>647.06488026592172</v>
      </c>
      <c r="H125" s="191">
        <f t="shared" si="66"/>
        <v>65.694221558554844</v>
      </c>
      <c r="I125" s="191">
        <f t="shared" si="66"/>
        <v>102.65030031718017</v>
      </c>
      <c r="J125" s="191">
        <f t="shared" si="66"/>
        <v>97.619277185593035</v>
      </c>
      <c r="K125" s="191">
        <f t="shared" si="66"/>
        <v>98.427076704303815</v>
      </c>
      <c r="L125" s="191">
        <f t="shared" si="66"/>
        <v>99.307999040807331</v>
      </c>
      <c r="M125" s="191">
        <f t="shared" si="66"/>
        <v>83.0671121986136</v>
      </c>
      <c r="N125" s="191">
        <f t="shared" si="66"/>
        <v>0</v>
      </c>
      <c r="O125" s="191">
        <f t="shared" si="64"/>
        <v>1193.8308672709745</v>
      </c>
      <c r="P125" s="191">
        <f t="shared" si="65"/>
        <v>481.07176544649792</v>
      </c>
    </row>
    <row r="126" spans="4:16" hidden="1" outlineLevel="1">
      <c r="D126" s="248" t="s">
        <v>382</v>
      </c>
      <c r="G126" s="191">
        <f t="shared" si="66"/>
        <v>0</v>
      </c>
      <c r="H126" s="191">
        <f t="shared" si="66"/>
        <v>0</v>
      </c>
      <c r="I126" s="191">
        <f t="shared" si="66"/>
        <v>0</v>
      </c>
      <c r="J126" s="191">
        <f t="shared" si="66"/>
        <v>0</v>
      </c>
      <c r="K126" s="191">
        <f t="shared" si="66"/>
        <v>0</v>
      </c>
      <c r="L126" s="191">
        <f t="shared" si="66"/>
        <v>0</v>
      </c>
      <c r="M126" s="191">
        <f t="shared" si="66"/>
        <v>0</v>
      </c>
      <c r="N126" s="191">
        <f t="shared" si="66"/>
        <v>0</v>
      </c>
      <c r="O126" s="191">
        <f t="shared" si="64"/>
        <v>0</v>
      </c>
      <c r="P126" s="191">
        <f t="shared" si="65"/>
        <v>0</v>
      </c>
    </row>
    <row r="127" spans="4:16" hidden="1" outlineLevel="1">
      <c r="D127" s="248" t="s">
        <v>383</v>
      </c>
      <c r="G127" s="191">
        <f t="shared" si="66"/>
        <v>0</v>
      </c>
      <c r="H127" s="191">
        <f t="shared" si="66"/>
        <v>0</v>
      </c>
      <c r="I127" s="191">
        <f t="shared" si="66"/>
        <v>0</v>
      </c>
      <c r="J127" s="191">
        <f t="shared" si="66"/>
        <v>0</v>
      </c>
      <c r="K127" s="191">
        <f t="shared" si="66"/>
        <v>0</v>
      </c>
      <c r="L127" s="191">
        <f t="shared" si="66"/>
        <v>0</v>
      </c>
      <c r="M127" s="191">
        <f t="shared" si="66"/>
        <v>0</v>
      </c>
      <c r="N127" s="191">
        <f t="shared" si="66"/>
        <v>0</v>
      </c>
      <c r="O127" s="191">
        <f t="shared" si="64"/>
        <v>0</v>
      </c>
      <c r="P127" s="191">
        <f t="shared" si="65"/>
        <v>0</v>
      </c>
    </row>
    <row r="128" spans="4:16" hidden="1" outlineLevel="1">
      <c r="D128" s="248" t="s">
        <v>384</v>
      </c>
      <c r="G128" s="191">
        <f t="shared" si="66"/>
        <v>0</v>
      </c>
      <c r="H128" s="191">
        <f t="shared" si="66"/>
        <v>0</v>
      </c>
      <c r="I128" s="191">
        <f t="shared" si="66"/>
        <v>0</v>
      </c>
      <c r="J128" s="191">
        <f t="shared" si="66"/>
        <v>0</v>
      </c>
      <c r="K128" s="191">
        <f t="shared" si="66"/>
        <v>0</v>
      </c>
      <c r="L128" s="191">
        <f t="shared" si="66"/>
        <v>0</v>
      </c>
      <c r="M128" s="191">
        <f t="shared" si="66"/>
        <v>0</v>
      </c>
      <c r="N128" s="191">
        <f t="shared" si="66"/>
        <v>0</v>
      </c>
      <c r="O128" s="191">
        <f t="shared" si="64"/>
        <v>0</v>
      </c>
      <c r="P128" s="191">
        <f t="shared" si="65"/>
        <v>0</v>
      </c>
    </row>
    <row r="129" spans="4:16" hidden="1" outlineLevel="1">
      <c r="D129" s="248" t="s">
        <v>385</v>
      </c>
      <c r="G129" s="191">
        <f t="shared" si="66"/>
        <v>0</v>
      </c>
      <c r="H129" s="191">
        <f t="shared" si="66"/>
        <v>0</v>
      </c>
      <c r="I129" s="191">
        <f t="shared" si="66"/>
        <v>0</v>
      </c>
      <c r="J129" s="191">
        <f t="shared" si="66"/>
        <v>0</v>
      </c>
      <c r="K129" s="191">
        <f t="shared" si="66"/>
        <v>0</v>
      </c>
      <c r="L129" s="191">
        <f t="shared" si="66"/>
        <v>0</v>
      </c>
      <c r="M129" s="191">
        <f t="shared" si="66"/>
        <v>0</v>
      </c>
      <c r="N129" s="191">
        <f t="shared" si="66"/>
        <v>0</v>
      </c>
      <c r="O129" s="191">
        <f t="shared" si="64"/>
        <v>0</v>
      </c>
      <c r="P129" s="191">
        <f t="shared" si="65"/>
        <v>0</v>
      </c>
    </row>
    <row r="130" spans="4:16" hidden="1" outlineLevel="1">
      <c r="D130" s="248" t="s">
        <v>386</v>
      </c>
      <c r="G130" s="191">
        <f t="shared" si="66"/>
        <v>0</v>
      </c>
      <c r="H130" s="191">
        <f t="shared" si="66"/>
        <v>0</v>
      </c>
      <c r="I130" s="191">
        <f t="shared" si="66"/>
        <v>0</v>
      </c>
      <c r="J130" s="191">
        <f t="shared" si="66"/>
        <v>0</v>
      </c>
      <c r="K130" s="191">
        <f t="shared" si="66"/>
        <v>0</v>
      </c>
      <c r="L130" s="191">
        <f t="shared" si="66"/>
        <v>0</v>
      </c>
      <c r="M130" s="191">
        <f t="shared" si="66"/>
        <v>0</v>
      </c>
      <c r="N130" s="191">
        <f t="shared" si="66"/>
        <v>0</v>
      </c>
      <c r="O130" s="191">
        <f t="shared" si="64"/>
        <v>0</v>
      </c>
      <c r="P130" s="191">
        <f t="shared" si="65"/>
        <v>0</v>
      </c>
    </row>
    <row r="131" spans="4:16" hidden="1" outlineLevel="1">
      <c r="D131" s="248" t="s">
        <v>387</v>
      </c>
      <c r="G131" s="912">
        <f t="shared" si="66"/>
        <v>0</v>
      </c>
      <c r="H131" s="912">
        <f t="shared" si="66"/>
        <v>0</v>
      </c>
      <c r="I131" s="912">
        <f t="shared" si="66"/>
        <v>0</v>
      </c>
      <c r="J131" s="912">
        <f t="shared" si="66"/>
        <v>0</v>
      </c>
      <c r="K131" s="912">
        <f t="shared" si="66"/>
        <v>0</v>
      </c>
      <c r="L131" s="912">
        <f t="shared" si="66"/>
        <v>0</v>
      </c>
      <c r="M131" s="912">
        <f t="shared" si="66"/>
        <v>0</v>
      </c>
      <c r="N131" s="912">
        <f t="shared" si="66"/>
        <v>0</v>
      </c>
      <c r="O131" s="912">
        <f t="shared" si="64"/>
        <v>0</v>
      </c>
      <c r="P131" s="912">
        <f t="shared" si="65"/>
        <v>0</v>
      </c>
    </row>
    <row r="132" spans="4:16" hidden="1" outlineLevel="1">
      <c r="D132" s="248" t="s">
        <v>441</v>
      </c>
      <c r="G132" s="191">
        <f>SUM(G123:G131)</f>
        <v>647.06488026592172</v>
      </c>
      <c r="H132" s="191">
        <f t="shared" ref="H132:P132" si="67">SUM(H123:H131)</f>
        <v>65.694221558554844</v>
      </c>
      <c r="I132" s="191">
        <f t="shared" si="67"/>
        <v>102.65030031718017</v>
      </c>
      <c r="J132" s="191">
        <f t="shared" si="67"/>
        <v>97.619277185593035</v>
      </c>
      <c r="K132" s="191">
        <f t="shared" si="67"/>
        <v>98.427076704303815</v>
      </c>
      <c r="L132" s="191">
        <f t="shared" si="67"/>
        <v>99.307999040807331</v>
      </c>
      <c r="M132" s="191">
        <f t="shared" si="67"/>
        <v>83.0671121986136</v>
      </c>
      <c r="N132" s="191">
        <f t="shared" si="67"/>
        <v>0</v>
      </c>
      <c r="O132" s="191">
        <f t="shared" si="67"/>
        <v>1193.8308672709745</v>
      </c>
      <c r="P132" s="191">
        <f t="shared" si="67"/>
        <v>481.07176544649792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8">H99*H$52</f>
        <v>0</v>
      </c>
      <c r="I135" s="191">
        <f t="shared" si="68"/>
        <v>0</v>
      </c>
      <c r="J135" s="191">
        <f t="shared" si="68"/>
        <v>0</v>
      </c>
      <c r="K135" s="191">
        <f t="shared" si="68"/>
        <v>0</v>
      </c>
      <c r="L135" s="191">
        <f t="shared" si="68"/>
        <v>0</v>
      </c>
      <c r="M135" s="191">
        <f t="shared" si="68"/>
        <v>0</v>
      </c>
      <c r="N135" s="191">
        <f t="shared" si="68"/>
        <v>0</v>
      </c>
      <c r="O135" s="191">
        <f t="shared" ref="O135:O143" si="69">SUM(F135:N135)</f>
        <v>0</v>
      </c>
      <c r="P135" s="191">
        <f t="shared" ref="P135:P143" si="70">SUM(I135:M135)</f>
        <v>0</v>
      </c>
    </row>
    <row r="136" spans="4:16" hidden="1" outlineLevel="1">
      <c r="D136" s="248" t="s">
        <v>380</v>
      </c>
      <c r="G136" s="191">
        <f t="shared" ref="G136:N143" si="71">G100*G$52</f>
        <v>0</v>
      </c>
      <c r="H136" s="191">
        <f t="shared" si="71"/>
        <v>0</v>
      </c>
      <c r="I136" s="191">
        <f t="shared" si="71"/>
        <v>0</v>
      </c>
      <c r="J136" s="191">
        <f t="shared" si="71"/>
        <v>0</v>
      </c>
      <c r="K136" s="191">
        <f t="shared" si="71"/>
        <v>0</v>
      </c>
      <c r="L136" s="191">
        <f t="shared" si="71"/>
        <v>0</v>
      </c>
      <c r="M136" s="191">
        <f t="shared" si="71"/>
        <v>0</v>
      </c>
      <c r="N136" s="191">
        <f t="shared" si="71"/>
        <v>0</v>
      </c>
      <c r="O136" s="191">
        <f t="shared" si="69"/>
        <v>0</v>
      </c>
      <c r="P136" s="191">
        <f t="shared" si="70"/>
        <v>0</v>
      </c>
    </row>
    <row r="137" spans="4:16" hidden="1" outlineLevel="1">
      <c r="D137" s="248" t="s">
        <v>381</v>
      </c>
      <c r="G137" s="191">
        <f t="shared" si="71"/>
        <v>3229.6152418293127</v>
      </c>
      <c r="H137" s="191">
        <f t="shared" si="71"/>
        <v>327.89962044745232</v>
      </c>
      <c r="I137" s="191">
        <f t="shared" si="71"/>
        <v>513.54024654357909</v>
      </c>
      <c r="J137" s="191">
        <f t="shared" si="71"/>
        <v>489.4973183033224</v>
      </c>
      <c r="K137" s="191">
        <f t="shared" si="71"/>
        <v>494.42900378522847</v>
      </c>
      <c r="L137" s="191">
        <f t="shared" si="71"/>
        <v>499.81827992648738</v>
      </c>
      <c r="M137" s="191">
        <f t="shared" si="71"/>
        <v>418.92704356625211</v>
      </c>
      <c r="N137" s="191">
        <f t="shared" si="71"/>
        <v>0</v>
      </c>
      <c r="O137" s="191">
        <f t="shared" si="69"/>
        <v>5973.7267544016349</v>
      </c>
      <c r="P137" s="191">
        <f t="shared" si="70"/>
        <v>2416.2118921248693</v>
      </c>
    </row>
    <row r="138" spans="4:16" hidden="1" outlineLevel="1">
      <c r="D138" s="248" t="s">
        <v>382</v>
      </c>
      <c r="G138" s="191">
        <f t="shared" si="71"/>
        <v>0</v>
      </c>
      <c r="H138" s="191">
        <f t="shared" si="71"/>
        <v>0</v>
      </c>
      <c r="I138" s="191">
        <f t="shared" si="71"/>
        <v>0</v>
      </c>
      <c r="J138" s="191">
        <f t="shared" si="71"/>
        <v>0</v>
      </c>
      <c r="K138" s="191">
        <f t="shared" si="71"/>
        <v>0</v>
      </c>
      <c r="L138" s="191">
        <f t="shared" si="71"/>
        <v>0</v>
      </c>
      <c r="M138" s="191">
        <f t="shared" si="71"/>
        <v>0</v>
      </c>
      <c r="N138" s="191">
        <f t="shared" si="71"/>
        <v>0</v>
      </c>
      <c r="O138" s="191">
        <f t="shared" si="69"/>
        <v>0</v>
      </c>
      <c r="P138" s="191">
        <f t="shared" si="70"/>
        <v>0</v>
      </c>
    </row>
    <row r="139" spans="4:16" hidden="1" outlineLevel="1">
      <c r="D139" s="248" t="s">
        <v>383</v>
      </c>
      <c r="G139" s="191">
        <f t="shared" si="71"/>
        <v>0</v>
      </c>
      <c r="H139" s="191">
        <f t="shared" si="71"/>
        <v>0</v>
      </c>
      <c r="I139" s="191">
        <f t="shared" si="71"/>
        <v>0</v>
      </c>
      <c r="J139" s="191">
        <f t="shared" si="71"/>
        <v>0</v>
      </c>
      <c r="K139" s="191">
        <f t="shared" si="71"/>
        <v>0</v>
      </c>
      <c r="L139" s="191">
        <f t="shared" si="71"/>
        <v>0</v>
      </c>
      <c r="M139" s="191">
        <f t="shared" si="71"/>
        <v>0</v>
      </c>
      <c r="N139" s="191">
        <f t="shared" si="71"/>
        <v>0</v>
      </c>
      <c r="O139" s="191">
        <f t="shared" si="69"/>
        <v>0</v>
      </c>
      <c r="P139" s="191">
        <f t="shared" si="70"/>
        <v>0</v>
      </c>
    </row>
    <row r="140" spans="4:16" hidden="1" outlineLevel="1">
      <c r="D140" s="248" t="s">
        <v>384</v>
      </c>
      <c r="G140" s="191">
        <f t="shared" si="71"/>
        <v>0</v>
      </c>
      <c r="H140" s="191">
        <f t="shared" si="71"/>
        <v>0</v>
      </c>
      <c r="I140" s="191">
        <f t="shared" si="71"/>
        <v>0</v>
      </c>
      <c r="J140" s="191">
        <f t="shared" si="71"/>
        <v>0</v>
      </c>
      <c r="K140" s="191">
        <f t="shared" si="71"/>
        <v>0</v>
      </c>
      <c r="L140" s="191">
        <f t="shared" si="71"/>
        <v>0</v>
      </c>
      <c r="M140" s="191">
        <f t="shared" si="71"/>
        <v>0</v>
      </c>
      <c r="N140" s="191">
        <f t="shared" si="71"/>
        <v>0</v>
      </c>
      <c r="O140" s="191">
        <f t="shared" si="69"/>
        <v>0</v>
      </c>
      <c r="P140" s="191">
        <f t="shared" si="70"/>
        <v>0</v>
      </c>
    </row>
    <row r="141" spans="4:16" hidden="1" outlineLevel="1">
      <c r="D141" s="248" t="s">
        <v>385</v>
      </c>
      <c r="G141" s="191">
        <f t="shared" si="71"/>
        <v>0</v>
      </c>
      <c r="H141" s="191">
        <f t="shared" si="71"/>
        <v>0</v>
      </c>
      <c r="I141" s="191">
        <f t="shared" si="71"/>
        <v>0</v>
      </c>
      <c r="J141" s="191">
        <f t="shared" si="71"/>
        <v>0</v>
      </c>
      <c r="K141" s="191">
        <f t="shared" si="71"/>
        <v>0</v>
      </c>
      <c r="L141" s="191">
        <f t="shared" si="71"/>
        <v>0</v>
      </c>
      <c r="M141" s="191">
        <f t="shared" si="71"/>
        <v>0</v>
      </c>
      <c r="N141" s="191">
        <f t="shared" si="71"/>
        <v>0</v>
      </c>
      <c r="O141" s="191">
        <f t="shared" si="69"/>
        <v>0</v>
      </c>
      <c r="P141" s="191">
        <f t="shared" si="70"/>
        <v>0</v>
      </c>
    </row>
    <row r="142" spans="4:16" hidden="1" outlineLevel="1">
      <c r="D142" s="248" t="s">
        <v>386</v>
      </c>
      <c r="G142" s="191">
        <f t="shared" si="71"/>
        <v>0</v>
      </c>
      <c r="H142" s="191">
        <f t="shared" si="71"/>
        <v>0</v>
      </c>
      <c r="I142" s="191">
        <f t="shared" si="71"/>
        <v>0</v>
      </c>
      <c r="J142" s="191">
        <f t="shared" si="71"/>
        <v>0</v>
      </c>
      <c r="K142" s="191">
        <f t="shared" si="71"/>
        <v>0</v>
      </c>
      <c r="L142" s="191">
        <f t="shared" si="71"/>
        <v>0</v>
      </c>
      <c r="M142" s="191">
        <f t="shared" si="71"/>
        <v>0</v>
      </c>
      <c r="N142" s="191">
        <f t="shared" si="71"/>
        <v>0</v>
      </c>
      <c r="O142" s="191">
        <f t="shared" si="69"/>
        <v>0</v>
      </c>
      <c r="P142" s="191">
        <f t="shared" si="70"/>
        <v>0</v>
      </c>
    </row>
    <row r="143" spans="4:16" hidden="1" outlineLevel="1">
      <c r="D143" s="248" t="s">
        <v>387</v>
      </c>
      <c r="G143" s="912">
        <f t="shared" si="71"/>
        <v>0</v>
      </c>
      <c r="H143" s="912">
        <f t="shared" si="71"/>
        <v>0</v>
      </c>
      <c r="I143" s="912">
        <f t="shared" si="71"/>
        <v>0</v>
      </c>
      <c r="J143" s="912">
        <f t="shared" si="71"/>
        <v>0</v>
      </c>
      <c r="K143" s="912">
        <f t="shared" si="71"/>
        <v>0</v>
      </c>
      <c r="L143" s="912">
        <f t="shared" si="71"/>
        <v>0</v>
      </c>
      <c r="M143" s="912">
        <f t="shared" si="71"/>
        <v>0</v>
      </c>
      <c r="N143" s="912">
        <f t="shared" si="71"/>
        <v>0</v>
      </c>
      <c r="O143" s="912">
        <f t="shared" si="69"/>
        <v>0</v>
      </c>
      <c r="P143" s="912">
        <f t="shared" si="70"/>
        <v>0</v>
      </c>
    </row>
    <row r="144" spans="4:16" hidden="1" outlineLevel="1">
      <c r="D144" s="248" t="s">
        <v>442</v>
      </c>
      <c r="G144" s="191">
        <f>SUM(G135:G143)</f>
        <v>3229.6152418293127</v>
      </c>
      <c r="H144" s="191">
        <f t="shared" ref="H144:P144" si="72">SUM(H135:H143)</f>
        <v>327.89962044745232</v>
      </c>
      <c r="I144" s="191">
        <f t="shared" si="72"/>
        <v>513.54024654357909</v>
      </c>
      <c r="J144" s="191">
        <f t="shared" si="72"/>
        <v>489.4973183033224</v>
      </c>
      <c r="K144" s="191">
        <f t="shared" si="72"/>
        <v>494.42900378522847</v>
      </c>
      <c r="L144" s="191">
        <f t="shared" si="72"/>
        <v>499.81827992648738</v>
      </c>
      <c r="M144" s="191">
        <f t="shared" si="72"/>
        <v>418.92704356625211</v>
      </c>
      <c r="N144" s="191">
        <f t="shared" si="72"/>
        <v>0</v>
      </c>
      <c r="O144" s="191">
        <f t="shared" si="72"/>
        <v>5973.7267544016349</v>
      </c>
      <c r="P144" s="191">
        <f t="shared" si="72"/>
        <v>2416.2118921248693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3">G111+G123+G135</f>
        <v>0</v>
      </c>
      <c r="H147" s="191">
        <f t="shared" si="73"/>
        <v>0</v>
      </c>
      <c r="I147" s="191">
        <f t="shared" si="73"/>
        <v>0</v>
      </c>
      <c r="J147" s="191">
        <f t="shared" si="73"/>
        <v>0</v>
      </c>
      <c r="K147" s="191">
        <f t="shared" si="73"/>
        <v>0</v>
      </c>
      <c r="L147" s="191">
        <f t="shared" si="73"/>
        <v>0</v>
      </c>
      <c r="M147" s="191">
        <f t="shared" si="73"/>
        <v>0</v>
      </c>
      <c r="N147" s="191">
        <f t="shared" si="73"/>
        <v>0</v>
      </c>
      <c r="O147" s="191">
        <f t="shared" ref="O147:O155" si="74">SUM(F147:N147)</f>
        <v>0</v>
      </c>
      <c r="P147" s="191">
        <f t="shared" ref="P147:P155" si="75">SUM(I147:M147)</f>
        <v>0</v>
      </c>
    </row>
    <row r="148" spans="4:16" hidden="1" outlineLevel="1">
      <c r="D148" s="248" t="s">
        <v>380</v>
      </c>
      <c r="G148" s="191">
        <f t="shared" si="73"/>
        <v>0</v>
      </c>
      <c r="H148" s="191">
        <f t="shared" si="73"/>
        <v>0</v>
      </c>
      <c r="I148" s="191">
        <f t="shared" si="73"/>
        <v>0</v>
      </c>
      <c r="J148" s="191">
        <f t="shared" si="73"/>
        <v>0</v>
      </c>
      <c r="K148" s="191">
        <f t="shared" si="73"/>
        <v>0</v>
      </c>
      <c r="L148" s="191">
        <f t="shared" si="73"/>
        <v>0</v>
      </c>
      <c r="M148" s="191">
        <f t="shared" si="73"/>
        <v>0</v>
      </c>
      <c r="N148" s="191">
        <f t="shared" si="73"/>
        <v>0</v>
      </c>
      <c r="O148" s="191">
        <f t="shared" si="74"/>
        <v>0</v>
      </c>
      <c r="P148" s="191">
        <f t="shared" si="75"/>
        <v>0</v>
      </c>
    </row>
    <row r="149" spans="4:16" hidden="1" outlineLevel="1">
      <c r="D149" s="248" t="s">
        <v>381</v>
      </c>
      <c r="G149" s="191">
        <f t="shared" si="73"/>
        <v>6449.8224320877152</v>
      </c>
      <c r="H149" s="191">
        <f t="shared" si="73"/>
        <v>653.12303827222036</v>
      </c>
      <c r="I149" s="191">
        <f t="shared" si="73"/>
        <v>1018.4786610141427</v>
      </c>
      <c r="J149" s="191">
        <f t="shared" si="73"/>
        <v>966.61412223177263</v>
      </c>
      <c r="K149" s="191">
        <f t="shared" si="73"/>
        <v>972.35360723238955</v>
      </c>
      <c r="L149" s="191">
        <f t="shared" si="73"/>
        <v>978.62380571015183</v>
      </c>
      <c r="M149" s="191">
        <f t="shared" si="73"/>
        <v>816.56583808065523</v>
      </c>
      <c r="N149" s="191">
        <f t="shared" si="73"/>
        <v>0</v>
      </c>
      <c r="O149" s="191">
        <f t="shared" si="74"/>
        <v>11855.581504629046</v>
      </c>
      <c r="P149" s="191">
        <f t="shared" si="75"/>
        <v>4752.6360342691123</v>
      </c>
    </row>
    <row r="150" spans="4:16" hidden="1" outlineLevel="1">
      <c r="D150" s="248" t="s">
        <v>382</v>
      </c>
      <c r="G150" s="191">
        <f t="shared" si="73"/>
        <v>0</v>
      </c>
      <c r="H150" s="191">
        <f t="shared" si="73"/>
        <v>0</v>
      </c>
      <c r="I150" s="191">
        <f t="shared" si="73"/>
        <v>0</v>
      </c>
      <c r="J150" s="191">
        <f t="shared" si="73"/>
        <v>0</v>
      </c>
      <c r="K150" s="191">
        <f t="shared" si="73"/>
        <v>0</v>
      </c>
      <c r="L150" s="191">
        <f t="shared" si="73"/>
        <v>0</v>
      </c>
      <c r="M150" s="191">
        <f t="shared" si="73"/>
        <v>0</v>
      </c>
      <c r="N150" s="191">
        <f t="shared" si="73"/>
        <v>0</v>
      </c>
      <c r="O150" s="191">
        <f t="shared" si="74"/>
        <v>0</v>
      </c>
      <c r="P150" s="191">
        <f t="shared" si="75"/>
        <v>0</v>
      </c>
    </row>
    <row r="151" spans="4:16" hidden="1" outlineLevel="1">
      <c r="D151" s="248" t="s">
        <v>383</v>
      </c>
      <c r="G151" s="191">
        <f t="shared" si="73"/>
        <v>0</v>
      </c>
      <c r="H151" s="191">
        <f t="shared" si="73"/>
        <v>0</v>
      </c>
      <c r="I151" s="191">
        <f t="shared" si="73"/>
        <v>0</v>
      </c>
      <c r="J151" s="191">
        <f t="shared" si="73"/>
        <v>0</v>
      </c>
      <c r="K151" s="191">
        <f t="shared" si="73"/>
        <v>0</v>
      </c>
      <c r="L151" s="191">
        <f t="shared" si="73"/>
        <v>0</v>
      </c>
      <c r="M151" s="191">
        <f t="shared" si="73"/>
        <v>0</v>
      </c>
      <c r="N151" s="191">
        <f t="shared" si="73"/>
        <v>0</v>
      </c>
      <c r="O151" s="191">
        <f t="shared" si="74"/>
        <v>0</v>
      </c>
      <c r="P151" s="191">
        <f t="shared" si="75"/>
        <v>0</v>
      </c>
    </row>
    <row r="152" spans="4:16" hidden="1" outlineLevel="1">
      <c r="D152" s="248" t="s">
        <v>384</v>
      </c>
      <c r="G152" s="191">
        <f t="shared" si="73"/>
        <v>0</v>
      </c>
      <c r="H152" s="191">
        <f t="shared" si="73"/>
        <v>0</v>
      </c>
      <c r="I152" s="191">
        <f t="shared" si="73"/>
        <v>0</v>
      </c>
      <c r="J152" s="191">
        <f t="shared" si="73"/>
        <v>0</v>
      </c>
      <c r="K152" s="191">
        <f t="shared" si="73"/>
        <v>0</v>
      </c>
      <c r="L152" s="191">
        <f t="shared" si="73"/>
        <v>0</v>
      </c>
      <c r="M152" s="191">
        <f t="shared" si="73"/>
        <v>0</v>
      </c>
      <c r="N152" s="191">
        <f t="shared" si="73"/>
        <v>0</v>
      </c>
      <c r="O152" s="191">
        <f t="shared" si="74"/>
        <v>0</v>
      </c>
      <c r="P152" s="191">
        <f t="shared" si="75"/>
        <v>0</v>
      </c>
    </row>
    <row r="153" spans="4:16" hidden="1" outlineLevel="1">
      <c r="D153" s="248" t="s">
        <v>385</v>
      </c>
      <c r="G153" s="191">
        <f t="shared" si="73"/>
        <v>0</v>
      </c>
      <c r="H153" s="191">
        <f t="shared" si="73"/>
        <v>0</v>
      </c>
      <c r="I153" s="191">
        <f t="shared" si="73"/>
        <v>0</v>
      </c>
      <c r="J153" s="191">
        <f t="shared" si="73"/>
        <v>0</v>
      </c>
      <c r="K153" s="191">
        <f t="shared" si="73"/>
        <v>0</v>
      </c>
      <c r="L153" s="191">
        <f t="shared" si="73"/>
        <v>0</v>
      </c>
      <c r="M153" s="191">
        <f t="shared" si="73"/>
        <v>0</v>
      </c>
      <c r="N153" s="191">
        <f t="shared" si="73"/>
        <v>0</v>
      </c>
      <c r="O153" s="191">
        <f t="shared" si="74"/>
        <v>0</v>
      </c>
      <c r="P153" s="191">
        <f t="shared" si="75"/>
        <v>0</v>
      </c>
    </row>
    <row r="154" spans="4:16" hidden="1" outlineLevel="1">
      <c r="D154" s="248" t="s">
        <v>386</v>
      </c>
      <c r="G154" s="191">
        <f t="shared" si="73"/>
        <v>0</v>
      </c>
      <c r="H154" s="191">
        <f t="shared" si="73"/>
        <v>0</v>
      </c>
      <c r="I154" s="191">
        <f t="shared" si="73"/>
        <v>0</v>
      </c>
      <c r="J154" s="191">
        <f t="shared" si="73"/>
        <v>0</v>
      </c>
      <c r="K154" s="191">
        <f t="shared" si="73"/>
        <v>0</v>
      </c>
      <c r="L154" s="191">
        <f t="shared" si="73"/>
        <v>0</v>
      </c>
      <c r="M154" s="191">
        <f t="shared" si="73"/>
        <v>0</v>
      </c>
      <c r="N154" s="191">
        <f t="shared" si="73"/>
        <v>0</v>
      </c>
      <c r="O154" s="191">
        <f t="shared" si="74"/>
        <v>0</v>
      </c>
      <c r="P154" s="191">
        <f t="shared" si="75"/>
        <v>0</v>
      </c>
    </row>
    <row r="155" spans="4:16" hidden="1" outlineLevel="1">
      <c r="D155" s="248" t="s">
        <v>387</v>
      </c>
      <c r="G155" s="912">
        <f t="shared" si="73"/>
        <v>0</v>
      </c>
      <c r="H155" s="912">
        <f t="shared" si="73"/>
        <v>0</v>
      </c>
      <c r="I155" s="912">
        <f t="shared" si="73"/>
        <v>0</v>
      </c>
      <c r="J155" s="912">
        <f t="shared" si="73"/>
        <v>0</v>
      </c>
      <c r="K155" s="912">
        <f t="shared" si="73"/>
        <v>0</v>
      </c>
      <c r="L155" s="912">
        <f t="shared" si="73"/>
        <v>0</v>
      </c>
      <c r="M155" s="912">
        <f t="shared" si="73"/>
        <v>0</v>
      </c>
      <c r="N155" s="912">
        <f t="shared" si="73"/>
        <v>0</v>
      </c>
      <c r="O155" s="912">
        <f t="shared" si="74"/>
        <v>0</v>
      </c>
      <c r="P155" s="912">
        <f t="shared" si="75"/>
        <v>0</v>
      </c>
    </row>
    <row r="156" spans="4:16" hidden="1" outlineLevel="1">
      <c r="D156" s="248" t="s">
        <v>454</v>
      </c>
      <c r="G156" s="191">
        <f>SUM(G147:G155)</f>
        <v>6449.8224320877152</v>
      </c>
      <c r="H156" s="191">
        <f t="shared" ref="H156:N156" si="76">SUM(H147:H155)</f>
        <v>653.12303827222036</v>
      </c>
      <c r="I156" s="191">
        <f t="shared" si="76"/>
        <v>1018.4786610141427</v>
      </c>
      <c r="J156" s="191">
        <f t="shared" si="76"/>
        <v>966.61412223177263</v>
      </c>
      <c r="K156" s="191">
        <f t="shared" si="76"/>
        <v>972.35360723238955</v>
      </c>
      <c r="L156" s="191">
        <f t="shared" si="76"/>
        <v>978.62380571015183</v>
      </c>
      <c r="M156" s="191">
        <f t="shared" si="76"/>
        <v>816.56583808065523</v>
      </c>
      <c r="N156" s="191">
        <f t="shared" si="76"/>
        <v>0</v>
      </c>
      <c r="O156" s="191">
        <f t="shared" ref="O156:P156" si="77">SUM(O147:O155)</f>
        <v>11855.581504629046</v>
      </c>
      <c r="P156" s="191">
        <f t="shared" si="77"/>
        <v>4752.6360342691123</v>
      </c>
    </row>
    <row r="157" spans="4:16" collapsed="1"/>
  </sheetData>
  <mergeCells count="1">
    <mergeCell ref="C13:C14"/>
  </mergeCells>
  <phoneticPr fontId="6" type="noConversion"/>
  <conditionalFormatting sqref="R14">
    <cfRule type="cellIs" dxfId="36" priority="4" operator="equal">
      <formula>"Error"</formula>
    </cfRule>
  </conditionalFormatting>
  <conditionalFormatting sqref="R11">
    <cfRule type="cellIs" dxfId="35" priority="3" operator="equal">
      <formula>"Error"</formula>
    </cfRule>
  </conditionalFormatting>
  <conditionalFormatting sqref="R54">
    <cfRule type="cellIs" dxfId="3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F101"/>
  <sheetViews>
    <sheetView zoomScaleNormal="100" workbookViewId="0">
      <pane xSplit="5" ySplit="4" topLeftCell="L32" activePane="bottomRight" state="frozen"/>
      <selection activeCell="B35" sqref="B35"/>
      <selection pane="topRight" activeCell="B35" sqref="B35"/>
      <selection pane="bottomLeft" activeCell="B35" sqref="B35"/>
      <selection pane="bottomRight" activeCell="O49" sqref="O49"/>
    </sheetView>
  </sheetViews>
  <sheetFormatPr defaultRowHeight="15" outlineLevelCol="1"/>
  <cols>
    <col min="1" max="1" width="7.42578125" customWidth="1"/>
    <col min="2" max="3" width="11" customWidth="1"/>
    <col min="4" max="4" width="45.42578125" customWidth="1"/>
    <col min="5" max="5" width="9.85546875" customWidth="1"/>
    <col min="6" max="6" width="8.42578125" customWidth="1"/>
    <col min="7" max="7" width="9.5703125" customWidth="1"/>
    <col min="8" max="8" width="13.140625" customWidth="1" outlineLevel="1"/>
    <col min="9" max="9" width="30.5703125" customWidth="1" outlineLevel="1"/>
    <col min="10" max="10" width="13" style="248" customWidth="1" outlineLevel="1"/>
    <col min="11" max="11" width="11.140625" customWidth="1"/>
    <col min="12" max="20" width="10.42578125" customWidth="1"/>
    <col min="21" max="21" width="12" customWidth="1"/>
    <col min="22" max="22" width="11.28515625" customWidth="1"/>
    <col min="23" max="23" width="9.85546875" style="7" customWidth="1" outlineLevel="1"/>
    <col min="24" max="24" width="9.85546875" customWidth="1"/>
    <col min="25" max="25" width="7" customWidth="1"/>
    <col min="26" max="26" width="7.7109375" bestFit="1" customWidth="1"/>
    <col min="27" max="28" width="8" bestFit="1" customWidth="1"/>
    <col min="29" max="33" width="7.7109375" bestFit="1" customWidth="1"/>
    <col min="34" max="34" width="8.42578125" customWidth="1"/>
    <col min="35" max="35" width="5.28515625" customWidth="1"/>
    <col min="36" max="36" width="8.85546875" customWidth="1"/>
    <col min="37" max="38" width="8" bestFit="1" customWidth="1"/>
    <col min="39" max="39" width="9.28515625" customWidth="1"/>
    <col min="40" max="44" width="9.140625" bestFit="1" customWidth="1"/>
    <col min="45" max="45" width="9.140625" customWidth="1"/>
    <col min="46" max="46" width="7.140625" customWidth="1"/>
    <col min="47" max="47" width="5.140625" customWidth="1"/>
    <col min="50" max="51" width="14.85546875" bestFit="1" customWidth="1"/>
    <col min="52" max="53" width="14.85546875" customWidth="1"/>
    <col min="54" max="56" width="14.85546875" bestFit="1" customWidth="1"/>
    <col min="57" max="57" width="10.85546875" bestFit="1" customWidth="1"/>
    <col min="58" max="58" width="54.85546875" style="7" customWidth="1"/>
    <col min="59" max="16384" width="9.140625" style="7"/>
  </cols>
  <sheetData>
    <row r="1" spans="1:58" customFormat="1" ht="16.5" customHeight="1">
      <c r="A1" t="s">
        <v>49</v>
      </c>
      <c r="C1" s="483" t="s">
        <v>290</v>
      </c>
      <c r="J1" s="248"/>
      <c r="W1" s="7"/>
    </row>
    <row r="2" spans="1:58" s="15" customFormat="1" ht="29.25" customHeight="1">
      <c r="B2" s="21"/>
      <c r="C2" s="21"/>
      <c r="D2" s="940" t="s">
        <v>42</v>
      </c>
      <c r="E2" s="21"/>
      <c r="F2" s="92"/>
      <c r="G2" s="93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104"/>
      <c r="U2" s="21"/>
      <c r="V2" s="21"/>
      <c r="W2" s="567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X2" s="1001"/>
      <c r="AY2" s="1001"/>
      <c r="AZ2" s="25"/>
      <c r="BA2" s="25"/>
      <c r="BB2" s="25"/>
      <c r="BC2" s="25"/>
      <c r="BD2" s="25"/>
      <c r="BE2" s="25"/>
    </row>
    <row r="3" spans="1:58" s="15" customFormat="1" ht="29.25" customHeight="1">
      <c r="B3" s="21"/>
      <c r="C3" s="21"/>
      <c r="D3" s="21"/>
      <c r="E3" s="21"/>
      <c r="F3" s="92"/>
      <c r="G3" s="93"/>
      <c r="H3" s="94"/>
      <c r="I3" s="94"/>
      <c r="J3" s="94"/>
      <c r="K3" s="1003" t="s">
        <v>486</v>
      </c>
      <c r="L3" s="1004"/>
      <c r="M3" s="1004"/>
      <c r="N3" s="1004"/>
      <c r="O3" s="1004"/>
      <c r="P3" s="1004"/>
      <c r="Q3" s="1004"/>
      <c r="R3" s="1004"/>
      <c r="S3" s="1004"/>
      <c r="T3" s="1005"/>
      <c r="U3" s="21"/>
      <c r="V3" s="21"/>
      <c r="W3" s="567"/>
      <c r="X3" s="21"/>
      <c r="Y3" s="1002" t="s">
        <v>262</v>
      </c>
      <c r="Z3" s="1002"/>
      <c r="AA3" s="1002"/>
      <c r="AB3" s="1002"/>
      <c r="AC3" s="1002"/>
      <c r="AD3" s="1002"/>
      <c r="AE3" s="1002"/>
      <c r="AF3" s="1002"/>
      <c r="AG3" s="1002"/>
      <c r="AH3" s="1002"/>
      <c r="AI3" s="21"/>
      <c r="AJ3" s="1002" t="s">
        <v>487</v>
      </c>
      <c r="AK3" s="1002"/>
      <c r="AL3" s="1002"/>
      <c r="AM3" s="1002"/>
      <c r="AN3" s="1002"/>
      <c r="AO3" s="1002"/>
      <c r="AP3" s="1002"/>
      <c r="AQ3" s="1002"/>
      <c r="AR3" s="1002"/>
      <c r="AS3" s="1002"/>
      <c r="AX3" s="36"/>
      <c r="AY3" s="36"/>
      <c r="AZ3" s="36"/>
      <c r="BA3" s="36"/>
      <c r="BB3" s="36"/>
      <c r="BC3" s="36"/>
      <c r="BD3" s="36"/>
      <c r="BE3" s="36"/>
    </row>
    <row r="4" spans="1:58" customFormat="1" ht="45">
      <c r="A4" s="96" t="s">
        <v>48</v>
      </c>
      <c r="B4" s="97" t="s">
        <v>207</v>
      </c>
      <c r="C4" s="201" t="s">
        <v>208</v>
      </c>
      <c r="D4" s="97" t="s">
        <v>15</v>
      </c>
      <c r="E4" s="97" t="s">
        <v>41</v>
      </c>
      <c r="F4" s="98" t="s">
        <v>196</v>
      </c>
      <c r="G4" s="99" t="s">
        <v>180</v>
      </c>
      <c r="H4" s="99" t="s">
        <v>20</v>
      </c>
      <c r="I4" s="100" t="s">
        <v>21</v>
      </c>
      <c r="J4" s="436" t="s">
        <v>278</v>
      </c>
      <c r="K4" s="101" t="s">
        <v>181</v>
      </c>
      <c r="L4" s="101" t="s">
        <v>182</v>
      </c>
      <c r="M4" s="102" t="s">
        <v>183</v>
      </c>
      <c r="N4" s="162" t="s">
        <v>184</v>
      </c>
      <c r="O4" s="164" t="s">
        <v>185</v>
      </c>
      <c r="P4" s="103" t="s">
        <v>186</v>
      </c>
      <c r="Q4" s="103" t="s">
        <v>187</v>
      </c>
      <c r="R4" s="103" t="s">
        <v>188</v>
      </c>
      <c r="S4" s="103" t="s">
        <v>189</v>
      </c>
      <c r="T4" s="103" t="s">
        <v>190</v>
      </c>
      <c r="U4" s="106" t="s">
        <v>191</v>
      </c>
      <c r="V4" s="110" t="s">
        <v>62</v>
      </c>
      <c r="W4" s="568" t="s">
        <v>291</v>
      </c>
      <c r="Y4" s="240" t="s">
        <v>64</v>
      </c>
      <c r="Z4" s="240" t="s">
        <v>72</v>
      </c>
      <c r="AA4" s="240" t="s">
        <v>73</v>
      </c>
      <c r="AB4" s="240" t="s">
        <v>74</v>
      </c>
      <c r="AC4" s="240" t="s">
        <v>75</v>
      </c>
      <c r="AD4" s="240" t="s">
        <v>76</v>
      </c>
      <c r="AE4" s="240" t="s">
        <v>77</v>
      </c>
      <c r="AF4" s="240" t="s">
        <v>78</v>
      </c>
      <c r="AG4" s="240" t="s">
        <v>79</v>
      </c>
      <c r="AH4" s="247" t="s">
        <v>16</v>
      </c>
      <c r="AJ4" s="113" t="s">
        <v>64</v>
      </c>
      <c r="AK4" s="114" t="s">
        <v>72</v>
      </c>
      <c r="AL4" s="115" t="s">
        <v>73</v>
      </c>
      <c r="AM4" s="113" t="s">
        <v>74</v>
      </c>
      <c r="AN4" s="113" t="s">
        <v>75</v>
      </c>
      <c r="AO4" s="113" t="s">
        <v>76</v>
      </c>
      <c r="AP4" s="113" t="s">
        <v>77</v>
      </c>
      <c r="AQ4" s="113" t="s">
        <v>78</v>
      </c>
      <c r="AR4" s="113" t="s">
        <v>79</v>
      </c>
      <c r="AS4" s="245" t="s">
        <v>16</v>
      </c>
      <c r="AT4" s="246" t="s">
        <v>50</v>
      </c>
      <c r="AX4" s="36"/>
      <c r="AY4" s="36"/>
      <c r="AZ4" s="36"/>
      <c r="BA4" s="36"/>
      <c r="BB4" s="36"/>
      <c r="BC4" s="36"/>
      <c r="BD4" s="36"/>
      <c r="BE4" s="36"/>
    </row>
    <row r="5" spans="1:58">
      <c r="A5" s="588">
        <v>1</v>
      </c>
      <c r="B5" s="91" t="s">
        <v>133</v>
      </c>
      <c r="C5" s="91" t="s">
        <v>217</v>
      </c>
      <c r="D5" s="7" t="s">
        <v>80</v>
      </c>
      <c r="E5" s="91" t="s">
        <v>45</v>
      </c>
      <c r="F5" s="90" t="s">
        <v>66</v>
      </c>
      <c r="G5" s="90">
        <v>2017</v>
      </c>
      <c r="H5" s="7" t="s">
        <v>116</v>
      </c>
      <c r="I5" s="7" t="s">
        <v>67</v>
      </c>
      <c r="J5" s="7" t="s">
        <v>281</v>
      </c>
      <c r="K5" s="111">
        <v>87.780700756798453</v>
      </c>
      <c r="L5" s="169">
        <v>59.54347592307694</v>
      </c>
      <c r="M5" s="923">
        <v>1088.918625</v>
      </c>
      <c r="N5" s="924">
        <v>7921.179739611317</v>
      </c>
      <c r="O5" s="165">
        <f>'[1]Project_Inputs - AER'!U5</f>
        <v>3437.5540000000001</v>
      </c>
      <c r="P5" s="107">
        <f>'[1]Project_Inputs - AER'!V5</f>
        <v>0</v>
      </c>
      <c r="Q5" s="107">
        <f>'[1]Project_Inputs - AER'!W5</f>
        <v>0</v>
      </c>
      <c r="R5" s="107">
        <f>'[1]Project_Inputs - AER'!X5</f>
        <v>0</v>
      </c>
      <c r="S5" s="172">
        <f>'[1]Project_Inputs - AER'!Y5</f>
        <v>0</v>
      </c>
      <c r="T5" s="174">
        <v>0</v>
      </c>
      <c r="U5" s="116">
        <f>SUM(O5:S5)</f>
        <v>3437.5540000000001</v>
      </c>
      <c r="V5" s="119">
        <f>SUM(K5:T5)</f>
        <v>12594.976541291193</v>
      </c>
      <c r="W5" s="569">
        <f>K5+L5</f>
        <v>147.32417667987539</v>
      </c>
      <c r="X5" s="7"/>
      <c r="Y5" s="242"/>
      <c r="Z5" s="242"/>
      <c r="AA5" s="242">
        <v>0.71099999999999997</v>
      </c>
      <c r="AB5" s="242">
        <v>0.28100000000000003</v>
      </c>
      <c r="AC5" s="242">
        <v>8.0000000000000002E-3</v>
      </c>
      <c r="AD5" s="241"/>
      <c r="AE5" s="241"/>
      <c r="AF5" s="241"/>
      <c r="AG5" s="241"/>
      <c r="AH5" s="242">
        <f t="shared" ref="AH5:AH6" si="0">SUM(Y5:AG5)</f>
        <v>1</v>
      </c>
      <c r="AI5" s="7"/>
      <c r="AJ5" s="425">
        <f>Y5*$V5</f>
        <v>0</v>
      </c>
      <c r="AK5" s="425">
        <f t="shared" ref="AK5:AK14" si="1">Z5*$V5</f>
        <v>0</v>
      </c>
      <c r="AL5" s="425">
        <f t="shared" ref="AL5:AL14" si="2">AA5*$V5</f>
        <v>8955.0283208580386</v>
      </c>
      <c r="AM5" s="425">
        <f t="shared" ref="AM5:AM14" si="3">AB5*$V5</f>
        <v>3539.1884081028256</v>
      </c>
      <c r="AN5" s="425">
        <f t="shared" ref="AN5:AN14" si="4">AC5*$V5</f>
        <v>100.75981233032955</v>
      </c>
      <c r="AO5" s="425">
        <f t="shared" ref="AO5:AO14" si="5">AD5*$V5</f>
        <v>0</v>
      </c>
      <c r="AP5" s="425">
        <f t="shared" ref="AP5:AP14" si="6">AE5*$V5</f>
        <v>0</v>
      </c>
      <c r="AQ5" s="425">
        <f t="shared" ref="AQ5:AQ14" si="7">AF5*$V5</f>
        <v>0</v>
      </c>
      <c r="AR5" s="425">
        <f t="shared" ref="AR5:AR14" si="8">AG5*$V5</f>
        <v>0</v>
      </c>
      <c r="AS5" s="426">
        <f>SUM(AJ5:AR5)</f>
        <v>12594.976541291193</v>
      </c>
      <c r="AT5" s="244">
        <f>IF(AH5&lt;&gt;0,AS5-V5,0)</f>
        <v>0</v>
      </c>
      <c r="AU5" s="7"/>
      <c r="AV5" s="7"/>
      <c r="AW5" s="7"/>
      <c r="AX5" s="30"/>
      <c r="AY5" s="30"/>
      <c r="AZ5" s="30"/>
      <c r="BA5" s="30"/>
      <c r="BB5" s="30"/>
      <c r="BC5" s="30"/>
      <c r="BD5" s="30"/>
      <c r="BE5" s="30"/>
    </row>
    <row r="6" spans="1:58" s="23" customFormat="1">
      <c r="A6" s="589">
        <v>2</v>
      </c>
      <c r="B6" s="91" t="s">
        <v>134</v>
      </c>
      <c r="C6" s="91" t="s">
        <v>221</v>
      </c>
      <c r="D6" s="23" t="s">
        <v>81</v>
      </c>
      <c r="E6" s="91" t="s">
        <v>51</v>
      </c>
      <c r="F6" s="90" t="s">
        <v>66</v>
      </c>
      <c r="G6" s="90">
        <v>2018</v>
      </c>
      <c r="H6" s="7" t="s">
        <v>116</v>
      </c>
      <c r="I6" s="7" t="s">
        <v>67</v>
      </c>
      <c r="J6" s="7" t="s">
        <v>281</v>
      </c>
      <c r="K6" s="111">
        <v>35.987594656188612</v>
      </c>
      <c r="L6" s="112">
        <v>18.565766692307697</v>
      </c>
      <c r="M6" s="112">
        <v>1134.6000000000013</v>
      </c>
      <c r="N6" s="924">
        <v>7604.2596948441605</v>
      </c>
      <c r="O6" s="165">
        <f>'[1]Project_Inputs - AER'!U6</f>
        <v>7713.2460000000001</v>
      </c>
      <c r="P6" s="108">
        <f>'[1]Project_Inputs - AER'!V6</f>
        <v>3649.6019999999999</v>
      </c>
      <c r="Q6" s="108">
        <f>'[1]Project_Inputs - AER'!W6</f>
        <v>0</v>
      </c>
      <c r="R6" s="108">
        <f>'[1]Project_Inputs - AER'!X6</f>
        <v>0</v>
      </c>
      <c r="S6" s="172">
        <f>'[1]Project_Inputs - AER'!Y6</f>
        <v>0</v>
      </c>
      <c r="T6" s="175">
        <v>0</v>
      </c>
      <c r="U6" s="116">
        <f t="shared" ref="U6:U50" si="9">SUM(O6:S6)</f>
        <v>11362.848</v>
      </c>
      <c r="V6" s="119">
        <f t="shared" ref="V6:V50" si="10">SUM(K6:T6)</f>
        <v>20156.261056192656</v>
      </c>
      <c r="W6" s="569">
        <f t="shared" ref="W6:W50" si="11">K6+L6</f>
        <v>54.55336134849631</v>
      </c>
      <c r="X6" s="7"/>
      <c r="Y6" s="242"/>
      <c r="Z6" s="242"/>
      <c r="AA6" s="242">
        <f>40.48%</f>
        <v>0.40479999999999999</v>
      </c>
      <c r="AB6" s="242">
        <f>41.4%</f>
        <v>0.41399999999999998</v>
      </c>
      <c r="AC6" s="242">
        <f>18.12%</f>
        <v>0.1812</v>
      </c>
      <c r="AD6" s="242"/>
      <c r="AE6" s="242"/>
      <c r="AF6" s="242"/>
      <c r="AG6" s="242"/>
      <c r="AH6" s="242">
        <f t="shared" si="0"/>
        <v>1</v>
      </c>
      <c r="AI6" s="7"/>
      <c r="AJ6" s="425">
        <f t="shared" ref="AJ6:AJ14" si="12">Y6*$V6</f>
        <v>0</v>
      </c>
      <c r="AK6" s="425">
        <f t="shared" si="1"/>
        <v>0</v>
      </c>
      <c r="AL6" s="425">
        <f t="shared" si="2"/>
        <v>8159.254475546787</v>
      </c>
      <c r="AM6" s="425">
        <f t="shared" si="3"/>
        <v>8344.6920772637586</v>
      </c>
      <c r="AN6" s="425">
        <f t="shared" si="4"/>
        <v>3652.3145033821093</v>
      </c>
      <c r="AO6" s="425">
        <f t="shared" si="5"/>
        <v>0</v>
      </c>
      <c r="AP6" s="425">
        <f t="shared" si="6"/>
        <v>0</v>
      </c>
      <c r="AQ6" s="425">
        <f t="shared" si="7"/>
        <v>0</v>
      </c>
      <c r="AR6" s="425">
        <f t="shared" si="8"/>
        <v>0</v>
      </c>
      <c r="AS6" s="426">
        <f t="shared" ref="AS6:AS50" si="13">SUM(AJ6:AR6)</f>
        <v>20156.261056192656</v>
      </c>
      <c r="AT6" s="244">
        <f t="shared" ref="AT6:AT50" si="14">IF(AH6&lt;&gt;0,AS6-V6,0)</f>
        <v>0</v>
      </c>
      <c r="AX6" s="30"/>
      <c r="AY6" s="30"/>
      <c r="AZ6" s="30"/>
      <c r="BA6" s="30"/>
      <c r="BB6" s="30"/>
      <c r="BC6" s="30"/>
      <c r="BD6" s="30"/>
      <c r="BE6" s="30"/>
      <c r="BF6" s="7"/>
    </row>
    <row r="7" spans="1:58">
      <c r="A7" s="589">
        <v>3</v>
      </c>
      <c r="B7" s="91" t="s">
        <v>135</v>
      </c>
      <c r="C7" s="91" t="s">
        <v>210</v>
      </c>
      <c r="D7" s="23" t="s">
        <v>82</v>
      </c>
      <c r="E7" s="91" t="s">
        <v>54</v>
      </c>
      <c r="F7" s="90" t="s">
        <v>66</v>
      </c>
      <c r="G7" s="90">
        <v>2017</v>
      </c>
      <c r="H7" s="7" t="s">
        <v>116</v>
      </c>
      <c r="I7" s="7" t="s">
        <v>292</v>
      </c>
      <c r="J7" s="7" t="s">
        <v>281</v>
      </c>
      <c r="K7" s="111">
        <v>50448.795063708785</v>
      </c>
      <c r="L7" s="112">
        <v>36789.54839753847</v>
      </c>
      <c r="M7" s="112">
        <v>27678.750000000004</v>
      </c>
      <c r="N7" s="924">
        <v>22138.751557124851</v>
      </c>
      <c r="O7" s="165">
        <f>'[1]Project_Inputs - AER'!U7</f>
        <v>11436.882</v>
      </c>
      <c r="P7" s="108">
        <f>'[1]Project_Inputs - AER'!V7</f>
        <v>1094.058</v>
      </c>
      <c r="Q7" s="108">
        <f>'[1]Project_Inputs - AER'!W7</f>
        <v>0</v>
      </c>
      <c r="R7" s="108">
        <f>'[1]Project_Inputs - AER'!X7</f>
        <v>0</v>
      </c>
      <c r="S7" s="172">
        <f>'[1]Project_Inputs - AER'!Y7</f>
        <v>0</v>
      </c>
      <c r="T7" s="175">
        <v>0</v>
      </c>
      <c r="U7" s="117">
        <f t="shared" si="9"/>
        <v>12530.939999999999</v>
      </c>
      <c r="V7" s="119">
        <f t="shared" si="10"/>
        <v>149586.78501837212</v>
      </c>
      <c r="W7" s="569">
        <f t="shared" si="11"/>
        <v>87238.343461247248</v>
      </c>
      <c r="X7" s="7"/>
      <c r="Y7" s="242">
        <v>0.28999999999999998</v>
      </c>
      <c r="Z7" s="242">
        <v>0.24</v>
      </c>
      <c r="AA7" s="242">
        <v>0.24</v>
      </c>
      <c r="AB7" s="242">
        <v>0.2</v>
      </c>
      <c r="AC7" s="242">
        <v>0.03</v>
      </c>
      <c r="AD7" s="242"/>
      <c r="AE7" s="242"/>
      <c r="AF7" s="242"/>
      <c r="AG7" s="242"/>
      <c r="AH7" s="242">
        <f>SUM(Y7:AG7)</f>
        <v>1</v>
      </c>
      <c r="AI7" s="243"/>
      <c r="AJ7" s="425">
        <f t="shared" si="12"/>
        <v>43380.16765532791</v>
      </c>
      <c r="AK7" s="425">
        <f t="shared" si="1"/>
        <v>35900.828404409309</v>
      </c>
      <c r="AL7" s="425">
        <f t="shared" si="2"/>
        <v>35900.828404409309</v>
      </c>
      <c r="AM7" s="425">
        <f t="shared" si="3"/>
        <v>29917.357003674424</v>
      </c>
      <c r="AN7" s="425">
        <f t="shared" si="4"/>
        <v>4487.6035505511636</v>
      </c>
      <c r="AO7" s="425">
        <f t="shared" si="5"/>
        <v>0</v>
      </c>
      <c r="AP7" s="425">
        <f t="shared" si="6"/>
        <v>0</v>
      </c>
      <c r="AQ7" s="425">
        <f t="shared" si="7"/>
        <v>0</v>
      </c>
      <c r="AR7" s="425">
        <f t="shared" si="8"/>
        <v>0</v>
      </c>
      <c r="AS7" s="426">
        <f t="shared" si="13"/>
        <v>149586.78501837215</v>
      </c>
      <c r="AT7" s="244">
        <f t="shared" si="14"/>
        <v>2.9103830456733704E-11</v>
      </c>
      <c r="AU7" s="7"/>
      <c r="AV7" s="7"/>
      <c r="AW7" s="7"/>
      <c r="AX7" s="30"/>
      <c r="AY7" s="30"/>
      <c r="AZ7" s="30"/>
      <c r="BA7" s="30"/>
      <c r="BB7" s="30"/>
      <c r="BC7" s="30"/>
      <c r="BD7" s="30"/>
      <c r="BE7" s="30"/>
    </row>
    <row r="8" spans="1:58">
      <c r="A8" s="589">
        <v>4</v>
      </c>
      <c r="B8" s="91" t="s">
        <v>136</v>
      </c>
      <c r="C8" s="91" t="s">
        <v>212</v>
      </c>
      <c r="D8" s="7" t="s">
        <v>46</v>
      </c>
      <c r="E8" s="91" t="s">
        <v>47</v>
      </c>
      <c r="F8" s="90" t="s">
        <v>66</v>
      </c>
      <c r="G8" s="90">
        <v>2017</v>
      </c>
      <c r="H8" s="7" t="s">
        <v>116</v>
      </c>
      <c r="I8" s="7" t="s">
        <v>67</v>
      </c>
      <c r="J8" s="7" t="s">
        <v>281</v>
      </c>
      <c r="K8" s="111">
        <v>1354.2014371175919</v>
      </c>
      <c r="L8" s="112">
        <v>6450.9801606922947</v>
      </c>
      <c r="M8" s="112">
        <v>16881.750000000025</v>
      </c>
      <c r="N8" s="924">
        <v>18923.223017864286</v>
      </c>
      <c r="O8" s="165">
        <f>'[1]Project_Inputs - AER'!U8</f>
        <v>3639.5480000000002</v>
      </c>
      <c r="P8" s="108">
        <f>'[1]Project_Inputs - AER'!V8</f>
        <v>0</v>
      </c>
      <c r="Q8" s="108">
        <f>'[1]Project_Inputs - AER'!W8</f>
        <v>0</v>
      </c>
      <c r="R8" s="108">
        <f>'[1]Project_Inputs - AER'!X8</f>
        <v>0</v>
      </c>
      <c r="S8" s="172">
        <f>'[1]Project_Inputs - AER'!Y8</f>
        <v>0</v>
      </c>
      <c r="T8" s="175">
        <v>0</v>
      </c>
      <c r="U8" s="116">
        <f t="shared" si="9"/>
        <v>3639.5480000000002</v>
      </c>
      <c r="V8" s="119">
        <f t="shared" si="10"/>
        <v>47249.702615674199</v>
      </c>
      <c r="W8" s="569">
        <f t="shared" si="11"/>
        <v>7805.1815978098866</v>
      </c>
      <c r="X8" s="7"/>
      <c r="Y8" s="242"/>
      <c r="Z8" s="242">
        <v>0.37</v>
      </c>
      <c r="AA8" s="242">
        <v>0.28999999999999998</v>
      </c>
      <c r="AB8" s="242">
        <v>0.34</v>
      </c>
      <c r="AC8" s="242"/>
      <c r="AD8" s="242"/>
      <c r="AE8" s="242"/>
      <c r="AF8" s="242"/>
      <c r="AG8" s="242"/>
      <c r="AH8" s="242">
        <f t="shared" ref="AH8:AH50" si="15">SUM(Y8:AG8)</f>
        <v>1</v>
      </c>
      <c r="AI8" s="7"/>
      <c r="AJ8" s="425">
        <f t="shared" si="12"/>
        <v>0</v>
      </c>
      <c r="AK8" s="425">
        <f t="shared" si="1"/>
        <v>17482.389967799452</v>
      </c>
      <c r="AL8" s="425">
        <f t="shared" si="2"/>
        <v>13702.413758545517</v>
      </c>
      <c r="AM8" s="425">
        <f t="shared" si="3"/>
        <v>16064.89888932923</v>
      </c>
      <c r="AN8" s="425">
        <f t="shared" si="4"/>
        <v>0</v>
      </c>
      <c r="AO8" s="425">
        <f t="shared" si="5"/>
        <v>0</v>
      </c>
      <c r="AP8" s="425">
        <f t="shared" si="6"/>
        <v>0</v>
      </c>
      <c r="AQ8" s="425">
        <f t="shared" si="7"/>
        <v>0</v>
      </c>
      <c r="AR8" s="425">
        <f t="shared" si="8"/>
        <v>0</v>
      </c>
      <c r="AS8" s="426">
        <f t="shared" si="13"/>
        <v>47249.702615674199</v>
      </c>
      <c r="AT8" s="244">
        <f t="shared" si="14"/>
        <v>0</v>
      </c>
      <c r="AU8" s="7"/>
      <c r="AV8" s="7"/>
      <c r="AW8" s="7"/>
      <c r="AX8" s="30"/>
      <c r="AY8" s="30"/>
      <c r="AZ8" s="30"/>
      <c r="BA8" s="30"/>
      <c r="BB8" s="30"/>
      <c r="BC8" s="30"/>
      <c r="BD8" s="30"/>
      <c r="BE8" s="30"/>
    </row>
    <row r="9" spans="1:58">
      <c r="A9" s="589">
        <v>5</v>
      </c>
      <c r="B9" s="958" t="s">
        <v>140</v>
      </c>
      <c r="C9" s="91" t="s">
        <v>220</v>
      </c>
      <c r="D9" s="7" t="s">
        <v>141</v>
      </c>
      <c r="E9" s="91" t="s">
        <v>142</v>
      </c>
      <c r="F9" s="90" t="s">
        <v>66</v>
      </c>
      <c r="G9" s="90">
        <v>2019</v>
      </c>
      <c r="H9" s="7" t="s">
        <v>116</v>
      </c>
      <c r="I9" s="7" t="s">
        <v>67</v>
      </c>
      <c r="J9" s="7" t="s">
        <v>281</v>
      </c>
      <c r="K9" s="111">
        <v>162.73849896949105</v>
      </c>
      <c r="L9" s="112">
        <v>24.961613923076925</v>
      </c>
      <c r="M9" s="112">
        <v>2180.1887999999999</v>
      </c>
      <c r="N9" s="924">
        <v>8414.7736024383285</v>
      </c>
      <c r="O9" s="165">
        <f>'[1]Project_Inputs - AER'!U9</f>
        <v>16207.048000000001</v>
      </c>
      <c r="P9" s="108">
        <f>'[1]Project_Inputs - AER'!V9</f>
        <v>816.202</v>
      </c>
      <c r="Q9" s="108">
        <f>'[1]Project_Inputs - AER'!W9</f>
        <v>0</v>
      </c>
      <c r="R9" s="108">
        <f>'[1]Project_Inputs - AER'!X9</f>
        <v>0</v>
      </c>
      <c r="S9" s="172">
        <f>'[1]Project_Inputs - AER'!Y9</f>
        <v>0</v>
      </c>
      <c r="T9" s="175"/>
      <c r="U9" s="116">
        <f t="shared" si="9"/>
        <v>17023.25</v>
      </c>
      <c r="V9" s="119">
        <f t="shared" si="10"/>
        <v>27805.912515330896</v>
      </c>
      <c r="W9" s="569">
        <f t="shared" si="11"/>
        <v>187.70011289256797</v>
      </c>
      <c r="X9" s="7"/>
      <c r="Y9" s="242"/>
      <c r="Z9" s="242"/>
      <c r="AA9" s="995">
        <v>0.41</v>
      </c>
      <c r="AB9" s="995">
        <v>0.56000000000000005</v>
      </c>
      <c r="AC9" s="995">
        <v>0.03</v>
      </c>
      <c r="AD9" s="242"/>
      <c r="AE9" s="242"/>
      <c r="AF9" s="242"/>
      <c r="AG9" s="242"/>
      <c r="AH9" s="242">
        <f t="shared" si="15"/>
        <v>1</v>
      </c>
      <c r="AI9" s="7"/>
      <c r="AJ9" s="425">
        <f t="shared" si="12"/>
        <v>0</v>
      </c>
      <c r="AK9" s="425">
        <f t="shared" si="1"/>
        <v>0</v>
      </c>
      <c r="AL9" s="425">
        <f t="shared" si="2"/>
        <v>11400.424131285667</v>
      </c>
      <c r="AM9" s="425">
        <f t="shared" si="3"/>
        <v>15571.311008585304</v>
      </c>
      <c r="AN9" s="425">
        <f t="shared" si="4"/>
        <v>834.17737545992679</v>
      </c>
      <c r="AO9" s="425">
        <f t="shared" si="5"/>
        <v>0</v>
      </c>
      <c r="AP9" s="425">
        <f t="shared" si="6"/>
        <v>0</v>
      </c>
      <c r="AQ9" s="425">
        <f t="shared" si="7"/>
        <v>0</v>
      </c>
      <c r="AR9" s="425">
        <f t="shared" si="8"/>
        <v>0</v>
      </c>
      <c r="AS9" s="426">
        <f t="shared" si="13"/>
        <v>27805.9125153309</v>
      </c>
      <c r="AT9" s="244">
        <f t="shared" si="14"/>
        <v>3.637978807091713E-12</v>
      </c>
      <c r="AU9" s="7"/>
      <c r="AV9" s="7"/>
      <c r="AW9" s="7"/>
      <c r="AX9" s="30"/>
      <c r="AY9" s="30"/>
      <c r="AZ9" s="30"/>
      <c r="BA9" s="30"/>
      <c r="BB9" s="30"/>
      <c r="BC9" s="30"/>
      <c r="BD9" s="30"/>
      <c r="BE9" s="30"/>
    </row>
    <row r="10" spans="1:58" s="23" customFormat="1">
      <c r="A10" s="589">
        <v>6</v>
      </c>
      <c r="B10" s="91" t="s">
        <v>215</v>
      </c>
      <c r="C10" s="91"/>
      <c r="D10" s="7" t="s">
        <v>83</v>
      </c>
      <c r="E10" s="91"/>
      <c r="F10" s="90"/>
      <c r="G10" s="90"/>
      <c r="H10" s="7" t="s">
        <v>116</v>
      </c>
      <c r="I10" s="7" t="s">
        <v>67</v>
      </c>
      <c r="J10" s="7" t="s">
        <v>281</v>
      </c>
      <c r="K10" s="111">
        <v>0</v>
      </c>
      <c r="L10" s="112">
        <v>0</v>
      </c>
      <c r="M10" s="112">
        <v>0</v>
      </c>
      <c r="N10" s="924">
        <v>318.74142433478517</v>
      </c>
      <c r="O10" s="947">
        <f>'[1]Project_Inputs - AER'!U10</f>
        <v>519.18004152000003</v>
      </c>
      <c r="P10" s="108">
        <f>'[1]Project_Inputs - AER'!V10</f>
        <v>0</v>
      </c>
      <c r="Q10" s="108">
        <f>'[1]Project_Inputs - AER'!W10</f>
        <v>0</v>
      </c>
      <c r="R10" s="108">
        <f>'[1]Project_Inputs - AER'!X10</f>
        <v>0</v>
      </c>
      <c r="S10" s="172">
        <f>'[1]Project_Inputs - AER'!Y10</f>
        <v>0</v>
      </c>
      <c r="T10" s="175">
        <v>0</v>
      </c>
      <c r="U10" s="116">
        <f t="shared" si="9"/>
        <v>519.18004152000003</v>
      </c>
      <c r="V10" s="119">
        <f t="shared" si="10"/>
        <v>837.9214658547852</v>
      </c>
      <c r="W10" s="569">
        <f t="shared" si="11"/>
        <v>0</v>
      </c>
      <c r="X10" s="7"/>
      <c r="Y10" s="242"/>
      <c r="Z10" s="242"/>
      <c r="AA10" s="242"/>
      <c r="AB10" s="242"/>
      <c r="AC10" s="242"/>
      <c r="AD10" s="242"/>
      <c r="AE10" s="242"/>
      <c r="AF10" s="242"/>
      <c r="AG10" s="242"/>
      <c r="AH10" s="242">
        <f t="shared" si="15"/>
        <v>0</v>
      </c>
      <c r="AI10" s="7"/>
      <c r="AJ10" s="425">
        <f t="shared" si="12"/>
        <v>0</v>
      </c>
      <c r="AK10" s="425">
        <f t="shared" si="1"/>
        <v>0</v>
      </c>
      <c r="AL10" s="425">
        <f t="shared" si="2"/>
        <v>0</v>
      </c>
      <c r="AM10" s="425">
        <f t="shared" si="3"/>
        <v>0</v>
      </c>
      <c r="AN10" s="425">
        <f t="shared" si="4"/>
        <v>0</v>
      </c>
      <c r="AO10" s="425">
        <f t="shared" si="5"/>
        <v>0</v>
      </c>
      <c r="AP10" s="425">
        <f t="shared" si="6"/>
        <v>0</v>
      </c>
      <c r="AQ10" s="425">
        <f t="shared" si="7"/>
        <v>0</v>
      </c>
      <c r="AR10" s="425">
        <f t="shared" si="8"/>
        <v>0</v>
      </c>
      <c r="AS10" s="426">
        <f t="shared" si="13"/>
        <v>0</v>
      </c>
      <c r="AT10" s="244">
        <f t="shared" si="14"/>
        <v>0</v>
      </c>
      <c r="AX10" s="30"/>
      <c r="AY10" s="30"/>
      <c r="AZ10" s="30"/>
      <c r="BA10" s="30"/>
      <c r="BB10" s="30"/>
      <c r="BC10" s="30"/>
      <c r="BD10" s="30"/>
      <c r="BE10" s="30"/>
    </row>
    <row r="11" spans="1:58" s="23" customFormat="1" ht="30">
      <c r="A11" s="885">
        <v>7</v>
      </c>
      <c r="B11" s="472" t="s">
        <v>127</v>
      </c>
      <c r="C11" s="472" t="s">
        <v>218</v>
      </c>
      <c r="D11" s="23" t="s">
        <v>84</v>
      </c>
      <c r="E11" s="472" t="s">
        <v>43</v>
      </c>
      <c r="F11" s="473"/>
      <c r="G11" s="473">
        <v>2018</v>
      </c>
      <c r="H11" s="472" t="s">
        <v>116</v>
      </c>
      <c r="I11" s="472" t="s">
        <v>67</v>
      </c>
      <c r="J11" s="472" t="s">
        <v>281</v>
      </c>
      <c r="K11" s="474">
        <v>0</v>
      </c>
      <c r="L11" s="475">
        <v>0</v>
      </c>
      <c r="M11" s="475">
        <v>276</v>
      </c>
      <c r="N11" s="925">
        <v>3590</v>
      </c>
      <c r="O11" s="476">
        <f>'[1]Project_Inputs - AER'!U11</f>
        <v>6076</v>
      </c>
      <c r="P11" s="477">
        <f>'[1]Project_Inputs - AER'!V11</f>
        <v>3867</v>
      </c>
      <c r="Q11" s="477">
        <f>'[1]Project_Inputs - AER'!W11</f>
        <v>0</v>
      </c>
      <c r="R11" s="477">
        <f>'[1]Project_Inputs - AER'!X11</f>
        <v>0</v>
      </c>
      <c r="S11" s="478">
        <f>'[1]Project_Inputs - AER'!Y11</f>
        <v>0</v>
      </c>
      <c r="T11" s="479">
        <v>0</v>
      </c>
      <c r="U11" s="480">
        <f t="shared" si="9"/>
        <v>9943</v>
      </c>
      <c r="V11" s="481">
        <f t="shared" si="10"/>
        <v>13809</v>
      </c>
      <c r="W11" s="596">
        <f t="shared" si="11"/>
        <v>0</v>
      </c>
      <c r="X11" s="7"/>
      <c r="Y11" s="597"/>
      <c r="Z11" s="597"/>
      <c r="AA11" s="597"/>
      <c r="AB11" s="597"/>
      <c r="AC11" s="597"/>
      <c r="AD11" s="597"/>
      <c r="AE11" s="597"/>
      <c r="AF11" s="597"/>
      <c r="AG11" s="597"/>
      <c r="AH11" s="597">
        <f t="shared" si="15"/>
        <v>0</v>
      </c>
      <c r="AI11" s="472"/>
      <c r="AJ11" s="598">
        <f t="shared" si="12"/>
        <v>0</v>
      </c>
      <c r="AK11" s="598">
        <f t="shared" si="1"/>
        <v>0</v>
      </c>
      <c r="AL11" s="598">
        <f t="shared" si="2"/>
        <v>0</v>
      </c>
      <c r="AM11" s="598">
        <f t="shared" si="3"/>
        <v>0</v>
      </c>
      <c r="AN11" s="598">
        <f t="shared" si="4"/>
        <v>0</v>
      </c>
      <c r="AO11" s="598">
        <f t="shared" si="5"/>
        <v>0</v>
      </c>
      <c r="AP11" s="598">
        <f t="shared" si="6"/>
        <v>0</v>
      </c>
      <c r="AQ11" s="598">
        <f t="shared" si="7"/>
        <v>0</v>
      </c>
      <c r="AR11" s="598">
        <f t="shared" si="8"/>
        <v>0</v>
      </c>
      <c r="AS11" s="599">
        <f t="shared" si="13"/>
        <v>0</v>
      </c>
      <c r="AT11" s="600">
        <f t="shared" si="14"/>
        <v>0</v>
      </c>
      <c r="AX11" s="30"/>
      <c r="AY11" s="30"/>
      <c r="AZ11" s="30"/>
      <c r="BA11" s="30"/>
      <c r="BB11" s="30"/>
      <c r="BC11" s="30"/>
      <c r="BD11" s="30"/>
      <c r="BE11" s="30"/>
    </row>
    <row r="12" spans="1:58">
      <c r="A12" s="589">
        <v>8</v>
      </c>
      <c r="B12" s="91" t="s">
        <v>128</v>
      </c>
      <c r="C12" s="91" t="s">
        <v>219</v>
      </c>
      <c r="D12" s="23" t="s">
        <v>85</v>
      </c>
      <c r="E12" s="91" t="s">
        <v>113</v>
      </c>
      <c r="F12" s="90"/>
      <c r="G12" s="90">
        <v>2021</v>
      </c>
      <c r="H12" s="7" t="s">
        <v>116</v>
      </c>
      <c r="I12" s="7" t="s">
        <v>67</v>
      </c>
      <c r="J12" s="7" t="s">
        <v>281</v>
      </c>
      <c r="K12" s="111">
        <v>34.298025568465022</v>
      </c>
      <c r="L12" s="112">
        <v>1.517499307692308</v>
      </c>
      <c r="M12" s="112">
        <v>0</v>
      </c>
      <c r="N12" s="924">
        <v>0</v>
      </c>
      <c r="O12" s="950">
        <f>'[1]Project_Inputs - AER'!U12</f>
        <v>0</v>
      </c>
      <c r="P12" s="951">
        <f>'[1]Project_Inputs - AER'!V12</f>
        <v>0</v>
      </c>
      <c r="Q12" s="948">
        <f>'[1]Project_Inputs - AER'!W12</f>
        <v>392.75599999999997</v>
      </c>
      <c r="R12" s="948">
        <f>'[1]Project_Inputs - AER'!X12</f>
        <v>5104.4759999999997</v>
      </c>
      <c r="S12" s="949">
        <f>'[1]Project_Inputs - AER'!Y12</f>
        <v>8637.9279999999999</v>
      </c>
      <c r="T12" s="175">
        <v>0</v>
      </c>
      <c r="U12" s="116">
        <f t="shared" si="9"/>
        <v>14135.16</v>
      </c>
      <c r="V12" s="119">
        <f t="shared" si="10"/>
        <v>14170.975524876158</v>
      </c>
      <c r="W12" s="569">
        <f t="shared" si="11"/>
        <v>35.815524876157326</v>
      </c>
      <c r="X12" s="7"/>
      <c r="Y12" s="242"/>
      <c r="Z12" s="242"/>
      <c r="AA12" s="242"/>
      <c r="AB12" s="242"/>
      <c r="AC12" s="242"/>
      <c r="AD12" s="242"/>
      <c r="AE12" s="242"/>
      <c r="AF12" s="242"/>
      <c r="AG12" s="242"/>
      <c r="AH12" s="242">
        <f t="shared" si="15"/>
        <v>0</v>
      </c>
      <c r="AI12" s="7"/>
      <c r="AJ12" s="425">
        <f t="shared" si="12"/>
        <v>0</v>
      </c>
      <c r="AK12" s="425">
        <f t="shared" si="1"/>
        <v>0</v>
      </c>
      <c r="AL12" s="425">
        <f t="shared" si="2"/>
        <v>0</v>
      </c>
      <c r="AM12" s="425">
        <f t="shared" si="3"/>
        <v>0</v>
      </c>
      <c r="AN12" s="425">
        <f t="shared" si="4"/>
        <v>0</v>
      </c>
      <c r="AO12" s="425">
        <f t="shared" si="5"/>
        <v>0</v>
      </c>
      <c r="AP12" s="425">
        <f t="shared" si="6"/>
        <v>0</v>
      </c>
      <c r="AQ12" s="425">
        <f t="shared" si="7"/>
        <v>0</v>
      </c>
      <c r="AR12" s="425">
        <f t="shared" si="8"/>
        <v>0</v>
      </c>
      <c r="AS12" s="426">
        <f t="shared" si="13"/>
        <v>0</v>
      </c>
      <c r="AT12" s="244">
        <f t="shared" si="14"/>
        <v>0</v>
      </c>
      <c r="AU12" s="7"/>
      <c r="AV12" s="7"/>
      <c r="AW12" s="7"/>
      <c r="AX12" s="30"/>
      <c r="AY12" s="30"/>
      <c r="AZ12" s="30"/>
      <c r="BA12" s="30"/>
      <c r="BB12" s="30"/>
      <c r="BC12" s="30"/>
      <c r="BD12" s="30"/>
      <c r="BE12" s="30"/>
    </row>
    <row r="13" spans="1:58">
      <c r="A13" s="589">
        <v>9</v>
      </c>
      <c r="B13" s="91" t="s">
        <v>129</v>
      </c>
      <c r="C13" s="91" t="s">
        <v>222</v>
      </c>
      <c r="D13" s="23" t="s">
        <v>86</v>
      </c>
      <c r="E13" s="91" t="s">
        <v>44</v>
      </c>
      <c r="F13" s="90"/>
      <c r="G13" s="90">
        <v>2021</v>
      </c>
      <c r="H13" s="7" t="s">
        <v>116</v>
      </c>
      <c r="I13" s="7" t="s">
        <v>67</v>
      </c>
      <c r="J13" s="7" t="s">
        <v>281</v>
      </c>
      <c r="K13" s="111">
        <v>152.46648249699632</v>
      </c>
      <c r="L13" s="112">
        <v>13.686917461538462</v>
      </c>
      <c r="M13" s="112">
        <v>0</v>
      </c>
      <c r="N13" s="924">
        <v>369.74005222835075</v>
      </c>
      <c r="O13" s="947">
        <f>'[1]Project_Inputs - AER'!U13</f>
        <v>430.00299999999993</v>
      </c>
      <c r="P13" s="948">
        <f>'[1]Project_Inputs - AER'!V13</f>
        <v>2579.6889999999999</v>
      </c>
      <c r="Q13" s="948">
        <f>'[1]Project_Inputs - AER'!W13</f>
        <v>5589.0519999999997</v>
      </c>
      <c r="R13" s="948">
        <f>'[1]Project_Inputs - AER'!X13</f>
        <v>6878.7319999999991</v>
      </c>
      <c r="S13" s="949">
        <f>'[1]Project_Inputs - AER'!Y13</f>
        <v>5911.4719999999988</v>
      </c>
      <c r="T13" s="175">
        <v>0</v>
      </c>
      <c r="U13" s="116">
        <f t="shared" si="9"/>
        <v>21388.947999999997</v>
      </c>
      <c r="V13" s="119">
        <f t="shared" si="10"/>
        <v>21924.841452186884</v>
      </c>
      <c r="W13" s="569">
        <f t="shared" si="11"/>
        <v>166.15339995853478</v>
      </c>
      <c r="X13" s="7"/>
      <c r="Y13" s="242"/>
      <c r="Z13" s="242"/>
      <c r="AA13" s="242"/>
      <c r="AB13" s="242"/>
      <c r="AC13" s="242"/>
      <c r="AD13" s="242"/>
      <c r="AE13" s="242"/>
      <c r="AF13" s="242"/>
      <c r="AG13" s="242"/>
      <c r="AH13" s="242">
        <f t="shared" si="15"/>
        <v>0</v>
      </c>
      <c r="AI13" s="7"/>
      <c r="AJ13" s="425">
        <f t="shared" si="12"/>
        <v>0</v>
      </c>
      <c r="AK13" s="425">
        <f t="shared" si="1"/>
        <v>0</v>
      </c>
      <c r="AL13" s="425">
        <f t="shared" si="2"/>
        <v>0</v>
      </c>
      <c r="AM13" s="425">
        <f t="shared" si="3"/>
        <v>0</v>
      </c>
      <c r="AN13" s="425">
        <f t="shared" si="4"/>
        <v>0</v>
      </c>
      <c r="AO13" s="425">
        <f t="shared" si="5"/>
        <v>0</v>
      </c>
      <c r="AP13" s="425">
        <f t="shared" si="6"/>
        <v>0</v>
      </c>
      <c r="AQ13" s="425">
        <f t="shared" si="7"/>
        <v>0</v>
      </c>
      <c r="AR13" s="425">
        <f t="shared" si="8"/>
        <v>0</v>
      </c>
      <c r="AS13" s="426">
        <f t="shared" si="13"/>
        <v>0</v>
      </c>
      <c r="AT13" s="244">
        <f t="shared" si="14"/>
        <v>0</v>
      </c>
      <c r="AU13" s="7"/>
      <c r="AV13" s="7"/>
      <c r="AW13" s="7"/>
      <c r="AX13" s="30"/>
      <c r="AY13" s="30"/>
      <c r="AZ13" s="30"/>
      <c r="BA13" s="30"/>
      <c r="BB13" s="30"/>
      <c r="BC13" s="30"/>
      <c r="BD13" s="30"/>
      <c r="BE13" s="30"/>
    </row>
    <row r="14" spans="1:58" s="23" customFormat="1">
      <c r="A14" s="589">
        <v>10</v>
      </c>
      <c r="B14" s="91" t="s">
        <v>130</v>
      </c>
      <c r="C14" s="91" t="s">
        <v>211</v>
      </c>
      <c r="D14" s="23" t="s">
        <v>87</v>
      </c>
      <c r="E14" s="91" t="s">
        <v>114</v>
      </c>
      <c r="F14" s="90" t="s">
        <v>66</v>
      </c>
      <c r="G14" s="90">
        <v>2021</v>
      </c>
      <c r="H14" s="7" t="s">
        <v>116</v>
      </c>
      <c r="I14" s="7" t="s">
        <v>292</v>
      </c>
      <c r="J14" s="7" t="s">
        <v>281</v>
      </c>
      <c r="K14" s="111">
        <v>5348.4258995533128</v>
      </c>
      <c r="L14" s="112">
        <v>4189.3259439230787</v>
      </c>
      <c r="M14" s="112">
        <v>1415.3891438633545</v>
      </c>
      <c r="N14" s="924">
        <v>7285.5182705093794</v>
      </c>
      <c r="O14" s="952">
        <f>'[1]Project_Inputs - AER'!U14</f>
        <v>11361.44</v>
      </c>
      <c r="P14" s="953">
        <f>'[1]Project_Inputs - AER'!V14</f>
        <v>11911.424000000001</v>
      </c>
      <c r="Q14" s="953">
        <f>'[1]Project_Inputs - AER'!W14</f>
        <v>14141.28</v>
      </c>
      <c r="R14" s="953">
        <f>'[1]Project_Inputs - AER'!X14</f>
        <v>8704</v>
      </c>
      <c r="S14" s="954">
        <f>'[1]Project_Inputs - AER'!Y14</f>
        <v>3888.5120000000002</v>
      </c>
      <c r="T14" s="175">
        <v>0</v>
      </c>
      <c r="U14" s="116">
        <f t="shared" si="9"/>
        <v>50006.656000000003</v>
      </c>
      <c r="V14" s="119">
        <f t="shared" si="10"/>
        <v>68245.315257849128</v>
      </c>
      <c r="W14" s="569">
        <f t="shared" si="11"/>
        <v>9537.7518434763915</v>
      </c>
      <c r="X14" s="7"/>
      <c r="Y14" s="242"/>
      <c r="Z14" s="242"/>
      <c r="AA14" s="242"/>
      <c r="AB14" s="242">
        <v>0.19787836570334263</v>
      </c>
      <c r="AC14" s="242">
        <v>0.26119944272841228</v>
      </c>
      <c r="AD14" s="242">
        <v>0.33243565438161554</v>
      </c>
      <c r="AE14" s="242">
        <v>0.14410681678702575</v>
      </c>
      <c r="AF14" s="242">
        <v>6.4379720399603754E-2</v>
      </c>
      <c r="AG14" s="242">
        <v>0</v>
      </c>
      <c r="AH14" s="242">
        <f t="shared" si="15"/>
        <v>0.99999999999999989</v>
      </c>
      <c r="AI14" s="7"/>
      <c r="AJ14" s="425">
        <f t="shared" si="12"/>
        <v>0</v>
      </c>
      <c r="AK14" s="425">
        <f t="shared" si="1"/>
        <v>0</v>
      </c>
      <c r="AL14" s="425">
        <f t="shared" si="2"/>
        <v>0</v>
      </c>
      <c r="AM14" s="425">
        <f t="shared" si="3"/>
        <v>13504.271450132579</v>
      </c>
      <c r="AN14" s="425">
        <f t="shared" si="4"/>
        <v>17825.638314175005</v>
      </c>
      <c r="AO14" s="425">
        <f t="shared" si="5"/>
        <v>22687.176036222725</v>
      </c>
      <c r="AP14" s="425">
        <f t="shared" si="6"/>
        <v>9834.6151424356776</v>
      </c>
      <c r="AQ14" s="425">
        <f t="shared" si="7"/>
        <v>4393.6143148831388</v>
      </c>
      <c r="AR14" s="425">
        <f t="shared" si="8"/>
        <v>0</v>
      </c>
      <c r="AS14" s="426">
        <f t="shared" si="13"/>
        <v>68245.315257849128</v>
      </c>
      <c r="AT14" s="244">
        <f t="shared" si="14"/>
        <v>0</v>
      </c>
      <c r="AX14" s="30"/>
      <c r="AY14" s="30"/>
      <c r="AZ14" s="30"/>
      <c r="BA14" s="30"/>
      <c r="BB14" s="30"/>
      <c r="BC14" s="30"/>
      <c r="BD14" s="30"/>
      <c r="BE14" s="30"/>
    </row>
    <row r="15" spans="1:58" s="23" customFormat="1">
      <c r="A15" s="589">
        <v>11</v>
      </c>
      <c r="B15" s="91" t="s">
        <v>137</v>
      </c>
      <c r="C15" s="91" t="s">
        <v>213</v>
      </c>
      <c r="D15" s="23" t="s">
        <v>88</v>
      </c>
      <c r="E15" s="91" t="s">
        <v>115</v>
      </c>
      <c r="F15" s="90"/>
      <c r="G15" s="90">
        <v>2018</v>
      </c>
      <c r="H15" s="7" t="s">
        <v>116</v>
      </c>
      <c r="I15" s="7" t="s">
        <v>67</v>
      </c>
      <c r="J15" s="7" t="s">
        <v>281</v>
      </c>
      <c r="K15" s="111">
        <v>0</v>
      </c>
      <c r="L15" s="112">
        <v>0</v>
      </c>
      <c r="M15" s="112">
        <v>138</v>
      </c>
      <c r="N15" s="924">
        <v>1800</v>
      </c>
      <c r="O15" s="165">
        <f>'[1]Project_Inputs - AER'!U15</f>
        <v>3046</v>
      </c>
      <c r="P15" s="108">
        <f>'[1]Project_Inputs - AER'!V15</f>
        <v>1938</v>
      </c>
      <c r="Q15" s="108">
        <f>'[1]Project_Inputs - AER'!W15</f>
        <v>0</v>
      </c>
      <c r="R15" s="108">
        <f>'[1]Project_Inputs - AER'!X15</f>
        <v>0</v>
      </c>
      <c r="S15" s="172">
        <f>'[1]Project_Inputs - AER'!Y15</f>
        <v>0</v>
      </c>
      <c r="T15" s="175">
        <v>0</v>
      </c>
      <c r="U15" s="116">
        <f t="shared" si="9"/>
        <v>4984</v>
      </c>
      <c r="V15" s="119">
        <f t="shared" si="10"/>
        <v>6922</v>
      </c>
      <c r="W15" s="569">
        <f t="shared" si="11"/>
        <v>0</v>
      </c>
      <c r="X15" s="7"/>
      <c r="Y15" s="242"/>
      <c r="Z15" s="242"/>
      <c r="AA15" s="242"/>
      <c r="AB15" s="242"/>
      <c r="AC15" s="242"/>
      <c r="AD15" s="242"/>
      <c r="AE15" s="242"/>
      <c r="AF15" s="242"/>
      <c r="AG15" s="242"/>
      <c r="AH15" s="242">
        <f t="shared" si="15"/>
        <v>0</v>
      </c>
      <c r="AI15" s="7"/>
      <c r="AJ15" s="425">
        <f t="shared" ref="AJ15:AJ50" si="16">Y15*$V15</f>
        <v>0</v>
      </c>
      <c r="AK15" s="425">
        <f t="shared" ref="AK15:AK50" si="17">Z15*$V15</f>
        <v>0</v>
      </c>
      <c r="AL15" s="425">
        <f t="shared" ref="AL15:AL50" si="18">AA15*$V15</f>
        <v>0</v>
      </c>
      <c r="AM15" s="425">
        <f t="shared" ref="AM15:AM50" si="19">AB15*$V15</f>
        <v>0</v>
      </c>
      <c r="AN15" s="425">
        <f t="shared" ref="AN15:AN50" si="20">AC15*$V15</f>
        <v>0</v>
      </c>
      <c r="AO15" s="425">
        <f t="shared" ref="AO15:AO50" si="21">AD15*$V15</f>
        <v>0</v>
      </c>
      <c r="AP15" s="425">
        <f t="shared" ref="AP15:AP50" si="22">AE15*$V15</f>
        <v>0</v>
      </c>
      <c r="AQ15" s="425">
        <f t="shared" ref="AQ15:AQ50" si="23">AF15*$V15</f>
        <v>0</v>
      </c>
      <c r="AR15" s="425">
        <f t="shared" ref="AR15:AR50" si="24">AG15*$V15</f>
        <v>0</v>
      </c>
      <c r="AS15" s="426">
        <f t="shared" si="13"/>
        <v>0</v>
      </c>
      <c r="AT15" s="244">
        <f t="shared" si="14"/>
        <v>0</v>
      </c>
      <c r="AX15" s="30"/>
      <c r="AY15" s="30"/>
      <c r="AZ15" s="30"/>
      <c r="BA15" s="30"/>
      <c r="BB15" s="30"/>
      <c r="BC15" s="30"/>
      <c r="BD15" s="30"/>
      <c r="BE15" s="30"/>
    </row>
    <row r="16" spans="1:58">
      <c r="A16" s="589">
        <v>12</v>
      </c>
      <c r="B16" s="91" t="s">
        <v>139</v>
      </c>
      <c r="C16" s="91" t="s">
        <v>214</v>
      </c>
      <c r="D16" s="91" t="s">
        <v>138</v>
      </c>
      <c r="E16" s="91" t="s">
        <v>45</v>
      </c>
      <c r="F16" s="90"/>
      <c r="G16" s="90">
        <v>2020</v>
      </c>
      <c r="H16" s="7" t="s">
        <v>116</v>
      </c>
      <c r="I16" s="7" t="s">
        <v>67</v>
      </c>
      <c r="J16" s="7" t="s">
        <v>281</v>
      </c>
      <c r="K16" s="111">
        <v>0</v>
      </c>
      <c r="L16" s="112">
        <v>0</v>
      </c>
      <c r="M16" s="112">
        <v>0</v>
      </c>
      <c r="N16" s="924">
        <v>0</v>
      </c>
      <c r="O16" s="947">
        <f>'[1]Project_Inputs - AER'!U16</f>
        <v>203.52199999999996</v>
      </c>
      <c r="P16" s="948">
        <f>'[1]Project_Inputs - AER'!V16</f>
        <v>2644.1909999999998</v>
      </c>
      <c r="Q16" s="948">
        <f>'[1]Project_Inputs - AER'!W16</f>
        <v>4474.6129999999994</v>
      </c>
      <c r="R16" s="948">
        <f>'[1]Project_Inputs - AER'!X16</f>
        <v>2847.3939999999998</v>
      </c>
      <c r="S16" s="172">
        <f>'[1]Project_Inputs - AER'!Y16</f>
        <v>0</v>
      </c>
      <c r="T16" s="176"/>
      <c r="U16" s="116">
        <f t="shared" si="9"/>
        <v>10169.719999999999</v>
      </c>
      <c r="V16" s="119">
        <f t="shared" si="10"/>
        <v>10169.719999999999</v>
      </c>
      <c r="W16" s="569">
        <f t="shared" si="11"/>
        <v>0</v>
      </c>
      <c r="X16" s="7"/>
      <c r="Y16" s="242"/>
      <c r="Z16" s="242"/>
      <c r="AA16" s="242"/>
      <c r="AB16" s="242"/>
      <c r="AC16" s="242"/>
      <c r="AD16" s="242"/>
      <c r="AE16" s="242"/>
      <c r="AF16" s="242"/>
      <c r="AG16" s="242"/>
      <c r="AH16" s="242">
        <f t="shared" si="15"/>
        <v>0</v>
      </c>
      <c r="AI16" s="7"/>
      <c r="AJ16" s="425">
        <f t="shared" si="16"/>
        <v>0</v>
      </c>
      <c r="AK16" s="425">
        <f t="shared" si="17"/>
        <v>0</v>
      </c>
      <c r="AL16" s="425">
        <f t="shared" si="18"/>
        <v>0</v>
      </c>
      <c r="AM16" s="425">
        <f t="shared" si="19"/>
        <v>0</v>
      </c>
      <c r="AN16" s="425">
        <f t="shared" si="20"/>
        <v>0</v>
      </c>
      <c r="AO16" s="425">
        <f t="shared" si="21"/>
        <v>0</v>
      </c>
      <c r="AP16" s="425">
        <f t="shared" si="22"/>
        <v>0</v>
      </c>
      <c r="AQ16" s="425">
        <f t="shared" si="23"/>
        <v>0</v>
      </c>
      <c r="AR16" s="425">
        <f t="shared" si="24"/>
        <v>0</v>
      </c>
      <c r="AS16" s="426">
        <f t="shared" si="13"/>
        <v>0</v>
      </c>
      <c r="AT16" s="244">
        <f t="shared" si="14"/>
        <v>0</v>
      </c>
      <c r="AU16" s="7"/>
      <c r="AV16" s="7"/>
      <c r="AW16" s="7"/>
      <c r="AX16" s="30"/>
      <c r="AY16" s="30"/>
      <c r="AZ16" s="30"/>
      <c r="BA16" s="30"/>
      <c r="BB16" s="30"/>
      <c r="BC16" s="30"/>
      <c r="BD16" s="30"/>
      <c r="BE16" s="30"/>
    </row>
    <row r="17" spans="1:57">
      <c r="A17" s="589">
        <v>13</v>
      </c>
      <c r="B17" s="958" t="s">
        <v>295</v>
      </c>
      <c r="C17" s="91" t="s">
        <v>311</v>
      </c>
      <c r="D17" s="91" t="s">
        <v>301</v>
      </c>
      <c r="E17" s="91" t="s">
        <v>307</v>
      </c>
      <c r="F17" s="90" t="s">
        <v>66</v>
      </c>
      <c r="G17" s="90">
        <v>2015</v>
      </c>
      <c r="H17" s="7" t="s">
        <v>116</v>
      </c>
      <c r="I17" s="7" t="s">
        <v>67</v>
      </c>
      <c r="J17" s="7" t="s">
        <v>281</v>
      </c>
      <c r="K17" s="111">
        <v>15381.800608517915</v>
      </c>
      <c r="L17" s="112">
        <v>4875.2386490769313</v>
      </c>
      <c r="M17" s="112">
        <v>1555.5003050000005</v>
      </c>
      <c r="N17" s="924">
        <v>0</v>
      </c>
      <c r="O17" s="165">
        <f>'[1]Project_Inputs - AER'!U17</f>
        <v>0</v>
      </c>
      <c r="P17" s="108">
        <f>'[1]Project_Inputs - AER'!V17</f>
        <v>0</v>
      </c>
      <c r="Q17" s="108">
        <f>'[1]Project_Inputs - AER'!W17</f>
        <v>0</v>
      </c>
      <c r="R17" s="108">
        <f>'[1]Project_Inputs - AER'!X17</f>
        <v>0</v>
      </c>
      <c r="S17" s="172">
        <f>'[1]Project_Inputs - AER'!Y17</f>
        <v>0</v>
      </c>
      <c r="T17" s="176"/>
      <c r="U17" s="116">
        <f t="shared" ref="U17:U23" si="25">SUM(O17:S17)</f>
        <v>0</v>
      </c>
      <c r="V17" s="119">
        <f t="shared" ref="V17:V23" si="26">SUM(K17:T17)</f>
        <v>21812.539562594848</v>
      </c>
      <c r="W17" s="569">
        <f t="shared" ref="W17:W23" si="27">K17+L17</f>
        <v>20257.039257594846</v>
      </c>
      <c r="X17" s="7"/>
      <c r="Y17" s="995">
        <v>0.93</v>
      </c>
      <c r="Z17" s="995">
        <v>7.0000000000000007E-2</v>
      </c>
      <c r="AA17" s="242"/>
      <c r="AB17" s="242"/>
      <c r="AC17" s="242"/>
      <c r="AD17" s="242"/>
      <c r="AE17" s="242"/>
      <c r="AF17" s="242"/>
      <c r="AG17" s="242"/>
      <c r="AH17" s="242">
        <f t="shared" si="15"/>
        <v>1</v>
      </c>
      <c r="AI17" s="7"/>
      <c r="AJ17" s="425">
        <f t="shared" ref="AJ17:AJ23" si="28">Y17*$V17</f>
        <v>20285.66179321321</v>
      </c>
      <c r="AK17" s="425">
        <f t="shared" ref="AK17:AK23" si="29">Z17*$V17</f>
        <v>1526.8777693816394</v>
      </c>
      <c r="AL17" s="425">
        <f t="shared" ref="AL17:AL23" si="30">AA17*$V17</f>
        <v>0</v>
      </c>
      <c r="AM17" s="425">
        <f t="shared" ref="AM17:AM23" si="31">AB17*$V17</f>
        <v>0</v>
      </c>
      <c r="AN17" s="425">
        <f t="shared" ref="AN17:AN23" si="32">AC17*$V17</f>
        <v>0</v>
      </c>
      <c r="AO17" s="425">
        <f t="shared" ref="AO17:AO23" si="33">AD17*$V17</f>
        <v>0</v>
      </c>
      <c r="AP17" s="425">
        <f t="shared" ref="AP17:AP23" si="34">AE17*$V17</f>
        <v>0</v>
      </c>
      <c r="AQ17" s="425">
        <f t="shared" ref="AQ17:AQ23" si="35">AF17*$V17</f>
        <v>0</v>
      </c>
      <c r="AR17" s="425">
        <f t="shared" ref="AR17:AR23" si="36">AG17*$V17</f>
        <v>0</v>
      </c>
      <c r="AS17" s="426">
        <f t="shared" ref="AS17:AS23" si="37">SUM(AJ17:AR17)</f>
        <v>21812.539562594851</v>
      </c>
      <c r="AT17" s="244">
        <f t="shared" ref="AT17:AT23" si="38">IF(AH17&lt;&gt;0,AS17-V17,0)</f>
        <v>3.637978807091713E-12</v>
      </c>
      <c r="AU17" s="7"/>
      <c r="AV17" s="7"/>
      <c r="AW17" s="7"/>
      <c r="AX17" s="30"/>
      <c r="AY17" s="30"/>
      <c r="AZ17" s="30"/>
      <c r="BA17" s="30"/>
      <c r="BB17" s="30"/>
      <c r="BC17" s="30"/>
      <c r="BD17" s="30"/>
      <c r="BE17" s="30"/>
    </row>
    <row r="18" spans="1:57" ht="30">
      <c r="A18" s="885">
        <v>14</v>
      </c>
      <c r="B18" s="472" t="s">
        <v>296</v>
      </c>
      <c r="C18" s="472" t="s">
        <v>312</v>
      </c>
      <c r="D18" s="575" t="s">
        <v>302</v>
      </c>
      <c r="E18" s="472" t="s">
        <v>43</v>
      </c>
      <c r="F18" s="90" t="s">
        <v>66</v>
      </c>
      <c r="G18" s="90">
        <v>2015</v>
      </c>
      <c r="H18" s="472" t="s">
        <v>116</v>
      </c>
      <c r="I18" s="472" t="s">
        <v>67</v>
      </c>
      <c r="J18" s="472" t="s">
        <v>281</v>
      </c>
      <c r="K18" s="474">
        <v>7979.0778202457732</v>
      </c>
      <c r="L18" s="475">
        <v>5233.2859643076954</v>
      </c>
      <c r="M18" s="475">
        <v>649.65</v>
      </c>
      <c r="N18" s="925">
        <v>0</v>
      </c>
      <c r="O18" s="476">
        <f>'[1]Project_Inputs - AER'!U18</f>
        <v>0</v>
      </c>
      <c r="P18" s="477">
        <f>'[1]Project_Inputs - AER'!V18</f>
        <v>0</v>
      </c>
      <c r="Q18" s="477">
        <f>'[1]Project_Inputs - AER'!W18</f>
        <v>0</v>
      </c>
      <c r="R18" s="477">
        <f>'[1]Project_Inputs - AER'!X18</f>
        <v>0</v>
      </c>
      <c r="S18" s="478">
        <f>'[1]Project_Inputs - AER'!Y18</f>
        <v>0</v>
      </c>
      <c r="T18" s="576"/>
      <c r="U18" s="480">
        <f t="shared" si="25"/>
        <v>0</v>
      </c>
      <c r="V18" s="481">
        <f t="shared" si="26"/>
        <v>13862.013784553468</v>
      </c>
      <c r="W18" s="596">
        <f t="shared" si="27"/>
        <v>13212.363784553469</v>
      </c>
      <c r="X18" s="7"/>
      <c r="Y18" s="597">
        <v>0.85</v>
      </c>
      <c r="Z18" s="597">
        <v>0.15</v>
      </c>
      <c r="AA18" s="597"/>
      <c r="AB18" s="597"/>
      <c r="AC18" s="597"/>
      <c r="AD18" s="597"/>
      <c r="AE18" s="597"/>
      <c r="AF18" s="597"/>
      <c r="AG18" s="597"/>
      <c r="AH18" s="597">
        <f t="shared" si="15"/>
        <v>1</v>
      </c>
      <c r="AI18" s="472"/>
      <c r="AJ18" s="598">
        <f t="shared" si="28"/>
        <v>11782.711716870448</v>
      </c>
      <c r="AK18" s="598">
        <f t="shared" si="29"/>
        <v>2079.3020676830201</v>
      </c>
      <c r="AL18" s="598">
        <f t="shared" si="30"/>
        <v>0</v>
      </c>
      <c r="AM18" s="598">
        <f t="shared" si="31"/>
        <v>0</v>
      </c>
      <c r="AN18" s="598">
        <f t="shared" si="32"/>
        <v>0</v>
      </c>
      <c r="AO18" s="598">
        <f t="shared" si="33"/>
        <v>0</v>
      </c>
      <c r="AP18" s="598">
        <f t="shared" si="34"/>
        <v>0</v>
      </c>
      <c r="AQ18" s="598">
        <f t="shared" si="35"/>
        <v>0</v>
      </c>
      <c r="AR18" s="598">
        <f t="shared" si="36"/>
        <v>0</v>
      </c>
      <c r="AS18" s="599">
        <f t="shared" si="37"/>
        <v>13862.013784553468</v>
      </c>
      <c r="AT18" s="600">
        <f t="shared" si="38"/>
        <v>0</v>
      </c>
      <c r="AU18" s="7"/>
      <c r="AV18" s="7"/>
      <c r="AW18" s="7"/>
      <c r="AX18" s="30"/>
      <c r="AY18" s="30"/>
      <c r="AZ18" s="30"/>
      <c r="BA18" s="30"/>
      <c r="BB18" s="30"/>
      <c r="BC18" s="30"/>
      <c r="BD18" s="30"/>
      <c r="BE18" s="30"/>
    </row>
    <row r="19" spans="1:57">
      <c r="A19" s="589">
        <v>15</v>
      </c>
      <c r="B19" s="91" t="s">
        <v>297</v>
      </c>
      <c r="C19" s="91" t="s">
        <v>313</v>
      </c>
      <c r="D19" s="23" t="s">
        <v>303</v>
      </c>
      <c r="E19" s="91" t="s">
        <v>51</v>
      </c>
      <c r="F19" s="90" t="s">
        <v>66</v>
      </c>
      <c r="G19" s="90">
        <v>2015</v>
      </c>
      <c r="H19" s="7" t="s">
        <v>116</v>
      </c>
      <c r="I19" s="7" t="s">
        <v>67</v>
      </c>
      <c r="J19" s="7" t="s">
        <v>281</v>
      </c>
      <c r="K19" s="111">
        <v>1741.2865786424591</v>
      </c>
      <c r="L19" s="112">
        <v>3596.7491807692236</v>
      </c>
      <c r="M19" s="112">
        <v>2733.3210223499991</v>
      </c>
      <c r="N19" s="924">
        <v>0</v>
      </c>
      <c r="O19" s="165">
        <f>'[1]Project_Inputs - AER'!U19</f>
        <v>0</v>
      </c>
      <c r="P19" s="108">
        <f>'[1]Project_Inputs - AER'!V19</f>
        <v>0</v>
      </c>
      <c r="Q19" s="108">
        <f>'[1]Project_Inputs - AER'!W19</f>
        <v>0</v>
      </c>
      <c r="R19" s="108">
        <f>'[1]Project_Inputs - AER'!X19</f>
        <v>0</v>
      </c>
      <c r="S19" s="172">
        <f>'[1]Project_Inputs - AER'!Y19</f>
        <v>0</v>
      </c>
      <c r="T19" s="176"/>
      <c r="U19" s="116">
        <f t="shared" si="25"/>
        <v>0</v>
      </c>
      <c r="V19" s="119">
        <f t="shared" si="26"/>
        <v>8071.3567817616822</v>
      </c>
      <c r="W19" s="569">
        <f t="shared" si="27"/>
        <v>5338.0357594116831</v>
      </c>
      <c r="X19" s="7"/>
      <c r="Y19" s="242">
        <v>0.20487718902918789</v>
      </c>
      <c r="Z19" s="242">
        <v>0.79512281097081206</v>
      </c>
      <c r="AA19" s="242"/>
      <c r="AB19" s="242"/>
      <c r="AC19" s="242"/>
      <c r="AD19" s="242"/>
      <c r="AE19" s="242"/>
      <c r="AF19" s="242"/>
      <c r="AG19" s="242"/>
      <c r="AH19" s="242">
        <f t="shared" si="15"/>
        <v>1</v>
      </c>
      <c r="AI19" s="7"/>
      <c r="AJ19" s="425">
        <f t="shared" si="28"/>
        <v>1653.6368890990059</v>
      </c>
      <c r="AK19" s="425">
        <f t="shared" si="29"/>
        <v>6417.7198926626761</v>
      </c>
      <c r="AL19" s="425">
        <f t="shared" si="30"/>
        <v>0</v>
      </c>
      <c r="AM19" s="425">
        <f t="shared" si="31"/>
        <v>0</v>
      </c>
      <c r="AN19" s="425">
        <f t="shared" si="32"/>
        <v>0</v>
      </c>
      <c r="AO19" s="425">
        <f t="shared" si="33"/>
        <v>0</v>
      </c>
      <c r="AP19" s="425">
        <f t="shared" si="34"/>
        <v>0</v>
      </c>
      <c r="AQ19" s="425">
        <f t="shared" si="35"/>
        <v>0</v>
      </c>
      <c r="AR19" s="425">
        <f t="shared" si="36"/>
        <v>0</v>
      </c>
      <c r="AS19" s="426">
        <f t="shared" si="37"/>
        <v>8071.3567817616822</v>
      </c>
      <c r="AT19" s="244">
        <f t="shared" si="38"/>
        <v>0</v>
      </c>
      <c r="AU19" s="7"/>
      <c r="AV19" s="7"/>
      <c r="AW19" s="7"/>
      <c r="AX19" s="30"/>
      <c r="AY19" s="30"/>
      <c r="AZ19" s="30"/>
      <c r="BA19" s="30"/>
      <c r="BB19" s="30"/>
      <c r="BC19" s="30"/>
      <c r="BD19" s="30"/>
      <c r="BE19" s="30"/>
    </row>
    <row r="20" spans="1:57">
      <c r="A20" s="589">
        <v>16</v>
      </c>
      <c r="B20" s="91" t="s">
        <v>298</v>
      </c>
      <c r="C20" s="91" t="s">
        <v>314</v>
      </c>
      <c r="D20" s="23" t="s">
        <v>304</v>
      </c>
      <c r="E20" s="91" t="s">
        <v>308</v>
      </c>
      <c r="F20" s="90" t="s">
        <v>66</v>
      </c>
      <c r="G20" s="90">
        <v>2016</v>
      </c>
      <c r="H20" s="7" t="s">
        <v>116</v>
      </c>
      <c r="I20" s="7" t="s">
        <v>67</v>
      </c>
      <c r="J20" s="7" t="s">
        <v>281</v>
      </c>
      <c r="K20" s="111">
        <v>261.11617805306912</v>
      </c>
      <c r="L20" s="112">
        <v>2274.3955246923056</v>
      </c>
      <c r="M20" s="112">
        <v>3367.1999999999985</v>
      </c>
      <c r="N20" s="924">
        <v>0</v>
      </c>
      <c r="O20" s="165">
        <f>'[1]Project_Inputs - AER'!U20</f>
        <v>0</v>
      </c>
      <c r="P20" s="108">
        <f>'[1]Project_Inputs - AER'!V20</f>
        <v>0</v>
      </c>
      <c r="Q20" s="108">
        <f>'[1]Project_Inputs - AER'!W20</f>
        <v>0</v>
      </c>
      <c r="R20" s="108">
        <f>'[1]Project_Inputs - AER'!X20</f>
        <v>0</v>
      </c>
      <c r="S20" s="172">
        <f>'[1]Project_Inputs - AER'!Y20</f>
        <v>0</v>
      </c>
      <c r="T20" s="176"/>
      <c r="U20" s="116">
        <f t="shared" si="25"/>
        <v>0</v>
      </c>
      <c r="V20" s="119">
        <f t="shared" si="26"/>
        <v>5902.7117027453733</v>
      </c>
      <c r="W20" s="569">
        <f t="shared" si="27"/>
        <v>2535.5117027453748</v>
      </c>
      <c r="X20" s="7"/>
      <c r="Y20" s="242"/>
      <c r="Z20" s="242">
        <v>1</v>
      </c>
      <c r="AA20" s="242"/>
      <c r="AB20" s="242"/>
      <c r="AC20" s="242"/>
      <c r="AD20" s="242"/>
      <c r="AE20" s="242"/>
      <c r="AF20" s="242"/>
      <c r="AG20" s="242"/>
      <c r="AH20" s="242">
        <f t="shared" si="15"/>
        <v>1</v>
      </c>
      <c r="AI20" s="7"/>
      <c r="AJ20" s="425">
        <f t="shared" si="28"/>
        <v>0</v>
      </c>
      <c r="AK20" s="425">
        <f t="shared" si="29"/>
        <v>5902.7117027453733</v>
      </c>
      <c r="AL20" s="425">
        <f t="shared" si="30"/>
        <v>0</v>
      </c>
      <c r="AM20" s="425">
        <f t="shared" si="31"/>
        <v>0</v>
      </c>
      <c r="AN20" s="425">
        <f t="shared" si="32"/>
        <v>0</v>
      </c>
      <c r="AO20" s="425">
        <f t="shared" si="33"/>
        <v>0</v>
      </c>
      <c r="AP20" s="425">
        <f t="shared" si="34"/>
        <v>0</v>
      </c>
      <c r="AQ20" s="425">
        <f t="shared" si="35"/>
        <v>0</v>
      </c>
      <c r="AR20" s="425">
        <f t="shared" si="36"/>
        <v>0</v>
      </c>
      <c r="AS20" s="426">
        <f t="shared" si="37"/>
        <v>5902.7117027453733</v>
      </c>
      <c r="AT20" s="244">
        <f t="shared" si="38"/>
        <v>0</v>
      </c>
      <c r="AU20" s="7"/>
      <c r="AV20" s="7"/>
      <c r="AW20" s="7"/>
      <c r="AX20" s="30"/>
      <c r="AY20" s="30"/>
      <c r="AZ20" s="30"/>
      <c r="BA20" s="30"/>
      <c r="BB20" s="30"/>
      <c r="BC20" s="30"/>
      <c r="BD20" s="30"/>
      <c r="BE20" s="30"/>
    </row>
    <row r="21" spans="1:57">
      <c r="A21" s="589">
        <v>17</v>
      </c>
      <c r="B21" s="91" t="s">
        <v>299</v>
      </c>
      <c r="C21" s="91" t="s">
        <v>315</v>
      </c>
      <c r="D21" s="23" t="s">
        <v>305</v>
      </c>
      <c r="E21" s="91" t="s">
        <v>309</v>
      </c>
      <c r="F21" s="90" t="s">
        <v>66</v>
      </c>
      <c r="G21" s="90">
        <v>2016</v>
      </c>
      <c r="H21" s="7" t="s">
        <v>116</v>
      </c>
      <c r="I21" s="7" t="s">
        <v>67</v>
      </c>
      <c r="J21" s="7" t="s">
        <v>281</v>
      </c>
      <c r="K21" s="111">
        <v>159.8212694887614</v>
      </c>
      <c r="L21" s="112">
        <v>88.649922307692236</v>
      </c>
      <c r="M21" s="112">
        <v>1451.5221449999999</v>
      </c>
      <c r="N21" s="924">
        <v>0</v>
      </c>
      <c r="O21" s="165">
        <f>'[1]Project_Inputs - AER'!U21</f>
        <v>0</v>
      </c>
      <c r="P21" s="108">
        <f>'[1]Project_Inputs - AER'!V21</f>
        <v>0</v>
      </c>
      <c r="Q21" s="108">
        <f>'[1]Project_Inputs - AER'!W21</f>
        <v>0</v>
      </c>
      <c r="R21" s="108">
        <f>'[1]Project_Inputs - AER'!X21</f>
        <v>0</v>
      </c>
      <c r="S21" s="172">
        <f>'[1]Project_Inputs - AER'!Y21</f>
        <v>0</v>
      </c>
      <c r="T21" s="176"/>
      <c r="U21" s="116">
        <f t="shared" si="25"/>
        <v>0</v>
      </c>
      <c r="V21" s="119">
        <f t="shared" si="26"/>
        <v>1699.9933367964536</v>
      </c>
      <c r="W21" s="569">
        <f t="shared" si="27"/>
        <v>248.47119179645364</v>
      </c>
      <c r="X21" s="7"/>
      <c r="Y21" s="242"/>
      <c r="Z21" s="242">
        <v>1</v>
      </c>
      <c r="AA21" s="242"/>
      <c r="AB21" s="242"/>
      <c r="AC21" s="242"/>
      <c r="AD21" s="242"/>
      <c r="AE21" s="242"/>
      <c r="AF21" s="242"/>
      <c r="AG21" s="242"/>
      <c r="AH21" s="242">
        <f t="shared" si="15"/>
        <v>1</v>
      </c>
      <c r="AI21" s="7"/>
      <c r="AJ21" s="425">
        <f t="shared" si="28"/>
        <v>0</v>
      </c>
      <c r="AK21" s="425">
        <f t="shared" si="29"/>
        <v>1699.9933367964536</v>
      </c>
      <c r="AL21" s="425">
        <f t="shared" si="30"/>
        <v>0</v>
      </c>
      <c r="AM21" s="425">
        <f t="shared" si="31"/>
        <v>0</v>
      </c>
      <c r="AN21" s="425">
        <f t="shared" si="32"/>
        <v>0</v>
      </c>
      <c r="AO21" s="425">
        <f t="shared" si="33"/>
        <v>0</v>
      </c>
      <c r="AP21" s="425">
        <f t="shared" si="34"/>
        <v>0</v>
      </c>
      <c r="AQ21" s="425">
        <f t="shared" si="35"/>
        <v>0</v>
      </c>
      <c r="AR21" s="425">
        <f t="shared" si="36"/>
        <v>0</v>
      </c>
      <c r="AS21" s="426">
        <f t="shared" si="37"/>
        <v>1699.9933367964536</v>
      </c>
      <c r="AT21" s="244">
        <f t="shared" si="38"/>
        <v>0</v>
      </c>
      <c r="AU21" s="7"/>
      <c r="AV21" s="7"/>
      <c r="AW21" s="7"/>
      <c r="AX21" s="30"/>
      <c r="AY21" s="30"/>
      <c r="AZ21" s="30"/>
      <c r="BA21" s="30"/>
      <c r="BB21" s="30"/>
      <c r="BC21" s="30"/>
      <c r="BD21" s="30"/>
      <c r="BE21" s="30"/>
    </row>
    <row r="22" spans="1:57">
      <c r="A22" s="589">
        <v>18</v>
      </c>
      <c r="B22" s="91" t="s">
        <v>300</v>
      </c>
      <c r="C22" s="91" t="s">
        <v>316</v>
      </c>
      <c r="D22" s="23" t="s">
        <v>306</v>
      </c>
      <c r="E22" s="91" t="s">
        <v>310</v>
      </c>
      <c r="F22" s="90" t="s">
        <v>66</v>
      </c>
      <c r="G22" s="90">
        <v>2017</v>
      </c>
      <c r="H22" s="7" t="s">
        <v>116</v>
      </c>
      <c r="I22" s="7" t="s">
        <v>67</v>
      </c>
      <c r="J22" s="7" t="s">
        <v>281</v>
      </c>
      <c r="K22" s="111">
        <v>596.63775416121007</v>
      </c>
      <c r="L22" s="112">
        <v>2617.9399572307693</v>
      </c>
      <c r="M22" s="112">
        <v>2095.3500000000017</v>
      </c>
      <c r="N22" s="924">
        <v>4301.1878489519731</v>
      </c>
      <c r="O22" s="165">
        <f>'[1]Project_Inputs - AER'!U22</f>
        <v>0</v>
      </c>
      <c r="P22" s="108">
        <f>'[1]Project_Inputs - AER'!V22</f>
        <v>0</v>
      </c>
      <c r="Q22" s="108">
        <f>'[1]Project_Inputs - AER'!W22</f>
        <v>0</v>
      </c>
      <c r="R22" s="108">
        <f>'[1]Project_Inputs - AER'!X22</f>
        <v>0</v>
      </c>
      <c r="S22" s="172">
        <f>'[1]Project_Inputs - AER'!Y22</f>
        <v>0</v>
      </c>
      <c r="T22" s="176"/>
      <c r="U22" s="116">
        <f t="shared" si="25"/>
        <v>0</v>
      </c>
      <c r="V22" s="119">
        <f t="shared" si="26"/>
        <v>9611.1155603439547</v>
      </c>
      <c r="W22" s="569">
        <f t="shared" si="27"/>
        <v>3214.5777113919794</v>
      </c>
      <c r="X22" s="7"/>
      <c r="Y22" s="242"/>
      <c r="Z22" s="242">
        <v>0.32207537684979526</v>
      </c>
      <c r="AA22" s="242">
        <v>0.67792462315020474</v>
      </c>
      <c r="AB22" s="242"/>
      <c r="AC22" s="242"/>
      <c r="AD22" s="242"/>
      <c r="AE22" s="242"/>
      <c r="AF22" s="242"/>
      <c r="AG22" s="242"/>
      <c r="AH22" s="242">
        <f t="shared" si="15"/>
        <v>1</v>
      </c>
      <c r="AI22" s="7"/>
      <c r="AJ22" s="425">
        <f t="shared" si="28"/>
        <v>0</v>
      </c>
      <c r="AK22" s="425">
        <f t="shared" si="29"/>
        <v>3095.5036660447104</v>
      </c>
      <c r="AL22" s="425">
        <f t="shared" si="30"/>
        <v>6515.6118942992443</v>
      </c>
      <c r="AM22" s="425">
        <f t="shared" si="31"/>
        <v>0</v>
      </c>
      <c r="AN22" s="425">
        <f t="shared" si="32"/>
        <v>0</v>
      </c>
      <c r="AO22" s="425">
        <f t="shared" si="33"/>
        <v>0</v>
      </c>
      <c r="AP22" s="425">
        <f t="shared" si="34"/>
        <v>0</v>
      </c>
      <c r="AQ22" s="425">
        <f t="shared" si="35"/>
        <v>0</v>
      </c>
      <c r="AR22" s="425">
        <f t="shared" si="36"/>
        <v>0</v>
      </c>
      <c r="AS22" s="426">
        <f t="shared" si="37"/>
        <v>9611.1155603439547</v>
      </c>
      <c r="AT22" s="244">
        <f t="shared" si="38"/>
        <v>0</v>
      </c>
      <c r="AU22" s="7"/>
      <c r="AV22" s="7"/>
      <c r="AW22" s="7"/>
      <c r="AX22" s="30"/>
      <c r="AY22" s="30"/>
      <c r="AZ22" s="30"/>
      <c r="BA22" s="30"/>
      <c r="BB22" s="30"/>
      <c r="BC22" s="30"/>
      <c r="BD22" s="30"/>
      <c r="BE22" s="30"/>
    </row>
    <row r="23" spans="1:57">
      <c r="A23" s="589">
        <v>19</v>
      </c>
      <c r="B23" s="91"/>
      <c r="C23" s="91"/>
      <c r="D23" s="23" t="s">
        <v>317</v>
      </c>
      <c r="E23" s="91"/>
      <c r="F23" s="90"/>
      <c r="G23" s="90"/>
      <c r="H23" s="7" t="s">
        <v>116</v>
      </c>
      <c r="I23" s="7" t="s">
        <v>67</v>
      </c>
      <c r="J23" s="7" t="s">
        <v>281</v>
      </c>
      <c r="K23" s="111"/>
      <c r="L23" s="112">
        <v>9613.3376854882408</v>
      </c>
      <c r="M23" s="112">
        <v>887.55</v>
      </c>
      <c r="N23" s="924">
        <v>881.54771073163431</v>
      </c>
      <c r="O23" s="165">
        <f>'[1]Project_Inputs - AER'!U23</f>
        <v>0</v>
      </c>
      <c r="P23" s="108">
        <f>'[1]Project_Inputs - AER'!V23</f>
        <v>0</v>
      </c>
      <c r="Q23" s="108">
        <f>'[1]Project_Inputs - AER'!W23</f>
        <v>0</v>
      </c>
      <c r="R23" s="108">
        <f>'[1]Project_Inputs - AER'!X23</f>
        <v>0</v>
      </c>
      <c r="S23" s="172">
        <f>'[1]Project_Inputs - AER'!Y23</f>
        <v>0</v>
      </c>
      <c r="T23" s="176"/>
      <c r="U23" s="116">
        <f t="shared" si="25"/>
        <v>0</v>
      </c>
      <c r="V23" s="119">
        <f t="shared" si="26"/>
        <v>11382.435396219875</v>
      </c>
      <c r="W23" s="569">
        <f t="shared" si="27"/>
        <v>9613.3376854882408</v>
      </c>
      <c r="X23" s="7"/>
      <c r="Y23" s="242"/>
      <c r="Z23" s="242"/>
      <c r="AA23" s="242"/>
      <c r="AB23" s="242"/>
      <c r="AC23" s="242"/>
      <c r="AD23" s="242"/>
      <c r="AE23" s="242"/>
      <c r="AF23" s="242"/>
      <c r="AG23" s="242"/>
      <c r="AH23" s="242">
        <f t="shared" si="15"/>
        <v>0</v>
      </c>
      <c r="AI23" s="7"/>
      <c r="AJ23" s="425">
        <f t="shared" si="28"/>
        <v>0</v>
      </c>
      <c r="AK23" s="425">
        <f t="shared" si="29"/>
        <v>0</v>
      </c>
      <c r="AL23" s="425">
        <f t="shared" si="30"/>
        <v>0</v>
      </c>
      <c r="AM23" s="425">
        <f t="shared" si="31"/>
        <v>0</v>
      </c>
      <c r="AN23" s="425">
        <f t="shared" si="32"/>
        <v>0</v>
      </c>
      <c r="AO23" s="425">
        <f t="shared" si="33"/>
        <v>0</v>
      </c>
      <c r="AP23" s="425">
        <f t="shared" si="34"/>
        <v>0</v>
      </c>
      <c r="AQ23" s="425">
        <f t="shared" si="35"/>
        <v>0</v>
      </c>
      <c r="AR23" s="425">
        <f t="shared" si="36"/>
        <v>0</v>
      </c>
      <c r="AS23" s="426">
        <f t="shared" si="37"/>
        <v>0</v>
      </c>
      <c r="AT23" s="244">
        <f t="shared" si="38"/>
        <v>0</v>
      </c>
      <c r="AU23" s="7"/>
      <c r="AV23" s="7"/>
      <c r="AW23" s="7"/>
      <c r="AX23" s="30"/>
      <c r="AY23" s="30"/>
      <c r="AZ23" s="30"/>
      <c r="BA23" s="30"/>
      <c r="BB23" s="30"/>
      <c r="BC23" s="30"/>
      <c r="BD23" s="30"/>
      <c r="BE23" s="30"/>
    </row>
    <row r="24" spans="1:57">
      <c r="A24" s="589">
        <v>20</v>
      </c>
      <c r="B24" s="91" t="s">
        <v>131</v>
      </c>
      <c r="C24" s="91" t="s">
        <v>216</v>
      </c>
      <c r="D24" s="23" t="s">
        <v>95</v>
      </c>
      <c r="E24" s="91"/>
      <c r="F24" s="90"/>
      <c r="G24" s="90"/>
      <c r="H24" s="7" t="s">
        <v>116</v>
      </c>
      <c r="I24" s="7" t="s">
        <v>117</v>
      </c>
      <c r="J24" s="7" t="s">
        <v>281</v>
      </c>
      <c r="K24" s="111">
        <v>398.48296215711724</v>
      </c>
      <c r="L24" s="112">
        <v>1232.302138846153</v>
      </c>
      <c r="M24" s="112">
        <v>869.25</v>
      </c>
      <c r="N24" s="924">
        <v>1752.1671440575046</v>
      </c>
      <c r="O24" s="952">
        <f>'[1]Project_Inputs - AER'!U24</f>
        <v>592.96</v>
      </c>
      <c r="P24" s="953">
        <f>'[1]Project_Inputs - AER'!V24</f>
        <v>592.96</v>
      </c>
      <c r="Q24" s="953">
        <f>'[1]Project_Inputs - AER'!W24</f>
        <v>592.96</v>
      </c>
      <c r="R24" s="953">
        <f>'[1]Project_Inputs - AER'!X24</f>
        <v>592.96</v>
      </c>
      <c r="S24" s="954">
        <f>'[1]Project_Inputs - AER'!Y24</f>
        <v>592.96</v>
      </c>
      <c r="T24" s="175"/>
      <c r="U24" s="116">
        <f t="shared" si="9"/>
        <v>2964.8</v>
      </c>
      <c r="V24" s="119">
        <f t="shared" si="10"/>
        <v>7217.0022450607748</v>
      </c>
      <c r="W24" s="569">
        <f t="shared" si="11"/>
        <v>1630.7851010032703</v>
      </c>
      <c r="X24" s="7"/>
      <c r="Y24" s="242"/>
      <c r="Z24" s="242"/>
      <c r="AA24" s="242"/>
      <c r="AB24" s="242"/>
      <c r="AC24" s="242"/>
      <c r="AD24" s="242"/>
      <c r="AE24" s="242"/>
      <c r="AF24" s="242"/>
      <c r="AG24" s="242"/>
      <c r="AH24" s="242">
        <f t="shared" si="15"/>
        <v>0</v>
      </c>
      <c r="AI24" s="7"/>
      <c r="AJ24" s="427">
        <f t="shared" si="16"/>
        <v>0</v>
      </c>
      <c r="AK24" s="427">
        <f t="shared" si="17"/>
        <v>0</v>
      </c>
      <c r="AL24" s="427">
        <f t="shared" si="18"/>
        <v>0</v>
      </c>
      <c r="AM24" s="427">
        <f t="shared" si="19"/>
        <v>0</v>
      </c>
      <c r="AN24" s="427">
        <f t="shared" si="20"/>
        <v>0</v>
      </c>
      <c r="AO24" s="427">
        <f t="shared" si="21"/>
        <v>0</v>
      </c>
      <c r="AP24" s="427">
        <f t="shared" si="22"/>
        <v>0</v>
      </c>
      <c r="AQ24" s="427">
        <f t="shared" si="23"/>
        <v>0</v>
      </c>
      <c r="AR24" s="427">
        <f t="shared" si="24"/>
        <v>0</v>
      </c>
      <c r="AS24" s="426">
        <f t="shared" si="13"/>
        <v>0</v>
      </c>
      <c r="AT24" s="244">
        <f t="shared" si="14"/>
        <v>0</v>
      </c>
      <c r="AU24" s="7"/>
      <c r="AV24" s="7"/>
      <c r="AW24" s="7"/>
      <c r="AX24" s="30"/>
      <c r="AY24" s="30"/>
      <c r="AZ24" s="30"/>
      <c r="BA24" s="30"/>
      <c r="BB24" s="30"/>
      <c r="BC24" s="30"/>
      <c r="BD24" s="30"/>
      <c r="BE24" s="30"/>
    </row>
    <row r="25" spans="1:57">
      <c r="A25" s="589">
        <v>21</v>
      </c>
      <c r="B25" s="91"/>
      <c r="C25" s="91"/>
      <c r="D25" s="23" t="s">
        <v>96</v>
      </c>
      <c r="E25" s="91"/>
      <c r="F25" s="90"/>
      <c r="G25" s="90"/>
      <c r="H25" s="7" t="s">
        <v>116</v>
      </c>
      <c r="I25" s="7" t="s">
        <v>117</v>
      </c>
      <c r="J25" s="7" t="s">
        <v>281</v>
      </c>
      <c r="K25" s="111"/>
      <c r="L25" s="112">
        <v>0</v>
      </c>
      <c r="M25" s="112">
        <v>0</v>
      </c>
      <c r="N25" s="924">
        <v>0</v>
      </c>
      <c r="O25" s="947">
        <f>'[1]Project_Inputs - AER'!U25</f>
        <v>1095.232</v>
      </c>
      <c r="P25" s="948">
        <f>'[1]Project_Inputs - AER'!V25</f>
        <v>1095.232</v>
      </c>
      <c r="Q25" s="948">
        <f>'[1]Project_Inputs - AER'!W25</f>
        <v>1095.232</v>
      </c>
      <c r="R25" s="948">
        <f>'[1]Project_Inputs - AER'!X25</f>
        <v>1095.232</v>
      </c>
      <c r="S25" s="949">
        <f>'[1]Project_Inputs - AER'!Y25</f>
        <v>1095.232</v>
      </c>
      <c r="T25" s="175"/>
      <c r="U25" s="116">
        <f t="shared" si="9"/>
        <v>5476.16</v>
      </c>
      <c r="V25" s="119">
        <f t="shared" si="10"/>
        <v>5476.16</v>
      </c>
      <c r="W25" s="569">
        <f t="shared" si="11"/>
        <v>0</v>
      </c>
      <c r="X25" s="7"/>
      <c r="Y25" s="242"/>
      <c r="Z25" s="242"/>
      <c r="AA25" s="242"/>
      <c r="AB25" s="242"/>
      <c r="AC25" s="242"/>
      <c r="AD25" s="242"/>
      <c r="AE25" s="242"/>
      <c r="AF25" s="242"/>
      <c r="AG25" s="242"/>
      <c r="AH25" s="242">
        <f t="shared" si="15"/>
        <v>0</v>
      </c>
      <c r="AI25" s="7"/>
      <c r="AJ25" s="427">
        <f t="shared" si="16"/>
        <v>0</v>
      </c>
      <c r="AK25" s="427">
        <f t="shared" si="17"/>
        <v>0</v>
      </c>
      <c r="AL25" s="427">
        <f t="shared" si="18"/>
        <v>0</v>
      </c>
      <c r="AM25" s="427">
        <f t="shared" si="19"/>
        <v>0</v>
      </c>
      <c r="AN25" s="427">
        <f t="shared" si="20"/>
        <v>0</v>
      </c>
      <c r="AO25" s="427">
        <f t="shared" si="21"/>
        <v>0</v>
      </c>
      <c r="AP25" s="427">
        <f t="shared" si="22"/>
        <v>0</v>
      </c>
      <c r="AQ25" s="427">
        <f t="shared" si="23"/>
        <v>0</v>
      </c>
      <c r="AR25" s="427">
        <f t="shared" si="24"/>
        <v>0</v>
      </c>
      <c r="AS25" s="426">
        <f t="shared" si="13"/>
        <v>0</v>
      </c>
      <c r="AT25" s="244">
        <f t="shared" si="14"/>
        <v>0</v>
      </c>
      <c r="AU25" s="7"/>
      <c r="AV25" s="7"/>
      <c r="AW25" s="7"/>
      <c r="AX25" s="30"/>
      <c r="AY25" s="30"/>
      <c r="AZ25" s="30"/>
      <c r="BA25" s="30"/>
      <c r="BB25" s="30"/>
      <c r="BC25" s="30"/>
      <c r="BD25" s="30"/>
      <c r="BE25" s="30"/>
    </row>
    <row r="26" spans="1:57">
      <c r="A26" s="589">
        <v>22</v>
      </c>
      <c r="B26" s="91" t="s">
        <v>206</v>
      </c>
      <c r="C26" s="91" t="s">
        <v>209</v>
      </c>
      <c r="D26" s="23" t="s">
        <v>97</v>
      </c>
      <c r="E26" s="91"/>
      <c r="F26" s="90"/>
      <c r="G26" s="90"/>
      <c r="H26" s="7" t="s">
        <v>116</v>
      </c>
      <c r="I26" s="7" t="s">
        <v>118</v>
      </c>
      <c r="J26" s="7" t="s">
        <v>281</v>
      </c>
      <c r="K26" s="111"/>
      <c r="L26" s="112">
        <v>0</v>
      </c>
      <c r="M26" s="112">
        <v>0</v>
      </c>
      <c r="N26" s="924">
        <v>1001.758762195039</v>
      </c>
      <c r="O26" s="947">
        <f>'[1]Project_Inputs - AER'!U26</f>
        <v>436</v>
      </c>
      <c r="P26" s="948">
        <f>'[1]Project_Inputs - AER'!V26</f>
        <v>436</v>
      </c>
      <c r="Q26" s="948">
        <f>'[1]Project_Inputs - AER'!W26</f>
        <v>436</v>
      </c>
      <c r="R26" s="948">
        <f>'[1]Project_Inputs - AER'!X26</f>
        <v>436</v>
      </c>
      <c r="S26" s="949">
        <f>'[1]Project_Inputs - AER'!Y26</f>
        <v>436</v>
      </c>
      <c r="T26" s="176"/>
      <c r="U26" s="116">
        <f t="shared" si="9"/>
        <v>2180</v>
      </c>
      <c r="V26" s="119">
        <f t="shared" si="10"/>
        <v>3181.7587621950388</v>
      </c>
      <c r="W26" s="569">
        <f t="shared" si="11"/>
        <v>0</v>
      </c>
      <c r="X26" s="7"/>
      <c r="Y26" s="242"/>
      <c r="Z26" s="242"/>
      <c r="AA26" s="242"/>
      <c r="AB26" s="242"/>
      <c r="AC26" s="242"/>
      <c r="AD26" s="242"/>
      <c r="AE26" s="242"/>
      <c r="AF26" s="242"/>
      <c r="AG26" s="242"/>
      <c r="AH26" s="242">
        <f t="shared" si="15"/>
        <v>0</v>
      </c>
      <c r="AI26" s="7"/>
      <c r="AJ26" s="427">
        <f t="shared" si="16"/>
        <v>0</v>
      </c>
      <c r="AK26" s="427">
        <f t="shared" si="17"/>
        <v>0</v>
      </c>
      <c r="AL26" s="427">
        <f t="shared" si="18"/>
        <v>0</v>
      </c>
      <c r="AM26" s="427">
        <f t="shared" si="19"/>
        <v>0</v>
      </c>
      <c r="AN26" s="427">
        <f t="shared" si="20"/>
        <v>0</v>
      </c>
      <c r="AO26" s="427">
        <f t="shared" si="21"/>
        <v>0</v>
      </c>
      <c r="AP26" s="427">
        <f t="shared" si="22"/>
        <v>0</v>
      </c>
      <c r="AQ26" s="427">
        <f t="shared" si="23"/>
        <v>0</v>
      </c>
      <c r="AR26" s="427">
        <f t="shared" si="24"/>
        <v>0</v>
      </c>
      <c r="AS26" s="426">
        <f t="shared" si="13"/>
        <v>0</v>
      </c>
      <c r="AT26" s="244">
        <f t="shared" si="14"/>
        <v>0</v>
      </c>
      <c r="AU26" s="7"/>
      <c r="AV26" s="7"/>
      <c r="AW26" s="7"/>
      <c r="AX26" s="30"/>
      <c r="AY26" s="30"/>
      <c r="AZ26" s="30"/>
      <c r="BA26" s="30"/>
      <c r="BB26" s="30"/>
      <c r="BC26" s="30"/>
      <c r="BD26" s="30"/>
      <c r="BE26" s="30"/>
    </row>
    <row r="27" spans="1:57">
      <c r="A27" s="589">
        <v>23</v>
      </c>
      <c r="B27" s="91"/>
      <c r="C27" s="91"/>
      <c r="D27" s="23" t="s">
        <v>98</v>
      </c>
      <c r="E27" s="91"/>
      <c r="F27" s="90"/>
      <c r="G27" s="90"/>
      <c r="H27" s="7" t="s">
        <v>116</v>
      </c>
      <c r="I27" s="7" t="s">
        <v>117</v>
      </c>
      <c r="J27" s="7" t="s">
        <v>281</v>
      </c>
      <c r="K27" s="111"/>
      <c r="L27" s="112">
        <v>1831.3156965546164</v>
      </c>
      <c r="M27" s="112">
        <v>1747.65</v>
      </c>
      <c r="N27" s="924">
        <v>1001.758762195039</v>
      </c>
      <c r="O27" s="947">
        <f>'[1]Project_Inputs - AER'!U27</f>
        <v>5164.3327999999992</v>
      </c>
      <c r="P27" s="948">
        <f>'[1]Project_Inputs - AER'!V27</f>
        <v>5164.3327999999992</v>
      </c>
      <c r="Q27" s="948">
        <f>'[1]Project_Inputs - AER'!W27</f>
        <v>5164.3327999999992</v>
      </c>
      <c r="R27" s="948">
        <f>'[1]Project_Inputs - AER'!X27</f>
        <v>5164.3327999999992</v>
      </c>
      <c r="S27" s="949">
        <f>'[1]Project_Inputs - AER'!Y27</f>
        <v>5164.3327999999992</v>
      </c>
      <c r="T27" s="175"/>
      <c r="U27" s="116">
        <f t="shared" si="9"/>
        <v>25821.663999999997</v>
      </c>
      <c r="V27" s="119">
        <f t="shared" si="10"/>
        <v>30402.388458749654</v>
      </c>
      <c r="W27" s="569">
        <f t="shared" si="11"/>
        <v>1831.3156965546164</v>
      </c>
      <c r="X27" s="7"/>
      <c r="Y27" s="242"/>
      <c r="Z27" s="242"/>
      <c r="AA27" s="242"/>
      <c r="AB27" s="242"/>
      <c r="AC27" s="242"/>
      <c r="AD27" s="242"/>
      <c r="AE27" s="242"/>
      <c r="AF27" s="242"/>
      <c r="AG27" s="242"/>
      <c r="AH27" s="242">
        <f t="shared" si="15"/>
        <v>0</v>
      </c>
      <c r="AI27" s="7"/>
      <c r="AJ27" s="427">
        <f t="shared" si="16"/>
        <v>0</v>
      </c>
      <c r="AK27" s="427">
        <f t="shared" si="17"/>
        <v>0</v>
      </c>
      <c r="AL27" s="427">
        <f t="shared" si="18"/>
        <v>0</v>
      </c>
      <c r="AM27" s="427">
        <f t="shared" si="19"/>
        <v>0</v>
      </c>
      <c r="AN27" s="427">
        <f t="shared" si="20"/>
        <v>0</v>
      </c>
      <c r="AO27" s="427">
        <f t="shared" si="21"/>
        <v>0</v>
      </c>
      <c r="AP27" s="427">
        <f t="shared" si="22"/>
        <v>0</v>
      </c>
      <c r="AQ27" s="427">
        <f t="shared" si="23"/>
        <v>0</v>
      </c>
      <c r="AR27" s="427">
        <f t="shared" si="24"/>
        <v>0</v>
      </c>
      <c r="AS27" s="426">
        <f t="shared" si="13"/>
        <v>0</v>
      </c>
      <c r="AT27" s="244">
        <f t="shared" si="14"/>
        <v>0</v>
      </c>
      <c r="AU27" s="7"/>
      <c r="AV27" s="7"/>
      <c r="AW27" s="7"/>
      <c r="AX27" s="30"/>
      <c r="AY27" s="30"/>
      <c r="AZ27" s="30"/>
      <c r="BA27" s="30"/>
      <c r="BB27" s="30"/>
      <c r="BC27" s="30"/>
      <c r="BD27" s="30"/>
      <c r="BE27" s="30"/>
    </row>
    <row r="28" spans="1:57">
      <c r="A28" s="589">
        <v>24</v>
      </c>
      <c r="B28" s="91" t="s">
        <v>215</v>
      </c>
      <c r="C28" s="91"/>
      <c r="D28" s="23" t="s">
        <v>99</v>
      </c>
      <c r="E28" s="91"/>
      <c r="F28" s="90"/>
      <c r="G28" s="90"/>
      <c r="H28" s="7" t="s">
        <v>116</v>
      </c>
      <c r="I28" s="7" t="s">
        <v>118</v>
      </c>
      <c r="J28" s="7" t="s">
        <v>281</v>
      </c>
      <c r="K28" s="111"/>
      <c r="L28" s="170">
        <v>492.18013761538464</v>
      </c>
      <c r="M28" s="112">
        <v>1098</v>
      </c>
      <c r="N28" s="924">
        <v>2595.4658838689647</v>
      </c>
      <c r="O28" s="947">
        <f>'[1]Project_Inputs - AER'!U28</f>
        <v>1290.56</v>
      </c>
      <c r="P28" s="948">
        <f>'[1]Project_Inputs - AER'!V28</f>
        <v>1290.56</v>
      </c>
      <c r="Q28" s="948">
        <f>'[1]Project_Inputs - AER'!W28</f>
        <v>1290.56</v>
      </c>
      <c r="R28" s="948">
        <f>'[1]Project_Inputs - AER'!X28</f>
        <v>1290.56</v>
      </c>
      <c r="S28" s="949">
        <f>'[1]Project_Inputs - AER'!Y28</f>
        <v>1290.56</v>
      </c>
      <c r="T28" s="175"/>
      <c r="U28" s="116">
        <f t="shared" si="9"/>
        <v>6452.7999999999993</v>
      </c>
      <c r="V28" s="119">
        <f t="shared" si="10"/>
        <v>10638.446021484348</v>
      </c>
      <c r="W28" s="569">
        <f t="shared" si="11"/>
        <v>492.18013761538464</v>
      </c>
      <c r="X28" s="7"/>
      <c r="Y28" s="242"/>
      <c r="Z28" s="242"/>
      <c r="AA28" s="242"/>
      <c r="AB28" s="242"/>
      <c r="AC28" s="242"/>
      <c r="AD28" s="242"/>
      <c r="AE28" s="242"/>
      <c r="AF28" s="242"/>
      <c r="AG28" s="242"/>
      <c r="AH28" s="242">
        <f t="shared" si="15"/>
        <v>0</v>
      </c>
      <c r="AI28" s="7"/>
      <c r="AJ28" s="427">
        <f t="shared" si="16"/>
        <v>0</v>
      </c>
      <c r="AK28" s="427">
        <f t="shared" si="17"/>
        <v>0</v>
      </c>
      <c r="AL28" s="427">
        <f t="shared" si="18"/>
        <v>0</v>
      </c>
      <c r="AM28" s="427">
        <f t="shared" si="19"/>
        <v>0</v>
      </c>
      <c r="AN28" s="427">
        <f t="shared" si="20"/>
        <v>0</v>
      </c>
      <c r="AO28" s="427">
        <f t="shared" si="21"/>
        <v>0</v>
      </c>
      <c r="AP28" s="427">
        <f t="shared" si="22"/>
        <v>0</v>
      </c>
      <c r="AQ28" s="427">
        <f t="shared" si="23"/>
        <v>0</v>
      </c>
      <c r="AR28" s="427">
        <f t="shared" si="24"/>
        <v>0</v>
      </c>
      <c r="AS28" s="426">
        <f t="shared" si="13"/>
        <v>0</v>
      </c>
      <c r="AT28" s="244">
        <f t="shared" si="14"/>
        <v>0</v>
      </c>
      <c r="AU28" s="7"/>
      <c r="AV28" s="7"/>
      <c r="AW28" s="7"/>
      <c r="AX28" s="30"/>
      <c r="AY28" s="30"/>
      <c r="AZ28" s="30"/>
      <c r="BA28" s="30"/>
      <c r="BB28" s="30"/>
      <c r="BC28" s="30"/>
      <c r="BD28" s="30"/>
      <c r="BE28" s="30"/>
    </row>
    <row r="29" spans="1:57">
      <c r="A29" s="589">
        <v>25</v>
      </c>
      <c r="B29" s="91"/>
      <c r="C29" s="91"/>
      <c r="D29" s="23" t="s">
        <v>100</v>
      </c>
      <c r="E29" s="91"/>
      <c r="F29" s="90"/>
      <c r="G29" s="90"/>
      <c r="H29" s="7" t="s">
        <v>116</v>
      </c>
      <c r="I29" s="7" t="s">
        <v>117</v>
      </c>
      <c r="J29" s="7" t="s">
        <v>281</v>
      </c>
      <c r="K29" s="111"/>
      <c r="L29" s="170">
        <v>0</v>
      </c>
      <c r="M29" s="112">
        <v>0</v>
      </c>
      <c r="N29" s="924">
        <v>0</v>
      </c>
      <c r="O29" s="947">
        <f>'[1]Project_Inputs - AER'!U29</f>
        <v>739.45600000000002</v>
      </c>
      <c r="P29" s="948">
        <f>'[1]Project_Inputs - AER'!V29</f>
        <v>2127.6799999999998</v>
      </c>
      <c r="Q29" s="948">
        <f>'[1]Project_Inputs - AER'!W29</f>
        <v>2127.6799999999998</v>
      </c>
      <c r="R29" s="948">
        <f>'[1]Project_Inputs - AER'!X29</f>
        <v>2127.6799999999998</v>
      </c>
      <c r="S29" s="949">
        <f>'[1]Project_Inputs - AER'!Y29</f>
        <v>2127.6799999999998</v>
      </c>
      <c r="T29" s="175"/>
      <c r="U29" s="116">
        <f t="shared" si="9"/>
        <v>9250.1759999999995</v>
      </c>
      <c r="V29" s="119">
        <f t="shared" si="10"/>
        <v>9250.1759999999995</v>
      </c>
      <c r="W29" s="569">
        <f t="shared" si="11"/>
        <v>0</v>
      </c>
      <c r="X29" s="7"/>
      <c r="Y29" s="242"/>
      <c r="Z29" s="242"/>
      <c r="AA29" s="242"/>
      <c r="AB29" s="242"/>
      <c r="AC29" s="242"/>
      <c r="AD29" s="242"/>
      <c r="AE29" s="242"/>
      <c r="AF29" s="242"/>
      <c r="AG29" s="242"/>
      <c r="AH29" s="242">
        <f t="shared" si="15"/>
        <v>0</v>
      </c>
      <c r="AI29" s="7"/>
      <c r="AJ29" s="427">
        <f t="shared" si="16"/>
        <v>0</v>
      </c>
      <c r="AK29" s="427">
        <f t="shared" si="17"/>
        <v>0</v>
      </c>
      <c r="AL29" s="427">
        <f t="shared" si="18"/>
        <v>0</v>
      </c>
      <c r="AM29" s="427">
        <f t="shared" si="19"/>
        <v>0</v>
      </c>
      <c r="AN29" s="427">
        <f t="shared" si="20"/>
        <v>0</v>
      </c>
      <c r="AO29" s="427">
        <f t="shared" si="21"/>
        <v>0</v>
      </c>
      <c r="AP29" s="427">
        <f t="shared" si="22"/>
        <v>0</v>
      </c>
      <c r="AQ29" s="427">
        <f t="shared" si="23"/>
        <v>0</v>
      </c>
      <c r="AR29" s="427">
        <f t="shared" si="24"/>
        <v>0</v>
      </c>
      <c r="AS29" s="426">
        <f t="shared" si="13"/>
        <v>0</v>
      </c>
      <c r="AT29" s="244">
        <f t="shared" si="14"/>
        <v>0</v>
      </c>
      <c r="AU29" s="7"/>
      <c r="AV29" s="7"/>
      <c r="AW29" s="7"/>
      <c r="AX29" s="30"/>
      <c r="AY29" s="30"/>
      <c r="AZ29" s="30"/>
      <c r="BA29" s="30"/>
      <c r="BB29" s="30"/>
      <c r="BC29" s="30"/>
      <c r="BD29" s="30"/>
      <c r="BE29" s="30"/>
    </row>
    <row r="30" spans="1:57">
      <c r="A30" s="589">
        <v>26</v>
      </c>
      <c r="B30" s="91" t="s">
        <v>215</v>
      </c>
      <c r="C30" s="91"/>
      <c r="D30" s="23" t="s">
        <v>101</v>
      </c>
      <c r="E30" s="91"/>
      <c r="F30" s="90"/>
      <c r="G30" s="90"/>
      <c r="H30" s="7" t="s">
        <v>116</v>
      </c>
      <c r="I30" s="7" t="s">
        <v>117</v>
      </c>
      <c r="J30" s="7" t="s">
        <v>281</v>
      </c>
      <c r="K30" s="111"/>
      <c r="L30" s="112">
        <v>1746.2856007692308</v>
      </c>
      <c r="M30" s="112">
        <v>2096.2649999999999</v>
      </c>
      <c r="N30" s="924">
        <v>2126.0599417000453</v>
      </c>
      <c r="O30" s="165">
        <f>'[1]Project_Inputs - AER'!U30</f>
        <v>0</v>
      </c>
      <c r="P30" s="108">
        <f>'[1]Project_Inputs - AER'!V30</f>
        <v>0</v>
      </c>
      <c r="Q30" s="108">
        <f>'[1]Project_Inputs - AER'!W30</f>
        <v>0</v>
      </c>
      <c r="R30" s="108">
        <f>'[1]Project_Inputs - AER'!X30</f>
        <v>0</v>
      </c>
      <c r="S30" s="172">
        <f>'[1]Project_Inputs - AER'!Y30</f>
        <v>0</v>
      </c>
      <c r="T30" s="175"/>
      <c r="U30" s="116">
        <f t="shared" si="9"/>
        <v>0</v>
      </c>
      <c r="V30" s="119">
        <f t="shared" si="10"/>
        <v>5968.610542469276</v>
      </c>
      <c r="W30" s="569">
        <f t="shared" si="11"/>
        <v>1746.2856007692308</v>
      </c>
      <c r="X30" s="7"/>
      <c r="Y30" s="242"/>
      <c r="Z30" s="242"/>
      <c r="AA30" s="242"/>
      <c r="AB30" s="242"/>
      <c r="AC30" s="242"/>
      <c r="AD30" s="242"/>
      <c r="AE30" s="242"/>
      <c r="AF30" s="242"/>
      <c r="AG30" s="242"/>
      <c r="AH30" s="242">
        <f t="shared" si="15"/>
        <v>0</v>
      </c>
      <c r="AI30" s="7"/>
      <c r="AJ30" s="427">
        <f t="shared" si="16"/>
        <v>0</v>
      </c>
      <c r="AK30" s="427">
        <f t="shared" si="17"/>
        <v>0</v>
      </c>
      <c r="AL30" s="427">
        <f t="shared" si="18"/>
        <v>0</v>
      </c>
      <c r="AM30" s="427">
        <f t="shared" si="19"/>
        <v>0</v>
      </c>
      <c r="AN30" s="427">
        <f t="shared" si="20"/>
        <v>0</v>
      </c>
      <c r="AO30" s="427">
        <f t="shared" si="21"/>
        <v>0</v>
      </c>
      <c r="AP30" s="427">
        <f t="shared" si="22"/>
        <v>0</v>
      </c>
      <c r="AQ30" s="427">
        <f t="shared" si="23"/>
        <v>0</v>
      </c>
      <c r="AR30" s="427">
        <f t="shared" si="24"/>
        <v>0</v>
      </c>
      <c r="AS30" s="426">
        <f t="shared" si="13"/>
        <v>0</v>
      </c>
      <c r="AT30" s="244">
        <f t="shared" si="14"/>
        <v>0</v>
      </c>
      <c r="AU30" s="7"/>
      <c r="AV30" s="7"/>
      <c r="AW30" s="7"/>
      <c r="AX30" s="30"/>
      <c r="AY30" s="30"/>
      <c r="AZ30" s="30"/>
      <c r="BA30" s="30"/>
      <c r="BB30" s="30"/>
      <c r="BC30" s="30"/>
      <c r="BD30" s="30"/>
      <c r="BE30" s="30"/>
    </row>
    <row r="31" spans="1:57">
      <c r="A31" s="589">
        <v>27</v>
      </c>
      <c r="B31" s="91"/>
      <c r="C31" s="91"/>
      <c r="D31" s="23" t="s">
        <v>200</v>
      </c>
      <c r="E31" s="91"/>
      <c r="F31" s="90"/>
      <c r="G31" s="90"/>
      <c r="H31" s="7" t="s">
        <v>116</v>
      </c>
      <c r="I31" s="7" t="s">
        <v>117</v>
      </c>
      <c r="J31" s="7" t="s">
        <v>281</v>
      </c>
      <c r="K31" s="111"/>
      <c r="L31" s="112">
        <v>2779.9673709230797</v>
      </c>
      <c r="M31" s="112">
        <v>878.48418000000004</v>
      </c>
      <c r="N31" s="924">
        <v>7558.7252056534771</v>
      </c>
      <c r="O31" s="952">
        <f>'[1]Project_Inputs - AER'!U31</f>
        <v>143.00800000000001</v>
      </c>
      <c r="P31" s="953">
        <f>'[1]Project_Inputs - AER'!V31</f>
        <v>143.00800000000001</v>
      </c>
      <c r="Q31" s="953">
        <f>'[1]Project_Inputs - AER'!W31</f>
        <v>143.00800000000001</v>
      </c>
      <c r="R31" s="953">
        <f>'[1]Project_Inputs - AER'!X31</f>
        <v>143.00800000000001</v>
      </c>
      <c r="S31" s="954">
        <f>'[1]Project_Inputs - AER'!Y31</f>
        <v>143.00800000000001</v>
      </c>
      <c r="T31" s="175"/>
      <c r="U31" s="116">
        <f t="shared" si="9"/>
        <v>715.04000000000008</v>
      </c>
      <c r="V31" s="119">
        <f t="shared" si="10"/>
        <v>11932.216756576556</v>
      </c>
      <c r="W31" s="569">
        <f t="shared" si="11"/>
        <v>2779.9673709230797</v>
      </c>
      <c r="X31" s="7"/>
      <c r="Y31" s="242"/>
      <c r="Z31" s="242"/>
      <c r="AA31" s="242"/>
      <c r="AB31" s="242"/>
      <c r="AC31" s="242"/>
      <c r="AD31" s="242"/>
      <c r="AE31" s="242"/>
      <c r="AF31" s="242"/>
      <c r="AG31" s="242"/>
      <c r="AH31" s="242">
        <f t="shared" si="15"/>
        <v>0</v>
      </c>
      <c r="AI31" s="7"/>
      <c r="AJ31" s="427">
        <f t="shared" si="16"/>
        <v>0</v>
      </c>
      <c r="AK31" s="427">
        <f t="shared" si="17"/>
        <v>0</v>
      </c>
      <c r="AL31" s="427">
        <f t="shared" si="18"/>
        <v>0</v>
      </c>
      <c r="AM31" s="427">
        <f t="shared" si="19"/>
        <v>0</v>
      </c>
      <c r="AN31" s="427">
        <f t="shared" si="20"/>
        <v>0</v>
      </c>
      <c r="AO31" s="427">
        <f t="shared" si="21"/>
        <v>0</v>
      </c>
      <c r="AP31" s="427">
        <f t="shared" si="22"/>
        <v>0</v>
      </c>
      <c r="AQ31" s="427">
        <f t="shared" si="23"/>
        <v>0</v>
      </c>
      <c r="AR31" s="427">
        <f t="shared" si="24"/>
        <v>0</v>
      </c>
      <c r="AS31" s="426">
        <f t="shared" si="13"/>
        <v>0</v>
      </c>
      <c r="AT31" s="244">
        <f t="shared" si="14"/>
        <v>0</v>
      </c>
      <c r="AU31" s="7"/>
      <c r="AV31" s="7"/>
      <c r="AW31" s="7"/>
      <c r="AX31" s="30"/>
      <c r="AY31" s="30"/>
      <c r="AZ31" s="30"/>
      <c r="BA31" s="30"/>
      <c r="BB31" s="30"/>
      <c r="BC31" s="30"/>
      <c r="BD31" s="30"/>
      <c r="BE31" s="30"/>
    </row>
    <row r="32" spans="1:57">
      <c r="A32" s="589">
        <v>28</v>
      </c>
      <c r="B32" s="91"/>
      <c r="C32" s="91"/>
      <c r="D32" s="23" t="s">
        <v>201</v>
      </c>
      <c r="E32" s="91"/>
      <c r="F32" s="90"/>
      <c r="G32" s="90"/>
      <c r="H32" s="7" t="s">
        <v>116</v>
      </c>
      <c r="I32" s="7" t="s">
        <v>117</v>
      </c>
      <c r="J32" s="7" t="s">
        <v>281</v>
      </c>
      <c r="K32" s="111"/>
      <c r="L32" s="170">
        <v>0</v>
      </c>
      <c r="M32" s="112">
        <v>0</v>
      </c>
      <c r="N32" s="924">
        <v>0</v>
      </c>
      <c r="O32" s="947">
        <f>'[1]Project_Inputs - AER'!U32</f>
        <v>148.24</v>
      </c>
      <c r="P32" s="948">
        <f>'[1]Project_Inputs - AER'!V32</f>
        <v>174.4</v>
      </c>
      <c r="Q32" s="948">
        <f>'[1]Project_Inputs - AER'!W32</f>
        <v>87.2</v>
      </c>
      <c r="R32" s="948">
        <f>'[1]Project_Inputs - AER'!X32</f>
        <v>87.2</v>
      </c>
      <c r="S32" s="949">
        <f>'[1]Project_Inputs - AER'!Y32</f>
        <v>87.2</v>
      </c>
      <c r="T32" s="175"/>
      <c r="U32" s="116">
        <f t="shared" si="9"/>
        <v>584.24</v>
      </c>
      <c r="V32" s="119">
        <f t="shared" si="10"/>
        <v>584.24</v>
      </c>
      <c r="W32" s="569">
        <f t="shared" si="11"/>
        <v>0</v>
      </c>
      <c r="X32" s="7"/>
      <c r="Y32" s="242"/>
      <c r="Z32" s="242"/>
      <c r="AA32" s="242"/>
      <c r="AB32" s="242"/>
      <c r="AC32" s="242"/>
      <c r="AD32" s="242"/>
      <c r="AE32" s="242"/>
      <c r="AF32" s="242"/>
      <c r="AG32" s="242"/>
      <c r="AH32" s="242">
        <f t="shared" si="15"/>
        <v>0</v>
      </c>
      <c r="AI32" s="7"/>
      <c r="AJ32" s="427">
        <f t="shared" si="16"/>
        <v>0</v>
      </c>
      <c r="AK32" s="427">
        <f t="shared" si="17"/>
        <v>0</v>
      </c>
      <c r="AL32" s="427">
        <f t="shared" si="18"/>
        <v>0</v>
      </c>
      <c r="AM32" s="427">
        <f t="shared" si="19"/>
        <v>0</v>
      </c>
      <c r="AN32" s="427">
        <f t="shared" si="20"/>
        <v>0</v>
      </c>
      <c r="AO32" s="427">
        <f t="shared" si="21"/>
        <v>0</v>
      </c>
      <c r="AP32" s="427">
        <f t="shared" si="22"/>
        <v>0</v>
      </c>
      <c r="AQ32" s="427">
        <f t="shared" si="23"/>
        <v>0</v>
      </c>
      <c r="AR32" s="427">
        <f t="shared" si="24"/>
        <v>0</v>
      </c>
      <c r="AS32" s="426">
        <f t="shared" si="13"/>
        <v>0</v>
      </c>
      <c r="AT32" s="244">
        <f t="shared" si="14"/>
        <v>0</v>
      </c>
      <c r="AU32" s="7"/>
      <c r="AV32" s="7"/>
      <c r="AW32" s="7"/>
      <c r="AX32" s="30"/>
      <c r="AY32" s="30"/>
      <c r="AZ32" s="30"/>
      <c r="BA32" s="30"/>
      <c r="BB32" s="30"/>
      <c r="BC32" s="30"/>
      <c r="BD32" s="30"/>
      <c r="BE32" s="30"/>
    </row>
    <row r="33" spans="1:57">
      <c r="A33" s="589">
        <v>29</v>
      </c>
      <c r="B33" s="91" t="s">
        <v>215</v>
      </c>
      <c r="C33" s="91"/>
      <c r="D33" s="23" t="s">
        <v>102</v>
      </c>
      <c r="E33" s="91"/>
      <c r="F33" s="90"/>
      <c r="G33" s="90"/>
      <c r="H33" s="7" t="s">
        <v>116</v>
      </c>
      <c r="I33" s="7" t="s">
        <v>118</v>
      </c>
      <c r="J33" s="7" t="s">
        <v>281</v>
      </c>
      <c r="K33" s="111"/>
      <c r="L33" s="112">
        <v>2142.8670059999995</v>
      </c>
      <c r="M33" s="112">
        <v>558.15</v>
      </c>
      <c r="N33" s="924">
        <v>2375.0789561860561</v>
      </c>
      <c r="O33" s="947">
        <f>'[1]Project_Inputs - AER'!U33</f>
        <v>1530.36</v>
      </c>
      <c r="P33" s="948">
        <f>'[1]Project_Inputs - AER'!V33</f>
        <v>1530.36</v>
      </c>
      <c r="Q33" s="948">
        <f>'[1]Project_Inputs - AER'!W33</f>
        <v>1530.36</v>
      </c>
      <c r="R33" s="948">
        <f>'[1]Project_Inputs - AER'!X33</f>
        <v>1530.36</v>
      </c>
      <c r="S33" s="949">
        <f>'[1]Project_Inputs - AER'!Y33</f>
        <v>1530.36</v>
      </c>
      <c r="T33" s="176"/>
      <c r="U33" s="116">
        <f t="shared" si="9"/>
        <v>7651.7999999999993</v>
      </c>
      <c r="V33" s="119">
        <f t="shared" si="10"/>
        <v>12727.895962186056</v>
      </c>
      <c r="W33" s="569">
        <f t="shared" si="11"/>
        <v>2142.8670059999995</v>
      </c>
      <c r="X33" s="7"/>
      <c r="Y33" s="242"/>
      <c r="Z33" s="242"/>
      <c r="AA33" s="242"/>
      <c r="AB33" s="242"/>
      <c r="AC33" s="242"/>
      <c r="AD33" s="242"/>
      <c r="AE33" s="242"/>
      <c r="AF33" s="242"/>
      <c r="AG33" s="242"/>
      <c r="AH33" s="242">
        <f t="shared" si="15"/>
        <v>0</v>
      </c>
      <c r="AI33" s="7"/>
      <c r="AJ33" s="427">
        <f t="shared" si="16"/>
        <v>0</v>
      </c>
      <c r="AK33" s="427">
        <f t="shared" si="17"/>
        <v>0</v>
      </c>
      <c r="AL33" s="427">
        <f t="shared" si="18"/>
        <v>0</v>
      </c>
      <c r="AM33" s="427">
        <f t="shared" si="19"/>
        <v>0</v>
      </c>
      <c r="AN33" s="427">
        <f t="shared" si="20"/>
        <v>0</v>
      </c>
      <c r="AO33" s="427">
        <f t="shared" si="21"/>
        <v>0</v>
      </c>
      <c r="AP33" s="427">
        <f t="shared" si="22"/>
        <v>0</v>
      </c>
      <c r="AQ33" s="427">
        <f t="shared" si="23"/>
        <v>0</v>
      </c>
      <c r="AR33" s="427">
        <f t="shared" si="24"/>
        <v>0</v>
      </c>
      <c r="AS33" s="426">
        <f t="shared" si="13"/>
        <v>0</v>
      </c>
      <c r="AT33" s="244">
        <f t="shared" si="14"/>
        <v>0</v>
      </c>
      <c r="AU33" s="7"/>
      <c r="AV33" s="7"/>
      <c r="AW33" s="7"/>
      <c r="AX33" s="30"/>
      <c r="AY33" s="30"/>
      <c r="AZ33" s="30"/>
      <c r="BA33" s="30"/>
      <c r="BB33" s="30"/>
      <c r="BC33" s="30"/>
      <c r="BD33" s="30"/>
      <c r="BE33" s="30"/>
    </row>
    <row r="34" spans="1:57">
      <c r="A34" s="589">
        <v>30</v>
      </c>
      <c r="B34" s="91"/>
      <c r="C34" s="91"/>
      <c r="D34" s="23" t="s">
        <v>103</v>
      </c>
      <c r="E34" s="91"/>
      <c r="F34" s="90"/>
      <c r="G34" s="90"/>
      <c r="H34" s="7" t="s">
        <v>116</v>
      </c>
      <c r="I34" s="7" t="s">
        <v>117</v>
      </c>
      <c r="J34" s="7" t="s">
        <v>281</v>
      </c>
      <c r="K34" s="111"/>
      <c r="L34" s="170">
        <v>0</v>
      </c>
      <c r="M34" s="112">
        <v>0</v>
      </c>
      <c r="N34" s="924">
        <v>0</v>
      </c>
      <c r="O34" s="947">
        <f>'[1]Project_Inputs - AER'!U34</f>
        <v>1543.44</v>
      </c>
      <c r="P34" s="948">
        <f>'[1]Project_Inputs - AER'!V34</f>
        <v>1543.44</v>
      </c>
      <c r="Q34" s="948">
        <f>'[1]Project_Inputs - AER'!W34</f>
        <v>1543.44</v>
      </c>
      <c r="R34" s="948">
        <f>'[1]Project_Inputs - AER'!X34</f>
        <v>1543.44</v>
      </c>
      <c r="S34" s="949">
        <f>'[1]Project_Inputs - AER'!Y34</f>
        <v>1543.44</v>
      </c>
      <c r="T34" s="175"/>
      <c r="U34" s="116">
        <f t="shared" si="9"/>
        <v>7717.2000000000007</v>
      </c>
      <c r="V34" s="119">
        <f t="shared" si="10"/>
        <v>7717.2000000000007</v>
      </c>
      <c r="W34" s="569">
        <f t="shared" si="11"/>
        <v>0</v>
      </c>
      <c r="X34" s="7"/>
      <c r="Y34" s="242"/>
      <c r="Z34" s="242"/>
      <c r="AA34" s="242"/>
      <c r="AB34" s="242"/>
      <c r="AC34" s="242"/>
      <c r="AD34" s="242"/>
      <c r="AE34" s="242"/>
      <c r="AF34" s="242"/>
      <c r="AG34" s="242"/>
      <c r="AH34" s="242">
        <f t="shared" si="15"/>
        <v>0</v>
      </c>
      <c r="AI34" s="7"/>
      <c r="AJ34" s="427">
        <f t="shared" si="16"/>
        <v>0</v>
      </c>
      <c r="AK34" s="427">
        <f t="shared" si="17"/>
        <v>0</v>
      </c>
      <c r="AL34" s="427">
        <f t="shared" si="18"/>
        <v>0</v>
      </c>
      <c r="AM34" s="427">
        <f t="shared" si="19"/>
        <v>0</v>
      </c>
      <c r="AN34" s="427">
        <f t="shared" si="20"/>
        <v>0</v>
      </c>
      <c r="AO34" s="427">
        <f t="shared" si="21"/>
        <v>0</v>
      </c>
      <c r="AP34" s="427">
        <f t="shared" si="22"/>
        <v>0</v>
      </c>
      <c r="AQ34" s="427">
        <f t="shared" si="23"/>
        <v>0</v>
      </c>
      <c r="AR34" s="427">
        <f t="shared" si="24"/>
        <v>0</v>
      </c>
      <c r="AS34" s="426">
        <f t="shared" si="13"/>
        <v>0</v>
      </c>
      <c r="AT34" s="244">
        <f t="shared" si="14"/>
        <v>0</v>
      </c>
      <c r="AU34" s="7"/>
      <c r="AV34" s="7"/>
      <c r="AW34" s="7"/>
      <c r="AX34" s="30"/>
      <c r="AY34" s="30"/>
      <c r="AZ34" s="30"/>
      <c r="BA34" s="30"/>
      <c r="BB34" s="30"/>
      <c r="BC34" s="30"/>
      <c r="BD34" s="30"/>
      <c r="BE34" s="30"/>
    </row>
    <row r="35" spans="1:57">
      <c r="A35" s="589">
        <v>31</v>
      </c>
      <c r="B35" s="91"/>
      <c r="C35" s="91"/>
      <c r="D35" s="23" t="s">
        <v>104</v>
      </c>
      <c r="E35" s="91"/>
      <c r="F35" s="90"/>
      <c r="G35" s="90"/>
      <c r="H35" s="7" t="s">
        <v>116</v>
      </c>
      <c r="I35" s="7" t="s">
        <v>118</v>
      </c>
      <c r="J35" s="7" t="s">
        <v>281</v>
      </c>
      <c r="K35" s="111"/>
      <c r="L35" s="170">
        <v>878.77678269230796</v>
      </c>
      <c r="M35" s="112">
        <v>805.19969499999991</v>
      </c>
      <c r="N35" s="924">
        <v>1764.490246001156</v>
      </c>
      <c r="O35" s="947">
        <f>'[1]Project_Inputs - AER'!U35</f>
        <v>2180</v>
      </c>
      <c r="P35" s="948">
        <f>'[1]Project_Inputs - AER'!V35</f>
        <v>2180</v>
      </c>
      <c r="Q35" s="948">
        <f>'[1]Project_Inputs - AER'!W35</f>
        <v>2180</v>
      </c>
      <c r="R35" s="948">
        <f>'[1]Project_Inputs - AER'!X35</f>
        <v>2180</v>
      </c>
      <c r="S35" s="949">
        <f>'[1]Project_Inputs - AER'!Y35</f>
        <v>2180</v>
      </c>
      <c r="T35" s="175"/>
      <c r="U35" s="116">
        <f t="shared" si="9"/>
        <v>10900</v>
      </c>
      <c r="V35" s="119">
        <f t="shared" si="10"/>
        <v>14348.466723693464</v>
      </c>
      <c r="W35" s="569">
        <f t="shared" si="11"/>
        <v>878.77678269230796</v>
      </c>
      <c r="X35" s="7"/>
      <c r="Y35" s="242"/>
      <c r="Z35" s="242"/>
      <c r="AA35" s="242"/>
      <c r="AB35" s="242"/>
      <c r="AC35" s="242"/>
      <c r="AD35" s="242"/>
      <c r="AE35" s="242"/>
      <c r="AF35" s="242"/>
      <c r="AG35" s="242"/>
      <c r="AH35" s="242">
        <f t="shared" si="15"/>
        <v>0</v>
      </c>
      <c r="AI35" s="7"/>
      <c r="AJ35" s="427">
        <f t="shared" si="16"/>
        <v>0</v>
      </c>
      <c r="AK35" s="427">
        <f t="shared" si="17"/>
        <v>0</v>
      </c>
      <c r="AL35" s="427">
        <f t="shared" si="18"/>
        <v>0</v>
      </c>
      <c r="AM35" s="427">
        <f t="shared" si="19"/>
        <v>0</v>
      </c>
      <c r="AN35" s="427">
        <f t="shared" si="20"/>
        <v>0</v>
      </c>
      <c r="AO35" s="427">
        <f t="shared" si="21"/>
        <v>0</v>
      </c>
      <c r="AP35" s="427">
        <f t="shared" si="22"/>
        <v>0</v>
      </c>
      <c r="AQ35" s="427">
        <f t="shared" si="23"/>
        <v>0</v>
      </c>
      <c r="AR35" s="427">
        <f t="shared" si="24"/>
        <v>0</v>
      </c>
      <c r="AS35" s="426">
        <f t="shared" si="13"/>
        <v>0</v>
      </c>
      <c r="AT35" s="244">
        <f t="shared" si="14"/>
        <v>0</v>
      </c>
      <c r="AU35" s="7"/>
      <c r="AV35" s="7"/>
      <c r="AW35" s="7"/>
      <c r="AX35" s="30"/>
      <c r="AY35" s="30"/>
      <c r="AZ35" s="30"/>
      <c r="BA35" s="30"/>
      <c r="BB35" s="30"/>
      <c r="BC35" s="30"/>
      <c r="BD35" s="30"/>
      <c r="BE35" s="30"/>
    </row>
    <row r="36" spans="1:57">
      <c r="A36" s="589">
        <v>32</v>
      </c>
      <c r="B36" s="91"/>
      <c r="C36" s="91"/>
      <c r="D36" s="23" t="s">
        <v>105</v>
      </c>
      <c r="E36" s="91"/>
      <c r="F36" s="90"/>
      <c r="G36" s="90"/>
      <c r="H36" s="7" t="s">
        <v>116</v>
      </c>
      <c r="I36" s="7" t="s">
        <v>118</v>
      </c>
      <c r="J36" s="7" t="s">
        <v>281</v>
      </c>
      <c r="K36" s="111"/>
      <c r="L36" s="170">
        <v>43.017612076923086</v>
      </c>
      <c r="M36" s="170">
        <v>613.04999999999995</v>
      </c>
      <c r="N36" s="926">
        <v>182.13795676273438</v>
      </c>
      <c r="O36" s="952">
        <f>'[1]Project_Inputs - AER'!U36</f>
        <v>6.7308834160000002</v>
      </c>
      <c r="P36" s="948">
        <f>'[1]Project_Inputs - AER'!V36</f>
        <v>297.59816559999996</v>
      </c>
      <c r="Q36" s="948">
        <f>'[1]Project_Inputs - AER'!W36</f>
        <v>461.70261855999996</v>
      </c>
      <c r="R36" s="108">
        <f>'[1]Project_Inputs - AER'!X36</f>
        <v>0</v>
      </c>
      <c r="S36" s="172">
        <f>'[1]Project_Inputs - AER'!Y36</f>
        <v>0</v>
      </c>
      <c r="T36" s="175"/>
      <c r="U36" s="116">
        <f t="shared" si="9"/>
        <v>766.0316675759999</v>
      </c>
      <c r="V36" s="119">
        <f t="shared" si="10"/>
        <v>1604.2372364156574</v>
      </c>
      <c r="W36" s="569">
        <f t="shared" si="11"/>
        <v>43.017612076923086</v>
      </c>
      <c r="X36" s="7"/>
      <c r="Y36" s="242"/>
      <c r="Z36" s="242"/>
      <c r="AA36" s="242"/>
      <c r="AB36" s="242"/>
      <c r="AC36" s="242"/>
      <c r="AD36" s="242"/>
      <c r="AE36" s="242"/>
      <c r="AF36" s="242"/>
      <c r="AG36" s="242"/>
      <c r="AH36" s="242">
        <f t="shared" si="15"/>
        <v>0</v>
      </c>
      <c r="AI36" s="7"/>
      <c r="AJ36" s="427">
        <f t="shared" si="16"/>
        <v>0</v>
      </c>
      <c r="AK36" s="427">
        <f t="shared" si="17"/>
        <v>0</v>
      </c>
      <c r="AL36" s="427">
        <f t="shared" si="18"/>
        <v>0</v>
      </c>
      <c r="AM36" s="427">
        <f t="shared" si="19"/>
        <v>0</v>
      </c>
      <c r="AN36" s="427">
        <f t="shared" si="20"/>
        <v>0</v>
      </c>
      <c r="AO36" s="427">
        <f t="shared" si="21"/>
        <v>0</v>
      </c>
      <c r="AP36" s="427">
        <f t="shared" si="22"/>
        <v>0</v>
      </c>
      <c r="AQ36" s="427">
        <f t="shared" si="23"/>
        <v>0</v>
      </c>
      <c r="AR36" s="427">
        <f t="shared" si="24"/>
        <v>0</v>
      </c>
      <c r="AS36" s="426">
        <f t="shared" si="13"/>
        <v>0</v>
      </c>
      <c r="AT36" s="244">
        <f t="shared" si="14"/>
        <v>0</v>
      </c>
      <c r="AU36" s="7"/>
      <c r="AV36" s="7"/>
      <c r="AW36" s="7"/>
      <c r="AX36" s="30"/>
      <c r="AY36" s="30"/>
      <c r="AZ36" s="30"/>
      <c r="BA36" s="30"/>
      <c r="BB36" s="30"/>
      <c r="BC36" s="30"/>
      <c r="BD36" s="30"/>
      <c r="BE36" s="30"/>
    </row>
    <row r="37" spans="1:57">
      <c r="A37" s="589">
        <v>33</v>
      </c>
      <c r="B37" s="91"/>
      <c r="C37" s="91"/>
      <c r="D37" s="23" t="s">
        <v>106</v>
      </c>
      <c r="E37" s="91"/>
      <c r="F37" s="90"/>
      <c r="G37" s="90"/>
      <c r="H37" s="7" t="s">
        <v>116</v>
      </c>
      <c r="I37" s="7" t="s">
        <v>117</v>
      </c>
      <c r="J37" s="7" t="s">
        <v>281</v>
      </c>
      <c r="K37" s="111"/>
      <c r="L37" s="170">
        <v>3075.3117031538445</v>
      </c>
      <c r="M37" s="170">
        <v>164.7</v>
      </c>
      <c r="N37" s="926">
        <v>0</v>
      </c>
      <c r="O37" s="947">
        <f>'[1]Project_Inputs - AER'!U37</f>
        <v>3315.3440000000001</v>
      </c>
      <c r="P37" s="948">
        <f>'[1]Project_Inputs - AER'!V37</f>
        <v>3315.3440000000001</v>
      </c>
      <c r="Q37" s="948">
        <f>'[1]Project_Inputs - AER'!W37</f>
        <v>3315.3440000000001</v>
      </c>
      <c r="R37" s="948">
        <f>'[1]Project_Inputs - AER'!X37</f>
        <v>3315.3440000000001</v>
      </c>
      <c r="S37" s="949">
        <f>'[1]Project_Inputs - AER'!Y37</f>
        <v>3315.3440000000001</v>
      </c>
      <c r="T37" s="175"/>
      <c r="U37" s="116">
        <f t="shared" si="9"/>
        <v>16576.72</v>
      </c>
      <c r="V37" s="119">
        <f t="shared" si="10"/>
        <v>19816.731703153848</v>
      </c>
      <c r="W37" s="569">
        <f t="shared" si="11"/>
        <v>3075.3117031538445</v>
      </c>
      <c r="X37" s="7"/>
      <c r="Y37" s="242"/>
      <c r="Z37" s="242"/>
      <c r="AA37" s="242"/>
      <c r="AB37" s="242"/>
      <c r="AC37" s="242"/>
      <c r="AD37" s="242"/>
      <c r="AE37" s="242"/>
      <c r="AF37" s="242"/>
      <c r="AG37" s="242"/>
      <c r="AH37" s="242">
        <f t="shared" si="15"/>
        <v>0</v>
      </c>
      <c r="AI37" s="7"/>
      <c r="AJ37" s="427">
        <f t="shared" si="16"/>
        <v>0</v>
      </c>
      <c r="AK37" s="427">
        <f t="shared" si="17"/>
        <v>0</v>
      </c>
      <c r="AL37" s="427">
        <f t="shared" si="18"/>
        <v>0</v>
      </c>
      <c r="AM37" s="427">
        <f t="shared" si="19"/>
        <v>0</v>
      </c>
      <c r="AN37" s="427">
        <f t="shared" si="20"/>
        <v>0</v>
      </c>
      <c r="AO37" s="427">
        <f t="shared" si="21"/>
        <v>0</v>
      </c>
      <c r="AP37" s="427">
        <f t="shared" si="22"/>
        <v>0</v>
      </c>
      <c r="AQ37" s="427">
        <f t="shared" si="23"/>
        <v>0</v>
      </c>
      <c r="AR37" s="427">
        <f t="shared" si="24"/>
        <v>0</v>
      </c>
      <c r="AS37" s="426">
        <f t="shared" si="13"/>
        <v>0</v>
      </c>
      <c r="AT37" s="244">
        <f t="shared" si="14"/>
        <v>0</v>
      </c>
      <c r="AU37" s="7"/>
      <c r="AV37" s="7"/>
      <c r="AW37" s="7"/>
      <c r="AX37" s="30"/>
      <c r="AY37" s="30"/>
      <c r="AZ37" s="30"/>
      <c r="BA37" s="30"/>
      <c r="BB37" s="30"/>
      <c r="BC37" s="30"/>
      <c r="BD37" s="30"/>
      <c r="BE37" s="30"/>
    </row>
    <row r="38" spans="1:57">
      <c r="A38" s="589">
        <v>34</v>
      </c>
      <c r="B38" s="91"/>
      <c r="C38" s="91"/>
      <c r="D38" s="7" t="s">
        <v>107</v>
      </c>
      <c r="E38" s="91"/>
      <c r="F38" s="90"/>
      <c r="G38" s="90"/>
      <c r="H38" s="7" t="s">
        <v>116</v>
      </c>
      <c r="I38" s="7" t="s">
        <v>117</v>
      </c>
      <c r="J38" s="7" t="s">
        <v>281</v>
      </c>
      <c r="K38" s="111"/>
      <c r="L38" s="170">
        <v>678.54316492307692</v>
      </c>
      <c r="M38" s="170">
        <v>8014.4849999999997</v>
      </c>
      <c r="N38" s="926">
        <v>409.81040271615234</v>
      </c>
      <c r="O38" s="165">
        <f>'[1]Project_Inputs - AER'!U38</f>
        <v>0</v>
      </c>
      <c r="P38" s="108">
        <f>'[1]Project_Inputs - AER'!V38</f>
        <v>0</v>
      </c>
      <c r="Q38" s="108">
        <f>'[1]Project_Inputs - AER'!W38</f>
        <v>0</v>
      </c>
      <c r="R38" s="108">
        <f>'[1]Project_Inputs - AER'!X38</f>
        <v>0</v>
      </c>
      <c r="S38" s="172">
        <f>'[1]Project_Inputs - AER'!Y38</f>
        <v>0</v>
      </c>
      <c r="T38" s="175"/>
      <c r="U38" s="116">
        <f t="shared" si="9"/>
        <v>0</v>
      </c>
      <c r="V38" s="119">
        <f t="shared" si="10"/>
        <v>9102.8385676392281</v>
      </c>
      <c r="W38" s="569">
        <f t="shared" si="11"/>
        <v>678.54316492307692</v>
      </c>
      <c r="X38" s="7"/>
      <c r="Y38" s="242"/>
      <c r="Z38" s="242"/>
      <c r="AA38" s="242"/>
      <c r="AB38" s="242"/>
      <c r="AC38" s="242"/>
      <c r="AD38" s="242"/>
      <c r="AE38" s="242"/>
      <c r="AF38" s="242"/>
      <c r="AG38" s="242"/>
      <c r="AH38" s="242">
        <f t="shared" si="15"/>
        <v>0</v>
      </c>
      <c r="AI38" s="7"/>
      <c r="AJ38" s="427">
        <f t="shared" si="16"/>
        <v>0</v>
      </c>
      <c r="AK38" s="427">
        <f t="shared" si="17"/>
        <v>0</v>
      </c>
      <c r="AL38" s="427">
        <f t="shared" si="18"/>
        <v>0</v>
      </c>
      <c r="AM38" s="427">
        <f t="shared" si="19"/>
        <v>0</v>
      </c>
      <c r="AN38" s="427">
        <f t="shared" si="20"/>
        <v>0</v>
      </c>
      <c r="AO38" s="427">
        <f t="shared" si="21"/>
        <v>0</v>
      </c>
      <c r="AP38" s="427">
        <f t="shared" si="22"/>
        <v>0</v>
      </c>
      <c r="AQ38" s="427">
        <f t="shared" si="23"/>
        <v>0</v>
      </c>
      <c r="AR38" s="427">
        <f t="shared" si="24"/>
        <v>0</v>
      </c>
      <c r="AS38" s="426">
        <f t="shared" si="13"/>
        <v>0</v>
      </c>
      <c r="AT38" s="244">
        <f t="shared" si="14"/>
        <v>0</v>
      </c>
      <c r="AU38" s="7"/>
      <c r="AV38" s="7"/>
      <c r="AW38" s="7"/>
      <c r="AX38" s="30"/>
      <c r="AY38" s="30"/>
      <c r="AZ38" s="30"/>
      <c r="BA38" s="30"/>
      <c r="BB38" s="30"/>
      <c r="BC38" s="30"/>
      <c r="BD38" s="30"/>
      <c r="BE38" s="30"/>
    </row>
    <row r="39" spans="1:57">
      <c r="A39" s="589">
        <v>35</v>
      </c>
      <c r="B39" s="91"/>
      <c r="C39" s="91"/>
      <c r="D39" s="23" t="s">
        <v>108</v>
      </c>
      <c r="E39" s="91"/>
      <c r="F39" s="90"/>
      <c r="G39" s="90"/>
      <c r="H39" s="7" t="s">
        <v>116</v>
      </c>
      <c r="I39" s="7" t="s">
        <v>118</v>
      </c>
      <c r="J39" s="7" t="s">
        <v>281</v>
      </c>
      <c r="K39" s="111"/>
      <c r="L39" s="170">
        <v>1189.1556395384603</v>
      </c>
      <c r="M39" s="170">
        <v>6325.8396899999989</v>
      </c>
      <c r="N39" s="926">
        <v>638.02926253985856</v>
      </c>
      <c r="O39" s="947">
        <f>'[1]Project_Inputs - AER'!U39</f>
        <v>988.98926400000005</v>
      </c>
      <c r="P39" s="948">
        <f>'[1]Project_Inputs - AER'!V39</f>
        <v>932.96064800000011</v>
      </c>
      <c r="Q39" s="948">
        <f>'[1]Project_Inputs - AER'!W39</f>
        <v>932.96064800000011</v>
      </c>
      <c r="R39" s="948">
        <f>'[1]Project_Inputs - AER'!X39</f>
        <v>932.96064800000011</v>
      </c>
      <c r="S39" s="949">
        <f>'[1]Project_Inputs - AER'!Y39</f>
        <v>773.34627999999998</v>
      </c>
      <c r="T39" s="175"/>
      <c r="U39" s="116">
        <f t="shared" si="9"/>
        <v>4561.2174880000002</v>
      </c>
      <c r="V39" s="119">
        <f t="shared" si="10"/>
        <v>12714.242080078318</v>
      </c>
      <c r="W39" s="569">
        <f t="shared" si="11"/>
        <v>1189.1556395384603</v>
      </c>
      <c r="X39" s="7"/>
      <c r="Y39" s="242"/>
      <c r="Z39" s="242"/>
      <c r="AA39" s="242"/>
      <c r="AB39" s="242"/>
      <c r="AC39" s="242"/>
      <c r="AD39" s="242"/>
      <c r="AE39" s="242"/>
      <c r="AF39" s="242"/>
      <c r="AG39" s="242"/>
      <c r="AH39" s="242">
        <f t="shared" si="15"/>
        <v>0</v>
      </c>
      <c r="AI39" s="7"/>
      <c r="AJ39" s="427">
        <f t="shared" si="16"/>
        <v>0</v>
      </c>
      <c r="AK39" s="427">
        <f t="shared" si="17"/>
        <v>0</v>
      </c>
      <c r="AL39" s="427">
        <f t="shared" si="18"/>
        <v>0</v>
      </c>
      <c r="AM39" s="427">
        <f t="shared" si="19"/>
        <v>0</v>
      </c>
      <c r="AN39" s="427">
        <f t="shared" si="20"/>
        <v>0</v>
      </c>
      <c r="AO39" s="427">
        <f t="shared" si="21"/>
        <v>0</v>
      </c>
      <c r="AP39" s="427">
        <f t="shared" si="22"/>
        <v>0</v>
      </c>
      <c r="AQ39" s="427">
        <f t="shared" si="23"/>
        <v>0</v>
      </c>
      <c r="AR39" s="427">
        <f t="shared" si="24"/>
        <v>0</v>
      </c>
      <c r="AS39" s="426">
        <f t="shared" si="13"/>
        <v>0</v>
      </c>
      <c r="AT39" s="244">
        <f t="shared" si="14"/>
        <v>0</v>
      </c>
      <c r="AU39" s="7"/>
      <c r="AV39" s="7"/>
      <c r="AW39" s="7"/>
      <c r="AX39" s="30"/>
      <c r="AY39" s="30"/>
      <c r="AZ39" s="30"/>
      <c r="BA39" s="30"/>
      <c r="BB39" s="30"/>
      <c r="BC39" s="30"/>
      <c r="BD39" s="30"/>
      <c r="BE39" s="30"/>
    </row>
    <row r="40" spans="1:57">
      <c r="A40" s="589">
        <v>36</v>
      </c>
      <c r="B40" s="91"/>
      <c r="C40" s="91"/>
      <c r="D40" s="23" t="s">
        <v>109</v>
      </c>
      <c r="E40" s="91"/>
      <c r="F40" s="90"/>
      <c r="G40" s="90"/>
      <c r="H40" s="7" t="s">
        <v>116</v>
      </c>
      <c r="I40" s="7" t="s">
        <v>117</v>
      </c>
      <c r="J40" s="7" t="s">
        <v>281</v>
      </c>
      <c r="K40" s="111"/>
      <c r="L40" s="170">
        <v>59.926925153846177</v>
      </c>
      <c r="M40" s="170">
        <v>0</v>
      </c>
      <c r="N40" s="926">
        <v>0</v>
      </c>
      <c r="O40" s="947">
        <f>'[1]Project_Inputs - AER'!U40</f>
        <v>20.3612</v>
      </c>
      <c r="P40" s="948">
        <f>'[1]Project_Inputs - AER'!V40</f>
        <v>3068.4694640000002</v>
      </c>
      <c r="Q40" s="108">
        <f>'[1]Project_Inputs - AER'!W40</f>
        <v>0</v>
      </c>
      <c r="R40" s="108">
        <f>'[1]Project_Inputs - AER'!X40</f>
        <v>0</v>
      </c>
      <c r="S40" s="172">
        <f>'[1]Project_Inputs - AER'!Y40</f>
        <v>0</v>
      </c>
      <c r="T40" s="175"/>
      <c r="U40" s="116">
        <f t="shared" si="9"/>
        <v>3088.8306640000001</v>
      </c>
      <c r="V40" s="119">
        <f t="shared" si="10"/>
        <v>3148.7575891538463</v>
      </c>
      <c r="W40" s="569">
        <f t="shared" si="11"/>
        <v>59.926925153846177</v>
      </c>
      <c r="X40" s="7"/>
      <c r="Y40" s="242"/>
      <c r="Z40" s="242"/>
      <c r="AA40" s="242"/>
      <c r="AB40" s="242"/>
      <c r="AC40" s="242"/>
      <c r="AD40" s="242"/>
      <c r="AE40" s="242"/>
      <c r="AF40" s="242"/>
      <c r="AG40" s="242"/>
      <c r="AH40" s="242">
        <f t="shared" si="15"/>
        <v>0</v>
      </c>
      <c r="AI40" s="7"/>
      <c r="AJ40" s="427">
        <f t="shared" si="16"/>
        <v>0</v>
      </c>
      <c r="AK40" s="427">
        <f t="shared" si="17"/>
        <v>0</v>
      </c>
      <c r="AL40" s="427">
        <f t="shared" si="18"/>
        <v>0</v>
      </c>
      <c r="AM40" s="427">
        <f t="shared" si="19"/>
        <v>0</v>
      </c>
      <c r="AN40" s="427">
        <f t="shared" si="20"/>
        <v>0</v>
      </c>
      <c r="AO40" s="427">
        <f t="shared" si="21"/>
        <v>0</v>
      </c>
      <c r="AP40" s="427">
        <f t="shared" si="22"/>
        <v>0</v>
      </c>
      <c r="AQ40" s="427">
        <f t="shared" si="23"/>
        <v>0</v>
      </c>
      <c r="AR40" s="427">
        <f t="shared" si="24"/>
        <v>0</v>
      </c>
      <c r="AS40" s="426">
        <f t="shared" si="13"/>
        <v>0</v>
      </c>
      <c r="AT40" s="244">
        <f t="shared" si="14"/>
        <v>0</v>
      </c>
      <c r="AU40" s="7"/>
      <c r="AV40" s="7"/>
      <c r="AW40" s="7"/>
      <c r="AX40" s="30"/>
      <c r="AY40" s="30"/>
      <c r="AZ40" s="30"/>
      <c r="BA40" s="30"/>
      <c r="BB40" s="30"/>
      <c r="BC40" s="30"/>
      <c r="BD40" s="30"/>
      <c r="BE40" s="30"/>
    </row>
    <row r="41" spans="1:57">
      <c r="A41" s="589">
        <v>37</v>
      </c>
      <c r="B41" s="91"/>
      <c r="C41" s="91"/>
      <c r="D41" s="23" t="s">
        <v>110</v>
      </c>
      <c r="E41" s="91"/>
      <c r="F41" s="90"/>
      <c r="G41" s="90"/>
      <c r="H41" s="7" t="s">
        <v>116</v>
      </c>
      <c r="I41" s="7" t="s">
        <v>118</v>
      </c>
      <c r="J41" s="7" t="s">
        <v>281</v>
      </c>
      <c r="K41" s="111"/>
      <c r="L41" s="170">
        <v>2358.2100376153858</v>
      </c>
      <c r="M41" s="112">
        <v>3751.5</v>
      </c>
      <c r="N41" s="924">
        <v>5102.5948587080029</v>
      </c>
      <c r="O41" s="947">
        <f>'[1]Project_Inputs - AER'!U41</f>
        <v>3761.808</v>
      </c>
      <c r="P41" s="948">
        <f>'[1]Project_Inputs - AER'!V41</f>
        <v>3761.808</v>
      </c>
      <c r="Q41" s="948">
        <f>'[1]Project_Inputs - AER'!W41</f>
        <v>3761.808</v>
      </c>
      <c r="R41" s="948">
        <f>'[1]Project_Inputs - AER'!X41</f>
        <v>3761.808</v>
      </c>
      <c r="S41" s="949">
        <f>'[1]Project_Inputs - AER'!Y41</f>
        <v>3761.808</v>
      </c>
      <c r="T41" s="175"/>
      <c r="U41" s="116">
        <f t="shared" si="9"/>
        <v>18809.04</v>
      </c>
      <c r="V41" s="119">
        <f t="shared" si="10"/>
        <v>30021.344896323393</v>
      </c>
      <c r="W41" s="569">
        <f t="shared" si="11"/>
        <v>2358.2100376153858</v>
      </c>
      <c r="X41" s="7"/>
      <c r="Y41" s="242"/>
      <c r="Z41" s="242"/>
      <c r="AA41" s="242"/>
      <c r="AB41" s="242"/>
      <c r="AC41" s="242"/>
      <c r="AD41" s="242"/>
      <c r="AE41" s="242"/>
      <c r="AF41" s="242"/>
      <c r="AG41" s="242"/>
      <c r="AH41" s="242">
        <f t="shared" si="15"/>
        <v>0</v>
      </c>
      <c r="AI41" s="7"/>
      <c r="AJ41" s="427">
        <f t="shared" si="16"/>
        <v>0</v>
      </c>
      <c r="AK41" s="427">
        <f t="shared" si="17"/>
        <v>0</v>
      </c>
      <c r="AL41" s="427">
        <f t="shared" si="18"/>
        <v>0</v>
      </c>
      <c r="AM41" s="427">
        <f t="shared" si="19"/>
        <v>0</v>
      </c>
      <c r="AN41" s="427">
        <f t="shared" si="20"/>
        <v>0</v>
      </c>
      <c r="AO41" s="427">
        <f t="shared" si="21"/>
        <v>0</v>
      </c>
      <c r="AP41" s="427">
        <f t="shared" si="22"/>
        <v>0</v>
      </c>
      <c r="AQ41" s="427">
        <f t="shared" si="23"/>
        <v>0</v>
      </c>
      <c r="AR41" s="427">
        <f t="shared" si="24"/>
        <v>0</v>
      </c>
      <c r="AS41" s="426">
        <f t="shared" si="13"/>
        <v>0</v>
      </c>
      <c r="AT41" s="244">
        <f t="shared" si="14"/>
        <v>0</v>
      </c>
      <c r="AU41" s="7"/>
      <c r="AV41" s="7"/>
      <c r="AW41" s="7"/>
      <c r="AX41" s="30"/>
      <c r="AY41" s="30"/>
      <c r="AZ41" s="30"/>
      <c r="BA41" s="30"/>
      <c r="BB41" s="30"/>
      <c r="BC41" s="30"/>
      <c r="BD41" s="30"/>
      <c r="BE41" s="30"/>
    </row>
    <row r="42" spans="1:57">
      <c r="A42" s="589">
        <v>38</v>
      </c>
      <c r="B42" s="91"/>
      <c r="C42" s="91"/>
      <c r="D42" s="7" t="s">
        <v>111</v>
      </c>
      <c r="E42" s="91"/>
      <c r="F42" s="90"/>
      <c r="G42" s="90"/>
      <c r="H42" s="7" t="s">
        <v>116</v>
      </c>
      <c r="I42" s="7" t="s">
        <v>117</v>
      </c>
      <c r="J42" s="7" t="s">
        <v>281</v>
      </c>
      <c r="K42" s="111"/>
      <c r="L42" s="170">
        <v>14085.561359153853</v>
      </c>
      <c r="M42" s="112">
        <v>22785.869850000003</v>
      </c>
      <c r="N42" s="924">
        <v>12766.814368918454</v>
      </c>
      <c r="O42" s="947">
        <f>'[1]Project_Inputs - AER'!U42</f>
        <v>18141.96</v>
      </c>
      <c r="P42" s="948">
        <f>'[1]Project_Inputs - AER'!V42</f>
        <v>15423.936</v>
      </c>
      <c r="Q42" s="948">
        <f>'[1]Project_Inputs - AER'!W42</f>
        <v>13084.36</v>
      </c>
      <c r="R42" s="948">
        <f>'[1]Project_Inputs - AER'!X42</f>
        <v>12452.16</v>
      </c>
      <c r="S42" s="949">
        <f>'[1]Project_Inputs - AER'!Y42</f>
        <v>13182.023999999999</v>
      </c>
      <c r="T42" s="175"/>
      <c r="U42" s="116">
        <f t="shared" si="9"/>
        <v>72284.44</v>
      </c>
      <c r="V42" s="119">
        <f t="shared" si="10"/>
        <v>121922.68557807233</v>
      </c>
      <c r="W42" s="569">
        <f t="shared" si="11"/>
        <v>14085.561359153853</v>
      </c>
      <c r="X42" s="7"/>
      <c r="Y42" s="242"/>
      <c r="Z42" s="242"/>
      <c r="AA42" s="242"/>
      <c r="AB42" s="242"/>
      <c r="AC42" s="242"/>
      <c r="AD42" s="242"/>
      <c r="AE42" s="242"/>
      <c r="AF42" s="242"/>
      <c r="AG42" s="242"/>
      <c r="AH42" s="242">
        <f t="shared" si="15"/>
        <v>0</v>
      </c>
      <c r="AI42" s="7"/>
      <c r="AJ42" s="427">
        <f t="shared" si="16"/>
        <v>0</v>
      </c>
      <c r="AK42" s="427">
        <f t="shared" si="17"/>
        <v>0</v>
      </c>
      <c r="AL42" s="427">
        <f t="shared" si="18"/>
        <v>0</v>
      </c>
      <c r="AM42" s="427">
        <f t="shared" si="19"/>
        <v>0</v>
      </c>
      <c r="AN42" s="427">
        <f t="shared" si="20"/>
        <v>0</v>
      </c>
      <c r="AO42" s="427">
        <f t="shared" si="21"/>
        <v>0</v>
      </c>
      <c r="AP42" s="427">
        <f t="shared" si="22"/>
        <v>0</v>
      </c>
      <c r="AQ42" s="427">
        <f t="shared" si="23"/>
        <v>0</v>
      </c>
      <c r="AR42" s="427">
        <f t="shared" si="24"/>
        <v>0</v>
      </c>
      <c r="AS42" s="426">
        <f t="shared" si="13"/>
        <v>0</v>
      </c>
      <c r="AT42" s="244">
        <f t="shared" si="14"/>
        <v>0</v>
      </c>
      <c r="AU42" s="7"/>
      <c r="AV42" s="7"/>
      <c r="AW42" s="7"/>
      <c r="AX42" s="30"/>
      <c r="AY42" s="30"/>
      <c r="AZ42" s="30"/>
      <c r="BA42" s="30"/>
      <c r="BB42" s="30"/>
      <c r="BC42" s="30"/>
      <c r="BD42" s="30"/>
      <c r="BE42" s="30"/>
    </row>
    <row r="43" spans="1:57">
      <c r="A43" s="589">
        <v>39</v>
      </c>
      <c r="B43" s="91"/>
      <c r="C43" s="91"/>
      <c r="D43" s="23" t="s">
        <v>112</v>
      </c>
      <c r="E43" s="91"/>
      <c r="F43" s="90"/>
      <c r="G43" s="90"/>
      <c r="H43" s="7" t="s">
        <v>116</v>
      </c>
      <c r="I43" s="7" t="s">
        <v>117</v>
      </c>
      <c r="J43" s="7" t="s">
        <v>281</v>
      </c>
      <c r="K43" s="111"/>
      <c r="L43" s="112">
        <v>8855.1718599545093</v>
      </c>
      <c r="M43" s="112">
        <v>6202.7849999999999</v>
      </c>
      <c r="N43" s="924">
        <v>13342.880298567632</v>
      </c>
      <c r="O43" s="952">
        <f>'[1]Project_Inputs - AER'!U43</f>
        <v>7580.3028312480001</v>
      </c>
      <c r="P43" s="953">
        <f>'[1]Project_Inputs - AER'!V43</f>
        <v>10237.379268479999</v>
      </c>
      <c r="Q43" s="953">
        <f>'[1]Project_Inputs - AER'!W43</f>
        <v>11615.811615241275</v>
      </c>
      <c r="R43" s="953">
        <f>'[1]Project_Inputs - AER'!X43</f>
        <v>10695.037468081275</v>
      </c>
      <c r="S43" s="954">
        <f>'[1]Project_Inputs - AER'!Y43</f>
        <v>6484.6310911212749</v>
      </c>
      <c r="T43" s="175"/>
      <c r="U43" s="116">
        <f t="shared" si="9"/>
        <v>46613.162274171831</v>
      </c>
      <c r="V43" s="119">
        <f t="shared" si="10"/>
        <v>75013.999432693978</v>
      </c>
      <c r="W43" s="569">
        <f t="shared" si="11"/>
        <v>8855.1718599545093</v>
      </c>
      <c r="X43" s="7"/>
      <c r="Y43" s="242"/>
      <c r="Z43" s="242"/>
      <c r="AA43" s="242"/>
      <c r="AB43" s="242"/>
      <c r="AC43" s="242"/>
      <c r="AD43" s="242"/>
      <c r="AE43" s="242"/>
      <c r="AF43" s="242"/>
      <c r="AG43" s="242"/>
      <c r="AH43" s="242">
        <f t="shared" si="15"/>
        <v>0</v>
      </c>
      <c r="AI43" s="7"/>
      <c r="AJ43" s="427">
        <f t="shared" si="16"/>
        <v>0</v>
      </c>
      <c r="AK43" s="427">
        <f t="shared" si="17"/>
        <v>0</v>
      </c>
      <c r="AL43" s="427">
        <f t="shared" si="18"/>
        <v>0</v>
      </c>
      <c r="AM43" s="427">
        <f t="shared" si="19"/>
        <v>0</v>
      </c>
      <c r="AN43" s="427">
        <f t="shared" si="20"/>
        <v>0</v>
      </c>
      <c r="AO43" s="427">
        <f t="shared" si="21"/>
        <v>0</v>
      </c>
      <c r="AP43" s="427">
        <f t="shared" si="22"/>
        <v>0</v>
      </c>
      <c r="AQ43" s="427">
        <f t="shared" si="23"/>
        <v>0</v>
      </c>
      <c r="AR43" s="427">
        <f t="shared" si="24"/>
        <v>0</v>
      </c>
      <c r="AS43" s="426">
        <f t="shared" si="13"/>
        <v>0</v>
      </c>
      <c r="AT43" s="244">
        <f t="shared" si="14"/>
        <v>0</v>
      </c>
      <c r="AU43" s="7"/>
      <c r="AV43" s="7"/>
      <c r="AW43" s="7"/>
      <c r="AX43" s="30"/>
      <c r="AY43" s="30"/>
      <c r="AZ43" s="30"/>
      <c r="BA43" s="30"/>
      <c r="BB43" s="30"/>
      <c r="BC43" s="30"/>
      <c r="BD43" s="30"/>
      <c r="BE43" s="30"/>
    </row>
    <row r="44" spans="1:57">
      <c r="A44" s="589">
        <v>40</v>
      </c>
      <c r="B44" s="91"/>
      <c r="C44" s="91"/>
      <c r="D44" s="23" t="s">
        <v>149</v>
      </c>
      <c r="E44" s="91"/>
      <c r="F44" s="90"/>
      <c r="G44" s="90"/>
      <c r="H44" s="7" t="s">
        <v>116</v>
      </c>
      <c r="I44" s="7" t="s">
        <v>118</v>
      </c>
      <c r="J44" s="7" t="s">
        <v>281</v>
      </c>
      <c r="K44" s="111"/>
      <c r="L44" s="112">
        <v>0</v>
      </c>
      <c r="M44" s="112">
        <v>887.39628000000005</v>
      </c>
      <c r="N44" s="924">
        <v>406.16764358089767</v>
      </c>
      <c r="O44" s="952">
        <f>'[1]Project_Inputs - AER'!U44</f>
        <v>1162.5373199999999</v>
      </c>
      <c r="P44" s="953">
        <f>'[1]Project_Inputs - AER'!V44</f>
        <v>247.07465999999997</v>
      </c>
      <c r="Q44" s="953">
        <f>'[1]Project_Inputs - AER'!W44</f>
        <v>658.27062000000001</v>
      </c>
      <c r="R44" s="109">
        <f>'[1]Project_Inputs - AER'!X44</f>
        <v>0</v>
      </c>
      <c r="S44" s="954">
        <f>'[1]Project_Inputs - AER'!Y44</f>
        <v>1201.18</v>
      </c>
      <c r="T44" s="175"/>
      <c r="U44" s="116">
        <f t="shared" si="9"/>
        <v>3269.0626000000002</v>
      </c>
      <c r="V44" s="119">
        <f t="shared" si="10"/>
        <v>4562.6265235808978</v>
      </c>
      <c r="W44" s="569">
        <f t="shared" si="11"/>
        <v>0</v>
      </c>
      <c r="X44" s="7"/>
      <c r="Y44" s="242"/>
      <c r="Z44" s="242"/>
      <c r="AA44" s="242"/>
      <c r="AB44" s="242"/>
      <c r="AC44" s="242"/>
      <c r="AD44" s="242"/>
      <c r="AE44" s="242"/>
      <c r="AF44" s="242"/>
      <c r="AG44" s="242"/>
      <c r="AH44" s="242">
        <f t="shared" si="15"/>
        <v>0</v>
      </c>
      <c r="AI44" s="7"/>
      <c r="AJ44" s="427">
        <f t="shared" si="16"/>
        <v>0</v>
      </c>
      <c r="AK44" s="427">
        <f t="shared" si="17"/>
        <v>0</v>
      </c>
      <c r="AL44" s="427">
        <f t="shared" si="18"/>
        <v>0</v>
      </c>
      <c r="AM44" s="427">
        <f t="shared" si="19"/>
        <v>0</v>
      </c>
      <c r="AN44" s="427">
        <f t="shared" si="20"/>
        <v>0</v>
      </c>
      <c r="AO44" s="427">
        <f t="shared" si="21"/>
        <v>0</v>
      </c>
      <c r="AP44" s="427">
        <f t="shared" si="22"/>
        <v>0</v>
      </c>
      <c r="AQ44" s="427">
        <f t="shared" si="23"/>
        <v>0</v>
      </c>
      <c r="AR44" s="427">
        <f t="shared" si="24"/>
        <v>0</v>
      </c>
      <c r="AS44" s="426">
        <f t="shared" si="13"/>
        <v>0</v>
      </c>
      <c r="AT44" s="244">
        <f t="shared" si="14"/>
        <v>0</v>
      </c>
      <c r="AU44" s="7"/>
      <c r="AV44" s="7"/>
      <c r="AW44" s="7"/>
      <c r="AX44" s="30"/>
      <c r="AY44" s="30"/>
      <c r="AZ44" s="30"/>
      <c r="BA44" s="30"/>
      <c r="BB44" s="30"/>
      <c r="BC44" s="30"/>
      <c r="BD44" s="30"/>
      <c r="BE44" s="30"/>
    </row>
    <row r="45" spans="1:57">
      <c r="A45" s="589">
        <v>41</v>
      </c>
      <c r="B45" s="91"/>
      <c r="C45" s="91"/>
      <c r="D45" s="23" t="s">
        <v>289</v>
      </c>
      <c r="E45" s="91"/>
      <c r="F45" s="90"/>
      <c r="G45" s="90"/>
      <c r="H45" s="7" t="s">
        <v>116</v>
      </c>
      <c r="I45" s="7" t="s">
        <v>117</v>
      </c>
      <c r="J45" s="7" t="s">
        <v>281</v>
      </c>
      <c r="K45" s="111"/>
      <c r="L45" s="112">
        <v>4715.6316044729101</v>
      </c>
      <c r="M45" s="112">
        <v>3035.5501525000004</v>
      </c>
      <c r="N45" s="924">
        <v>2182.8864317917796</v>
      </c>
      <c r="O45" s="166">
        <f>'[1]Project_Inputs - AER'!U45</f>
        <v>0</v>
      </c>
      <c r="P45" s="109">
        <f>'[1]Project_Inputs - AER'!V45</f>
        <v>0</v>
      </c>
      <c r="Q45" s="109">
        <f>'[1]Project_Inputs - AER'!W45</f>
        <v>0</v>
      </c>
      <c r="R45" s="109">
        <f>'[1]Project_Inputs - AER'!X45</f>
        <v>0</v>
      </c>
      <c r="S45" s="173">
        <f>'[1]Project_Inputs - AER'!Y45</f>
        <v>0</v>
      </c>
      <c r="T45" s="176"/>
      <c r="U45" s="116">
        <f t="shared" si="9"/>
        <v>0</v>
      </c>
      <c r="V45" s="119">
        <f t="shared" si="10"/>
        <v>9934.0681887646897</v>
      </c>
      <c r="W45" s="569">
        <f t="shared" si="11"/>
        <v>4715.6316044729101</v>
      </c>
      <c r="X45" s="7"/>
      <c r="Y45" s="242"/>
      <c r="Z45" s="242"/>
      <c r="AA45" s="242"/>
      <c r="AB45" s="242"/>
      <c r="AC45" s="242"/>
      <c r="AD45" s="242"/>
      <c r="AE45" s="242"/>
      <c r="AF45" s="242"/>
      <c r="AG45" s="242"/>
      <c r="AH45" s="242">
        <f t="shared" si="15"/>
        <v>0</v>
      </c>
      <c r="AI45" s="7"/>
      <c r="AJ45" s="427">
        <f t="shared" si="16"/>
        <v>0</v>
      </c>
      <c r="AK45" s="427">
        <f t="shared" si="17"/>
        <v>0</v>
      </c>
      <c r="AL45" s="427">
        <f t="shared" si="18"/>
        <v>0</v>
      </c>
      <c r="AM45" s="427">
        <f t="shared" si="19"/>
        <v>0</v>
      </c>
      <c r="AN45" s="427">
        <f t="shared" si="20"/>
        <v>0</v>
      </c>
      <c r="AO45" s="427">
        <f t="shared" si="21"/>
        <v>0</v>
      </c>
      <c r="AP45" s="427">
        <f t="shared" si="22"/>
        <v>0</v>
      </c>
      <c r="AQ45" s="427">
        <f t="shared" si="23"/>
        <v>0</v>
      </c>
      <c r="AR45" s="427">
        <f t="shared" si="24"/>
        <v>0</v>
      </c>
      <c r="AS45" s="426">
        <f t="shared" si="13"/>
        <v>0</v>
      </c>
      <c r="AT45" s="244">
        <f t="shared" si="14"/>
        <v>0</v>
      </c>
      <c r="AU45" s="7"/>
      <c r="AV45" s="7"/>
      <c r="AW45" s="7"/>
      <c r="AX45" s="30"/>
      <c r="AY45" s="30"/>
      <c r="AZ45" s="30"/>
      <c r="BA45" s="30"/>
      <c r="BB45" s="30"/>
      <c r="BC45" s="30"/>
      <c r="BD45" s="30"/>
      <c r="BE45" s="30"/>
    </row>
    <row r="46" spans="1:57">
      <c r="A46" s="589">
        <v>42</v>
      </c>
      <c r="B46" s="91"/>
      <c r="C46" s="91"/>
      <c r="D46" s="927" t="s">
        <v>488</v>
      </c>
      <c r="E46" s="928"/>
      <c r="F46" s="929"/>
      <c r="G46" s="929"/>
      <c r="H46" s="7" t="s">
        <v>116</v>
      </c>
      <c r="I46" s="930" t="s">
        <v>118</v>
      </c>
      <c r="J46" s="7" t="s">
        <v>281</v>
      </c>
      <c r="K46" s="933"/>
      <c r="L46" s="931">
        <v>120.27098946153852</v>
      </c>
      <c r="M46" s="931"/>
      <c r="N46" s="932"/>
      <c r="O46" s="166">
        <f>'[1]Project_Inputs - AER'!U46</f>
        <v>0</v>
      </c>
      <c r="P46" s="109">
        <f>'[1]Project_Inputs - AER'!V46</f>
        <v>0</v>
      </c>
      <c r="Q46" s="109">
        <f>'[1]Project_Inputs - AER'!W46</f>
        <v>0</v>
      </c>
      <c r="R46" s="109">
        <f>'[1]Project_Inputs - AER'!X46</f>
        <v>0</v>
      </c>
      <c r="S46" s="173">
        <f>'[1]Project_Inputs - AER'!Y46</f>
        <v>0</v>
      </c>
      <c r="T46" s="176"/>
      <c r="U46" s="116">
        <f t="shared" ref="U46" si="39">SUM(O46:S46)</f>
        <v>0</v>
      </c>
      <c r="V46" s="119">
        <f t="shared" ref="V46" si="40">SUM(K46:T46)</f>
        <v>120.27098946153852</v>
      </c>
      <c r="W46" s="569">
        <f t="shared" si="11"/>
        <v>120.27098946153852</v>
      </c>
      <c r="X46" s="7"/>
      <c r="Y46" s="242"/>
      <c r="Z46" s="242"/>
      <c r="AA46" s="242"/>
      <c r="AB46" s="242"/>
      <c r="AC46" s="242"/>
      <c r="AD46" s="242"/>
      <c r="AE46" s="242"/>
      <c r="AF46" s="242"/>
      <c r="AG46" s="242"/>
      <c r="AH46" s="242">
        <f t="shared" si="15"/>
        <v>0</v>
      </c>
      <c r="AI46" s="7"/>
      <c r="AJ46" s="427">
        <f t="shared" ref="AJ46" si="41">Y46*$V46</f>
        <v>0</v>
      </c>
      <c r="AK46" s="427">
        <f t="shared" ref="AK46" si="42">Z46*$V46</f>
        <v>0</v>
      </c>
      <c r="AL46" s="427">
        <f t="shared" ref="AL46" si="43">AA46*$V46</f>
        <v>0</v>
      </c>
      <c r="AM46" s="427">
        <f t="shared" ref="AM46" si="44">AB46*$V46</f>
        <v>0</v>
      </c>
      <c r="AN46" s="427">
        <f t="shared" ref="AN46" si="45">AC46*$V46</f>
        <v>0</v>
      </c>
      <c r="AO46" s="427">
        <f t="shared" ref="AO46" si="46">AD46*$V46</f>
        <v>0</v>
      </c>
      <c r="AP46" s="427">
        <f t="shared" ref="AP46" si="47">AE46*$V46</f>
        <v>0</v>
      </c>
      <c r="AQ46" s="427">
        <f t="shared" ref="AQ46" si="48">AF46*$V46</f>
        <v>0</v>
      </c>
      <c r="AR46" s="427">
        <f t="shared" ref="AR46" si="49">AG46*$V46</f>
        <v>0</v>
      </c>
      <c r="AS46" s="426">
        <f t="shared" ref="AS46" si="50">SUM(AJ46:AR46)</f>
        <v>0</v>
      </c>
      <c r="AT46" s="244">
        <f t="shared" ref="AT46" si="51">IF(AH46&lt;&gt;0,AS46-V46,0)</f>
        <v>0</v>
      </c>
      <c r="AU46" s="7"/>
      <c r="AV46" s="7"/>
      <c r="AW46" s="7"/>
      <c r="AX46" s="30"/>
      <c r="AY46" s="30"/>
      <c r="AZ46" s="30"/>
      <c r="BA46" s="30"/>
      <c r="BB46" s="30"/>
      <c r="BC46" s="30"/>
      <c r="BD46" s="30"/>
      <c r="BE46" s="30"/>
    </row>
    <row r="47" spans="1:57">
      <c r="A47" s="589">
        <v>43</v>
      </c>
      <c r="B47" s="91"/>
      <c r="C47" s="91"/>
      <c r="D47" s="23" t="s">
        <v>119</v>
      </c>
      <c r="E47" s="91"/>
      <c r="F47" s="90"/>
      <c r="G47" s="90"/>
      <c r="H47" s="7" t="s">
        <v>68</v>
      </c>
      <c r="I47" s="7" t="s">
        <v>145</v>
      </c>
      <c r="J47" s="7" t="s">
        <v>280</v>
      </c>
      <c r="K47" s="111"/>
      <c r="L47" s="112">
        <v>131.37622346153847</v>
      </c>
      <c r="M47" s="112">
        <v>2712.8072519083958</v>
      </c>
      <c r="N47" s="924">
        <v>517.7862595419848</v>
      </c>
      <c r="O47" s="998">
        <f>'[1]Project_Inputs - AER'!U47</f>
        <v>213</v>
      </c>
      <c r="P47" s="999">
        <f>'[1]Project_Inputs - AER'!V47</f>
        <v>574.9</v>
      </c>
      <c r="Q47" s="999">
        <f>'[1]Project_Inputs - AER'!W47</f>
        <v>91.75</v>
      </c>
      <c r="R47" s="999">
        <f>'[1]Project_Inputs - AER'!X47</f>
        <v>201.53</v>
      </c>
      <c r="S47" s="244">
        <f>'[1]Project_Inputs - AER'!Y47</f>
        <v>979.32999999999993</v>
      </c>
      <c r="T47" s="176"/>
      <c r="U47" s="116">
        <f t="shared" si="9"/>
        <v>2060.5100000000002</v>
      </c>
      <c r="V47" s="119">
        <f t="shared" si="10"/>
        <v>5422.4797349119181</v>
      </c>
      <c r="W47" s="569">
        <f t="shared" si="11"/>
        <v>131.37622346153847</v>
      </c>
      <c r="X47" s="7"/>
      <c r="Y47" s="242"/>
      <c r="Z47" s="242"/>
      <c r="AA47" s="242"/>
      <c r="AB47" s="242"/>
      <c r="AC47" s="242"/>
      <c r="AD47" s="242"/>
      <c r="AE47" s="242"/>
      <c r="AF47" s="242"/>
      <c r="AG47" s="242"/>
      <c r="AH47" s="242">
        <f t="shared" si="15"/>
        <v>0</v>
      </c>
      <c r="AI47" s="7"/>
      <c r="AJ47" s="427">
        <f t="shared" si="16"/>
        <v>0</v>
      </c>
      <c r="AK47" s="427">
        <f t="shared" si="17"/>
        <v>0</v>
      </c>
      <c r="AL47" s="427">
        <f t="shared" si="18"/>
        <v>0</v>
      </c>
      <c r="AM47" s="427">
        <f t="shared" si="19"/>
        <v>0</v>
      </c>
      <c r="AN47" s="427">
        <f t="shared" si="20"/>
        <v>0</v>
      </c>
      <c r="AO47" s="427">
        <f t="shared" si="21"/>
        <v>0</v>
      </c>
      <c r="AP47" s="427">
        <f t="shared" si="22"/>
        <v>0</v>
      </c>
      <c r="AQ47" s="427">
        <f t="shared" si="23"/>
        <v>0</v>
      </c>
      <c r="AR47" s="427">
        <f t="shared" si="24"/>
        <v>0</v>
      </c>
      <c r="AS47" s="426">
        <f t="shared" si="13"/>
        <v>0</v>
      </c>
      <c r="AT47" s="244">
        <f t="shared" si="14"/>
        <v>0</v>
      </c>
      <c r="AU47" s="7"/>
      <c r="AV47" s="7"/>
      <c r="AW47" s="7"/>
      <c r="AX47" s="30"/>
      <c r="AY47" s="30"/>
      <c r="AZ47" s="30"/>
      <c r="BA47" s="30"/>
      <c r="BB47" s="30"/>
      <c r="BC47" s="30"/>
      <c r="BD47" s="30"/>
      <c r="BE47" s="30"/>
    </row>
    <row r="48" spans="1:57">
      <c r="A48" s="589">
        <v>44</v>
      </c>
      <c r="B48" s="91"/>
      <c r="C48" s="91"/>
      <c r="D48" s="23" t="s">
        <v>121</v>
      </c>
      <c r="E48" s="91"/>
      <c r="F48" s="90"/>
      <c r="G48" s="90"/>
      <c r="H48" s="7" t="s">
        <v>68</v>
      </c>
      <c r="I48" s="7" t="s">
        <v>143</v>
      </c>
      <c r="J48" s="7" t="s">
        <v>280</v>
      </c>
      <c r="K48" s="111"/>
      <c r="L48" s="112">
        <v>2153.2518915384603</v>
      </c>
      <c r="M48" s="112">
        <v>2019.0118663246947</v>
      </c>
      <c r="N48" s="924">
        <v>2527.7624851662899</v>
      </c>
      <c r="O48" s="998">
        <f>'[1]Project_Inputs - AER'!U48</f>
        <v>2838.7039768405721</v>
      </c>
      <c r="P48" s="999">
        <f>'[1]Project_Inputs - AER'!V48</f>
        <v>2838.7039768405721</v>
      </c>
      <c r="Q48" s="999">
        <f>'[1]Project_Inputs - AER'!W48</f>
        <v>2838.7039768405721</v>
      </c>
      <c r="R48" s="999">
        <f>'[1]Project_Inputs - AER'!X48</f>
        <v>2838.7039768405721</v>
      </c>
      <c r="S48" s="244">
        <f>'[1]Project_Inputs - AER'!Y48</f>
        <v>2838.7039768405721</v>
      </c>
      <c r="T48" s="176"/>
      <c r="U48" s="116">
        <f t="shared" si="9"/>
        <v>14193.51988420286</v>
      </c>
      <c r="V48" s="119">
        <f t="shared" si="10"/>
        <v>20893.546127232308</v>
      </c>
      <c r="W48" s="569">
        <f t="shared" si="11"/>
        <v>2153.2518915384603</v>
      </c>
      <c r="X48" s="7"/>
      <c r="Y48" s="242"/>
      <c r="Z48" s="242"/>
      <c r="AA48" s="242"/>
      <c r="AB48" s="242"/>
      <c r="AC48" s="242"/>
      <c r="AD48" s="242"/>
      <c r="AE48" s="242"/>
      <c r="AF48" s="242"/>
      <c r="AG48" s="242"/>
      <c r="AH48" s="242">
        <f t="shared" si="15"/>
        <v>0</v>
      </c>
      <c r="AI48" s="7"/>
      <c r="AJ48" s="427">
        <f t="shared" si="16"/>
        <v>0</v>
      </c>
      <c r="AK48" s="427">
        <f t="shared" si="17"/>
        <v>0</v>
      </c>
      <c r="AL48" s="427">
        <f t="shared" si="18"/>
        <v>0</v>
      </c>
      <c r="AM48" s="427">
        <f t="shared" si="19"/>
        <v>0</v>
      </c>
      <c r="AN48" s="427">
        <f t="shared" si="20"/>
        <v>0</v>
      </c>
      <c r="AO48" s="427">
        <f t="shared" si="21"/>
        <v>0</v>
      </c>
      <c r="AP48" s="427">
        <f t="shared" si="22"/>
        <v>0</v>
      </c>
      <c r="AQ48" s="427">
        <f t="shared" si="23"/>
        <v>0</v>
      </c>
      <c r="AR48" s="427">
        <f t="shared" si="24"/>
        <v>0</v>
      </c>
      <c r="AS48" s="426">
        <f t="shared" si="13"/>
        <v>0</v>
      </c>
      <c r="AT48" s="244">
        <f t="shared" si="14"/>
        <v>0</v>
      </c>
      <c r="AU48" s="7"/>
      <c r="AV48" s="7"/>
      <c r="AW48" s="7"/>
      <c r="AX48" s="30"/>
      <c r="AY48" s="30"/>
      <c r="AZ48" s="30"/>
      <c r="BA48" s="30"/>
      <c r="BB48" s="30"/>
      <c r="BC48" s="30"/>
      <c r="BD48" s="30"/>
      <c r="BE48" s="30"/>
    </row>
    <row r="49" spans="1:57">
      <c r="A49" s="589">
        <v>45</v>
      </c>
      <c r="B49" s="91"/>
      <c r="C49" s="91"/>
      <c r="D49" s="23" t="s">
        <v>122</v>
      </c>
      <c r="E49" s="91"/>
      <c r="F49" s="90"/>
      <c r="G49" s="90"/>
      <c r="H49" s="7" t="s">
        <v>68</v>
      </c>
      <c r="I49" s="7" t="s">
        <v>179</v>
      </c>
      <c r="J49" s="7" t="s">
        <v>279</v>
      </c>
      <c r="K49" s="111">
        <v>11265.460629209454</v>
      </c>
      <c r="L49" s="112">
        <v>18851.876138843771</v>
      </c>
      <c r="M49" s="112">
        <v>7320.8815204220027</v>
      </c>
      <c r="N49" s="924">
        <v>17538.2019287902</v>
      </c>
      <c r="O49" s="955">
        <f>'[1]Project_Inputs - AER'!U49</f>
        <v>21650.058690000002</v>
      </c>
      <c r="P49" s="956">
        <f>'[1]Project_Inputs - AER'!V49</f>
        <v>19533.919019999998</v>
      </c>
      <c r="Q49" s="956">
        <f>'[1]Project_Inputs - AER'!W49</f>
        <v>11580.803610000001</v>
      </c>
      <c r="R49" s="956">
        <f>'[1]Project_Inputs - AER'!X49</f>
        <v>9622.2468599999993</v>
      </c>
      <c r="S49" s="957">
        <f>'[1]Project_Inputs - AER'!Y49</f>
        <v>8141.3250899999985</v>
      </c>
      <c r="T49" s="177"/>
      <c r="U49" s="116">
        <f t="shared" si="9"/>
        <v>70528.353269999992</v>
      </c>
      <c r="V49" s="119">
        <f t="shared" si="10"/>
        <v>125504.77348726543</v>
      </c>
      <c r="W49" s="569">
        <f t="shared" si="11"/>
        <v>30117.336768053225</v>
      </c>
      <c r="X49" s="7"/>
      <c r="Y49" s="242"/>
      <c r="Z49" s="242"/>
      <c r="AA49" s="242"/>
      <c r="AB49" s="242"/>
      <c r="AC49" s="242"/>
      <c r="AD49" s="242"/>
      <c r="AE49" s="242"/>
      <c r="AF49" s="242"/>
      <c r="AG49" s="242"/>
      <c r="AH49" s="242">
        <f t="shared" si="15"/>
        <v>0</v>
      </c>
      <c r="AI49" s="7"/>
      <c r="AJ49" s="427">
        <f t="shared" si="16"/>
        <v>0</v>
      </c>
      <c r="AK49" s="427">
        <f t="shared" si="17"/>
        <v>0</v>
      </c>
      <c r="AL49" s="427">
        <f t="shared" si="18"/>
        <v>0</v>
      </c>
      <c r="AM49" s="427">
        <f t="shared" si="19"/>
        <v>0</v>
      </c>
      <c r="AN49" s="427">
        <f t="shared" si="20"/>
        <v>0</v>
      </c>
      <c r="AO49" s="427">
        <f t="shared" si="21"/>
        <v>0</v>
      </c>
      <c r="AP49" s="427">
        <f t="shared" si="22"/>
        <v>0</v>
      </c>
      <c r="AQ49" s="427">
        <f t="shared" si="23"/>
        <v>0</v>
      </c>
      <c r="AR49" s="427">
        <f t="shared" si="24"/>
        <v>0</v>
      </c>
      <c r="AS49" s="426">
        <f t="shared" si="13"/>
        <v>0</v>
      </c>
      <c r="AT49" s="244">
        <f t="shared" si="14"/>
        <v>0</v>
      </c>
      <c r="AU49" s="7"/>
      <c r="AV49" s="7"/>
      <c r="AW49" s="7"/>
      <c r="AX49" s="30"/>
      <c r="AY49" s="30"/>
      <c r="AZ49" s="30"/>
      <c r="BA49" s="30"/>
      <c r="BB49" s="30"/>
      <c r="BC49" s="30"/>
      <c r="BD49" s="30"/>
      <c r="BE49" s="30"/>
    </row>
    <row r="50" spans="1:57">
      <c r="A50" s="589">
        <v>46</v>
      </c>
      <c r="B50" s="91"/>
      <c r="C50" s="91"/>
      <c r="D50" s="23" t="s">
        <v>120</v>
      </c>
      <c r="E50" s="91"/>
      <c r="F50" s="90"/>
      <c r="G50" s="90"/>
      <c r="H50" s="7" t="s">
        <v>68</v>
      </c>
      <c r="I50" s="7" t="s">
        <v>144</v>
      </c>
      <c r="J50" s="7" t="s">
        <v>280</v>
      </c>
      <c r="K50" s="168"/>
      <c r="L50" s="171">
        <v>792.95987292307677</v>
      </c>
      <c r="M50" s="171">
        <v>1371.1526717557249</v>
      </c>
      <c r="N50" s="924">
        <v>872.81063003344377</v>
      </c>
      <c r="O50" s="998">
        <f>'[1]Project_Inputs - AER'!U50</f>
        <v>1867.8901445283207</v>
      </c>
      <c r="P50" s="1000">
        <f>'[1]Project_Inputs - AER'!V50</f>
        <v>1465.7381587375207</v>
      </c>
      <c r="Q50" s="1000">
        <f>'[1]Project_Inputs - AER'!W50</f>
        <v>2021.3428759484943</v>
      </c>
      <c r="R50" s="1000">
        <f>'[1]Project_Inputs - AER'!X50</f>
        <v>1697.5046979169554</v>
      </c>
      <c r="S50" s="244">
        <f>'[1]Project_Inputs - AER'!Y50</f>
        <v>1697.5046979169554</v>
      </c>
      <c r="T50" s="178"/>
      <c r="U50" s="116">
        <f t="shared" si="9"/>
        <v>8749.9805750482465</v>
      </c>
      <c r="V50" s="119">
        <f t="shared" si="10"/>
        <v>11786.903749760491</v>
      </c>
      <c r="W50" s="569">
        <f t="shared" si="11"/>
        <v>792.95987292307677</v>
      </c>
      <c r="X50" s="7"/>
      <c r="Y50" s="242"/>
      <c r="Z50" s="242"/>
      <c r="AA50" s="242"/>
      <c r="AB50" s="242"/>
      <c r="AC50" s="242"/>
      <c r="AD50" s="242"/>
      <c r="AE50" s="242"/>
      <c r="AF50" s="242"/>
      <c r="AG50" s="242"/>
      <c r="AH50" s="242">
        <f t="shared" si="15"/>
        <v>0</v>
      </c>
      <c r="AI50" s="7"/>
      <c r="AJ50" s="427">
        <f t="shared" si="16"/>
        <v>0</v>
      </c>
      <c r="AK50" s="427">
        <f t="shared" si="17"/>
        <v>0</v>
      </c>
      <c r="AL50" s="427">
        <f t="shared" si="18"/>
        <v>0</v>
      </c>
      <c r="AM50" s="427">
        <f t="shared" si="19"/>
        <v>0</v>
      </c>
      <c r="AN50" s="427">
        <f t="shared" si="20"/>
        <v>0</v>
      </c>
      <c r="AO50" s="427">
        <f t="shared" si="21"/>
        <v>0</v>
      </c>
      <c r="AP50" s="427">
        <f t="shared" si="22"/>
        <v>0</v>
      </c>
      <c r="AQ50" s="427">
        <f t="shared" si="23"/>
        <v>0</v>
      </c>
      <c r="AR50" s="427">
        <f t="shared" si="24"/>
        <v>0</v>
      </c>
      <c r="AS50" s="426">
        <f t="shared" si="13"/>
        <v>0</v>
      </c>
      <c r="AT50" s="244">
        <f t="shared" si="14"/>
        <v>0</v>
      </c>
      <c r="AU50" s="7"/>
      <c r="AV50" s="7"/>
      <c r="AW50" s="7"/>
      <c r="AX50" s="30"/>
      <c r="AY50" s="30"/>
      <c r="AZ50" s="30"/>
      <c r="BA50" s="30"/>
      <c r="BB50" s="30"/>
      <c r="BC50" s="30"/>
      <c r="BD50" s="30"/>
      <c r="BE50" s="30"/>
    </row>
    <row r="51" spans="1:57" ht="18.75">
      <c r="B51" s="7"/>
      <c r="C51" s="7"/>
      <c r="D51" s="156" t="s">
        <v>35</v>
      </c>
      <c r="E51" s="28"/>
      <c r="F51" s="28"/>
      <c r="G51" s="7"/>
      <c r="H51" s="29"/>
      <c r="I51" s="29"/>
      <c r="J51" s="29"/>
      <c r="K51" s="121">
        <f t="shared" ref="K51:T51" si="52">SUM(K5:K50)</f>
        <v>95408.377503303374</v>
      </c>
      <c r="L51" s="121">
        <f t="shared" si="52"/>
        <v>144061.68641500635</v>
      </c>
      <c r="M51" s="121">
        <f t="shared" si="52"/>
        <v>136791.71819912421</v>
      </c>
      <c r="N51" s="163">
        <f t="shared" si="52"/>
        <v>160212.31034761376</v>
      </c>
      <c r="O51" s="167">
        <f t="shared" si="52"/>
        <v>140481.69815155293</v>
      </c>
      <c r="P51" s="121">
        <f t="shared" si="52"/>
        <v>106475.97016165809</v>
      </c>
      <c r="Q51" s="121">
        <f t="shared" si="52"/>
        <v>91151.33176459033</v>
      </c>
      <c r="R51" s="121">
        <f t="shared" si="52"/>
        <v>85242.670450838777</v>
      </c>
      <c r="S51" s="121">
        <f t="shared" si="52"/>
        <v>77003.881935878802</v>
      </c>
      <c r="T51" s="121">
        <f t="shared" si="52"/>
        <v>0</v>
      </c>
      <c r="U51" s="118">
        <f>SUM(U5:U50)</f>
        <v>500355.55246451893</v>
      </c>
      <c r="V51" s="120">
        <f>SUM(V5:V50)</f>
        <v>1036829.6449295664</v>
      </c>
      <c r="W51" s="570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20"/>
      <c r="AY51" s="20"/>
      <c r="AZ51" s="20"/>
      <c r="BA51" s="20"/>
      <c r="BB51" s="20"/>
      <c r="BC51" s="20"/>
      <c r="BD51" s="20"/>
      <c r="BE51" s="20"/>
    </row>
    <row r="52" spans="1:57">
      <c r="M52" s="7"/>
      <c r="T52" s="7"/>
      <c r="U52" s="7"/>
      <c r="V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U52" s="7"/>
    </row>
    <row r="53" spans="1:57">
      <c r="I53" s="90"/>
      <c r="J53" s="7"/>
      <c r="L53" s="32"/>
      <c r="M53" s="32"/>
      <c r="N53" s="32"/>
      <c r="O53" s="32"/>
      <c r="P53" s="32"/>
      <c r="Q53" s="32"/>
      <c r="R53" s="32"/>
      <c r="S53" s="32"/>
      <c r="T53" s="7"/>
      <c r="U53" s="7"/>
      <c r="V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</row>
    <row r="54" spans="1:57">
      <c r="J54" s="7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7"/>
      <c r="V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</row>
    <row r="55" spans="1:57"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7"/>
      <c r="V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W55" s="27"/>
      <c r="AX55" s="26"/>
      <c r="AY55" s="26"/>
      <c r="AZ55" s="26"/>
      <c r="BA55" s="26"/>
    </row>
    <row r="56" spans="1:57">
      <c r="K56" s="33"/>
      <c r="L56" s="33"/>
      <c r="M56" s="33"/>
      <c r="N56" s="33"/>
      <c r="O56" s="33"/>
      <c r="P56" s="33"/>
      <c r="Q56" s="33"/>
      <c r="R56" s="33"/>
      <c r="S56" s="33"/>
      <c r="T56" s="33"/>
    </row>
    <row r="57" spans="1:57">
      <c r="K57" s="33"/>
      <c r="L57" s="33"/>
      <c r="M57" s="33"/>
      <c r="N57" s="33"/>
      <c r="O57" s="33"/>
      <c r="P57" s="33"/>
      <c r="Q57" s="33"/>
      <c r="R57" s="33"/>
      <c r="S57" s="33"/>
      <c r="T57" s="33"/>
    </row>
    <row r="58" spans="1:57">
      <c r="K58" s="33"/>
      <c r="L58" s="33"/>
      <c r="M58" s="33"/>
      <c r="N58" s="33"/>
      <c r="O58" s="33"/>
      <c r="P58" s="33"/>
      <c r="Q58" s="33"/>
      <c r="R58" s="33"/>
      <c r="S58" s="33"/>
      <c r="T58" s="33"/>
    </row>
    <row r="59" spans="1:57">
      <c r="K59" s="33"/>
      <c r="L59" s="33"/>
      <c r="M59" s="33"/>
      <c r="N59" s="33"/>
      <c r="O59" s="33"/>
      <c r="P59" s="33"/>
      <c r="Q59" s="33"/>
      <c r="R59" s="33"/>
      <c r="S59" s="33"/>
      <c r="T59" s="33"/>
    </row>
    <row r="60" spans="1:57">
      <c r="K60" s="33"/>
      <c r="L60" s="33"/>
      <c r="M60" s="33"/>
      <c r="N60" s="33"/>
      <c r="O60" s="33"/>
      <c r="P60" s="33"/>
      <c r="Q60" s="33"/>
      <c r="R60" s="33"/>
      <c r="S60" s="33"/>
      <c r="T60" s="33"/>
    </row>
    <row r="61" spans="1:57">
      <c r="K61" s="33"/>
      <c r="L61" s="33"/>
      <c r="M61" s="33"/>
      <c r="N61" s="33"/>
      <c r="O61" s="33"/>
      <c r="P61" s="33"/>
      <c r="Q61" s="33"/>
      <c r="R61" s="33"/>
      <c r="S61" s="33"/>
      <c r="T61" s="33"/>
    </row>
    <row r="62" spans="1:57">
      <c r="K62" s="33"/>
      <c r="L62" s="33"/>
      <c r="M62" s="33"/>
      <c r="N62" s="33"/>
      <c r="O62" s="33"/>
      <c r="P62" s="33"/>
      <c r="Q62" s="33"/>
      <c r="R62" s="33"/>
      <c r="S62" s="33"/>
      <c r="T62" s="33"/>
    </row>
    <row r="63" spans="1:57">
      <c r="K63" s="33"/>
      <c r="L63" s="33"/>
      <c r="M63" s="33"/>
      <c r="N63" s="33"/>
      <c r="O63" s="33"/>
      <c r="P63" s="33"/>
      <c r="Q63" s="33"/>
      <c r="R63" s="33"/>
      <c r="S63" s="33"/>
      <c r="T63" s="33"/>
    </row>
    <row r="64" spans="1:57">
      <c r="K64" s="33"/>
      <c r="L64" s="33"/>
      <c r="M64" s="33"/>
      <c r="N64" s="33"/>
      <c r="O64" s="33"/>
      <c r="P64" s="33"/>
      <c r="Q64" s="33"/>
      <c r="R64" s="33"/>
      <c r="S64" s="33"/>
      <c r="T64" s="33"/>
    </row>
    <row r="65" spans="11:20">
      <c r="K65" s="33"/>
      <c r="L65" s="33"/>
      <c r="M65" s="33"/>
      <c r="N65" s="33"/>
      <c r="O65" s="33"/>
      <c r="P65" s="33"/>
      <c r="Q65" s="33"/>
      <c r="R65" s="33"/>
      <c r="S65" s="33"/>
      <c r="T65" s="33"/>
    </row>
    <row r="66" spans="11:20">
      <c r="K66" s="33"/>
      <c r="L66" s="33"/>
      <c r="M66" s="33"/>
      <c r="N66" s="33"/>
      <c r="O66" s="33"/>
      <c r="P66" s="33"/>
      <c r="Q66" s="33"/>
      <c r="R66" s="33"/>
      <c r="S66" s="33"/>
      <c r="T66" s="33"/>
    </row>
    <row r="67" spans="11:20">
      <c r="K67" s="33"/>
      <c r="L67" s="33"/>
      <c r="M67" s="33"/>
      <c r="N67" s="33"/>
      <c r="O67" s="33"/>
      <c r="P67" s="33"/>
      <c r="Q67" s="33"/>
      <c r="R67" s="33"/>
      <c r="S67" s="33"/>
      <c r="T67" s="33"/>
    </row>
    <row r="68" spans="11:20">
      <c r="K68" s="33"/>
      <c r="L68" s="33"/>
      <c r="M68" s="33"/>
      <c r="N68" s="33"/>
      <c r="O68" s="33"/>
      <c r="P68" s="33"/>
      <c r="Q68" s="33"/>
      <c r="R68" s="33"/>
      <c r="S68" s="33"/>
      <c r="T68" s="33"/>
    </row>
    <row r="69" spans="11:20">
      <c r="K69" s="33"/>
      <c r="L69" s="33"/>
      <c r="M69" s="33"/>
      <c r="N69" s="33"/>
      <c r="O69" s="33"/>
      <c r="P69" s="33"/>
      <c r="Q69" s="33"/>
      <c r="R69" s="33"/>
      <c r="S69" s="33"/>
      <c r="T69" s="33"/>
    </row>
    <row r="70" spans="11:20">
      <c r="K70" s="33"/>
      <c r="L70" s="33"/>
      <c r="M70" s="33"/>
      <c r="N70" s="33"/>
      <c r="O70" s="33"/>
      <c r="P70" s="33"/>
      <c r="Q70" s="33"/>
      <c r="R70" s="33"/>
      <c r="S70" s="33"/>
      <c r="T70" s="33"/>
    </row>
    <row r="71" spans="11:20">
      <c r="K71" s="33"/>
      <c r="L71" s="33"/>
      <c r="M71" s="33"/>
      <c r="N71" s="33"/>
      <c r="O71" s="33"/>
      <c r="P71" s="33"/>
      <c r="Q71" s="33"/>
      <c r="R71" s="33"/>
      <c r="S71" s="33"/>
      <c r="T71" s="33"/>
    </row>
    <row r="72" spans="11:20">
      <c r="K72" s="33"/>
      <c r="L72" s="33"/>
      <c r="M72" s="33"/>
      <c r="N72" s="33"/>
      <c r="O72" s="33"/>
      <c r="P72" s="33"/>
      <c r="Q72" s="33"/>
      <c r="R72" s="33"/>
      <c r="S72" s="33"/>
      <c r="T72" s="33"/>
    </row>
    <row r="73" spans="11:20">
      <c r="K73" s="33"/>
      <c r="L73" s="33"/>
      <c r="M73" s="33"/>
      <c r="N73" s="33"/>
      <c r="O73" s="33"/>
      <c r="P73" s="33"/>
      <c r="Q73" s="33"/>
      <c r="R73" s="33"/>
      <c r="S73" s="33"/>
      <c r="T73" s="33"/>
    </row>
    <row r="74" spans="11:20">
      <c r="K74" s="33"/>
      <c r="L74" s="33"/>
      <c r="M74" s="33"/>
      <c r="N74" s="33"/>
      <c r="O74" s="33"/>
      <c r="P74" s="33"/>
      <c r="Q74" s="33"/>
      <c r="R74" s="33"/>
      <c r="S74" s="33"/>
      <c r="T74" s="33"/>
    </row>
    <row r="75" spans="11:20">
      <c r="K75" s="33"/>
      <c r="L75" s="33"/>
      <c r="M75" s="33"/>
      <c r="N75" s="33"/>
      <c r="O75" s="33"/>
      <c r="P75" s="33"/>
      <c r="Q75" s="33"/>
      <c r="R75" s="33"/>
      <c r="S75" s="33"/>
      <c r="T75" s="33"/>
    </row>
    <row r="76" spans="11:20">
      <c r="K76" s="33"/>
      <c r="L76" s="33"/>
      <c r="M76" s="33"/>
      <c r="N76" s="33"/>
      <c r="O76" s="33"/>
      <c r="P76" s="33"/>
      <c r="Q76" s="33"/>
      <c r="R76" s="33"/>
      <c r="S76" s="33"/>
      <c r="T76" s="33"/>
    </row>
    <row r="77" spans="11:20">
      <c r="K77" s="33"/>
      <c r="L77" s="33"/>
      <c r="M77" s="33"/>
      <c r="N77" s="33"/>
      <c r="O77" s="33"/>
      <c r="P77" s="33"/>
      <c r="Q77" s="33"/>
      <c r="R77" s="33"/>
      <c r="S77" s="33"/>
      <c r="T77" s="33"/>
    </row>
    <row r="78" spans="11:20">
      <c r="K78" s="33"/>
      <c r="L78" s="33"/>
      <c r="M78" s="33"/>
      <c r="N78" s="33"/>
      <c r="O78" s="33"/>
      <c r="P78" s="33"/>
      <c r="Q78" s="33"/>
      <c r="R78" s="33"/>
      <c r="S78" s="33"/>
      <c r="T78" s="33"/>
    </row>
    <row r="79" spans="11:20">
      <c r="K79" s="33"/>
      <c r="L79" s="33"/>
      <c r="M79" s="33"/>
      <c r="N79" s="33"/>
      <c r="O79" s="33"/>
      <c r="P79" s="33"/>
      <c r="Q79" s="33"/>
      <c r="R79" s="33"/>
      <c r="S79" s="33"/>
      <c r="T79" s="33"/>
    </row>
    <row r="80" spans="11:20">
      <c r="K80" s="33"/>
      <c r="L80" s="33"/>
      <c r="M80" s="33"/>
      <c r="N80" s="33"/>
      <c r="O80" s="33"/>
      <c r="P80" s="33"/>
      <c r="Q80" s="33"/>
      <c r="R80" s="33"/>
      <c r="S80" s="33"/>
      <c r="T80" s="33"/>
    </row>
    <row r="81" spans="11:20">
      <c r="K81" s="33"/>
      <c r="L81" s="33"/>
      <c r="M81" s="33"/>
      <c r="N81" s="33"/>
      <c r="O81" s="33"/>
      <c r="P81" s="33"/>
      <c r="Q81" s="33"/>
      <c r="R81" s="33"/>
      <c r="S81" s="33"/>
      <c r="T81" s="33"/>
    </row>
    <row r="82" spans="11:20">
      <c r="K82" s="33"/>
      <c r="L82" s="33"/>
      <c r="M82" s="33"/>
      <c r="N82" s="33"/>
      <c r="O82" s="33"/>
      <c r="P82" s="33"/>
      <c r="Q82" s="33"/>
      <c r="R82" s="33"/>
      <c r="S82" s="33"/>
      <c r="T82" s="33"/>
    </row>
    <row r="83" spans="11:20">
      <c r="K83" s="33"/>
      <c r="L83" s="33"/>
      <c r="M83" s="33"/>
      <c r="N83" s="33"/>
      <c r="O83" s="33"/>
      <c r="P83" s="33"/>
      <c r="Q83" s="33"/>
      <c r="R83" s="33"/>
      <c r="S83" s="33"/>
      <c r="T83" s="33"/>
    </row>
    <row r="84" spans="11:20">
      <c r="K84" s="33"/>
      <c r="L84" s="33"/>
      <c r="M84" s="33"/>
      <c r="N84" s="33"/>
      <c r="O84" s="33"/>
      <c r="P84" s="33"/>
      <c r="Q84" s="33"/>
      <c r="R84" s="33"/>
      <c r="S84" s="33"/>
      <c r="T84" s="33"/>
    </row>
    <row r="85" spans="11:20">
      <c r="K85" s="33"/>
      <c r="L85" s="33"/>
      <c r="M85" s="33"/>
      <c r="N85" s="33"/>
      <c r="O85" s="33"/>
      <c r="P85" s="33"/>
      <c r="Q85" s="33"/>
      <c r="R85" s="33"/>
      <c r="S85" s="33"/>
      <c r="T85" s="33"/>
    </row>
    <row r="86" spans="11:20">
      <c r="K86" s="33"/>
      <c r="L86" s="33"/>
      <c r="M86" s="33"/>
      <c r="N86" s="33"/>
      <c r="O86" s="33"/>
      <c r="P86" s="33"/>
      <c r="Q86" s="33"/>
      <c r="R86" s="33"/>
      <c r="S86" s="33"/>
      <c r="T86" s="33"/>
    </row>
    <row r="87" spans="11:20">
      <c r="K87" s="33"/>
      <c r="L87" s="33"/>
      <c r="M87" s="33"/>
      <c r="N87" s="33"/>
      <c r="O87" s="33"/>
      <c r="P87" s="33"/>
      <c r="Q87" s="33"/>
      <c r="R87" s="33"/>
      <c r="S87" s="33"/>
      <c r="T87" s="33"/>
    </row>
    <row r="88" spans="11:20">
      <c r="K88" s="33"/>
      <c r="L88" s="33"/>
      <c r="M88" s="33"/>
      <c r="N88" s="33"/>
      <c r="O88" s="33"/>
      <c r="P88" s="33"/>
      <c r="Q88" s="33"/>
      <c r="R88" s="33"/>
      <c r="S88" s="33"/>
      <c r="T88" s="33"/>
    </row>
    <row r="89" spans="11:20">
      <c r="K89" s="33"/>
      <c r="L89" s="33"/>
      <c r="M89" s="33"/>
      <c r="N89" s="33"/>
      <c r="O89" s="33"/>
      <c r="P89" s="33"/>
      <c r="Q89" s="33"/>
      <c r="R89" s="33"/>
      <c r="S89" s="33"/>
      <c r="T89" s="33"/>
    </row>
    <row r="90" spans="11:20">
      <c r="K90" s="33"/>
      <c r="L90" s="33"/>
      <c r="M90" s="33"/>
      <c r="N90" s="33"/>
      <c r="O90" s="33"/>
      <c r="P90" s="33"/>
      <c r="Q90" s="33"/>
      <c r="R90" s="33"/>
      <c r="S90" s="33"/>
      <c r="T90" s="33"/>
    </row>
    <row r="91" spans="11:20">
      <c r="K91" s="33"/>
      <c r="L91" s="33"/>
      <c r="M91" s="33"/>
      <c r="N91" s="33"/>
      <c r="O91" s="33"/>
      <c r="P91" s="33"/>
      <c r="Q91" s="33"/>
      <c r="R91" s="33"/>
      <c r="S91" s="33"/>
      <c r="T91" s="33"/>
    </row>
    <row r="92" spans="11:20">
      <c r="K92" s="33"/>
      <c r="L92" s="33"/>
      <c r="M92" s="33"/>
      <c r="N92" s="33"/>
      <c r="O92" s="33"/>
      <c r="P92" s="33"/>
      <c r="Q92" s="33"/>
      <c r="R92" s="33"/>
      <c r="S92" s="33"/>
      <c r="T92" s="33"/>
    </row>
    <row r="93" spans="11:20">
      <c r="K93" s="33"/>
      <c r="L93" s="33"/>
      <c r="M93" s="33"/>
      <c r="N93" s="33"/>
      <c r="O93" s="33"/>
      <c r="P93" s="33"/>
      <c r="Q93" s="33"/>
      <c r="R93" s="33"/>
      <c r="S93" s="33"/>
      <c r="T93" s="33"/>
    </row>
    <row r="94" spans="11:20">
      <c r="K94" s="33"/>
      <c r="L94" s="33"/>
      <c r="M94" s="33"/>
      <c r="N94" s="33"/>
      <c r="O94" s="33"/>
      <c r="P94" s="33"/>
      <c r="Q94" s="33"/>
      <c r="R94" s="33"/>
      <c r="S94" s="33"/>
      <c r="T94" s="33"/>
    </row>
    <row r="95" spans="11:20">
      <c r="K95" s="33"/>
      <c r="L95" s="33"/>
      <c r="M95" s="33"/>
      <c r="N95" s="33"/>
      <c r="O95" s="33"/>
      <c r="P95" s="33"/>
      <c r="Q95" s="33"/>
      <c r="R95" s="33"/>
      <c r="S95" s="33"/>
      <c r="T95" s="33"/>
    </row>
    <row r="96" spans="11:20">
      <c r="K96" s="33"/>
      <c r="L96" s="33"/>
      <c r="M96" s="33"/>
      <c r="N96" s="33"/>
      <c r="O96" s="33"/>
      <c r="P96" s="33"/>
      <c r="Q96" s="33"/>
      <c r="R96" s="33"/>
      <c r="S96" s="33"/>
      <c r="T96" s="33"/>
    </row>
    <row r="97" spans="11:20">
      <c r="K97" s="33"/>
      <c r="L97" s="33"/>
      <c r="M97" s="33"/>
      <c r="N97" s="33"/>
      <c r="O97" s="33"/>
      <c r="P97" s="33"/>
      <c r="Q97" s="33"/>
      <c r="R97" s="33"/>
      <c r="S97" s="33"/>
      <c r="T97" s="33"/>
    </row>
    <row r="98" spans="11:20">
      <c r="K98" s="33"/>
      <c r="L98" s="33"/>
      <c r="M98" s="33"/>
      <c r="N98" s="33"/>
      <c r="O98" s="33"/>
      <c r="P98" s="33"/>
      <c r="Q98" s="33"/>
      <c r="R98" s="33"/>
      <c r="S98" s="33"/>
      <c r="T98" s="33"/>
    </row>
    <row r="99" spans="11:20">
      <c r="K99" s="33"/>
      <c r="L99" s="33"/>
      <c r="M99" s="33"/>
      <c r="N99" s="33"/>
      <c r="O99" s="33"/>
      <c r="P99" s="33"/>
      <c r="Q99" s="33"/>
      <c r="R99" s="33"/>
      <c r="S99" s="33"/>
      <c r="T99" s="33"/>
    </row>
    <row r="100" spans="11:20">
      <c r="K100" s="33"/>
      <c r="L100" s="33"/>
      <c r="M100" s="33"/>
      <c r="N100" s="33"/>
      <c r="O100" s="33"/>
      <c r="P100" s="33"/>
      <c r="Q100" s="33"/>
      <c r="R100" s="33"/>
      <c r="S100" s="33"/>
      <c r="T100" s="33"/>
    </row>
    <row r="101" spans="11:20">
      <c r="K101" s="33"/>
      <c r="L101" s="33"/>
      <c r="M101" s="33"/>
      <c r="N101" s="33"/>
      <c r="O101" s="33"/>
      <c r="P101" s="33"/>
      <c r="Q101" s="33"/>
      <c r="R101" s="33"/>
      <c r="S101" s="33"/>
      <c r="T101" s="33"/>
    </row>
  </sheetData>
  <mergeCells count="4">
    <mergeCell ref="AX2:AY2"/>
    <mergeCell ref="AJ3:AS3"/>
    <mergeCell ref="K3:T3"/>
    <mergeCell ref="Y3:AH3"/>
  </mergeCells>
  <phoneticPr fontId="6" type="noConversion"/>
  <hyperlinks>
    <hyperlink ref="A5" location="Proj_1!A1" display="Proj_1!A1"/>
    <hyperlink ref="A6" location="Proj_2!A1" display="Proj_2!A1"/>
    <hyperlink ref="A7" location="Proj_3!A1" display="Proj_3!A1"/>
    <hyperlink ref="A8" location="Proj_4!A1" display="Proj_4!A1"/>
    <hyperlink ref="A9" location="Proj_5!A1" display="Proj_5!A1"/>
    <hyperlink ref="A10" location="Proj_6!A1" display="Proj_6!A1"/>
    <hyperlink ref="A11" location="Proj_7!A1" display="Proj_7!A1"/>
    <hyperlink ref="A12" location="Proj_8!A1" display="Proj_8!A1"/>
    <hyperlink ref="A13" location="Proj_9!A1" display="Proj_9!A1"/>
    <hyperlink ref="A14" location="Proj_10!A1" display="Proj_10!A1"/>
    <hyperlink ref="A15" location="Proj_11!A1" display="Proj_11!A1"/>
    <hyperlink ref="A16" location="Proj_12!A1" display="Proj_12!A1"/>
    <hyperlink ref="A17" location="Proj_13!A1" display="Proj_13!A1"/>
    <hyperlink ref="A18" location="Proj_14!A1" display="Proj_14!A1"/>
    <hyperlink ref="A33" location="Proj_29!A1" display="Proj_29!A1"/>
    <hyperlink ref="A39" location="Proj_35!A1" display="Proj_35!A1"/>
    <hyperlink ref="A40" location="Proj_36!A1" display="Proj_36!A1"/>
    <hyperlink ref="A41" location="Proj_37!A1" display="Proj_37!A1"/>
    <hyperlink ref="A42" location="Proj_38!A1" display="Proj_38!A1"/>
    <hyperlink ref="A43" location="Proj_39!A1" display="Proj_39!A1"/>
    <hyperlink ref="A38" location="Proj_34!A1" display="Proj_34!A1"/>
    <hyperlink ref="A37" location="Proj_33!A1" display="Proj_33!A1"/>
    <hyperlink ref="A36" location="Proj_32!A1" display="Proj_32!A1"/>
    <hyperlink ref="A35" location="Proj_31!A1" display="Proj_31!A1"/>
    <hyperlink ref="A34" location="Proj_30!A1" display="Proj_30!A1"/>
    <hyperlink ref="A32" location="Proj_28!A1" display="Proj_28!A1"/>
    <hyperlink ref="A31" location="Proj_27!A1" display="Proj_27!A1"/>
    <hyperlink ref="A30" location="Proj_26!A1" display="Proj_26!A1"/>
    <hyperlink ref="A29" location="Proj_25!A1" display="Proj_25!A1"/>
    <hyperlink ref="A28" location="Proj_24!A1" display="Proj_24!A1"/>
    <hyperlink ref="A27" location="Proj_23!A1" display="Proj_23!A1"/>
    <hyperlink ref="A26" location="Proj_22!A1" display="Proj_22!A1"/>
    <hyperlink ref="A23" location="Proj_19!A1" display="Proj_19!A1"/>
    <hyperlink ref="A22" location="Proj_18!A1" display="Proj_18!A1"/>
    <hyperlink ref="A21" location="Proj_17!A1" display="Proj_17!A1"/>
    <hyperlink ref="A20" location="Proj_16!A1" display="Proj_16!A1"/>
    <hyperlink ref="A19" location="Proj_15!A1" display="Proj_15!A1"/>
    <hyperlink ref="A44" location="Proj_40!A1" display="Proj_40!A1"/>
    <hyperlink ref="A45" location="Proj_41!A1" display="Proj_41!A1"/>
    <hyperlink ref="A46" location="Proj_42!A1" display="Proj_42!A1"/>
    <hyperlink ref="A47" location="Proj_43!A1" display="Proj_43!A1"/>
    <hyperlink ref="A48" location="Proj_44!A1" display="Proj_44!A1"/>
    <hyperlink ref="A49" location="Proj_45!A1" display="Proj_45!A1"/>
    <hyperlink ref="A50" location="Proj_46!A1" display="Proj_46!A1"/>
    <hyperlink ref="C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8" scale="53" orientation="landscape" r:id="rId1"/>
  <headerFooter>
    <oddFooter>&amp;L&amp;D&amp;R&amp;F</oddFooter>
  </headerFooter>
  <ignoredErrors>
    <ignoredError sqref="U47:U50 U24:U45 U5:U15 U16:U23" formulaRange="1"/>
    <ignoredError sqref="U46" formula="1" formulaRange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Lookups!$E$13:$E$14</xm:f>
          </x14:formula1>
          <xm:sqref>H5:H50</xm:sqref>
        </x14:dataValidation>
        <x14:dataValidation type="list" allowBlank="1" showInputMessage="1" showErrorMessage="1">
          <x14:formula1>
            <xm:f>Lookups!$G$3:$G$5</xm:f>
          </x14:formula1>
          <xm:sqref>J5:J50</xm:sqref>
        </x14:dataValidation>
        <x14:dataValidation type="list" allowBlank="1" showInputMessage="1" showErrorMessage="1">
          <x14:formula1>
            <xm:f>Lookups!$E$3:$E$10</xm:f>
          </x14:formula1>
          <xm:sqref>I5:I50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Project_Inputs!B40</f>
        <v>0</v>
      </c>
      <c r="F3" s="249" t="s">
        <v>63</v>
      </c>
      <c r="G3" s="249">
        <f>Project_Inputs!F40</f>
        <v>0</v>
      </c>
    </row>
    <row r="4" spans="1:21" ht="18.75">
      <c r="A4" s="6"/>
      <c r="B4" s="6"/>
      <c r="C4" s="13" t="s">
        <v>15</v>
      </c>
      <c r="D4" s="339" t="str">
        <f>Project_Inputs!D40</f>
        <v>Towers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Project_Inputs!H40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Project_Inputs!I40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Project_Inputs!J40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59.926925153846177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20.3612</v>
      </c>
      <c r="J11" s="320">
        <f>IF(J$10="Prior",SUMIFS(Project_Inputs!$W$5:$W$50,Project_Inputs!$D$5:$D$50,$D$4),SUMIFS(Project_Inputs!P$5:P$50,Project_Inputs!$D$5:$D$50,$D$4))</f>
        <v>3068.4694640000002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3148.7575891538463</v>
      </c>
      <c r="P11" s="300">
        <f t="shared" ref="P11" si="0">SUM(I11:M11)</f>
        <v>3088.8306640000001</v>
      </c>
      <c r="R11" s="608" t="str">
        <f>IF(O11=Project_Inputs!V40,"ok","error")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/>
      <c r="H13" s="391"/>
      <c r="I13" s="401"/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59.926925153846177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3088.8306640000001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3148.7575891538463</v>
      </c>
      <c r="P14" s="451">
        <f>SUM(I14:M14)</f>
        <v>3088.8306640000001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</v>
      </c>
      <c r="G21" s="341">
        <v>1</v>
      </c>
      <c r="H21" s="392">
        <v>1</v>
      </c>
      <c r="I21" s="404">
        <v>1</v>
      </c>
      <c r="J21" s="341">
        <v>1</v>
      </c>
      <c r="K21" s="341">
        <v>1</v>
      </c>
      <c r="L21" s="341">
        <v>1</v>
      </c>
      <c r="M21" s="341">
        <v>1</v>
      </c>
      <c r="N21" s="342">
        <v>1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0</v>
      </c>
      <c r="I46" s="407">
        <f>IF(I$10="Prior",0,(I11*I29)*(Assumptions!I28-1))</f>
        <v>4.2075423910801171E-2</v>
      </c>
      <c r="J46" s="282">
        <f>IF(J$10="Prior",0,(J11*J29)*(Assumptions!J28-1))</f>
        <v>8.8776631516294362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8.9197385755402365</v>
      </c>
      <c r="P46" s="300">
        <f t="shared" ref="P46:P47" si="7">SUM(I46:M46)</f>
        <v>8.9197385755402365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0</v>
      </c>
      <c r="I47" s="407">
        <f>IF(I$10="Prior",0,(I11*I30)*(Assumptions!I30-1))</f>
        <v>0.21622287400255566</v>
      </c>
      <c r="J47" s="282">
        <f>IF(J$10="Prior",0,(J11*J30)*(Assumptions!J30-1))</f>
        <v>48.919273576826463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49.135496450829017</v>
      </c>
      <c r="P47" s="300">
        <f t="shared" si="7"/>
        <v>49.135496450829017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0</v>
      </c>
      <c r="H48" s="253">
        <f t="shared" si="8"/>
        <v>0</v>
      </c>
      <c r="I48" s="408">
        <f t="shared" si="8"/>
        <v>0.25829829791335684</v>
      </c>
      <c r="J48" s="5">
        <f t="shared" si="8"/>
        <v>57.796936728455897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58.055235026369253</v>
      </c>
      <c r="P48" s="434">
        <f>SUM(P46:P47)</f>
        <v>58.055235026369253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0</v>
      </c>
      <c r="H49" s="253">
        <f t="shared" si="9"/>
        <v>0</v>
      </c>
      <c r="I49" s="408">
        <f t="shared" si="9"/>
        <v>0.25829829791335684</v>
      </c>
      <c r="J49" s="5">
        <f t="shared" si="9"/>
        <v>57.796936728455897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58.055235026369253</v>
      </c>
      <c r="P49" s="371">
        <f>P44+P48</f>
        <v>58.055235026369253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0</v>
      </c>
      <c r="I50" s="442">
        <f t="shared" si="10"/>
        <v>1.2685809181843744E-2</v>
      </c>
      <c r="J50" s="443">
        <f t="shared" si="10"/>
        <v>1.8835754243782785E-2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1.8437505391442413E-2</v>
      </c>
      <c r="P50" s="444">
        <f t="shared" si="10"/>
        <v>1.8795214546073042E-2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6.0940726519230806</v>
      </c>
      <c r="G51" s="280">
        <f>(G29*G$11+G46)*Assumptions!$G$21</f>
        <v>0</v>
      </c>
      <c r="H51" s="280">
        <f>(H29*H$11+H46)*Assumptions!$G$21</f>
        <v>0</v>
      </c>
      <c r="I51" s="410">
        <f>(I29*I$11+I46)*Assumptions!$G$21</f>
        <v>2.1133528652927511</v>
      </c>
      <c r="J51" s="280">
        <f>(J29*J$11+J46)*Assumptions!$G$21</f>
        <v>321.06581535231498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329.27324086953081</v>
      </c>
      <c r="P51" s="375">
        <f>SUM(I51:M51)</f>
        <v>323.17916821760775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30.4703632596154</v>
      </c>
      <c r="G52" s="282">
        <f>(G30*G$11+G47)*Assumptions!$G$21</f>
        <v>0</v>
      </c>
      <c r="H52" s="282">
        <f>(H30*H$11+H47)*Assumptions!$G$21</f>
        <v>0</v>
      </c>
      <c r="I52" s="407">
        <f>(I30*I$11+I47)*Assumptions!$G$21</f>
        <v>10.57270897525448</v>
      </c>
      <c r="J52" s="282">
        <f>(J30*J$11+J47)*Assumptions!$G$21</f>
        <v>1609.9366861222993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1650.9797583571692</v>
      </c>
      <c r="P52" s="376">
        <f>SUM(I52:M52)</f>
        <v>1620.5093950975538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24.376290607692322</v>
      </c>
      <c r="G53" s="282">
        <f>(G31*G$11+G$44)*Assumptions!$G$21</f>
        <v>0</v>
      </c>
      <c r="H53" s="282">
        <f>(H31*H$11+H$44)*Assumptions!$G$21</f>
        <v>0</v>
      </c>
      <c r="I53" s="407">
        <f>(I31*I$11+I$44)*Assumptions!$G$21</f>
        <v>8.2822625563909771</v>
      </c>
      <c r="J53" s="282">
        <f>(J31*J$11+J$44)*Assumptions!$G$21</f>
        <v>1248.1518646796994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1280.8104178437827</v>
      </c>
      <c r="P53" s="376">
        <f>SUM(I53:M53)</f>
        <v>1256.4341272360905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60.940726519230807</v>
      </c>
      <c r="G54" s="5">
        <f t="shared" si="12"/>
        <v>0</v>
      </c>
      <c r="H54" s="5">
        <f t="shared" si="12"/>
        <v>0</v>
      </c>
      <c r="I54" s="411">
        <f t="shared" si="12"/>
        <v>20.968324396938208</v>
      </c>
      <c r="J54" s="382">
        <f t="shared" si="12"/>
        <v>3179.1543661543137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3261.0634170704825</v>
      </c>
      <c r="P54" s="428">
        <f t="shared" si="12"/>
        <v>3200.1226905512522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4.8802381280564182</v>
      </c>
      <c r="G57" s="290">
        <f t="shared" ref="G57:N57" si="13">G54*G56</f>
        <v>0</v>
      </c>
      <c r="H57" s="290">
        <f t="shared" si="13"/>
        <v>0</v>
      </c>
      <c r="I57" s="407">
        <f t="shared" si="13"/>
        <v>1.8491259155353985</v>
      </c>
      <c r="J57" s="282">
        <f t="shared" si="13"/>
        <v>382.45111813413251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389.18048217772434</v>
      </c>
      <c r="P57" s="300">
        <f>SUM(I57:M57)</f>
        <v>384.30024404966792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65.820964647287227</v>
      </c>
      <c r="G59" s="5">
        <f t="shared" si="14"/>
        <v>0</v>
      </c>
      <c r="H59" s="5">
        <f t="shared" si="14"/>
        <v>0</v>
      </c>
      <c r="I59" s="411">
        <f t="shared" si="14"/>
        <v>22.817450312473607</v>
      </c>
      <c r="J59" s="382">
        <f t="shared" si="14"/>
        <v>3561.6054842884464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3650.2438992482066</v>
      </c>
      <c r="P59" s="429">
        <f t="shared" si="15"/>
        <v>3584.4229346009201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4.8802381280564182</v>
      </c>
      <c r="G60" s="290">
        <f t="shared" ref="G60:N60" si="16">G57+F60</f>
        <v>4.8802381280564182</v>
      </c>
      <c r="H60" s="290">
        <f t="shared" si="16"/>
        <v>4.8802381280564182</v>
      </c>
      <c r="I60" s="290">
        <f t="shared" si="16"/>
        <v>6.7293640435918167</v>
      </c>
      <c r="J60" s="290">
        <f t="shared" si="16"/>
        <v>389.18048217772434</v>
      </c>
      <c r="K60" s="290">
        <f t="shared" si="16"/>
        <v>389.18048217772434</v>
      </c>
      <c r="L60" s="290">
        <f t="shared" si="16"/>
        <v>389.18048217772434</v>
      </c>
      <c r="M60" s="290">
        <f t="shared" si="16"/>
        <v>389.18048217772434</v>
      </c>
      <c r="N60" s="290">
        <f t="shared" si="16"/>
        <v>389.18048217772434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0</v>
      </c>
      <c r="I61" s="252">
        <f t="shared" si="17"/>
        <v>0.25829829791335684</v>
      </c>
      <c r="J61" s="252">
        <f t="shared" si="17"/>
        <v>58.055235026369253</v>
      </c>
      <c r="K61" s="252">
        <f t="shared" si="17"/>
        <v>58.055235026369253</v>
      </c>
      <c r="L61" s="252">
        <f t="shared" si="17"/>
        <v>58.055235026369253</v>
      </c>
      <c r="M61" s="252">
        <f t="shared" si="17"/>
        <v>58.055235026369253</v>
      </c>
      <c r="N61" s="252">
        <f t="shared" si="17"/>
        <v>58.055235026369253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65.820964647287227</v>
      </c>
      <c r="G68" s="282">
        <f t="shared" si="24"/>
        <v>0</v>
      </c>
      <c r="H68" s="282">
        <f t="shared" si="24"/>
        <v>0</v>
      </c>
      <c r="I68" s="416">
        <f t="shared" si="24"/>
        <v>22.817450312473607</v>
      </c>
      <c r="J68" s="381">
        <f t="shared" si="24"/>
        <v>3561.6054842884464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3650.2438992482071</v>
      </c>
      <c r="P68" s="431">
        <f t="shared" si="21"/>
        <v>3584.4229346009201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65.820964647287227</v>
      </c>
      <c r="G74" s="5">
        <f t="shared" ref="G74:N74" si="30">+SUM(G64:G73)</f>
        <v>0</v>
      </c>
      <c r="H74" s="5">
        <f t="shared" si="30"/>
        <v>0</v>
      </c>
      <c r="I74" s="411">
        <f t="shared" si="30"/>
        <v>22.817450312473607</v>
      </c>
      <c r="J74" s="382">
        <f t="shared" si="30"/>
        <v>3561.6054842884464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3650.2438992482071</v>
      </c>
      <c r="P74" s="428">
        <f>SUM(P64:P73)</f>
        <v>3584.4229346009201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59.926925153846177</v>
      </c>
      <c r="G76" s="280">
        <f t="shared" si="32"/>
        <v>0</v>
      </c>
      <c r="H76" s="280">
        <f t="shared" si="32"/>
        <v>0</v>
      </c>
      <c r="I76" s="410">
        <f t="shared" si="32"/>
        <v>0</v>
      </c>
      <c r="J76" s="280">
        <f t="shared" si="32"/>
        <v>3088.8306640000001</v>
      </c>
      <c r="K76" s="280">
        <f t="shared" si="32"/>
        <v>0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3148.7575891538463</v>
      </c>
      <c r="P76" s="378">
        <f t="shared" ref="P76:P80" si="33">SUM(I76:M76)</f>
        <v>3088.8306640000001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0</v>
      </c>
      <c r="I77" s="407">
        <f>IF(I$10="Prior",0,IF(AND(I76&lt;&gt;0,SUM($F76:H76)=0),I76/SUM($F$76:I76)*I61,IF(I76&lt;&gt;0,SUM($F$76:I76)/SUM($F$11:I11)*I61-H83,0)))</f>
        <v>0</v>
      </c>
      <c r="J77" s="282">
        <f>IF(J$10="Prior",0,IF(AND(J76&lt;&gt;0,SUM($F76:I76)=0),J76/SUM($F$76:J76)*J61,IF(J76&lt;&gt;0,SUM($F$76:J76)/SUM($F$11:J11)*J61-I83,0)))</f>
        <v>58.055235026369253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58.055235026369253</v>
      </c>
      <c r="P77" s="455">
        <f t="shared" si="33"/>
        <v>58.055235026369253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59.926925153846177</v>
      </c>
      <c r="G78" s="457">
        <f t="shared" ref="G78:N78" si="34">SUM(G76:G77)</f>
        <v>0</v>
      </c>
      <c r="H78" s="457">
        <f t="shared" si="34"/>
        <v>0</v>
      </c>
      <c r="I78" s="458">
        <f t="shared" si="34"/>
        <v>0</v>
      </c>
      <c r="J78" s="457">
        <f t="shared" si="34"/>
        <v>3146.8858990263693</v>
      </c>
      <c r="K78" s="457">
        <f t="shared" si="34"/>
        <v>0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3206.8128241802156</v>
      </c>
      <c r="P78" s="461">
        <f t="shared" si="33"/>
        <v>3146.8858990263693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60.9407265192308</v>
      </c>
      <c r="G79" s="457">
        <f>G78*Assumptions!$G$21</f>
        <v>0</v>
      </c>
      <c r="H79" s="457">
        <f>H78*Assumptions!$G$21</f>
        <v>0</v>
      </c>
      <c r="I79" s="458">
        <f>I78*Assumptions!$G$21</f>
        <v>0</v>
      </c>
      <c r="J79" s="457">
        <f>J78*Assumptions!$G$21</f>
        <v>3200.1226905512517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3261.0634170704825</v>
      </c>
      <c r="P79" s="461">
        <f t="shared" si="33"/>
        <v>3200.1226905512517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4.8802381280564173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384.30024404966792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389.18048217772434</v>
      </c>
      <c r="P80" s="300">
        <f t="shared" si="33"/>
        <v>384.30024404966792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65.820964647287212</v>
      </c>
      <c r="G81" s="307">
        <f t="shared" ref="G81:P81" si="35">SUM(G79:G80)</f>
        <v>0</v>
      </c>
      <c r="H81" s="307">
        <f t="shared" si="35"/>
        <v>0</v>
      </c>
      <c r="I81" s="417">
        <f t="shared" si="35"/>
        <v>0</v>
      </c>
      <c r="J81" s="387">
        <f t="shared" si="35"/>
        <v>3584.4229346009197</v>
      </c>
      <c r="K81" s="387">
        <f t="shared" si="35"/>
        <v>0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3650.2438992482066</v>
      </c>
      <c r="P81" s="388">
        <f t="shared" si="35"/>
        <v>3584.4229346009197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4.8802381280564173</v>
      </c>
      <c r="G82" s="252">
        <f t="shared" ref="G82:N82" si="36">G80+F82</f>
        <v>4.8802381280564173</v>
      </c>
      <c r="H82" s="252">
        <f t="shared" si="36"/>
        <v>4.8802381280564173</v>
      </c>
      <c r="I82" s="252">
        <f t="shared" si="36"/>
        <v>4.8802381280564173</v>
      </c>
      <c r="J82" s="252">
        <f t="shared" si="36"/>
        <v>389.18048217772434</v>
      </c>
      <c r="K82" s="252">
        <f t="shared" si="36"/>
        <v>389.18048217772434</v>
      </c>
      <c r="L82" s="252">
        <f t="shared" si="36"/>
        <v>389.18048217772434</v>
      </c>
      <c r="M82" s="252">
        <f t="shared" si="36"/>
        <v>389.18048217772434</v>
      </c>
      <c r="N82" s="252">
        <f t="shared" si="36"/>
        <v>389.18048217772434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0</v>
      </c>
      <c r="I83" s="252">
        <f t="shared" si="37"/>
        <v>0</v>
      </c>
      <c r="J83" s="252">
        <f t="shared" si="37"/>
        <v>58.055235026369253</v>
      </c>
      <c r="K83" s="252">
        <f t="shared" si="37"/>
        <v>58.055235026369253</v>
      </c>
      <c r="L83" s="252">
        <f t="shared" si="37"/>
        <v>58.055235026369253</v>
      </c>
      <c r="M83" s="252">
        <f t="shared" si="37"/>
        <v>58.055235026369253</v>
      </c>
      <c r="N83" s="252">
        <f t="shared" si="37"/>
        <v>58.055235026369253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65.820964647287212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3584.4229346009201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3650.2438992482075</v>
      </c>
      <c r="P89" s="431">
        <f t="shared" si="39"/>
        <v>3584.4229346009201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65.820964647287212</v>
      </c>
      <c r="G95" s="5">
        <f t="shared" ref="G95" si="50">+SUM(G85:G94)</f>
        <v>0</v>
      </c>
      <c r="H95" s="5">
        <f t="shared" ref="H95:N95" si="51">+SUM(H85:H94)</f>
        <v>0</v>
      </c>
      <c r="I95" s="411">
        <f t="shared" si="51"/>
        <v>0</v>
      </c>
      <c r="J95" s="382">
        <f t="shared" si="51"/>
        <v>3584.4229346009201</v>
      </c>
      <c r="K95" s="382">
        <f t="shared" si="51"/>
        <v>0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3650.2438992482075</v>
      </c>
      <c r="P95" s="428">
        <f>SUM(P85:P94)</f>
        <v>3584.4229346009201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G21</f>
        <v>1</v>
      </c>
      <c r="H99" s="2">
        <f t="shared" ref="H99:N99" si="53">H21</f>
        <v>1</v>
      </c>
      <c r="I99" s="2">
        <f t="shared" si="53"/>
        <v>1</v>
      </c>
      <c r="J99" s="2">
        <f t="shared" si="53"/>
        <v>1</v>
      </c>
      <c r="K99" s="2">
        <f t="shared" si="53"/>
        <v>1</v>
      </c>
      <c r="L99" s="2">
        <f t="shared" si="53"/>
        <v>1</v>
      </c>
      <c r="M99" s="2">
        <f t="shared" si="53"/>
        <v>1</v>
      </c>
      <c r="N99" s="2">
        <f t="shared" si="53"/>
        <v>1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6">H22</f>
        <v>0</v>
      </c>
      <c r="I107" s="2">
        <f t="shared" si="56"/>
        <v>0</v>
      </c>
      <c r="J107" s="2">
        <f t="shared" si="56"/>
        <v>0</v>
      </c>
      <c r="K107" s="2">
        <f t="shared" si="56"/>
        <v>0</v>
      </c>
      <c r="L107" s="2">
        <f t="shared" si="56"/>
        <v>0</v>
      </c>
      <c r="M107" s="2">
        <f t="shared" si="56"/>
        <v>0</v>
      </c>
      <c r="N107" s="2">
        <f t="shared" si="56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8">H99*H$53</f>
        <v>0</v>
      </c>
      <c r="I111" s="191">
        <f t="shared" si="58"/>
        <v>8.2822625563909771</v>
      </c>
      <c r="J111" s="191">
        <f t="shared" si="58"/>
        <v>1248.1518646796994</v>
      </c>
      <c r="K111" s="191">
        <f t="shared" si="58"/>
        <v>0</v>
      </c>
      <c r="L111" s="191">
        <f t="shared" si="58"/>
        <v>0</v>
      </c>
      <c r="M111" s="191">
        <f t="shared" si="58"/>
        <v>0</v>
      </c>
      <c r="N111" s="191">
        <f t="shared" si="58"/>
        <v>0</v>
      </c>
      <c r="O111" s="191">
        <f t="shared" ref="O111:O119" si="59">SUM(F111:N111)</f>
        <v>1256.4341272360905</v>
      </c>
      <c r="P111" s="191">
        <f t="shared" ref="P111:P119" si="60">SUM(I111:M111)</f>
        <v>1256.4341272360905</v>
      </c>
    </row>
    <row r="112" spans="3:16" hidden="1" outlineLevel="1">
      <c r="D112" s="248" t="s">
        <v>380</v>
      </c>
      <c r="G112" s="191">
        <f t="shared" ref="G112:N119" si="61">G100*G$53</f>
        <v>0</v>
      </c>
      <c r="H112" s="191">
        <f t="shared" si="61"/>
        <v>0</v>
      </c>
      <c r="I112" s="191">
        <f t="shared" si="61"/>
        <v>0</v>
      </c>
      <c r="J112" s="191">
        <f t="shared" si="61"/>
        <v>0</v>
      </c>
      <c r="K112" s="191">
        <f t="shared" si="61"/>
        <v>0</v>
      </c>
      <c r="L112" s="191">
        <f t="shared" si="61"/>
        <v>0</v>
      </c>
      <c r="M112" s="191">
        <f t="shared" si="61"/>
        <v>0</v>
      </c>
      <c r="N112" s="191">
        <f t="shared" si="61"/>
        <v>0</v>
      </c>
      <c r="O112" s="191">
        <f t="shared" si="59"/>
        <v>0</v>
      </c>
      <c r="P112" s="191">
        <f t="shared" si="60"/>
        <v>0</v>
      </c>
    </row>
    <row r="113" spans="4:16" hidden="1" outlineLevel="1">
      <c r="D113" s="248" t="s">
        <v>381</v>
      </c>
      <c r="G113" s="191">
        <f t="shared" si="61"/>
        <v>0</v>
      </c>
      <c r="H113" s="191">
        <f t="shared" si="61"/>
        <v>0</v>
      </c>
      <c r="I113" s="191">
        <f t="shared" si="61"/>
        <v>0</v>
      </c>
      <c r="J113" s="191">
        <f t="shared" si="61"/>
        <v>0</v>
      </c>
      <c r="K113" s="191">
        <f t="shared" si="61"/>
        <v>0</v>
      </c>
      <c r="L113" s="191">
        <f t="shared" si="61"/>
        <v>0</v>
      </c>
      <c r="M113" s="191">
        <f t="shared" si="61"/>
        <v>0</v>
      </c>
      <c r="N113" s="191">
        <f t="shared" si="61"/>
        <v>0</v>
      </c>
      <c r="O113" s="191">
        <f t="shared" si="59"/>
        <v>0</v>
      </c>
      <c r="P113" s="191">
        <f t="shared" si="60"/>
        <v>0</v>
      </c>
    </row>
    <row r="114" spans="4:16" hidden="1" outlineLevel="1">
      <c r="D114" s="248" t="s">
        <v>382</v>
      </c>
      <c r="G114" s="191">
        <f t="shared" si="61"/>
        <v>0</v>
      </c>
      <c r="H114" s="191">
        <f t="shared" si="61"/>
        <v>0</v>
      </c>
      <c r="I114" s="191">
        <f t="shared" si="61"/>
        <v>0</v>
      </c>
      <c r="J114" s="191">
        <f t="shared" si="61"/>
        <v>0</v>
      </c>
      <c r="K114" s="191">
        <f t="shared" si="61"/>
        <v>0</v>
      </c>
      <c r="L114" s="191">
        <f t="shared" si="61"/>
        <v>0</v>
      </c>
      <c r="M114" s="191">
        <f t="shared" si="61"/>
        <v>0</v>
      </c>
      <c r="N114" s="191">
        <f t="shared" si="61"/>
        <v>0</v>
      </c>
      <c r="O114" s="191">
        <f t="shared" si="59"/>
        <v>0</v>
      </c>
      <c r="P114" s="191">
        <f t="shared" si="60"/>
        <v>0</v>
      </c>
    </row>
    <row r="115" spans="4:16" hidden="1" outlineLevel="1">
      <c r="D115" s="248" t="s">
        <v>383</v>
      </c>
      <c r="G115" s="191">
        <f t="shared" si="61"/>
        <v>0</v>
      </c>
      <c r="H115" s="191">
        <f t="shared" si="61"/>
        <v>0</v>
      </c>
      <c r="I115" s="191">
        <f t="shared" si="61"/>
        <v>0</v>
      </c>
      <c r="J115" s="191">
        <f t="shared" si="61"/>
        <v>0</v>
      </c>
      <c r="K115" s="191">
        <f t="shared" si="61"/>
        <v>0</v>
      </c>
      <c r="L115" s="191">
        <f t="shared" si="61"/>
        <v>0</v>
      </c>
      <c r="M115" s="191">
        <f t="shared" si="61"/>
        <v>0</v>
      </c>
      <c r="N115" s="191">
        <f t="shared" si="61"/>
        <v>0</v>
      </c>
      <c r="O115" s="191">
        <f t="shared" si="59"/>
        <v>0</v>
      </c>
      <c r="P115" s="191">
        <f t="shared" si="60"/>
        <v>0</v>
      </c>
    </row>
    <row r="116" spans="4:16" hidden="1" outlineLevel="1">
      <c r="D116" s="248" t="s">
        <v>384</v>
      </c>
      <c r="G116" s="191">
        <f t="shared" si="61"/>
        <v>0</v>
      </c>
      <c r="H116" s="191">
        <f t="shared" si="61"/>
        <v>0</v>
      </c>
      <c r="I116" s="191">
        <f t="shared" si="61"/>
        <v>0</v>
      </c>
      <c r="J116" s="191">
        <f t="shared" si="61"/>
        <v>0</v>
      </c>
      <c r="K116" s="191">
        <f t="shared" si="61"/>
        <v>0</v>
      </c>
      <c r="L116" s="191">
        <f t="shared" si="61"/>
        <v>0</v>
      </c>
      <c r="M116" s="191">
        <f t="shared" si="61"/>
        <v>0</v>
      </c>
      <c r="N116" s="191">
        <f t="shared" si="61"/>
        <v>0</v>
      </c>
      <c r="O116" s="191">
        <f t="shared" si="59"/>
        <v>0</v>
      </c>
      <c r="P116" s="191">
        <f t="shared" si="60"/>
        <v>0</v>
      </c>
    </row>
    <row r="117" spans="4:16" hidden="1" outlineLevel="1">
      <c r="D117" s="248" t="s">
        <v>385</v>
      </c>
      <c r="G117" s="191">
        <f t="shared" si="61"/>
        <v>0</v>
      </c>
      <c r="H117" s="191">
        <f t="shared" si="61"/>
        <v>0</v>
      </c>
      <c r="I117" s="191">
        <f t="shared" si="61"/>
        <v>0</v>
      </c>
      <c r="J117" s="191">
        <f t="shared" si="61"/>
        <v>0</v>
      </c>
      <c r="K117" s="191">
        <f t="shared" si="61"/>
        <v>0</v>
      </c>
      <c r="L117" s="191">
        <f t="shared" si="61"/>
        <v>0</v>
      </c>
      <c r="M117" s="191">
        <f t="shared" si="61"/>
        <v>0</v>
      </c>
      <c r="N117" s="191">
        <f t="shared" si="61"/>
        <v>0</v>
      </c>
      <c r="O117" s="191">
        <f t="shared" si="59"/>
        <v>0</v>
      </c>
      <c r="P117" s="191">
        <f t="shared" si="60"/>
        <v>0</v>
      </c>
    </row>
    <row r="118" spans="4:16" hidden="1" outlineLevel="1">
      <c r="D118" s="248" t="s">
        <v>386</v>
      </c>
      <c r="G118" s="191">
        <f t="shared" si="61"/>
        <v>0</v>
      </c>
      <c r="H118" s="191">
        <f t="shared" si="61"/>
        <v>0</v>
      </c>
      <c r="I118" s="191">
        <f t="shared" si="61"/>
        <v>0</v>
      </c>
      <c r="J118" s="191">
        <f t="shared" si="61"/>
        <v>0</v>
      </c>
      <c r="K118" s="191">
        <f t="shared" si="61"/>
        <v>0</v>
      </c>
      <c r="L118" s="191">
        <f t="shared" si="61"/>
        <v>0</v>
      </c>
      <c r="M118" s="191">
        <f t="shared" si="61"/>
        <v>0</v>
      </c>
      <c r="N118" s="191">
        <f t="shared" si="61"/>
        <v>0</v>
      </c>
      <c r="O118" s="191">
        <f t="shared" si="59"/>
        <v>0</v>
      </c>
      <c r="P118" s="191">
        <f t="shared" si="60"/>
        <v>0</v>
      </c>
    </row>
    <row r="119" spans="4:16" hidden="1" outlineLevel="1">
      <c r="D119" s="248" t="s">
        <v>387</v>
      </c>
      <c r="G119" s="912">
        <f t="shared" si="61"/>
        <v>0</v>
      </c>
      <c r="H119" s="912">
        <f t="shared" si="61"/>
        <v>0</v>
      </c>
      <c r="I119" s="912">
        <f t="shared" si="61"/>
        <v>0</v>
      </c>
      <c r="J119" s="912">
        <f t="shared" si="61"/>
        <v>0</v>
      </c>
      <c r="K119" s="912">
        <f t="shared" si="61"/>
        <v>0</v>
      </c>
      <c r="L119" s="912">
        <f t="shared" si="61"/>
        <v>0</v>
      </c>
      <c r="M119" s="912">
        <f t="shared" si="61"/>
        <v>0</v>
      </c>
      <c r="N119" s="912">
        <f t="shared" si="61"/>
        <v>0</v>
      </c>
      <c r="O119" s="912">
        <f t="shared" si="59"/>
        <v>0</v>
      </c>
      <c r="P119" s="912">
        <f t="shared" si="60"/>
        <v>0</v>
      </c>
    </row>
    <row r="120" spans="4:16" hidden="1" outlineLevel="1">
      <c r="D120" s="248" t="s">
        <v>440</v>
      </c>
      <c r="G120" s="191">
        <f>SUM(G111:G119)</f>
        <v>0</v>
      </c>
      <c r="H120" s="191">
        <f t="shared" ref="H120:P120" si="62">SUM(H111:H119)</f>
        <v>0</v>
      </c>
      <c r="I120" s="191">
        <f t="shared" si="62"/>
        <v>8.2822625563909771</v>
      </c>
      <c r="J120" s="191">
        <f t="shared" si="62"/>
        <v>1248.1518646796994</v>
      </c>
      <c r="K120" s="191">
        <f t="shared" si="62"/>
        <v>0</v>
      </c>
      <c r="L120" s="191">
        <f t="shared" si="62"/>
        <v>0</v>
      </c>
      <c r="M120" s="191">
        <f t="shared" si="62"/>
        <v>0</v>
      </c>
      <c r="N120" s="191">
        <f t="shared" si="62"/>
        <v>0</v>
      </c>
      <c r="O120" s="191">
        <f t="shared" si="62"/>
        <v>1256.4341272360905</v>
      </c>
      <c r="P120" s="191">
        <f t="shared" si="62"/>
        <v>1256.4341272360905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3">H99*H$51</f>
        <v>0</v>
      </c>
      <c r="I123" s="191">
        <f t="shared" si="63"/>
        <v>2.1133528652927511</v>
      </c>
      <c r="J123" s="191">
        <f t="shared" si="63"/>
        <v>321.06581535231498</v>
      </c>
      <c r="K123" s="191">
        <f t="shared" si="63"/>
        <v>0</v>
      </c>
      <c r="L123" s="191">
        <f t="shared" si="63"/>
        <v>0</v>
      </c>
      <c r="M123" s="191">
        <f t="shared" si="63"/>
        <v>0</v>
      </c>
      <c r="N123" s="191">
        <f t="shared" si="63"/>
        <v>0</v>
      </c>
      <c r="O123" s="191">
        <f t="shared" ref="O123:O131" si="64">SUM(F123:N123)</f>
        <v>323.17916821760775</v>
      </c>
      <c r="P123" s="191">
        <f t="shared" ref="P123:P131" si="65">SUM(I123:M123)</f>
        <v>323.17916821760775</v>
      </c>
    </row>
    <row r="124" spans="4:16" hidden="1" outlineLevel="1">
      <c r="D124" s="248" t="s">
        <v>380</v>
      </c>
      <c r="G124" s="191">
        <f t="shared" ref="G124:N131" si="66">G100*G$51</f>
        <v>0</v>
      </c>
      <c r="H124" s="191">
        <f t="shared" si="66"/>
        <v>0</v>
      </c>
      <c r="I124" s="191">
        <f t="shared" si="66"/>
        <v>0</v>
      </c>
      <c r="J124" s="191">
        <f t="shared" si="66"/>
        <v>0</v>
      </c>
      <c r="K124" s="191">
        <f t="shared" si="66"/>
        <v>0</v>
      </c>
      <c r="L124" s="191">
        <f t="shared" si="66"/>
        <v>0</v>
      </c>
      <c r="M124" s="191">
        <f t="shared" si="66"/>
        <v>0</v>
      </c>
      <c r="N124" s="191">
        <f t="shared" si="66"/>
        <v>0</v>
      </c>
      <c r="O124" s="191">
        <f t="shared" si="64"/>
        <v>0</v>
      </c>
      <c r="P124" s="191">
        <f t="shared" si="65"/>
        <v>0</v>
      </c>
    </row>
    <row r="125" spans="4:16" hidden="1" outlineLevel="1">
      <c r="D125" s="248" t="s">
        <v>381</v>
      </c>
      <c r="G125" s="191">
        <f t="shared" si="66"/>
        <v>0</v>
      </c>
      <c r="H125" s="191">
        <f t="shared" si="66"/>
        <v>0</v>
      </c>
      <c r="I125" s="191">
        <f t="shared" si="66"/>
        <v>0</v>
      </c>
      <c r="J125" s="191">
        <f t="shared" si="66"/>
        <v>0</v>
      </c>
      <c r="K125" s="191">
        <f t="shared" si="66"/>
        <v>0</v>
      </c>
      <c r="L125" s="191">
        <f t="shared" si="66"/>
        <v>0</v>
      </c>
      <c r="M125" s="191">
        <f t="shared" si="66"/>
        <v>0</v>
      </c>
      <c r="N125" s="191">
        <f t="shared" si="66"/>
        <v>0</v>
      </c>
      <c r="O125" s="191">
        <f t="shared" si="64"/>
        <v>0</v>
      </c>
      <c r="P125" s="191">
        <f t="shared" si="65"/>
        <v>0</v>
      </c>
    </row>
    <row r="126" spans="4:16" hidden="1" outlineLevel="1">
      <c r="D126" s="248" t="s">
        <v>382</v>
      </c>
      <c r="G126" s="191">
        <f t="shared" si="66"/>
        <v>0</v>
      </c>
      <c r="H126" s="191">
        <f t="shared" si="66"/>
        <v>0</v>
      </c>
      <c r="I126" s="191">
        <f t="shared" si="66"/>
        <v>0</v>
      </c>
      <c r="J126" s="191">
        <f t="shared" si="66"/>
        <v>0</v>
      </c>
      <c r="K126" s="191">
        <f t="shared" si="66"/>
        <v>0</v>
      </c>
      <c r="L126" s="191">
        <f t="shared" si="66"/>
        <v>0</v>
      </c>
      <c r="M126" s="191">
        <f t="shared" si="66"/>
        <v>0</v>
      </c>
      <c r="N126" s="191">
        <f t="shared" si="66"/>
        <v>0</v>
      </c>
      <c r="O126" s="191">
        <f t="shared" si="64"/>
        <v>0</v>
      </c>
      <c r="P126" s="191">
        <f t="shared" si="65"/>
        <v>0</v>
      </c>
    </row>
    <row r="127" spans="4:16" hidden="1" outlineLevel="1">
      <c r="D127" s="248" t="s">
        <v>383</v>
      </c>
      <c r="G127" s="191">
        <f t="shared" si="66"/>
        <v>0</v>
      </c>
      <c r="H127" s="191">
        <f t="shared" si="66"/>
        <v>0</v>
      </c>
      <c r="I127" s="191">
        <f t="shared" si="66"/>
        <v>0</v>
      </c>
      <c r="J127" s="191">
        <f t="shared" si="66"/>
        <v>0</v>
      </c>
      <c r="K127" s="191">
        <f t="shared" si="66"/>
        <v>0</v>
      </c>
      <c r="L127" s="191">
        <f t="shared" si="66"/>
        <v>0</v>
      </c>
      <c r="M127" s="191">
        <f t="shared" si="66"/>
        <v>0</v>
      </c>
      <c r="N127" s="191">
        <f t="shared" si="66"/>
        <v>0</v>
      </c>
      <c r="O127" s="191">
        <f t="shared" si="64"/>
        <v>0</v>
      </c>
      <c r="P127" s="191">
        <f t="shared" si="65"/>
        <v>0</v>
      </c>
    </row>
    <row r="128" spans="4:16" hidden="1" outlineLevel="1">
      <c r="D128" s="248" t="s">
        <v>384</v>
      </c>
      <c r="G128" s="191">
        <f t="shared" si="66"/>
        <v>0</v>
      </c>
      <c r="H128" s="191">
        <f t="shared" si="66"/>
        <v>0</v>
      </c>
      <c r="I128" s="191">
        <f t="shared" si="66"/>
        <v>0</v>
      </c>
      <c r="J128" s="191">
        <f t="shared" si="66"/>
        <v>0</v>
      </c>
      <c r="K128" s="191">
        <f t="shared" si="66"/>
        <v>0</v>
      </c>
      <c r="L128" s="191">
        <f t="shared" si="66"/>
        <v>0</v>
      </c>
      <c r="M128" s="191">
        <f t="shared" si="66"/>
        <v>0</v>
      </c>
      <c r="N128" s="191">
        <f t="shared" si="66"/>
        <v>0</v>
      </c>
      <c r="O128" s="191">
        <f t="shared" si="64"/>
        <v>0</v>
      </c>
      <c r="P128" s="191">
        <f t="shared" si="65"/>
        <v>0</v>
      </c>
    </row>
    <row r="129" spans="4:16" hidden="1" outlineLevel="1">
      <c r="D129" s="248" t="s">
        <v>385</v>
      </c>
      <c r="G129" s="191">
        <f t="shared" si="66"/>
        <v>0</v>
      </c>
      <c r="H129" s="191">
        <f t="shared" si="66"/>
        <v>0</v>
      </c>
      <c r="I129" s="191">
        <f t="shared" si="66"/>
        <v>0</v>
      </c>
      <c r="J129" s="191">
        <f t="shared" si="66"/>
        <v>0</v>
      </c>
      <c r="K129" s="191">
        <f t="shared" si="66"/>
        <v>0</v>
      </c>
      <c r="L129" s="191">
        <f t="shared" si="66"/>
        <v>0</v>
      </c>
      <c r="M129" s="191">
        <f t="shared" si="66"/>
        <v>0</v>
      </c>
      <c r="N129" s="191">
        <f t="shared" si="66"/>
        <v>0</v>
      </c>
      <c r="O129" s="191">
        <f t="shared" si="64"/>
        <v>0</v>
      </c>
      <c r="P129" s="191">
        <f t="shared" si="65"/>
        <v>0</v>
      </c>
    </row>
    <row r="130" spans="4:16" hidden="1" outlineLevel="1">
      <c r="D130" s="248" t="s">
        <v>386</v>
      </c>
      <c r="G130" s="191">
        <f t="shared" si="66"/>
        <v>0</v>
      </c>
      <c r="H130" s="191">
        <f t="shared" si="66"/>
        <v>0</v>
      </c>
      <c r="I130" s="191">
        <f t="shared" si="66"/>
        <v>0</v>
      </c>
      <c r="J130" s="191">
        <f t="shared" si="66"/>
        <v>0</v>
      </c>
      <c r="K130" s="191">
        <f t="shared" si="66"/>
        <v>0</v>
      </c>
      <c r="L130" s="191">
        <f t="shared" si="66"/>
        <v>0</v>
      </c>
      <c r="M130" s="191">
        <f t="shared" si="66"/>
        <v>0</v>
      </c>
      <c r="N130" s="191">
        <f t="shared" si="66"/>
        <v>0</v>
      </c>
      <c r="O130" s="191">
        <f t="shared" si="64"/>
        <v>0</v>
      </c>
      <c r="P130" s="191">
        <f t="shared" si="65"/>
        <v>0</v>
      </c>
    </row>
    <row r="131" spans="4:16" hidden="1" outlineLevel="1">
      <c r="D131" s="248" t="s">
        <v>387</v>
      </c>
      <c r="G131" s="912">
        <f t="shared" si="66"/>
        <v>0</v>
      </c>
      <c r="H131" s="912">
        <f t="shared" si="66"/>
        <v>0</v>
      </c>
      <c r="I131" s="912">
        <f t="shared" si="66"/>
        <v>0</v>
      </c>
      <c r="J131" s="912">
        <f t="shared" si="66"/>
        <v>0</v>
      </c>
      <c r="K131" s="912">
        <f t="shared" si="66"/>
        <v>0</v>
      </c>
      <c r="L131" s="912">
        <f t="shared" si="66"/>
        <v>0</v>
      </c>
      <c r="M131" s="912">
        <f t="shared" si="66"/>
        <v>0</v>
      </c>
      <c r="N131" s="912">
        <f t="shared" si="66"/>
        <v>0</v>
      </c>
      <c r="O131" s="912">
        <f t="shared" si="64"/>
        <v>0</v>
      </c>
      <c r="P131" s="912">
        <f t="shared" si="65"/>
        <v>0</v>
      </c>
    </row>
    <row r="132" spans="4:16" hidden="1" outlineLevel="1">
      <c r="D132" s="248" t="s">
        <v>441</v>
      </c>
      <c r="G132" s="191">
        <f>SUM(G123:G131)</f>
        <v>0</v>
      </c>
      <c r="H132" s="191">
        <f t="shared" ref="H132:P132" si="67">SUM(H123:H131)</f>
        <v>0</v>
      </c>
      <c r="I132" s="191">
        <f t="shared" si="67"/>
        <v>2.1133528652927511</v>
      </c>
      <c r="J132" s="191">
        <f t="shared" si="67"/>
        <v>321.06581535231498</v>
      </c>
      <c r="K132" s="191">
        <f t="shared" si="67"/>
        <v>0</v>
      </c>
      <c r="L132" s="191">
        <f t="shared" si="67"/>
        <v>0</v>
      </c>
      <c r="M132" s="191">
        <f t="shared" si="67"/>
        <v>0</v>
      </c>
      <c r="N132" s="191">
        <f t="shared" si="67"/>
        <v>0</v>
      </c>
      <c r="O132" s="191">
        <f t="shared" si="67"/>
        <v>323.17916821760775</v>
      </c>
      <c r="P132" s="191">
        <f t="shared" si="67"/>
        <v>323.17916821760775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8">H99*H$52</f>
        <v>0</v>
      </c>
      <c r="I135" s="191">
        <f t="shared" si="68"/>
        <v>10.57270897525448</v>
      </c>
      <c r="J135" s="191">
        <f t="shared" si="68"/>
        <v>1609.9366861222993</v>
      </c>
      <c r="K135" s="191">
        <f t="shared" si="68"/>
        <v>0</v>
      </c>
      <c r="L135" s="191">
        <f t="shared" si="68"/>
        <v>0</v>
      </c>
      <c r="M135" s="191">
        <f t="shared" si="68"/>
        <v>0</v>
      </c>
      <c r="N135" s="191">
        <f t="shared" si="68"/>
        <v>0</v>
      </c>
      <c r="O135" s="191">
        <f t="shared" ref="O135:O143" si="69">SUM(F135:N135)</f>
        <v>1620.5093950975538</v>
      </c>
      <c r="P135" s="191">
        <f t="shared" ref="P135:P143" si="70">SUM(I135:M135)</f>
        <v>1620.5093950975538</v>
      </c>
    </row>
    <row r="136" spans="4:16" hidden="1" outlineLevel="1">
      <c r="D136" s="248" t="s">
        <v>380</v>
      </c>
      <c r="G136" s="191">
        <f t="shared" ref="G136:N143" si="71">G100*G$52</f>
        <v>0</v>
      </c>
      <c r="H136" s="191">
        <f t="shared" si="71"/>
        <v>0</v>
      </c>
      <c r="I136" s="191">
        <f t="shared" si="71"/>
        <v>0</v>
      </c>
      <c r="J136" s="191">
        <f t="shared" si="71"/>
        <v>0</v>
      </c>
      <c r="K136" s="191">
        <f t="shared" si="71"/>
        <v>0</v>
      </c>
      <c r="L136" s="191">
        <f t="shared" si="71"/>
        <v>0</v>
      </c>
      <c r="M136" s="191">
        <f t="shared" si="71"/>
        <v>0</v>
      </c>
      <c r="N136" s="191">
        <f t="shared" si="71"/>
        <v>0</v>
      </c>
      <c r="O136" s="191">
        <f t="shared" si="69"/>
        <v>0</v>
      </c>
      <c r="P136" s="191">
        <f t="shared" si="70"/>
        <v>0</v>
      </c>
    </row>
    <row r="137" spans="4:16" hidden="1" outlineLevel="1">
      <c r="D137" s="248" t="s">
        <v>381</v>
      </c>
      <c r="G137" s="191">
        <f t="shared" si="71"/>
        <v>0</v>
      </c>
      <c r="H137" s="191">
        <f t="shared" si="71"/>
        <v>0</v>
      </c>
      <c r="I137" s="191">
        <f t="shared" si="71"/>
        <v>0</v>
      </c>
      <c r="J137" s="191">
        <f t="shared" si="71"/>
        <v>0</v>
      </c>
      <c r="K137" s="191">
        <f t="shared" si="71"/>
        <v>0</v>
      </c>
      <c r="L137" s="191">
        <f t="shared" si="71"/>
        <v>0</v>
      </c>
      <c r="M137" s="191">
        <f t="shared" si="71"/>
        <v>0</v>
      </c>
      <c r="N137" s="191">
        <f t="shared" si="71"/>
        <v>0</v>
      </c>
      <c r="O137" s="191">
        <f t="shared" si="69"/>
        <v>0</v>
      </c>
      <c r="P137" s="191">
        <f t="shared" si="70"/>
        <v>0</v>
      </c>
    </row>
    <row r="138" spans="4:16" hidden="1" outlineLevel="1">
      <c r="D138" s="248" t="s">
        <v>382</v>
      </c>
      <c r="G138" s="191">
        <f t="shared" si="71"/>
        <v>0</v>
      </c>
      <c r="H138" s="191">
        <f t="shared" si="71"/>
        <v>0</v>
      </c>
      <c r="I138" s="191">
        <f t="shared" si="71"/>
        <v>0</v>
      </c>
      <c r="J138" s="191">
        <f t="shared" si="71"/>
        <v>0</v>
      </c>
      <c r="K138" s="191">
        <f t="shared" si="71"/>
        <v>0</v>
      </c>
      <c r="L138" s="191">
        <f t="shared" si="71"/>
        <v>0</v>
      </c>
      <c r="M138" s="191">
        <f t="shared" si="71"/>
        <v>0</v>
      </c>
      <c r="N138" s="191">
        <f t="shared" si="71"/>
        <v>0</v>
      </c>
      <c r="O138" s="191">
        <f t="shared" si="69"/>
        <v>0</v>
      </c>
      <c r="P138" s="191">
        <f t="shared" si="70"/>
        <v>0</v>
      </c>
    </row>
    <row r="139" spans="4:16" hidden="1" outlineLevel="1">
      <c r="D139" s="248" t="s">
        <v>383</v>
      </c>
      <c r="G139" s="191">
        <f t="shared" si="71"/>
        <v>0</v>
      </c>
      <c r="H139" s="191">
        <f t="shared" si="71"/>
        <v>0</v>
      </c>
      <c r="I139" s="191">
        <f t="shared" si="71"/>
        <v>0</v>
      </c>
      <c r="J139" s="191">
        <f t="shared" si="71"/>
        <v>0</v>
      </c>
      <c r="K139" s="191">
        <f t="shared" si="71"/>
        <v>0</v>
      </c>
      <c r="L139" s="191">
        <f t="shared" si="71"/>
        <v>0</v>
      </c>
      <c r="M139" s="191">
        <f t="shared" si="71"/>
        <v>0</v>
      </c>
      <c r="N139" s="191">
        <f t="shared" si="71"/>
        <v>0</v>
      </c>
      <c r="O139" s="191">
        <f t="shared" si="69"/>
        <v>0</v>
      </c>
      <c r="P139" s="191">
        <f t="shared" si="70"/>
        <v>0</v>
      </c>
    </row>
    <row r="140" spans="4:16" hidden="1" outlineLevel="1">
      <c r="D140" s="248" t="s">
        <v>384</v>
      </c>
      <c r="G140" s="191">
        <f t="shared" si="71"/>
        <v>0</v>
      </c>
      <c r="H140" s="191">
        <f t="shared" si="71"/>
        <v>0</v>
      </c>
      <c r="I140" s="191">
        <f t="shared" si="71"/>
        <v>0</v>
      </c>
      <c r="J140" s="191">
        <f t="shared" si="71"/>
        <v>0</v>
      </c>
      <c r="K140" s="191">
        <f t="shared" si="71"/>
        <v>0</v>
      </c>
      <c r="L140" s="191">
        <f t="shared" si="71"/>
        <v>0</v>
      </c>
      <c r="M140" s="191">
        <f t="shared" si="71"/>
        <v>0</v>
      </c>
      <c r="N140" s="191">
        <f t="shared" si="71"/>
        <v>0</v>
      </c>
      <c r="O140" s="191">
        <f t="shared" si="69"/>
        <v>0</v>
      </c>
      <c r="P140" s="191">
        <f t="shared" si="70"/>
        <v>0</v>
      </c>
    </row>
    <row r="141" spans="4:16" hidden="1" outlineLevel="1">
      <c r="D141" s="248" t="s">
        <v>385</v>
      </c>
      <c r="G141" s="191">
        <f t="shared" si="71"/>
        <v>0</v>
      </c>
      <c r="H141" s="191">
        <f t="shared" si="71"/>
        <v>0</v>
      </c>
      <c r="I141" s="191">
        <f t="shared" si="71"/>
        <v>0</v>
      </c>
      <c r="J141" s="191">
        <f t="shared" si="71"/>
        <v>0</v>
      </c>
      <c r="K141" s="191">
        <f t="shared" si="71"/>
        <v>0</v>
      </c>
      <c r="L141" s="191">
        <f t="shared" si="71"/>
        <v>0</v>
      </c>
      <c r="M141" s="191">
        <f t="shared" si="71"/>
        <v>0</v>
      </c>
      <c r="N141" s="191">
        <f t="shared" si="71"/>
        <v>0</v>
      </c>
      <c r="O141" s="191">
        <f t="shared" si="69"/>
        <v>0</v>
      </c>
      <c r="P141" s="191">
        <f t="shared" si="70"/>
        <v>0</v>
      </c>
    </row>
    <row r="142" spans="4:16" hidden="1" outlineLevel="1">
      <c r="D142" s="248" t="s">
        <v>386</v>
      </c>
      <c r="G142" s="191">
        <f t="shared" si="71"/>
        <v>0</v>
      </c>
      <c r="H142" s="191">
        <f t="shared" si="71"/>
        <v>0</v>
      </c>
      <c r="I142" s="191">
        <f t="shared" si="71"/>
        <v>0</v>
      </c>
      <c r="J142" s="191">
        <f t="shared" si="71"/>
        <v>0</v>
      </c>
      <c r="K142" s="191">
        <f t="shared" si="71"/>
        <v>0</v>
      </c>
      <c r="L142" s="191">
        <f t="shared" si="71"/>
        <v>0</v>
      </c>
      <c r="M142" s="191">
        <f t="shared" si="71"/>
        <v>0</v>
      </c>
      <c r="N142" s="191">
        <f t="shared" si="71"/>
        <v>0</v>
      </c>
      <c r="O142" s="191">
        <f t="shared" si="69"/>
        <v>0</v>
      </c>
      <c r="P142" s="191">
        <f t="shared" si="70"/>
        <v>0</v>
      </c>
    </row>
    <row r="143" spans="4:16" hidden="1" outlineLevel="1">
      <c r="D143" s="248" t="s">
        <v>387</v>
      </c>
      <c r="G143" s="912">
        <f t="shared" si="71"/>
        <v>0</v>
      </c>
      <c r="H143" s="912">
        <f t="shared" si="71"/>
        <v>0</v>
      </c>
      <c r="I143" s="912">
        <f t="shared" si="71"/>
        <v>0</v>
      </c>
      <c r="J143" s="912">
        <f t="shared" si="71"/>
        <v>0</v>
      </c>
      <c r="K143" s="912">
        <f t="shared" si="71"/>
        <v>0</v>
      </c>
      <c r="L143" s="912">
        <f t="shared" si="71"/>
        <v>0</v>
      </c>
      <c r="M143" s="912">
        <f t="shared" si="71"/>
        <v>0</v>
      </c>
      <c r="N143" s="912">
        <f t="shared" si="71"/>
        <v>0</v>
      </c>
      <c r="O143" s="912">
        <f t="shared" si="69"/>
        <v>0</v>
      </c>
      <c r="P143" s="912">
        <f t="shared" si="70"/>
        <v>0</v>
      </c>
    </row>
    <row r="144" spans="4:16" hidden="1" outlineLevel="1">
      <c r="D144" s="248" t="s">
        <v>442</v>
      </c>
      <c r="G144" s="191">
        <f>SUM(G135:G143)</f>
        <v>0</v>
      </c>
      <c r="H144" s="191">
        <f t="shared" ref="H144:P144" si="72">SUM(H135:H143)</f>
        <v>0</v>
      </c>
      <c r="I144" s="191">
        <f t="shared" si="72"/>
        <v>10.57270897525448</v>
      </c>
      <c r="J144" s="191">
        <f t="shared" si="72"/>
        <v>1609.9366861222993</v>
      </c>
      <c r="K144" s="191">
        <f t="shared" si="72"/>
        <v>0</v>
      </c>
      <c r="L144" s="191">
        <f t="shared" si="72"/>
        <v>0</v>
      </c>
      <c r="M144" s="191">
        <f t="shared" si="72"/>
        <v>0</v>
      </c>
      <c r="N144" s="191">
        <f t="shared" si="72"/>
        <v>0</v>
      </c>
      <c r="O144" s="191">
        <f t="shared" si="72"/>
        <v>1620.5093950975538</v>
      </c>
      <c r="P144" s="191">
        <f t="shared" si="72"/>
        <v>1620.5093950975538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3">G111+G123+G135</f>
        <v>0</v>
      </c>
      <c r="H147" s="191">
        <f t="shared" si="73"/>
        <v>0</v>
      </c>
      <c r="I147" s="191">
        <f t="shared" si="73"/>
        <v>20.968324396938208</v>
      </c>
      <c r="J147" s="191">
        <f t="shared" si="73"/>
        <v>3179.1543661543137</v>
      </c>
      <c r="K147" s="191">
        <f t="shared" si="73"/>
        <v>0</v>
      </c>
      <c r="L147" s="191">
        <f t="shared" si="73"/>
        <v>0</v>
      </c>
      <c r="M147" s="191">
        <f t="shared" si="73"/>
        <v>0</v>
      </c>
      <c r="N147" s="191">
        <f t="shared" si="73"/>
        <v>0</v>
      </c>
      <c r="O147" s="191">
        <f t="shared" ref="O147:O155" si="74">SUM(F147:N147)</f>
        <v>3200.1226905512517</v>
      </c>
      <c r="P147" s="191">
        <f t="shared" ref="P147:P155" si="75">SUM(I147:M147)</f>
        <v>3200.1226905512517</v>
      </c>
    </row>
    <row r="148" spans="4:16" hidden="1" outlineLevel="1">
      <c r="D148" s="248" t="s">
        <v>380</v>
      </c>
      <c r="G148" s="191">
        <f t="shared" si="73"/>
        <v>0</v>
      </c>
      <c r="H148" s="191">
        <f t="shared" si="73"/>
        <v>0</v>
      </c>
      <c r="I148" s="191">
        <f t="shared" si="73"/>
        <v>0</v>
      </c>
      <c r="J148" s="191">
        <f t="shared" si="73"/>
        <v>0</v>
      </c>
      <c r="K148" s="191">
        <f t="shared" si="73"/>
        <v>0</v>
      </c>
      <c r="L148" s="191">
        <f t="shared" si="73"/>
        <v>0</v>
      </c>
      <c r="M148" s="191">
        <f t="shared" si="73"/>
        <v>0</v>
      </c>
      <c r="N148" s="191">
        <f t="shared" si="73"/>
        <v>0</v>
      </c>
      <c r="O148" s="191">
        <f t="shared" si="74"/>
        <v>0</v>
      </c>
      <c r="P148" s="191">
        <f t="shared" si="75"/>
        <v>0</v>
      </c>
    </row>
    <row r="149" spans="4:16" hidden="1" outlineLevel="1">
      <c r="D149" s="248" t="s">
        <v>381</v>
      </c>
      <c r="G149" s="191">
        <f t="shared" si="73"/>
        <v>0</v>
      </c>
      <c r="H149" s="191">
        <f t="shared" si="73"/>
        <v>0</v>
      </c>
      <c r="I149" s="191">
        <f t="shared" si="73"/>
        <v>0</v>
      </c>
      <c r="J149" s="191">
        <f t="shared" si="73"/>
        <v>0</v>
      </c>
      <c r="K149" s="191">
        <f t="shared" si="73"/>
        <v>0</v>
      </c>
      <c r="L149" s="191">
        <f t="shared" si="73"/>
        <v>0</v>
      </c>
      <c r="M149" s="191">
        <f t="shared" si="73"/>
        <v>0</v>
      </c>
      <c r="N149" s="191">
        <f t="shared" si="73"/>
        <v>0</v>
      </c>
      <c r="O149" s="191">
        <f t="shared" si="74"/>
        <v>0</v>
      </c>
      <c r="P149" s="191">
        <f t="shared" si="75"/>
        <v>0</v>
      </c>
    </row>
    <row r="150" spans="4:16" hidden="1" outlineLevel="1">
      <c r="D150" s="248" t="s">
        <v>382</v>
      </c>
      <c r="G150" s="191">
        <f t="shared" si="73"/>
        <v>0</v>
      </c>
      <c r="H150" s="191">
        <f t="shared" si="73"/>
        <v>0</v>
      </c>
      <c r="I150" s="191">
        <f t="shared" si="73"/>
        <v>0</v>
      </c>
      <c r="J150" s="191">
        <f t="shared" si="73"/>
        <v>0</v>
      </c>
      <c r="K150" s="191">
        <f t="shared" si="73"/>
        <v>0</v>
      </c>
      <c r="L150" s="191">
        <f t="shared" si="73"/>
        <v>0</v>
      </c>
      <c r="M150" s="191">
        <f t="shared" si="73"/>
        <v>0</v>
      </c>
      <c r="N150" s="191">
        <f t="shared" si="73"/>
        <v>0</v>
      </c>
      <c r="O150" s="191">
        <f t="shared" si="74"/>
        <v>0</v>
      </c>
      <c r="P150" s="191">
        <f t="shared" si="75"/>
        <v>0</v>
      </c>
    </row>
    <row r="151" spans="4:16" hidden="1" outlineLevel="1">
      <c r="D151" s="248" t="s">
        <v>383</v>
      </c>
      <c r="G151" s="191">
        <f t="shared" si="73"/>
        <v>0</v>
      </c>
      <c r="H151" s="191">
        <f t="shared" si="73"/>
        <v>0</v>
      </c>
      <c r="I151" s="191">
        <f t="shared" si="73"/>
        <v>0</v>
      </c>
      <c r="J151" s="191">
        <f t="shared" si="73"/>
        <v>0</v>
      </c>
      <c r="K151" s="191">
        <f t="shared" si="73"/>
        <v>0</v>
      </c>
      <c r="L151" s="191">
        <f t="shared" si="73"/>
        <v>0</v>
      </c>
      <c r="M151" s="191">
        <f t="shared" si="73"/>
        <v>0</v>
      </c>
      <c r="N151" s="191">
        <f t="shared" si="73"/>
        <v>0</v>
      </c>
      <c r="O151" s="191">
        <f t="shared" si="74"/>
        <v>0</v>
      </c>
      <c r="P151" s="191">
        <f t="shared" si="75"/>
        <v>0</v>
      </c>
    </row>
    <row r="152" spans="4:16" hidden="1" outlineLevel="1">
      <c r="D152" s="248" t="s">
        <v>384</v>
      </c>
      <c r="G152" s="191">
        <f t="shared" si="73"/>
        <v>0</v>
      </c>
      <c r="H152" s="191">
        <f t="shared" si="73"/>
        <v>0</v>
      </c>
      <c r="I152" s="191">
        <f t="shared" si="73"/>
        <v>0</v>
      </c>
      <c r="J152" s="191">
        <f t="shared" si="73"/>
        <v>0</v>
      </c>
      <c r="K152" s="191">
        <f t="shared" si="73"/>
        <v>0</v>
      </c>
      <c r="L152" s="191">
        <f t="shared" si="73"/>
        <v>0</v>
      </c>
      <c r="M152" s="191">
        <f t="shared" si="73"/>
        <v>0</v>
      </c>
      <c r="N152" s="191">
        <f t="shared" si="73"/>
        <v>0</v>
      </c>
      <c r="O152" s="191">
        <f t="shared" si="74"/>
        <v>0</v>
      </c>
      <c r="P152" s="191">
        <f t="shared" si="75"/>
        <v>0</v>
      </c>
    </row>
    <row r="153" spans="4:16" hidden="1" outlineLevel="1">
      <c r="D153" s="248" t="s">
        <v>385</v>
      </c>
      <c r="G153" s="191">
        <f t="shared" si="73"/>
        <v>0</v>
      </c>
      <c r="H153" s="191">
        <f t="shared" si="73"/>
        <v>0</v>
      </c>
      <c r="I153" s="191">
        <f t="shared" si="73"/>
        <v>0</v>
      </c>
      <c r="J153" s="191">
        <f t="shared" si="73"/>
        <v>0</v>
      </c>
      <c r="K153" s="191">
        <f t="shared" si="73"/>
        <v>0</v>
      </c>
      <c r="L153" s="191">
        <f t="shared" si="73"/>
        <v>0</v>
      </c>
      <c r="M153" s="191">
        <f t="shared" si="73"/>
        <v>0</v>
      </c>
      <c r="N153" s="191">
        <f t="shared" si="73"/>
        <v>0</v>
      </c>
      <c r="O153" s="191">
        <f t="shared" si="74"/>
        <v>0</v>
      </c>
      <c r="P153" s="191">
        <f t="shared" si="75"/>
        <v>0</v>
      </c>
    </row>
    <row r="154" spans="4:16" hidden="1" outlineLevel="1">
      <c r="D154" s="248" t="s">
        <v>386</v>
      </c>
      <c r="G154" s="191">
        <f t="shared" si="73"/>
        <v>0</v>
      </c>
      <c r="H154" s="191">
        <f t="shared" si="73"/>
        <v>0</v>
      </c>
      <c r="I154" s="191">
        <f t="shared" si="73"/>
        <v>0</v>
      </c>
      <c r="J154" s="191">
        <f t="shared" si="73"/>
        <v>0</v>
      </c>
      <c r="K154" s="191">
        <f t="shared" si="73"/>
        <v>0</v>
      </c>
      <c r="L154" s="191">
        <f t="shared" si="73"/>
        <v>0</v>
      </c>
      <c r="M154" s="191">
        <f t="shared" si="73"/>
        <v>0</v>
      </c>
      <c r="N154" s="191">
        <f t="shared" si="73"/>
        <v>0</v>
      </c>
      <c r="O154" s="191">
        <f t="shared" si="74"/>
        <v>0</v>
      </c>
      <c r="P154" s="191">
        <f t="shared" si="75"/>
        <v>0</v>
      </c>
    </row>
    <row r="155" spans="4:16" hidden="1" outlineLevel="1">
      <c r="D155" s="248" t="s">
        <v>387</v>
      </c>
      <c r="G155" s="912">
        <f t="shared" si="73"/>
        <v>0</v>
      </c>
      <c r="H155" s="912">
        <f t="shared" si="73"/>
        <v>0</v>
      </c>
      <c r="I155" s="912">
        <f t="shared" si="73"/>
        <v>0</v>
      </c>
      <c r="J155" s="912">
        <f t="shared" si="73"/>
        <v>0</v>
      </c>
      <c r="K155" s="912">
        <f t="shared" si="73"/>
        <v>0</v>
      </c>
      <c r="L155" s="912">
        <f t="shared" si="73"/>
        <v>0</v>
      </c>
      <c r="M155" s="912">
        <f t="shared" si="73"/>
        <v>0</v>
      </c>
      <c r="N155" s="912">
        <f t="shared" si="73"/>
        <v>0</v>
      </c>
      <c r="O155" s="912">
        <f t="shared" si="74"/>
        <v>0</v>
      </c>
      <c r="P155" s="912">
        <f t="shared" si="75"/>
        <v>0</v>
      </c>
    </row>
    <row r="156" spans="4:16" hidden="1" outlineLevel="1">
      <c r="D156" s="248" t="s">
        <v>454</v>
      </c>
      <c r="G156" s="191">
        <f>SUM(G147:G155)</f>
        <v>0</v>
      </c>
      <c r="H156" s="191">
        <f t="shared" ref="H156:N156" si="76">SUM(H147:H155)</f>
        <v>0</v>
      </c>
      <c r="I156" s="191">
        <f t="shared" si="76"/>
        <v>20.968324396938208</v>
      </c>
      <c r="J156" s="191">
        <f t="shared" si="76"/>
        <v>3179.1543661543137</v>
      </c>
      <c r="K156" s="191">
        <f t="shared" si="76"/>
        <v>0</v>
      </c>
      <c r="L156" s="191">
        <f t="shared" si="76"/>
        <v>0</v>
      </c>
      <c r="M156" s="191">
        <f t="shared" si="76"/>
        <v>0</v>
      </c>
      <c r="N156" s="191">
        <f t="shared" si="76"/>
        <v>0</v>
      </c>
      <c r="O156" s="191">
        <f t="shared" ref="O156:P156" si="77">SUM(O147:O155)</f>
        <v>3200.1226905512517</v>
      </c>
      <c r="P156" s="191">
        <f t="shared" si="77"/>
        <v>3200.1226905512517</v>
      </c>
    </row>
    <row r="157" spans="4:16" collapsed="1"/>
  </sheetData>
  <mergeCells count="1">
    <mergeCell ref="C13:C14"/>
  </mergeCells>
  <phoneticPr fontId="6" type="noConversion"/>
  <conditionalFormatting sqref="R14">
    <cfRule type="cellIs" dxfId="33" priority="4" operator="equal">
      <formula>"Error"</formula>
    </cfRule>
  </conditionalFormatting>
  <conditionalFormatting sqref="R11">
    <cfRule type="cellIs" dxfId="32" priority="3" operator="equal">
      <formula>"Error"</formula>
    </cfRule>
  </conditionalFormatting>
  <conditionalFormatting sqref="R54">
    <cfRule type="cellIs" dxfId="3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Project_Inputs!B41</f>
        <v>0</v>
      </c>
      <c r="F3" s="249" t="s">
        <v>63</v>
      </c>
      <c r="G3" s="249">
        <f>Project_Inputs!F41</f>
        <v>0</v>
      </c>
    </row>
    <row r="4" spans="1:21" ht="18.75">
      <c r="A4" s="6"/>
      <c r="B4" s="6"/>
      <c r="C4" s="13" t="s">
        <v>15</v>
      </c>
      <c r="D4" s="339" t="str">
        <f>Project_Inputs!D41</f>
        <v>Tower fall arrests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Project_Inputs!H41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Project_Inputs!I41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Project_Inputs!J41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2358.2100376153858</v>
      </c>
      <c r="G11" s="319">
        <f>IF(G$10="Prior",SUMIFS(Project_Inputs!$W$5:$W$50,Project_Inputs!$D$5:$D$50,$D$4),SUMIFS(Project_Inputs!M$5:M$50,Project_Inputs!$D$5:$D$50,$D$4))</f>
        <v>3751.5</v>
      </c>
      <c r="H11" s="389">
        <f>IF(H$10="Prior",SUMIFS(Project_Inputs!$W$5:$W$50,Project_Inputs!$D$5:$D$50,$D$4),SUMIFS(Project_Inputs!N$5:N$50,Project_Inputs!$D$5:$D$50,$D$4))</f>
        <v>5102.5948587080029</v>
      </c>
      <c r="I11" s="399">
        <f>IF(I$10="Prior",SUMIFS(Project_Inputs!$W$5:$W$50,Project_Inputs!$D$5:$D$50,$D$4),SUMIFS(Project_Inputs!O$5:O$50,Project_Inputs!$D$5:$D$50,$D$4))</f>
        <v>3761.808</v>
      </c>
      <c r="J11" s="320">
        <f>IF(J$10="Prior",SUMIFS(Project_Inputs!$W$5:$W$50,Project_Inputs!$D$5:$D$50,$D$4),SUMIFS(Project_Inputs!P$5:P$50,Project_Inputs!$D$5:$D$50,$D$4))</f>
        <v>3761.808</v>
      </c>
      <c r="K11" s="320">
        <f>IF(K$10="Prior",SUMIFS(Project_Inputs!$W$5:$W$50,Project_Inputs!$D$5:$D$50,$D$4),SUMIFS(Project_Inputs!Q$5:Q$50,Project_Inputs!$D$5:$D$50,$D$4))</f>
        <v>3761.808</v>
      </c>
      <c r="L11" s="320">
        <f>IF(L$10="Prior",SUMIFS(Project_Inputs!$W$5:$W$50,Project_Inputs!$D$5:$D$50,$D$4),SUMIFS(Project_Inputs!R$5:R$50,Project_Inputs!$D$5:$D$50,$D$4))</f>
        <v>3761.808</v>
      </c>
      <c r="M11" s="320">
        <f>IF(M$10="Prior",SUMIFS(Project_Inputs!$W$5:$W$50,Project_Inputs!$D$5:$D$50,$D$4),SUMIFS(Project_Inputs!S$5:S$50,Project_Inputs!$D$5:$D$50,$D$4))</f>
        <v>3761.808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30021.344896323393</v>
      </c>
      <c r="P11" s="300">
        <f t="shared" ref="P11" si="0">SUM(I11:M11)</f>
        <v>18809.04</v>
      </c>
      <c r="R11" s="608" t="str">
        <f>IF(O11=Project_Inputs!V41,"ok","error")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2358.2100376153858</v>
      </c>
      <c r="G14" s="447">
        <f>IF($G$3="Yes",SUMIFS(Project_Inputs!AK$5:AK$50,Project_Inputs!$D$5:$D$50,$D$4),IF(AND(G$13="X",G$10="Prior"),G11,IF(G$13="X",SUM($F11:G11)-SUM(F14:$F14),0)))</f>
        <v>3751.5</v>
      </c>
      <c r="H14" s="447">
        <f>IF($G$3="Yes",SUMIFS(Project_Inputs!AL$5:AL$50,Project_Inputs!$D$5:$D$50,$D$4),IF(AND(H$13="X",H$10="Prior"),H11,IF(H$13="X",SUM($F11:H11)-SUM($F14:G14),0)))</f>
        <v>5102.5948587080029</v>
      </c>
      <c r="I14" s="448">
        <f>IF($G$3="Yes",SUMIFS(Project_Inputs!AM$5:AM$50,Project_Inputs!$D$5:$D$50,$D$4),IF(AND(I$13="X",I$10="Prior"),I11,IF(I$13="X",SUM($F11:I11)-SUM($F14:H14),0)))</f>
        <v>3761.8080000000009</v>
      </c>
      <c r="J14" s="447">
        <f>IF($G$3="Yes",SUMIFS(Project_Inputs!AN$5:AN$50,Project_Inputs!$D$5:$D$50,$D$4),IF(AND(J$13="X",J$10="Prior"),J11,IF(J$13="X",SUM($F11:J11)-SUM($F14:I14),0)))</f>
        <v>3761.8080000000009</v>
      </c>
      <c r="K14" s="447">
        <f>IF($G$3="Yes",SUMIFS(Project_Inputs!AO$5:AO$50,Project_Inputs!$D$5:$D$50,$D$4),IF(AND(K$13="X",K$10="Prior"),K11,IF(K$13="X",SUM($F11:K11)-SUM($F14:J14),0)))</f>
        <v>3761.8080000000009</v>
      </c>
      <c r="L14" s="447">
        <f>IF($G$3="Yes",SUMIFS(Project_Inputs!AP$5:AP$50,Project_Inputs!$D$5:$D$50,$D$4),IF(AND(L$13="X",L$10="Prior"),L11,IF(L$13="X",SUM($F11:L11)-SUM($F14:K14),0)))</f>
        <v>3761.8080000000009</v>
      </c>
      <c r="M14" s="447">
        <f>IF($G$3="Yes",SUMIFS(Project_Inputs!AQ$5:AQ$50,Project_Inputs!$D$5:$D$50,$D$4),IF(AND(M$13="X",M$10="Prior"),M11,IF(M$13="X",SUM($F11:M11)-SUM($F14:L14),0)))</f>
        <v>3761.8080000000009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30021.344896323393</v>
      </c>
      <c r="P14" s="451">
        <f>SUM(I14:M14)</f>
        <v>18809.040000000005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</v>
      </c>
      <c r="G21" s="341">
        <v>1</v>
      </c>
      <c r="H21" s="392">
        <v>1</v>
      </c>
      <c r="I21" s="404">
        <v>1</v>
      </c>
      <c r="J21" s="341">
        <v>1</v>
      </c>
      <c r="K21" s="341">
        <v>1</v>
      </c>
      <c r="L21" s="341">
        <v>1</v>
      </c>
      <c r="M21" s="341">
        <v>1</v>
      </c>
      <c r="N21" s="342">
        <v>1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2.2040062500000284</v>
      </c>
      <c r="H46" s="290">
        <f>IF(H$10="Prior",0,(H11*H29)*(Assumptions!H28-1))</f>
        <v>6.3852723978028481</v>
      </c>
      <c r="I46" s="407">
        <f>IF(I$10="Prior",0,(I11*I29)*(Assumptions!I28-1))</f>
        <v>7.7735922377385984</v>
      </c>
      <c r="J46" s="282">
        <f>IF(J$10="Prior",0,(J11*J29)*(Assumptions!J28-1))</f>
        <v>10.883622814864299</v>
      </c>
      <c r="K46" s="282">
        <f>IF(K$10="Prior",0,(K11*K29)*(Assumptions!K28-1))</f>
        <v>14.086580913657277</v>
      </c>
      <c r="L46" s="282">
        <f>IF(L$10="Prior",0,(L11*L29)*(Assumptions!L28-1))</f>
        <v>17.57947397283451</v>
      </c>
      <c r="M46" s="282">
        <f>IF(M$10="Prior",0,(M11*M29)*(Assumptions!M28-1))</f>
        <v>21.162692465987366</v>
      </c>
      <c r="N46" s="283">
        <f>IF(N$10="Prior",0,(N11*N29)*(Assumptions!N28-1))</f>
        <v>0</v>
      </c>
      <c r="O46" s="362">
        <f t="shared" ref="O46:O47" si="6">SUM(F46:N46)</f>
        <v>80.07524105288492</v>
      </c>
      <c r="P46" s="300">
        <f t="shared" ref="P46:P47" si="7">SUM(I46:M46)</f>
        <v>71.485962405082049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7.6905749999999857</v>
      </c>
      <c r="H47" s="290">
        <f>IF(H$10="Prior",0,(H11*H30)*(Assumptions!H30-1))</f>
        <v>27.431964546246483</v>
      </c>
      <c r="I47" s="407">
        <f>IF(I$10="Prior",0,(I11*I30)*(Assumptions!I30-1))</f>
        <v>39.947986228994651</v>
      </c>
      <c r="J47" s="282">
        <f>IF(J$10="Prior",0,(J11*J30)*(Assumptions!J30-1))</f>
        <v>59.972868185431743</v>
      </c>
      <c r="K47" s="282">
        <f>IF(K$10="Prior",0,(K11*K30)*(Assumptions!K30-1))</f>
        <v>79.527202632400247</v>
      </c>
      <c r="L47" s="282">
        <f>IF(L$10="Prior",0,(L11*L30)*(Assumptions!L30-1))</f>
        <v>100.89590274109339</v>
      </c>
      <c r="M47" s="282">
        <f>IF(M$10="Prior",0,(M11*M30)*(Assumptions!M30-1))</f>
        <v>122.99297165665644</v>
      </c>
      <c r="N47" s="283">
        <f>IF(N$10="Prior",0,(N11*N30)*(Assumptions!N30-1))</f>
        <v>0</v>
      </c>
      <c r="O47" s="362">
        <f t="shared" si="6"/>
        <v>438.45947099082292</v>
      </c>
      <c r="P47" s="300">
        <f t="shared" si="7"/>
        <v>403.33693144457646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9.8945812500000141</v>
      </c>
      <c r="H48" s="253">
        <f t="shared" si="8"/>
        <v>33.817236944049334</v>
      </c>
      <c r="I48" s="408">
        <f t="shared" si="8"/>
        <v>47.721578466733249</v>
      </c>
      <c r="J48" s="5">
        <f t="shared" si="8"/>
        <v>70.856491000296046</v>
      </c>
      <c r="K48" s="5">
        <f t="shared" si="8"/>
        <v>93.613783546057519</v>
      </c>
      <c r="L48" s="5">
        <f t="shared" si="8"/>
        <v>118.4753767139279</v>
      </c>
      <c r="M48" s="5">
        <f t="shared" si="8"/>
        <v>144.1556641226438</v>
      </c>
      <c r="N48" s="286">
        <f t="shared" si="8"/>
        <v>0</v>
      </c>
      <c r="O48" s="433">
        <f>SUM(O46:O47)</f>
        <v>518.53471204370783</v>
      </c>
      <c r="P48" s="434">
        <f>SUM(P46:P47)</f>
        <v>474.8228938496585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9.8945812500000141</v>
      </c>
      <c r="H49" s="253">
        <f t="shared" si="9"/>
        <v>33.817236944049334</v>
      </c>
      <c r="I49" s="408">
        <f t="shared" si="9"/>
        <v>47.721578466733249</v>
      </c>
      <c r="J49" s="5">
        <f t="shared" si="9"/>
        <v>70.856491000296046</v>
      </c>
      <c r="K49" s="5">
        <f t="shared" si="9"/>
        <v>93.613783546057519</v>
      </c>
      <c r="L49" s="5">
        <f t="shared" si="9"/>
        <v>118.4753767139279</v>
      </c>
      <c r="M49" s="5">
        <f t="shared" si="9"/>
        <v>144.1556641226438</v>
      </c>
      <c r="N49" s="286">
        <f t="shared" si="9"/>
        <v>0</v>
      </c>
      <c r="O49" s="370">
        <f>O44+O48</f>
        <v>518.53471204370783</v>
      </c>
      <c r="P49" s="371">
        <f>P44+P48</f>
        <v>474.8228938496585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6.6274587499999937E-3</v>
      </c>
      <c r="I50" s="442">
        <f t="shared" si="10"/>
        <v>1.2685809181843744E-2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3.149426464985132E-2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1.7272201289929918E-2</v>
      </c>
      <c r="P50" s="444">
        <f t="shared" si="10"/>
        <v>2.524439811120921E-2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239.81045683269244</v>
      </c>
      <c r="G51" s="280">
        <f>(G29*G$11+G46)*Assumptions!$G$21</f>
        <v>383.73781462640983</v>
      </c>
      <c r="H51" s="280">
        <f>(H29*H$11+H46)*Assumptions!$G$21</f>
        <v>525.38498914156821</v>
      </c>
      <c r="I51" s="410">
        <f>(I29*I$11+I46)*Assumptions!$G$21</f>
        <v>390.44986127935459</v>
      </c>
      <c r="J51" s="280">
        <f>(J29*J$11+J46)*Assumptions!$G$21</f>
        <v>393.61250515571732</v>
      </c>
      <c r="K51" s="280">
        <f>(K29*K$11+K46)*Assumptions!$G$21</f>
        <v>396.86964863588082</v>
      </c>
      <c r="L51" s="280">
        <f>(L29*L$11+L46)*Assumptions!$G$21</f>
        <v>400.42163199117203</v>
      </c>
      <c r="M51" s="280">
        <f>(M29*M$11+M46)*Assumptions!$G$21</f>
        <v>404.06546884229175</v>
      </c>
      <c r="N51" s="281">
        <f>(N29*N$11+N46)*Assumptions!$G$21</f>
        <v>0</v>
      </c>
      <c r="O51" s="373">
        <f t="shared" ref="O51:O53" si="11">SUM(F51:N51)</f>
        <v>3134.3523765050872</v>
      </c>
      <c r="P51" s="375">
        <f>SUM(I51:M51)</f>
        <v>1985.4191159044165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1199.0522841634622</v>
      </c>
      <c r="G52" s="282">
        <f>(G30*G$11+G47)*Assumptions!$G$21</f>
        <v>1915.303291494361</v>
      </c>
      <c r="H52" s="282">
        <f>(H30*H$11+H47)*Assumptions!$G$21</f>
        <v>2622.3545152256283</v>
      </c>
      <c r="I52" s="407">
        <f>(I30*I$11+I47)*Assumptions!$G$21</f>
        <v>1953.3476025373802</v>
      </c>
      <c r="J52" s="282">
        <f>(J30*J$11+J47)*Assumptions!$G$21</f>
        <v>1973.711251293832</v>
      </c>
      <c r="K52" s="282">
        <f>(K30*K$11+K47)*Assumptions!$G$21</f>
        <v>1993.5963921506177</v>
      </c>
      <c r="L52" s="282">
        <f>(L30*L$11+L47)*Assumptions!$G$21</f>
        <v>2015.3265928250594</v>
      </c>
      <c r="M52" s="282">
        <f>(M30*M$11+M47)*Assumptions!$G$21</f>
        <v>2037.7974843350587</v>
      </c>
      <c r="N52" s="283">
        <f>(N30*N$11+N47)*Assumptions!$G$21</f>
        <v>0</v>
      </c>
      <c r="O52" s="374">
        <f t="shared" si="11"/>
        <v>15710.489414025398</v>
      </c>
      <c r="P52" s="376">
        <f>SUM(I52:M52)</f>
        <v>9973.7793231419491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959.24182733076975</v>
      </c>
      <c r="G53" s="282">
        <f>(G31*G$11+G$44)*Assumptions!$G$21</f>
        <v>1525.9860902255641</v>
      </c>
      <c r="H53" s="282">
        <f>(H31*H$11+H$44)*Assumptions!$G$21</f>
        <v>2075.5667808729545</v>
      </c>
      <c r="I53" s="407">
        <f>(I31*I$11+I$44)*Assumptions!$G$21</f>
        <v>1530.1790436090228</v>
      </c>
      <c r="J53" s="282">
        <f>(J31*J$11+J$44)*Assumptions!$G$21</f>
        <v>1530.1790436090228</v>
      </c>
      <c r="K53" s="282">
        <f>(K31*K$11+K$44)*Assumptions!$G$21</f>
        <v>1530.1790436090228</v>
      </c>
      <c r="L53" s="282">
        <f>(L31*L$11+L$44)*Assumptions!$G$21</f>
        <v>1530.1790436090228</v>
      </c>
      <c r="M53" s="282">
        <f>(M31*M$11+M$44)*Assumptions!$G$21</f>
        <v>1530.1790436090228</v>
      </c>
      <c r="N53" s="283">
        <f>(N31*N$11+N$44)*Assumptions!$G$21</f>
        <v>0</v>
      </c>
      <c r="O53" s="374">
        <f t="shared" si="11"/>
        <v>12211.689916474405</v>
      </c>
      <c r="P53" s="376">
        <f>SUM(I53:M53)</f>
        <v>7650.8952180451142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2398.1045683269244</v>
      </c>
      <c r="G54" s="5">
        <f t="shared" si="12"/>
        <v>3825.0271963463351</v>
      </c>
      <c r="H54" s="5">
        <f t="shared" si="12"/>
        <v>5223.3062852401508</v>
      </c>
      <c r="I54" s="411">
        <f t="shared" si="12"/>
        <v>3873.9765074257575</v>
      </c>
      <c r="J54" s="382">
        <f t="shared" si="12"/>
        <v>3897.5028000585721</v>
      </c>
      <c r="K54" s="382">
        <f t="shared" si="12"/>
        <v>3920.6450843955213</v>
      </c>
      <c r="L54" s="382">
        <f t="shared" si="12"/>
        <v>3945.9272684252542</v>
      </c>
      <c r="M54" s="382">
        <f t="shared" si="12"/>
        <v>3972.0419967863731</v>
      </c>
      <c r="N54" s="286">
        <f t="shared" si="12"/>
        <v>0</v>
      </c>
      <c r="O54" s="372">
        <f t="shared" si="12"/>
        <v>31056.531707004891</v>
      </c>
      <c r="P54" s="428">
        <f t="shared" si="12"/>
        <v>19610.093657091478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192.04433583052486</v>
      </c>
      <c r="G57" s="290">
        <f t="shared" ref="G57:N57" si="13">G54*G56</f>
        <v>227.37792011000724</v>
      </c>
      <c r="H57" s="290">
        <f t="shared" si="13"/>
        <v>379.17906035436863</v>
      </c>
      <c r="I57" s="407">
        <f t="shared" si="13"/>
        <v>341.63294216786767</v>
      </c>
      <c r="J57" s="282">
        <f t="shared" si="13"/>
        <v>468.86817440589812</v>
      </c>
      <c r="K57" s="282">
        <f t="shared" si="13"/>
        <v>511.56993569006283</v>
      </c>
      <c r="L57" s="282">
        <f t="shared" si="13"/>
        <v>465.2658886365121</v>
      </c>
      <c r="M57" s="282">
        <f t="shared" si="13"/>
        <v>441.04683488184656</v>
      </c>
      <c r="N57" s="283">
        <f t="shared" si="13"/>
        <v>0</v>
      </c>
      <c r="O57" s="309">
        <f>SUM(F57:N57)</f>
        <v>3026.9850920770882</v>
      </c>
      <c r="P57" s="300">
        <f>SUM(I57:M57)</f>
        <v>2228.3837757821875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2590.1489041574491</v>
      </c>
      <c r="G59" s="5">
        <f t="shared" si="14"/>
        <v>4052.4051164563425</v>
      </c>
      <c r="H59" s="5">
        <f t="shared" si="14"/>
        <v>5602.4853455945195</v>
      </c>
      <c r="I59" s="411">
        <f t="shared" si="14"/>
        <v>4215.609449593625</v>
      </c>
      <c r="J59" s="382">
        <f t="shared" si="14"/>
        <v>4366.3709744644702</v>
      </c>
      <c r="K59" s="382">
        <f t="shared" si="14"/>
        <v>4432.215020085584</v>
      </c>
      <c r="L59" s="382">
        <f t="shared" si="14"/>
        <v>4411.1931570617662</v>
      </c>
      <c r="M59" s="382">
        <f t="shared" si="14"/>
        <v>4413.0888316682194</v>
      </c>
      <c r="N59" s="418">
        <f>N54+N57</f>
        <v>0</v>
      </c>
      <c r="O59" s="419">
        <f t="shared" ref="O59:P59" si="15">O54+O57</f>
        <v>34083.516799081983</v>
      </c>
      <c r="P59" s="429">
        <f t="shared" si="15"/>
        <v>21838.477432873668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192.04433583052486</v>
      </c>
      <c r="G60" s="290">
        <f t="shared" ref="G60:N60" si="16">G57+F60</f>
        <v>419.42225594053207</v>
      </c>
      <c r="H60" s="290">
        <f t="shared" si="16"/>
        <v>798.6013162949007</v>
      </c>
      <c r="I60" s="290">
        <f t="shared" si="16"/>
        <v>1140.2342584627684</v>
      </c>
      <c r="J60" s="290">
        <f t="shared" si="16"/>
        <v>1609.1024328686665</v>
      </c>
      <c r="K60" s="290">
        <f t="shared" si="16"/>
        <v>2120.6723685587294</v>
      </c>
      <c r="L60" s="290">
        <f t="shared" si="16"/>
        <v>2585.9382571952415</v>
      </c>
      <c r="M60" s="290">
        <f t="shared" si="16"/>
        <v>3026.9850920770882</v>
      </c>
      <c r="N60" s="290">
        <f t="shared" si="16"/>
        <v>3026.9850920770882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9.8945812500000141</v>
      </c>
      <c r="H61" s="252">
        <f t="shared" ref="H61:N61" si="17">H49+G61</f>
        <v>43.71181819404935</v>
      </c>
      <c r="I61" s="252">
        <f t="shared" si="17"/>
        <v>91.433396660782591</v>
      </c>
      <c r="J61" s="252">
        <f t="shared" si="17"/>
        <v>162.28988766107864</v>
      </c>
      <c r="K61" s="252">
        <f t="shared" si="17"/>
        <v>255.90367120713614</v>
      </c>
      <c r="L61" s="252">
        <f t="shared" si="17"/>
        <v>374.37904792106406</v>
      </c>
      <c r="M61" s="252">
        <f t="shared" si="17"/>
        <v>518.53471204370783</v>
      </c>
      <c r="N61" s="252">
        <f t="shared" si="17"/>
        <v>518.53471204370783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2590.1489041574491</v>
      </c>
      <c r="G68" s="282">
        <f t="shared" si="24"/>
        <v>4052.4051164563425</v>
      </c>
      <c r="H68" s="282">
        <f t="shared" si="24"/>
        <v>5602.4853455945195</v>
      </c>
      <c r="I68" s="416">
        <f t="shared" si="24"/>
        <v>4215.609449593625</v>
      </c>
      <c r="J68" s="381">
        <f t="shared" si="24"/>
        <v>4366.3709744644702</v>
      </c>
      <c r="K68" s="381">
        <f t="shared" si="24"/>
        <v>4432.215020085584</v>
      </c>
      <c r="L68" s="381">
        <f t="shared" si="24"/>
        <v>4411.1931570617662</v>
      </c>
      <c r="M68" s="381">
        <f t="shared" si="24"/>
        <v>4413.0888316682194</v>
      </c>
      <c r="N68" s="283">
        <f t="shared" si="24"/>
        <v>0</v>
      </c>
      <c r="O68" s="374">
        <f t="shared" si="20"/>
        <v>34083.516799081975</v>
      </c>
      <c r="P68" s="431">
        <f t="shared" si="21"/>
        <v>21838.477432873668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2590.1489041574491</v>
      </c>
      <c r="G74" s="5">
        <f t="shared" ref="G74:N74" si="30">+SUM(G64:G73)</f>
        <v>4052.4051164563425</v>
      </c>
      <c r="H74" s="5">
        <f t="shared" si="30"/>
        <v>5602.4853455945195</v>
      </c>
      <c r="I74" s="411">
        <f t="shared" si="30"/>
        <v>4215.609449593625</v>
      </c>
      <c r="J74" s="382">
        <f t="shared" si="30"/>
        <v>4366.3709744644702</v>
      </c>
      <c r="K74" s="382">
        <f t="shared" si="30"/>
        <v>4432.215020085584</v>
      </c>
      <c r="L74" s="382">
        <f t="shared" si="30"/>
        <v>4411.1931570617662</v>
      </c>
      <c r="M74" s="382">
        <f t="shared" si="30"/>
        <v>4413.0888316682194</v>
      </c>
      <c r="N74" s="286">
        <f t="shared" si="30"/>
        <v>0</v>
      </c>
      <c r="O74" s="372">
        <f>SUM(O64:O73)</f>
        <v>34083.516799081975</v>
      </c>
      <c r="P74" s="428">
        <f>SUM(P64:P73)</f>
        <v>21838.477432873668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2358.2100376153858</v>
      </c>
      <c r="G76" s="280">
        <f t="shared" si="32"/>
        <v>3751.5</v>
      </c>
      <c r="H76" s="280">
        <f t="shared" si="32"/>
        <v>5102.5948587080029</v>
      </c>
      <c r="I76" s="410">
        <f t="shared" si="32"/>
        <v>3761.8080000000009</v>
      </c>
      <c r="J76" s="280">
        <f t="shared" si="32"/>
        <v>3761.8080000000009</v>
      </c>
      <c r="K76" s="280">
        <f t="shared" si="32"/>
        <v>3761.8080000000009</v>
      </c>
      <c r="L76" s="280">
        <f t="shared" si="32"/>
        <v>3761.8080000000009</v>
      </c>
      <c r="M76" s="280">
        <f t="shared" si="32"/>
        <v>3761.8080000000009</v>
      </c>
      <c r="N76" s="281">
        <f t="shared" si="32"/>
        <v>0</v>
      </c>
      <c r="O76" s="377">
        <f>SUM(F76:N76)</f>
        <v>30021.344896323393</v>
      </c>
      <c r="P76" s="378">
        <f t="shared" ref="P76:P80" si="33">SUM(I76:M76)</f>
        <v>18809.040000000005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9.8945812500000141</v>
      </c>
      <c r="H77" s="282">
        <f>IF(H$10="Prior",0,IF(AND(H76&lt;&gt;0,SUM($F76:G76)=0),H76/SUM($F$76:H76)*H61,IF(H76&lt;&gt;0,SUM($F$76:H76)/SUM($F$11:H11)*H61-G83,0)))</f>
        <v>33.817236944049334</v>
      </c>
      <c r="I77" s="407">
        <f>IF(I$10="Prior",0,IF(AND(I76&lt;&gt;0,SUM($F76:H76)=0),I76/SUM($F$76:I76)*I61,IF(I76&lt;&gt;0,SUM($F$76:I76)/SUM($F$11:I11)*I61-H83,0)))</f>
        <v>47.721578466733241</v>
      </c>
      <c r="J77" s="282">
        <f>IF(J$10="Prior",0,IF(AND(J76&lt;&gt;0,SUM($F76:I76)=0),J76/SUM($F$76:J76)*J61,IF(J76&lt;&gt;0,SUM($F$76:J76)/SUM($F$11:J11)*J61-I83,0)))</f>
        <v>70.856491000296046</v>
      </c>
      <c r="K77" s="282">
        <f>IF(K$10="Prior",0,IF(AND(K76&lt;&gt;0,SUM($F76:J76)=0),K76/SUM($F$76:K76)*K61,IF(K76&lt;&gt;0,SUM($F$76:K76)/SUM($F$11:K11)*K61-J83,0)))</f>
        <v>93.613783546057505</v>
      </c>
      <c r="L77" s="282">
        <f>IF(L$10="Prior",0,IF(AND(L76&lt;&gt;0,SUM($F76:K76)=0),L76/SUM($F$76:L76)*L61,IF(L76&lt;&gt;0,SUM($F$76:L76)/SUM($F$11:L11)*L61-K83,0)))</f>
        <v>118.47537671392791</v>
      </c>
      <c r="M77" s="282">
        <f>IF(M$10="Prior",0,IF(AND(M76&lt;&gt;0,SUM($F76:L76)=0),M76/SUM($F$76:M76)*M61,IF(M76&lt;&gt;0,SUM($F$76:M76)/SUM($F$11:M11)*M61-L83,0)))</f>
        <v>144.15566412264377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518.53471204370783</v>
      </c>
      <c r="P77" s="455">
        <f t="shared" si="33"/>
        <v>474.8228938496585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2358.2100376153858</v>
      </c>
      <c r="G78" s="457">
        <f t="shared" ref="G78:N78" si="34">SUM(G76:G77)</f>
        <v>3761.3945812500001</v>
      </c>
      <c r="H78" s="457">
        <f t="shared" si="34"/>
        <v>5136.4120956520519</v>
      </c>
      <c r="I78" s="458">
        <f t="shared" si="34"/>
        <v>3809.5295784667342</v>
      </c>
      <c r="J78" s="457">
        <f t="shared" si="34"/>
        <v>3832.6644910002969</v>
      </c>
      <c r="K78" s="457">
        <f t="shared" si="34"/>
        <v>3855.4217835460586</v>
      </c>
      <c r="L78" s="457">
        <f t="shared" si="34"/>
        <v>3880.2833767139286</v>
      </c>
      <c r="M78" s="457">
        <f t="shared" si="34"/>
        <v>3905.9636641226448</v>
      </c>
      <c r="N78" s="459">
        <f t="shared" si="34"/>
        <v>0</v>
      </c>
      <c r="O78" s="460">
        <f>SUM(F78:N78)</f>
        <v>30539.8796083671</v>
      </c>
      <c r="P78" s="461">
        <f t="shared" si="33"/>
        <v>19283.862893849662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2398.1045683269244</v>
      </c>
      <c r="G79" s="457">
        <f>G78*Assumptions!$G$21</f>
        <v>3825.0271963463351</v>
      </c>
      <c r="H79" s="457">
        <f>H78*Assumptions!$G$21</f>
        <v>5223.3062852401508</v>
      </c>
      <c r="I79" s="458">
        <f>I78*Assumptions!$G$21</f>
        <v>3873.976507425758</v>
      </c>
      <c r="J79" s="457">
        <f>J78*Assumptions!$G$21</f>
        <v>3897.502800058573</v>
      </c>
      <c r="K79" s="457">
        <f>K78*Assumptions!$G$21</f>
        <v>3920.6450843955222</v>
      </c>
      <c r="L79" s="457">
        <f>L78*Assumptions!$G$21</f>
        <v>3945.9272684252546</v>
      </c>
      <c r="M79" s="457">
        <f>M78*Assumptions!$G$21</f>
        <v>3972.0419967863741</v>
      </c>
      <c r="N79" s="459">
        <f>N78*Assumptions!$G$21</f>
        <v>0</v>
      </c>
      <c r="O79" s="460">
        <f>SUM(F79:N79)</f>
        <v>31056.531707004888</v>
      </c>
      <c r="P79" s="461">
        <f t="shared" si="33"/>
        <v>19610.093657091482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192.04433583052486</v>
      </c>
      <c r="G80" s="282">
        <f>IF(G$10="Prior",G79*G56,IF(AND(G79&lt;&gt;0,SUM($F79:F79)=0),G79/SUM($F$54:G54)*G60,IF(G79&lt;&gt;0,SUM($F$79:G79)/SUM($F$54:G54)*G60-F82,0)))</f>
        <v>227.37792011000721</v>
      </c>
      <c r="H80" s="282">
        <f>IF(H$10="Prior",H79*H56,IF(AND(H79&lt;&gt;0,SUM($F79:G79)=0),H79/SUM($F$54:H54)*H60,IF(H79&lt;&gt;0,SUM($F$79:H79)/SUM($F$54:H54)*H60-G82,0)))</f>
        <v>379.17906035436863</v>
      </c>
      <c r="I80" s="407">
        <f>IF(I$10="Prior",I79*I56,IF(AND(I79&lt;&gt;0,SUM($F79:H79)=0),I79/SUM($F$54:I54)*I60,IF(I79&lt;&gt;0,SUM($F$79:I79)/SUM($F$54:I54)*I60-H82,0)))</f>
        <v>341.63294216786767</v>
      </c>
      <c r="J80" s="282">
        <f>IF(J$10="Prior",J79*J56,IF(AND(J79&lt;&gt;0,SUM($F79:I79)=0),J79/SUM($F$54:J54)*J60,IF(J79&lt;&gt;0,SUM($F$79:J79)/SUM($F$54:J54)*J60-I82,0)))</f>
        <v>468.86817440589812</v>
      </c>
      <c r="K80" s="282">
        <f>IF(K$10="Prior",K79*K56,IF(AND(K79&lt;&gt;0,SUM($F79:J79)=0),K79/SUM($F$54:K54)*K60,IF(K79&lt;&gt;0,SUM($F$79:K79)/SUM($F$54:K54)*K60-J82,0)))</f>
        <v>511.56993569006295</v>
      </c>
      <c r="L80" s="282">
        <f>IF(L$10="Prior",L79*L56,IF(AND(L79&lt;&gt;0,SUM($F79:K79)=0),L79/SUM($F$54:L54)*L60,IF(L79&lt;&gt;0,SUM($F$79:L79)/SUM($F$54:L54)*L60-K82,0)))</f>
        <v>465.26588863651205</v>
      </c>
      <c r="M80" s="282">
        <f>IF(M$10="Prior",M79*M56,IF(AND(M79&lt;&gt;0,SUM($F79:L79)=0),M79/SUM($F$54:M54)*M60,IF(M79&lt;&gt;0,SUM($F$79:M79)/SUM($F$54:M54)*M60-L82,0)))</f>
        <v>441.04683488184673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3026.9850920770882</v>
      </c>
      <c r="P80" s="300">
        <f t="shared" si="33"/>
        <v>2228.3837757821875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2590.1489041574491</v>
      </c>
      <c r="G81" s="307">
        <f t="shared" ref="G81:P81" si="35">SUM(G79:G80)</f>
        <v>4052.4051164563425</v>
      </c>
      <c r="H81" s="307">
        <f t="shared" si="35"/>
        <v>5602.4853455945195</v>
      </c>
      <c r="I81" s="417">
        <f t="shared" si="35"/>
        <v>4215.6094495936259</v>
      </c>
      <c r="J81" s="387">
        <f t="shared" si="35"/>
        <v>4366.3709744644711</v>
      </c>
      <c r="K81" s="387">
        <f t="shared" si="35"/>
        <v>4432.2150200855849</v>
      </c>
      <c r="L81" s="387">
        <f t="shared" si="35"/>
        <v>4411.1931570617671</v>
      </c>
      <c r="M81" s="387">
        <f t="shared" si="35"/>
        <v>4413.0888316682212</v>
      </c>
      <c r="N81" s="420">
        <f t="shared" si="35"/>
        <v>0</v>
      </c>
      <c r="O81" s="421">
        <f t="shared" si="35"/>
        <v>34083.516799081975</v>
      </c>
      <c r="P81" s="388">
        <f t="shared" si="35"/>
        <v>21838.477432873668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192.04433583052486</v>
      </c>
      <c r="G82" s="252">
        <f t="shared" ref="G82:N82" si="36">G80+F82</f>
        <v>419.42225594053207</v>
      </c>
      <c r="H82" s="252">
        <f t="shared" si="36"/>
        <v>798.6013162949007</v>
      </c>
      <c r="I82" s="252">
        <f t="shared" si="36"/>
        <v>1140.2342584627684</v>
      </c>
      <c r="J82" s="252">
        <f t="shared" si="36"/>
        <v>1609.1024328686665</v>
      </c>
      <c r="K82" s="252">
        <f t="shared" si="36"/>
        <v>2120.6723685587294</v>
      </c>
      <c r="L82" s="252">
        <f t="shared" si="36"/>
        <v>2585.9382571952415</v>
      </c>
      <c r="M82" s="252">
        <f t="shared" si="36"/>
        <v>3026.9850920770882</v>
      </c>
      <c r="N82" s="252">
        <f t="shared" si="36"/>
        <v>3026.9850920770882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9.8945812500000141</v>
      </c>
      <c r="H83" s="252">
        <f t="shared" si="37"/>
        <v>43.71181819404935</v>
      </c>
      <c r="I83" s="252">
        <f t="shared" si="37"/>
        <v>91.433396660782591</v>
      </c>
      <c r="J83" s="252">
        <f t="shared" si="37"/>
        <v>162.28988766107864</v>
      </c>
      <c r="K83" s="252">
        <f t="shared" si="37"/>
        <v>255.90367120713614</v>
      </c>
      <c r="L83" s="252">
        <f t="shared" si="37"/>
        <v>374.37904792106406</v>
      </c>
      <c r="M83" s="252">
        <f t="shared" si="37"/>
        <v>518.53471204370783</v>
      </c>
      <c r="N83" s="252">
        <f t="shared" si="37"/>
        <v>518.53471204370783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2590.1489041574491</v>
      </c>
      <c r="G89" s="290">
        <f t="shared" si="44"/>
        <v>4052.4051164563425</v>
      </c>
      <c r="H89" s="290">
        <f t="shared" si="44"/>
        <v>5602.4853455945195</v>
      </c>
      <c r="I89" s="416">
        <f t="shared" si="44"/>
        <v>4215.6094495936259</v>
      </c>
      <c r="J89" s="381">
        <f t="shared" si="44"/>
        <v>4366.3709744644711</v>
      </c>
      <c r="K89" s="381">
        <f t="shared" si="44"/>
        <v>4432.2150200855849</v>
      </c>
      <c r="L89" s="381">
        <f t="shared" si="44"/>
        <v>4411.1931570617671</v>
      </c>
      <c r="M89" s="381">
        <f t="shared" si="44"/>
        <v>4413.0888316682212</v>
      </c>
      <c r="N89" s="346">
        <f t="shared" si="44"/>
        <v>0</v>
      </c>
      <c r="O89" s="374">
        <f t="shared" si="41"/>
        <v>34083.516799081975</v>
      </c>
      <c r="P89" s="431">
        <f t="shared" si="39"/>
        <v>21838.477432873671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2590.1489041574491</v>
      </c>
      <c r="G95" s="5">
        <f t="shared" ref="G95" si="50">+SUM(G85:G94)</f>
        <v>4052.4051164563425</v>
      </c>
      <c r="H95" s="5">
        <f t="shared" ref="H95:N95" si="51">+SUM(H85:H94)</f>
        <v>5602.4853455945195</v>
      </c>
      <c r="I95" s="411">
        <f t="shared" si="51"/>
        <v>4215.6094495936259</v>
      </c>
      <c r="J95" s="382">
        <f t="shared" si="51"/>
        <v>4366.3709744644711</v>
      </c>
      <c r="K95" s="382">
        <f t="shared" si="51"/>
        <v>4432.2150200855849</v>
      </c>
      <c r="L95" s="382">
        <f t="shared" si="51"/>
        <v>4411.1931570617671</v>
      </c>
      <c r="M95" s="382">
        <f t="shared" si="51"/>
        <v>4413.0888316682212</v>
      </c>
      <c r="N95" s="286">
        <f t="shared" si="51"/>
        <v>0</v>
      </c>
      <c r="O95" s="372">
        <f>SUM(O85:O94)</f>
        <v>34083.516799081975</v>
      </c>
      <c r="P95" s="428">
        <f>SUM(P85:P94)</f>
        <v>21838.477432873671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3">H18</f>
        <v>0</v>
      </c>
      <c r="I103" s="2">
        <f t="shared" si="53"/>
        <v>0</v>
      </c>
      <c r="J103" s="2">
        <f t="shared" si="53"/>
        <v>0</v>
      </c>
      <c r="K103" s="2">
        <f t="shared" si="53"/>
        <v>0</v>
      </c>
      <c r="L103" s="2">
        <f t="shared" si="53"/>
        <v>0</v>
      </c>
      <c r="M103" s="2">
        <f t="shared" si="53"/>
        <v>0</v>
      </c>
      <c r="N103" s="2">
        <f t="shared" si="53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3"/>
        <v>0</v>
      </c>
      <c r="I104" s="2">
        <f t="shared" si="53"/>
        <v>0</v>
      </c>
      <c r="J104" s="2">
        <f t="shared" si="53"/>
        <v>0</v>
      </c>
      <c r="K104" s="2">
        <f t="shared" si="53"/>
        <v>0</v>
      </c>
      <c r="L104" s="2">
        <f t="shared" si="53"/>
        <v>0</v>
      </c>
      <c r="M104" s="2">
        <f t="shared" si="53"/>
        <v>0</v>
      </c>
      <c r="N104" s="2">
        <f t="shared" si="53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3"/>
        <v>0</v>
      </c>
      <c r="I105" s="2">
        <f t="shared" si="53"/>
        <v>0</v>
      </c>
      <c r="J105" s="2">
        <f t="shared" si="53"/>
        <v>0</v>
      </c>
      <c r="K105" s="2">
        <f t="shared" si="53"/>
        <v>0</v>
      </c>
      <c r="L105" s="2">
        <f t="shared" si="53"/>
        <v>0</v>
      </c>
      <c r="M105" s="2">
        <f t="shared" si="53"/>
        <v>0</v>
      </c>
      <c r="N105" s="2">
        <f t="shared" si="53"/>
        <v>0</v>
      </c>
    </row>
    <row r="106" spans="3:16" hidden="1" outlineLevel="1">
      <c r="D106" s="248" t="s">
        <v>386</v>
      </c>
      <c r="G106" s="2">
        <f>G17+G23</f>
        <v>0</v>
      </c>
      <c r="H106" s="2">
        <f t="shared" ref="H106:N106" si="54">H17+H23</f>
        <v>0</v>
      </c>
      <c r="I106" s="2">
        <f t="shared" si="54"/>
        <v>0</v>
      </c>
      <c r="J106" s="2">
        <f t="shared" si="54"/>
        <v>0</v>
      </c>
      <c r="K106" s="2">
        <f t="shared" si="54"/>
        <v>0</v>
      </c>
      <c r="L106" s="2">
        <f t="shared" si="54"/>
        <v>0</v>
      </c>
      <c r="M106" s="2">
        <f t="shared" si="54"/>
        <v>0</v>
      </c>
      <c r="N106" s="2">
        <f t="shared" si="54"/>
        <v>0</v>
      </c>
    </row>
    <row r="107" spans="3:16" hidden="1" outlineLevel="1">
      <c r="D107" s="248" t="s">
        <v>387</v>
      </c>
      <c r="G107" s="2">
        <f>G22+G21</f>
        <v>1</v>
      </c>
      <c r="H107" s="2">
        <f t="shared" ref="H107:N107" si="55">H22+H21</f>
        <v>1</v>
      </c>
      <c r="I107" s="2">
        <f t="shared" si="55"/>
        <v>1</v>
      </c>
      <c r="J107" s="2">
        <f t="shared" si="55"/>
        <v>1</v>
      </c>
      <c r="K107" s="2">
        <f t="shared" si="55"/>
        <v>1</v>
      </c>
      <c r="L107" s="2">
        <f t="shared" si="55"/>
        <v>1</v>
      </c>
      <c r="M107" s="2">
        <f t="shared" si="55"/>
        <v>1</v>
      </c>
      <c r="N107" s="2">
        <f t="shared" si="55"/>
        <v>1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6">SUM(H99:H107)</f>
        <v>1</v>
      </c>
      <c r="I108" s="2">
        <f t="shared" si="56"/>
        <v>1</v>
      </c>
      <c r="J108" s="2">
        <f t="shared" si="56"/>
        <v>1</v>
      </c>
      <c r="K108" s="2">
        <f t="shared" si="56"/>
        <v>1</v>
      </c>
      <c r="L108" s="2">
        <f t="shared" si="56"/>
        <v>1</v>
      </c>
      <c r="M108" s="2">
        <f t="shared" si="56"/>
        <v>1</v>
      </c>
      <c r="N108" s="2">
        <f t="shared" si="56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7">H99*H$53</f>
        <v>0</v>
      </c>
      <c r="I111" s="191">
        <f t="shared" si="57"/>
        <v>0</v>
      </c>
      <c r="J111" s="191">
        <f t="shared" si="57"/>
        <v>0</v>
      </c>
      <c r="K111" s="191">
        <f t="shared" si="57"/>
        <v>0</v>
      </c>
      <c r="L111" s="191">
        <f t="shared" si="57"/>
        <v>0</v>
      </c>
      <c r="M111" s="191">
        <f t="shared" si="57"/>
        <v>0</v>
      </c>
      <c r="N111" s="191">
        <f t="shared" si="57"/>
        <v>0</v>
      </c>
      <c r="O111" s="191">
        <f t="shared" ref="O111:O119" si="58">SUM(F111:N111)</f>
        <v>0</v>
      </c>
      <c r="P111" s="191">
        <f t="shared" ref="P111:P119" si="59">SUM(I111:M111)</f>
        <v>0</v>
      </c>
    </row>
    <row r="112" spans="3:16" hidden="1" outlineLevel="1">
      <c r="D112" s="248" t="s">
        <v>380</v>
      </c>
      <c r="G112" s="191">
        <f t="shared" ref="G112:N119" si="60">G100*G$53</f>
        <v>0</v>
      </c>
      <c r="H112" s="191">
        <f t="shared" si="60"/>
        <v>0</v>
      </c>
      <c r="I112" s="191">
        <f t="shared" si="60"/>
        <v>0</v>
      </c>
      <c r="J112" s="191">
        <f t="shared" si="60"/>
        <v>0</v>
      </c>
      <c r="K112" s="191">
        <f t="shared" si="60"/>
        <v>0</v>
      </c>
      <c r="L112" s="191">
        <f t="shared" si="60"/>
        <v>0</v>
      </c>
      <c r="M112" s="191">
        <f t="shared" si="60"/>
        <v>0</v>
      </c>
      <c r="N112" s="191">
        <f t="shared" si="60"/>
        <v>0</v>
      </c>
      <c r="O112" s="191">
        <f t="shared" si="58"/>
        <v>0</v>
      </c>
      <c r="P112" s="191">
        <f t="shared" si="59"/>
        <v>0</v>
      </c>
    </row>
    <row r="113" spans="4:16" hidden="1" outlineLevel="1">
      <c r="D113" s="248" t="s">
        <v>381</v>
      </c>
      <c r="G113" s="191">
        <f t="shared" si="60"/>
        <v>0</v>
      </c>
      <c r="H113" s="191">
        <f t="shared" si="60"/>
        <v>0</v>
      </c>
      <c r="I113" s="191">
        <f t="shared" si="60"/>
        <v>0</v>
      </c>
      <c r="J113" s="191">
        <f t="shared" si="60"/>
        <v>0</v>
      </c>
      <c r="K113" s="191">
        <f t="shared" si="60"/>
        <v>0</v>
      </c>
      <c r="L113" s="191">
        <f t="shared" si="60"/>
        <v>0</v>
      </c>
      <c r="M113" s="191">
        <f t="shared" si="60"/>
        <v>0</v>
      </c>
      <c r="N113" s="191">
        <f t="shared" si="60"/>
        <v>0</v>
      </c>
      <c r="O113" s="191">
        <f t="shared" si="58"/>
        <v>0</v>
      </c>
      <c r="P113" s="191">
        <f t="shared" si="59"/>
        <v>0</v>
      </c>
    </row>
    <row r="114" spans="4:16" hidden="1" outlineLevel="1">
      <c r="D114" s="248" t="s">
        <v>382</v>
      </c>
      <c r="G114" s="191">
        <f t="shared" si="60"/>
        <v>0</v>
      </c>
      <c r="H114" s="191">
        <f t="shared" si="60"/>
        <v>0</v>
      </c>
      <c r="I114" s="191">
        <f t="shared" si="60"/>
        <v>0</v>
      </c>
      <c r="J114" s="191">
        <f t="shared" si="60"/>
        <v>0</v>
      </c>
      <c r="K114" s="191">
        <f t="shared" si="60"/>
        <v>0</v>
      </c>
      <c r="L114" s="191">
        <f t="shared" si="60"/>
        <v>0</v>
      </c>
      <c r="M114" s="191">
        <f t="shared" si="60"/>
        <v>0</v>
      </c>
      <c r="N114" s="191">
        <f t="shared" si="60"/>
        <v>0</v>
      </c>
      <c r="O114" s="191">
        <f t="shared" si="58"/>
        <v>0</v>
      </c>
      <c r="P114" s="191">
        <f t="shared" si="59"/>
        <v>0</v>
      </c>
    </row>
    <row r="115" spans="4:16" hidden="1" outlineLevel="1">
      <c r="D115" s="248" t="s">
        <v>383</v>
      </c>
      <c r="G115" s="191">
        <f t="shared" si="60"/>
        <v>0</v>
      </c>
      <c r="H115" s="191">
        <f t="shared" si="60"/>
        <v>0</v>
      </c>
      <c r="I115" s="191">
        <f t="shared" si="60"/>
        <v>0</v>
      </c>
      <c r="J115" s="191">
        <f t="shared" si="60"/>
        <v>0</v>
      </c>
      <c r="K115" s="191">
        <f t="shared" si="60"/>
        <v>0</v>
      </c>
      <c r="L115" s="191">
        <f t="shared" si="60"/>
        <v>0</v>
      </c>
      <c r="M115" s="191">
        <f t="shared" si="60"/>
        <v>0</v>
      </c>
      <c r="N115" s="191">
        <f t="shared" si="60"/>
        <v>0</v>
      </c>
      <c r="O115" s="191">
        <f t="shared" si="58"/>
        <v>0</v>
      </c>
      <c r="P115" s="191">
        <f t="shared" si="59"/>
        <v>0</v>
      </c>
    </row>
    <row r="116" spans="4:16" hidden="1" outlineLevel="1">
      <c r="D116" s="248" t="s">
        <v>384</v>
      </c>
      <c r="G116" s="191">
        <f t="shared" si="60"/>
        <v>0</v>
      </c>
      <c r="H116" s="191">
        <f t="shared" si="60"/>
        <v>0</v>
      </c>
      <c r="I116" s="191">
        <f t="shared" si="60"/>
        <v>0</v>
      </c>
      <c r="J116" s="191">
        <f t="shared" si="60"/>
        <v>0</v>
      </c>
      <c r="K116" s="191">
        <f t="shared" si="60"/>
        <v>0</v>
      </c>
      <c r="L116" s="191">
        <f t="shared" si="60"/>
        <v>0</v>
      </c>
      <c r="M116" s="191">
        <f t="shared" si="60"/>
        <v>0</v>
      </c>
      <c r="N116" s="191">
        <f t="shared" si="60"/>
        <v>0</v>
      </c>
      <c r="O116" s="191">
        <f t="shared" si="58"/>
        <v>0</v>
      </c>
      <c r="P116" s="191">
        <f t="shared" si="59"/>
        <v>0</v>
      </c>
    </row>
    <row r="117" spans="4:16" hidden="1" outlineLevel="1">
      <c r="D117" s="248" t="s">
        <v>385</v>
      </c>
      <c r="G117" s="191">
        <f t="shared" si="60"/>
        <v>0</v>
      </c>
      <c r="H117" s="191">
        <f t="shared" si="60"/>
        <v>0</v>
      </c>
      <c r="I117" s="191">
        <f t="shared" si="60"/>
        <v>0</v>
      </c>
      <c r="J117" s="191">
        <f t="shared" si="60"/>
        <v>0</v>
      </c>
      <c r="K117" s="191">
        <f t="shared" si="60"/>
        <v>0</v>
      </c>
      <c r="L117" s="191">
        <f t="shared" si="60"/>
        <v>0</v>
      </c>
      <c r="M117" s="191">
        <f t="shared" si="60"/>
        <v>0</v>
      </c>
      <c r="N117" s="191">
        <f t="shared" si="60"/>
        <v>0</v>
      </c>
      <c r="O117" s="191">
        <f t="shared" si="58"/>
        <v>0</v>
      </c>
      <c r="P117" s="191">
        <f t="shared" si="59"/>
        <v>0</v>
      </c>
    </row>
    <row r="118" spans="4:16" hidden="1" outlineLevel="1">
      <c r="D118" s="248" t="s">
        <v>386</v>
      </c>
      <c r="G118" s="191">
        <f t="shared" si="60"/>
        <v>0</v>
      </c>
      <c r="H118" s="191">
        <f t="shared" si="60"/>
        <v>0</v>
      </c>
      <c r="I118" s="191">
        <f t="shared" si="60"/>
        <v>0</v>
      </c>
      <c r="J118" s="191">
        <f t="shared" si="60"/>
        <v>0</v>
      </c>
      <c r="K118" s="191">
        <f t="shared" si="60"/>
        <v>0</v>
      </c>
      <c r="L118" s="191">
        <f t="shared" si="60"/>
        <v>0</v>
      </c>
      <c r="M118" s="191">
        <f t="shared" si="60"/>
        <v>0</v>
      </c>
      <c r="N118" s="191">
        <f t="shared" si="60"/>
        <v>0</v>
      </c>
      <c r="O118" s="191">
        <f t="shared" si="58"/>
        <v>0</v>
      </c>
      <c r="P118" s="191">
        <f t="shared" si="59"/>
        <v>0</v>
      </c>
    </row>
    <row r="119" spans="4:16" hidden="1" outlineLevel="1">
      <c r="D119" s="248" t="s">
        <v>387</v>
      </c>
      <c r="G119" s="912">
        <f t="shared" si="60"/>
        <v>1525.9860902255641</v>
      </c>
      <c r="H119" s="912">
        <f t="shared" si="60"/>
        <v>2075.5667808729545</v>
      </c>
      <c r="I119" s="912">
        <f t="shared" si="60"/>
        <v>1530.1790436090228</v>
      </c>
      <c r="J119" s="912">
        <f t="shared" si="60"/>
        <v>1530.1790436090228</v>
      </c>
      <c r="K119" s="912">
        <f t="shared" si="60"/>
        <v>1530.1790436090228</v>
      </c>
      <c r="L119" s="912">
        <f t="shared" si="60"/>
        <v>1530.1790436090228</v>
      </c>
      <c r="M119" s="912">
        <f t="shared" si="60"/>
        <v>1530.1790436090228</v>
      </c>
      <c r="N119" s="912">
        <f t="shared" si="60"/>
        <v>0</v>
      </c>
      <c r="O119" s="912">
        <f t="shared" si="58"/>
        <v>11252.448089143634</v>
      </c>
      <c r="P119" s="912">
        <f t="shared" si="59"/>
        <v>7650.8952180451142</v>
      </c>
    </row>
    <row r="120" spans="4:16" hidden="1" outlineLevel="1">
      <c r="D120" s="248" t="s">
        <v>440</v>
      </c>
      <c r="G120" s="191">
        <f>SUM(G111:G119)</f>
        <v>1525.9860902255641</v>
      </c>
      <c r="H120" s="191">
        <f t="shared" ref="H120:P120" si="61">SUM(H111:H119)</f>
        <v>2075.5667808729545</v>
      </c>
      <c r="I120" s="191">
        <f t="shared" si="61"/>
        <v>1530.1790436090228</v>
      </c>
      <c r="J120" s="191">
        <f t="shared" si="61"/>
        <v>1530.1790436090228</v>
      </c>
      <c r="K120" s="191">
        <f t="shared" si="61"/>
        <v>1530.1790436090228</v>
      </c>
      <c r="L120" s="191">
        <f t="shared" si="61"/>
        <v>1530.1790436090228</v>
      </c>
      <c r="M120" s="191">
        <f t="shared" si="61"/>
        <v>1530.1790436090228</v>
      </c>
      <c r="N120" s="191">
        <f t="shared" si="61"/>
        <v>0</v>
      </c>
      <c r="O120" s="191">
        <f t="shared" si="61"/>
        <v>11252.448089143634</v>
      </c>
      <c r="P120" s="191">
        <f t="shared" si="61"/>
        <v>7650.8952180451142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2">H99*H$51</f>
        <v>0</v>
      </c>
      <c r="I123" s="191">
        <f t="shared" si="62"/>
        <v>0</v>
      </c>
      <c r="J123" s="191">
        <f t="shared" si="62"/>
        <v>0</v>
      </c>
      <c r="K123" s="191">
        <f t="shared" si="62"/>
        <v>0</v>
      </c>
      <c r="L123" s="191">
        <f t="shared" si="62"/>
        <v>0</v>
      </c>
      <c r="M123" s="191">
        <f t="shared" si="62"/>
        <v>0</v>
      </c>
      <c r="N123" s="191">
        <f t="shared" si="62"/>
        <v>0</v>
      </c>
      <c r="O123" s="191">
        <f t="shared" ref="O123:O131" si="63">SUM(F123:N123)</f>
        <v>0</v>
      </c>
      <c r="P123" s="191">
        <f t="shared" ref="P123:P131" si="64">SUM(I123:M123)</f>
        <v>0</v>
      </c>
    </row>
    <row r="124" spans="4:16" hidden="1" outlineLevel="1">
      <c r="D124" s="248" t="s">
        <v>380</v>
      </c>
      <c r="G124" s="191">
        <f t="shared" ref="G124:N131" si="65">G100*G$51</f>
        <v>0</v>
      </c>
      <c r="H124" s="191">
        <f t="shared" si="65"/>
        <v>0</v>
      </c>
      <c r="I124" s="191">
        <f t="shared" si="65"/>
        <v>0</v>
      </c>
      <c r="J124" s="191">
        <f t="shared" si="65"/>
        <v>0</v>
      </c>
      <c r="K124" s="191">
        <f t="shared" si="65"/>
        <v>0</v>
      </c>
      <c r="L124" s="191">
        <f t="shared" si="65"/>
        <v>0</v>
      </c>
      <c r="M124" s="191">
        <f t="shared" si="65"/>
        <v>0</v>
      </c>
      <c r="N124" s="191">
        <f t="shared" si="65"/>
        <v>0</v>
      </c>
      <c r="O124" s="191">
        <f t="shared" si="63"/>
        <v>0</v>
      </c>
      <c r="P124" s="191">
        <f t="shared" si="64"/>
        <v>0</v>
      </c>
    </row>
    <row r="125" spans="4:16" hidden="1" outlineLevel="1">
      <c r="D125" s="248" t="s">
        <v>381</v>
      </c>
      <c r="G125" s="191">
        <f t="shared" si="65"/>
        <v>0</v>
      </c>
      <c r="H125" s="191">
        <f t="shared" si="65"/>
        <v>0</v>
      </c>
      <c r="I125" s="191">
        <f t="shared" si="65"/>
        <v>0</v>
      </c>
      <c r="J125" s="191">
        <f t="shared" si="65"/>
        <v>0</v>
      </c>
      <c r="K125" s="191">
        <f t="shared" si="65"/>
        <v>0</v>
      </c>
      <c r="L125" s="191">
        <f t="shared" si="65"/>
        <v>0</v>
      </c>
      <c r="M125" s="191">
        <f t="shared" si="65"/>
        <v>0</v>
      </c>
      <c r="N125" s="191">
        <f t="shared" si="65"/>
        <v>0</v>
      </c>
      <c r="O125" s="191">
        <f t="shared" si="63"/>
        <v>0</v>
      </c>
      <c r="P125" s="191">
        <f t="shared" si="64"/>
        <v>0</v>
      </c>
    </row>
    <row r="126" spans="4:16" hidden="1" outlineLevel="1">
      <c r="D126" s="248" t="s">
        <v>382</v>
      </c>
      <c r="G126" s="191">
        <f t="shared" si="65"/>
        <v>0</v>
      </c>
      <c r="H126" s="191">
        <f t="shared" si="65"/>
        <v>0</v>
      </c>
      <c r="I126" s="191">
        <f t="shared" si="65"/>
        <v>0</v>
      </c>
      <c r="J126" s="191">
        <f t="shared" si="65"/>
        <v>0</v>
      </c>
      <c r="K126" s="191">
        <f t="shared" si="65"/>
        <v>0</v>
      </c>
      <c r="L126" s="191">
        <f t="shared" si="65"/>
        <v>0</v>
      </c>
      <c r="M126" s="191">
        <f t="shared" si="65"/>
        <v>0</v>
      </c>
      <c r="N126" s="191">
        <f t="shared" si="65"/>
        <v>0</v>
      </c>
      <c r="O126" s="191">
        <f t="shared" si="63"/>
        <v>0</v>
      </c>
      <c r="P126" s="191">
        <f t="shared" si="64"/>
        <v>0</v>
      </c>
    </row>
    <row r="127" spans="4:16" hidden="1" outlineLevel="1">
      <c r="D127" s="248" t="s">
        <v>383</v>
      </c>
      <c r="G127" s="191">
        <f t="shared" si="65"/>
        <v>0</v>
      </c>
      <c r="H127" s="191">
        <f t="shared" si="65"/>
        <v>0</v>
      </c>
      <c r="I127" s="191">
        <f t="shared" si="65"/>
        <v>0</v>
      </c>
      <c r="J127" s="191">
        <f t="shared" si="65"/>
        <v>0</v>
      </c>
      <c r="K127" s="191">
        <f t="shared" si="65"/>
        <v>0</v>
      </c>
      <c r="L127" s="191">
        <f t="shared" si="65"/>
        <v>0</v>
      </c>
      <c r="M127" s="191">
        <f t="shared" si="65"/>
        <v>0</v>
      </c>
      <c r="N127" s="191">
        <f t="shared" si="65"/>
        <v>0</v>
      </c>
      <c r="O127" s="191">
        <f t="shared" si="63"/>
        <v>0</v>
      </c>
      <c r="P127" s="191">
        <f t="shared" si="64"/>
        <v>0</v>
      </c>
    </row>
    <row r="128" spans="4:16" hidden="1" outlineLevel="1">
      <c r="D128" s="248" t="s">
        <v>384</v>
      </c>
      <c r="G128" s="191">
        <f t="shared" si="65"/>
        <v>0</v>
      </c>
      <c r="H128" s="191">
        <f t="shared" si="65"/>
        <v>0</v>
      </c>
      <c r="I128" s="191">
        <f t="shared" si="65"/>
        <v>0</v>
      </c>
      <c r="J128" s="191">
        <f t="shared" si="65"/>
        <v>0</v>
      </c>
      <c r="K128" s="191">
        <f t="shared" si="65"/>
        <v>0</v>
      </c>
      <c r="L128" s="191">
        <f t="shared" si="65"/>
        <v>0</v>
      </c>
      <c r="M128" s="191">
        <f t="shared" si="65"/>
        <v>0</v>
      </c>
      <c r="N128" s="191">
        <f t="shared" si="65"/>
        <v>0</v>
      </c>
      <c r="O128" s="191">
        <f t="shared" si="63"/>
        <v>0</v>
      </c>
      <c r="P128" s="191">
        <f t="shared" si="64"/>
        <v>0</v>
      </c>
    </row>
    <row r="129" spans="4:16" hidden="1" outlineLevel="1">
      <c r="D129" s="248" t="s">
        <v>385</v>
      </c>
      <c r="G129" s="191">
        <f t="shared" si="65"/>
        <v>0</v>
      </c>
      <c r="H129" s="191">
        <f t="shared" si="65"/>
        <v>0</v>
      </c>
      <c r="I129" s="191">
        <f t="shared" si="65"/>
        <v>0</v>
      </c>
      <c r="J129" s="191">
        <f t="shared" si="65"/>
        <v>0</v>
      </c>
      <c r="K129" s="191">
        <f t="shared" si="65"/>
        <v>0</v>
      </c>
      <c r="L129" s="191">
        <f t="shared" si="65"/>
        <v>0</v>
      </c>
      <c r="M129" s="191">
        <f t="shared" si="65"/>
        <v>0</v>
      </c>
      <c r="N129" s="191">
        <f t="shared" si="65"/>
        <v>0</v>
      </c>
      <c r="O129" s="191">
        <f t="shared" si="63"/>
        <v>0</v>
      </c>
      <c r="P129" s="191">
        <f t="shared" si="64"/>
        <v>0</v>
      </c>
    </row>
    <row r="130" spans="4:16" hidden="1" outlineLevel="1">
      <c r="D130" s="248" t="s">
        <v>386</v>
      </c>
      <c r="G130" s="191">
        <f t="shared" si="65"/>
        <v>0</v>
      </c>
      <c r="H130" s="191">
        <f t="shared" si="65"/>
        <v>0</v>
      </c>
      <c r="I130" s="191">
        <f t="shared" si="65"/>
        <v>0</v>
      </c>
      <c r="J130" s="191">
        <f t="shared" si="65"/>
        <v>0</v>
      </c>
      <c r="K130" s="191">
        <f t="shared" si="65"/>
        <v>0</v>
      </c>
      <c r="L130" s="191">
        <f t="shared" si="65"/>
        <v>0</v>
      </c>
      <c r="M130" s="191">
        <f t="shared" si="65"/>
        <v>0</v>
      </c>
      <c r="N130" s="191">
        <f t="shared" si="65"/>
        <v>0</v>
      </c>
      <c r="O130" s="191">
        <f t="shared" si="63"/>
        <v>0</v>
      </c>
      <c r="P130" s="191">
        <f t="shared" si="64"/>
        <v>0</v>
      </c>
    </row>
    <row r="131" spans="4:16" hidden="1" outlineLevel="1">
      <c r="D131" s="248" t="s">
        <v>387</v>
      </c>
      <c r="G131" s="912">
        <f t="shared" si="65"/>
        <v>383.73781462640983</v>
      </c>
      <c r="H131" s="912">
        <f t="shared" si="65"/>
        <v>525.38498914156821</v>
      </c>
      <c r="I131" s="912">
        <f t="shared" si="65"/>
        <v>390.44986127935459</v>
      </c>
      <c r="J131" s="912">
        <f t="shared" si="65"/>
        <v>393.61250515571732</v>
      </c>
      <c r="K131" s="912">
        <f t="shared" si="65"/>
        <v>396.86964863588082</v>
      </c>
      <c r="L131" s="912">
        <f t="shared" si="65"/>
        <v>400.42163199117203</v>
      </c>
      <c r="M131" s="912">
        <f t="shared" si="65"/>
        <v>404.06546884229175</v>
      </c>
      <c r="N131" s="912">
        <f t="shared" si="65"/>
        <v>0</v>
      </c>
      <c r="O131" s="912">
        <f t="shared" si="63"/>
        <v>2894.5419196723947</v>
      </c>
      <c r="P131" s="912">
        <f t="shared" si="64"/>
        <v>1985.4191159044165</v>
      </c>
    </row>
    <row r="132" spans="4:16" hidden="1" outlineLevel="1">
      <c r="D132" s="248" t="s">
        <v>441</v>
      </c>
      <c r="G132" s="191">
        <f>SUM(G123:G131)</f>
        <v>383.73781462640983</v>
      </c>
      <c r="H132" s="191">
        <f t="shared" ref="H132:P132" si="66">SUM(H123:H131)</f>
        <v>525.38498914156821</v>
      </c>
      <c r="I132" s="191">
        <f t="shared" si="66"/>
        <v>390.44986127935459</v>
      </c>
      <c r="J132" s="191">
        <f t="shared" si="66"/>
        <v>393.61250515571732</v>
      </c>
      <c r="K132" s="191">
        <f t="shared" si="66"/>
        <v>396.86964863588082</v>
      </c>
      <c r="L132" s="191">
        <f t="shared" si="66"/>
        <v>400.42163199117203</v>
      </c>
      <c r="M132" s="191">
        <f t="shared" si="66"/>
        <v>404.06546884229175</v>
      </c>
      <c r="N132" s="191">
        <f t="shared" si="66"/>
        <v>0</v>
      </c>
      <c r="O132" s="191">
        <f t="shared" si="66"/>
        <v>2894.5419196723947</v>
      </c>
      <c r="P132" s="191">
        <f t="shared" si="66"/>
        <v>1985.4191159044165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7">H99*H$52</f>
        <v>0</v>
      </c>
      <c r="I135" s="191">
        <f t="shared" si="67"/>
        <v>0</v>
      </c>
      <c r="J135" s="191">
        <f t="shared" si="67"/>
        <v>0</v>
      </c>
      <c r="K135" s="191">
        <f t="shared" si="67"/>
        <v>0</v>
      </c>
      <c r="L135" s="191">
        <f t="shared" si="67"/>
        <v>0</v>
      </c>
      <c r="M135" s="191">
        <f t="shared" si="67"/>
        <v>0</v>
      </c>
      <c r="N135" s="191">
        <f t="shared" si="67"/>
        <v>0</v>
      </c>
      <c r="O135" s="191">
        <f t="shared" ref="O135:O143" si="68">SUM(F135:N135)</f>
        <v>0</v>
      </c>
      <c r="P135" s="191">
        <f t="shared" ref="P135:P143" si="69">SUM(I135:M135)</f>
        <v>0</v>
      </c>
    </row>
    <row r="136" spans="4:16" hidden="1" outlineLevel="1">
      <c r="D136" s="248" t="s">
        <v>380</v>
      </c>
      <c r="G136" s="191">
        <f t="shared" ref="G136:N143" si="70">G100*G$52</f>
        <v>0</v>
      </c>
      <c r="H136" s="191">
        <f t="shared" si="70"/>
        <v>0</v>
      </c>
      <c r="I136" s="191">
        <f t="shared" si="70"/>
        <v>0</v>
      </c>
      <c r="J136" s="191">
        <f t="shared" si="70"/>
        <v>0</v>
      </c>
      <c r="K136" s="191">
        <f t="shared" si="70"/>
        <v>0</v>
      </c>
      <c r="L136" s="191">
        <f t="shared" si="70"/>
        <v>0</v>
      </c>
      <c r="M136" s="191">
        <f t="shared" si="70"/>
        <v>0</v>
      </c>
      <c r="N136" s="191">
        <f t="shared" si="70"/>
        <v>0</v>
      </c>
      <c r="O136" s="191">
        <f t="shared" si="68"/>
        <v>0</v>
      </c>
      <c r="P136" s="191">
        <f t="shared" si="69"/>
        <v>0</v>
      </c>
    </row>
    <row r="137" spans="4:16" hidden="1" outlineLevel="1">
      <c r="D137" s="248" t="s">
        <v>381</v>
      </c>
      <c r="G137" s="191">
        <f t="shared" si="70"/>
        <v>0</v>
      </c>
      <c r="H137" s="191">
        <f t="shared" si="70"/>
        <v>0</v>
      </c>
      <c r="I137" s="191">
        <f t="shared" si="70"/>
        <v>0</v>
      </c>
      <c r="J137" s="191">
        <f t="shared" si="70"/>
        <v>0</v>
      </c>
      <c r="K137" s="191">
        <f t="shared" si="70"/>
        <v>0</v>
      </c>
      <c r="L137" s="191">
        <f t="shared" si="70"/>
        <v>0</v>
      </c>
      <c r="M137" s="191">
        <f t="shared" si="70"/>
        <v>0</v>
      </c>
      <c r="N137" s="191">
        <f t="shared" si="70"/>
        <v>0</v>
      </c>
      <c r="O137" s="191">
        <f t="shared" si="68"/>
        <v>0</v>
      </c>
      <c r="P137" s="191">
        <f t="shared" si="69"/>
        <v>0</v>
      </c>
    </row>
    <row r="138" spans="4:16" hidden="1" outlineLevel="1">
      <c r="D138" s="248" t="s">
        <v>382</v>
      </c>
      <c r="G138" s="191">
        <f t="shared" si="70"/>
        <v>0</v>
      </c>
      <c r="H138" s="191">
        <f t="shared" si="70"/>
        <v>0</v>
      </c>
      <c r="I138" s="191">
        <f t="shared" si="70"/>
        <v>0</v>
      </c>
      <c r="J138" s="191">
        <f t="shared" si="70"/>
        <v>0</v>
      </c>
      <c r="K138" s="191">
        <f t="shared" si="70"/>
        <v>0</v>
      </c>
      <c r="L138" s="191">
        <f t="shared" si="70"/>
        <v>0</v>
      </c>
      <c r="M138" s="191">
        <f t="shared" si="70"/>
        <v>0</v>
      </c>
      <c r="N138" s="191">
        <f t="shared" si="70"/>
        <v>0</v>
      </c>
      <c r="O138" s="191">
        <f t="shared" si="68"/>
        <v>0</v>
      </c>
      <c r="P138" s="191">
        <f t="shared" si="69"/>
        <v>0</v>
      </c>
    </row>
    <row r="139" spans="4:16" hidden="1" outlineLevel="1">
      <c r="D139" s="248" t="s">
        <v>383</v>
      </c>
      <c r="G139" s="191">
        <f t="shared" si="70"/>
        <v>0</v>
      </c>
      <c r="H139" s="191">
        <f t="shared" si="70"/>
        <v>0</v>
      </c>
      <c r="I139" s="191">
        <f t="shared" si="70"/>
        <v>0</v>
      </c>
      <c r="J139" s="191">
        <f t="shared" si="70"/>
        <v>0</v>
      </c>
      <c r="K139" s="191">
        <f t="shared" si="70"/>
        <v>0</v>
      </c>
      <c r="L139" s="191">
        <f t="shared" si="70"/>
        <v>0</v>
      </c>
      <c r="M139" s="191">
        <f t="shared" si="70"/>
        <v>0</v>
      </c>
      <c r="N139" s="191">
        <f t="shared" si="70"/>
        <v>0</v>
      </c>
      <c r="O139" s="191">
        <f t="shared" si="68"/>
        <v>0</v>
      </c>
      <c r="P139" s="191">
        <f t="shared" si="69"/>
        <v>0</v>
      </c>
    </row>
    <row r="140" spans="4:16" hidden="1" outlineLevel="1">
      <c r="D140" s="248" t="s">
        <v>384</v>
      </c>
      <c r="G140" s="191">
        <f t="shared" si="70"/>
        <v>0</v>
      </c>
      <c r="H140" s="191">
        <f t="shared" si="70"/>
        <v>0</v>
      </c>
      <c r="I140" s="191">
        <f t="shared" si="70"/>
        <v>0</v>
      </c>
      <c r="J140" s="191">
        <f t="shared" si="70"/>
        <v>0</v>
      </c>
      <c r="K140" s="191">
        <f t="shared" si="70"/>
        <v>0</v>
      </c>
      <c r="L140" s="191">
        <f t="shared" si="70"/>
        <v>0</v>
      </c>
      <c r="M140" s="191">
        <f t="shared" si="70"/>
        <v>0</v>
      </c>
      <c r="N140" s="191">
        <f t="shared" si="70"/>
        <v>0</v>
      </c>
      <c r="O140" s="191">
        <f t="shared" si="68"/>
        <v>0</v>
      </c>
      <c r="P140" s="191">
        <f t="shared" si="69"/>
        <v>0</v>
      </c>
    </row>
    <row r="141" spans="4:16" hidden="1" outlineLevel="1">
      <c r="D141" s="248" t="s">
        <v>385</v>
      </c>
      <c r="G141" s="191">
        <f t="shared" si="70"/>
        <v>0</v>
      </c>
      <c r="H141" s="191">
        <f t="shared" si="70"/>
        <v>0</v>
      </c>
      <c r="I141" s="191">
        <f t="shared" si="70"/>
        <v>0</v>
      </c>
      <c r="J141" s="191">
        <f t="shared" si="70"/>
        <v>0</v>
      </c>
      <c r="K141" s="191">
        <f t="shared" si="70"/>
        <v>0</v>
      </c>
      <c r="L141" s="191">
        <f t="shared" si="70"/>
        <v>0</v>
      </c>
      <c r="M141" s="191">
        <f t="shared" si="70"/>
        <v>0</v>
      </c>
      <c r="N141" s="191">
        <f t="shared" si="70"/>
        <v>0</v>
      </c>
      <c r="O141" s="191">
        <f t="shared" si="68"/>
        <v>0</v>
      </c>
      <c r="P141" s="191">
        <f t="shared" si="69"/>
        <v>0</v>
      </c>
    </row>
    <row r="142" spans="4:16" hidden="1" outlineLevel="1">
      <c r="D142" s="248" t="s">
        <v>386</v>
      </c>
      <c r="G142" s="191">
        <f t="shared" si="70"/>
        <v>0</v>
      </c>
      <c r="H142" s="191">
        <f t="shared" si="70"/>
        <v>0</v>
      </c>
      <c r="I142" s="191">
        <f t="shared" si="70"/>
        <v>0</v>
      </c>
      <c r="J142" s="191">
        <f t="shared" si="70"/>
        <v>0</v>
      </c>
      <c r="K142" s="191">
        <f t="shared" si="70"/>
        <v>0</v>
      </c>
      <c r="L142" s="191">
        <f t="shared" si="70"/>
        <v>0</v>
      </c>
      <c r="M142" s="191">
        <f t="shared" si="70"/>
        <v>0</v>
      </c>
      <c r="N142" s="191">
        <f t="shared" si="70"/>
        <v>0</v>
      </c>
      <c r="O142" s="191">
        <f t="shared" si="68"/>
        <v>0</v>
      </c>
      <c r="P142" s="191">
        <f t="shared" si="69"/>
        <v>0</v>
      </c>
    </row>
    <row r="143" spans="4:16" hidden="1" outlineLevel="1">
      <c r="D143" s="248" t="s">
        <v>387</v>
      </c>
      <c r="G143" s="912">
        <f t="shared" si="70"/>
        <v>1915.303291494361</v>
      </c>
      <c r="H143" s="912">
        <f t="shared" si="70"/>
        <v>2622.3545152256283</v>
      </c>
      <c r="I143" s="912">
        <f t="shared" si="70"/>
        <v>1953.3476025373802</v>
      </c>
      <c r="J143" s="912">
        <f t="shared" si="70"/>
        <v>1973.711251293832</v>
      </c>
      <c r="K143" s="912">
        <f t="shared" si="70"/>
        <v>1993.5963921506177</v>
      </c>
      <c r="L143" s="912">
        <f t="shared" si="70"/>
        <v>2015.3265928250594</v>
      </c>
      <c r="M143" s="912">
        <f t="shared" si="70"/>
        <v>2037.7974843350587</v>
      </c>
      <c r="N143" s="912">
        <f t="shared" si="70"/>
        <v>0</v>
      </c>
      <c r="O143" s="912">
        <f t="shared" si="68"/>
        <v>14511.437129861939</v>
      </c>
      <c r="P143" s="912">
        <f t="shared" si="69"/>
        <v>9973.7793231419491</v>
      </c>
    </row>
    <row r="144" spans="4:16" hidden="1" outlineLevel="1">
      <c r="D144" s="248" t="s">
        <v>442</v>
      </c>
      <c r="G144" s="191">
        <f>SUM(G135:G143)</f>
        <v>1915.303291494361</v>
      </c>
      <c r="H144" s="191">
        <f t="shared" ref="H144:P144" si="71">SUM(H135:H143)</f>
        <v>2622.3545152256283</v>
      </c>
      <c r="I144" s="191">
        <f t="shared" si="71"/>
        <v>1953.3476025373802</v>
      </c>
      <c r="J144" s="191">
        <f t="shared" si="71"/>
        <v>1973.711251293832</v>
      </c>
      <c r="K144" s="191">
        <f t="shared" si="71"/>
        <v>1993.5963921506177</v>
      </c>
      <c r="L144" s="191">
        <f t="shared" si="71"/>
        <v>2015.3265928250594</v>
      </c>
      <c r="M144" s="191">
        <f t="shared" si="71"/>
        <v>2037.7974843350587</v>
      </c>
      <c r="N144" s="191">
        <f t="shared" si="71"/>
        <v>0</v>
      </c>
      <c r="O144" s="191">
        <f t="shared" si="71"/>
        <v>14511.437129861939</v>
      </c>
      <c r="P144" s="191">
        <f t="shared" si="71"/>
        <v>9973.7793231419491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2">G111+G123+G135</f>
        <v>0</v>
      </c>
      <c r="H147" s="191">
        <f t="shared" si="72"/>
        <v>0</v>
      </c>
      <c r="I147" s="191">
        <f t="shared" si="72"/>
        <v>0</v>
      </c>
      <c r="J147" s="191">
        <f t="shared" si="72"/>
        <v>0</v>
      </c>
      <c r="K147" s="191">
        <f t="shared" si="72"/>
        <v>0</v>
      </c>
      <c r="L147" s="191">
        <f t="shared" si="72"/>
        <v>0</v>
      </c>
      <c r="M147" s="191">
        <f t="shared" si="72"/>
        <v>0</v>
      </c>
      <c r="N147" s="191">
        <f t="shared" si="72"/>
        <v>0</v>
      </c>
      <c r="O147" s="191">
        <f t="shared" ref="O147:O155" si="73">SUM(F147:N147)</f>
        <v>0</v>
      </c>
      <c r="P147" s="191">
        <f t="shared" ref="P147:P155" si="74">SUM(I147:M147)</f>
        <v>0</v>
      </c>
    </row>
    <row r="148" spans="4:16" hidden="1" outlineLevel="1">
      <c r="D148" s="248" t="s">
        <v>380</v>
      </c>
      <c r="G148" s="191">
        <f t="shared" si="72"/>
        <v>0</v>
      </c>
      <c r="H148" s="191">
        <f t="shared" si="72"/>
        <v>0</v>
      </c>
      <c r="I148" s="191">
        <f t="shared" si="72"/>
        <v>0</v>
      </c>
      <c r="J148" s="191">
        <f t="shared" si="72"/>
        <v>0</v>
      </c>
      <c r="K148" s="191">
        <f t="shared" si="72"/>
        <v>0</v>
      </c>
      <c r="L148" s="191">
        <f t="shared" si="72"/>
        <v>0</v>
      </c>
      <c r="M148" s="191">
        <f t="shared" si="72"/>
        <v>0</v>
      </c>
      <c r="N148" s="191">
        <f t="shared" si="72"/>
        <v>0</v>
      </c>
      <c r="O148" s="191">
        <f t="shared" si="73"/>
        <v>0</v>
      </c>
      <c r="P148" s="191">
        <f t="shared" si="74"/>
        <v>0</v>
      </c>
    </row>
    <row r="149" spans="4:16" hidden="1" outlineLevel="1">
      <c r="D149" s="248" t="s">
        <v>381</v>
      </c>
      <c r="G149" s="191">
        <f t="shared" si="72"/>
        <v>0</v>
      </c>
      <c r="H149" s="191">
        <f t="shared" si="72"/>
        <v>0</v>
      </c>
      <c r="I149" s="191">
        <f t="shared" si="72"/>
        <v>0</v>
      </c>
      <c r="J149" s="191">
        <f t="shared" si="72"/>
        <v>0</v>
      </c>
      <c r="K149" s="191">
        <f t="shared" si="72"/>
        <v>0</v>
      </c>
      <c r="L149" s="191">
        <f t="shared" si="72"/>
        <v>0</v>
      </c>
      <c r="M149" s="191">
        <f t="shared" si="72"/>
        <v>0</v>
      </c>
      <c r="N149" s="191">
        <f t="shared" si="72"/>
        <v>0</v>
      </c>
      <c r="O149" s="191">
        <f t="shared" si="73"/>
        <v>0</v>
      </c>
      <c r="P149" s="191">
        <f t="shared" si="74"/>
        <v>0</v>
      </c>
    </row>
    <row r="150" spans="4:16" hidden="1" outlineLevel="1">
      <c r="D150" s="248" t="s">
        <v>382</v>
      </c>
      <c r="G150" s="191">
        <f t="shared" si="72"/>
        <v>0</v>
      </c>
      <c r="H150" s="191">
        <f t="shared" si="72"/>
        <v>0</v>
      </c>
      <c r="I150" s="191">
        <f t="shared" si="72"/>
        <v>0</v>
      </c>
      <c r="J150" s="191">
        <f t="shared" si="72"/>
        <v>0</v>
      </c>
      <c r="K150" s="191">
        <f t="shared" si="72"/>
        <v>0</v>
      </c>
      <c r="L150" s="191">
        <f t="shared" si="72"/>
        <v>0</v>
      </c>
      <c r="M150" s="191">
        <f t="shared" si="72"/>
        <v>0</v>
      </c>
      <c r="N150" s="191">
        <f t="shared" si="72"/>
        <v>0</v>
      </c>
      <c r="O150" s="191">
        <f t="shared" si="73"/>
        <v>0</v>
      </c>
      <c r="P150" s="191">
        <f t="shared" si="74"/>
        <v>0</v>
      </c>
    </row>
    <row r="151" spans="4:16" hidden="1" outlineLevel="1">
      <c r="D151" s="248" t="s">
        <v>383</v>
      </c>
      <c r="G151" s="191">
        <f t="shared" si="72"/>
        <v>0</v>
      </c>
      <c r="H151" s="191">
        <f t="shared" si="72"/>
        <v>0</v>
      </c>
      <c r="I151" s="191">
        <f t="shared" si="72"/>
        <v>0</v>
      </c>
      <c r="J151" s="191">
        <f t="shared" si="72"/>
        <v>0</v>
      </c>
      <c r="K151" s="191">
        <f t="shared" si="72"/>
        <v>0</v>
      </c>
      <c r="L151" s="191">
        <f t="shared" si="72"/>
        <v>0</v>
      </c>
      <c r="M151" s="191">
        <f t="shared" si="72"/>
        <v>0</v>
      </c>
      <c r="N151" s="191">
        <f t="shared" si="72"/>
        <v>0</v>
      </c>
      <c r="O151" s="191">
        <f t="shared" si="73"/>
        <v>0</v>
      </c>
      <c r="P151" s="191">
        <f t="shared" si="74"/>
        <v>0</v>
      </c>
    </row>
    <row r="152" spans="4:16" hidden="1" outlineLevel="1">
      <c r="D152" s="248" t="s">
        <v>384</v>
      </c>
      <c r="G152" s="191">
        <f t="shared" si="72"/>
        <v>0</v>
      </c>
      <c r="H152" s="191">
        <f t="shared" si="72"/>
        <v>0</v>
      </c>
      <c r="I152" s="191">
        <f t="shared" si="72"/>
        <v>0</v>
      </c>
      <c r="J152" s="191">
        <f t="shared" si="72"/>
        <v>0</v>
      </c>
      <c r="K152" s="191">
        <f t="shared" si="72"/>
        <v>0</v>
      </c>
      <c r="L152" s="191">
        <f t="shared" si="72"/>
        <v>0</v>
      </c>
      <c r="M152" s="191">
        <f t="shared" si="72"/>
        <v>0</v>
      </c>
      <c r="N152" s="191">
        <f t="shared" si="72"/>
        <v>0</v>
      </c>
      <c r="O152" s="191">
        <f t="shared" si="73"/>
        <v>0</v>
      </c>
      <c r="P152" s="191">
        <f t="shared" si="74"/>
        <v>0</v>
      </c>
    </row>
    <row r="153" spans="4:16" hidden="1" outlineLevel="1">
      <c r="D153" s="248" t="s">
        <v>385</v>
      </c>
      <c r="G153" s="191">
        <f t="shared" si="72"/>
        <v>0</v>
      </c>
      <c r="H153" s="191">
        <f t="shared" si="72"/>
        <v>0</v>
      </c>
      <c r="I153" s="191">
        <f t="shared" si="72"/>
        <v>0</v>
      </c>
      <c r="J153" s="191">
        <f t="shared" si="72"/>
        <v>0</v>
      </c>
      <c r="K153" s="191">
        <f t="shared" si="72"/>
        <v>0</v>
      </c>
      <c r="L153" s="191">
        <f t="shared" si="72"/>
        <v>0</v>
      </c>
      <c r="M153" s="191">
        <f t="shared" si="72"/>
        <v>0</v>
      </c>
      <c r="N153" s="191">
        <f t="shared" si="72"/>
        <v>0</v>
      </c>
      <c r="O153" s="191">
        <f t="shared" si="73"/>
        <v>0</v>
      </c>
      <c r="P153" s="191">
        <f t="shared" si="74"/>
        <v>0</v>
      </c>
    </row>
    <row r="154" spans="4:16" hidden="1" outlineLevel="1">
      <c r="D154" s="248" t="s">
        <v>386</v>
      </c>
      <c r="G154" s="191">
        <f t="shared" si="72"/>
        <v>0</v>
      </c>
      <c r="H154" s="191">
        <f t="shared" si="72"/>
        <v>0</v>
      </c>
      <c r="I154" s="191">
        <f t="shared" si="72"/>
        <v>0</v>
      </c>
      <c r="J154" s="191">
        <f t="shared" si="72"/>
        <v>0</v>
      </c>
      <c r="K154" s="191">
        <f t="shared" si="72"/>
        <v>0</v>
      </c>
      <c r="L154" s="191">
        <f t="shared" si="72"/>
        <v>0</v>
      </c>
      <c r="M154" s="191">
        <f t="shared" si="72"/>
        <v>0</v>
      </c>
      <c r="N154" s="191">
        <f t="shared" si="72"/>
        <v>0</v>
      </c>
      <c r="O154" s="191">
        <f t="shared" si="73"/>
        <v>0</v>
      </c>
      <c r="P154" s="191">
        <f t="shared" si="74"/>
        <v>0</v>
      </c>
    </row>
    <row r="155" spans="4:16" hidden="1" outlineLevel="1">
      <c r="D155" s="248" t="s">
        <v>387</v>
      </c>
      <c r="G155" s="912">
        <f t="shared" si="72"/>
        <v>3825.0271963463347</v>
      </c>
      <c r="H155" s="912">
        <f t="shared" si="72"/>
        <v>5223.3062852401508</v>
      </c>
      <c r="I155" s="912">
        <f t="shared" si="72"/>
        <v>3873.9765074257575</v>
      </c>
      <c r="J155" s="912">
        <f t="shared" si="72"/>
        <v>3897.5028000585721</v>
      </c>
      <c r="K155" s="912">
        <f t="shared" si="72"/>
        <v>3920.6450843955213</v>
      </c>
      <c r="L155" s="912">
        <f t="shared" si="72"/>
        <v>3945.9272684252542</v>
      </c>
      <c r="M155" s="912">
        <f t="shared" si="72"/>
        <v>3972.0419967863731</v>
      </c>
      <c r="N155" s="912">
        <f t="shared" si="72"/>
        <v>0</v>
      </c>
      <c r="O155" s="912">
        <f t="shared" si="73"/>
        <v>28658.427138677966</v>
      </c>
      <c r="P155" s="912">
        <f t="shared" si="74"/>
        <v>19610.093657091478</v>
      </c>
    </row>
    <row r="156" spans="4:16" hidden="1" outlineLevel="1">
      <c r="D156" s="248" t="s">
        <v>454</v>
      </c>
      <c r="G156" s="191">
        <f>SUM(G147:G155)</f>
        <v>3825.0271963463347</v>
      </c>
      <c r="H156" s="191">
        <f t="shared" ref="H156:N156" si="75">SUM(H147:H155)</f>
        <v>5223.3062852401508</v>
      </c>
      <c r="I156" s="191">
        <f t="shared" si="75"/>
        <v>3873.9765074257575</v>
      </c>
      <c r="J156" s="191">
        <f t="shared" si="75"/>
        <v>3897.5028000585721</v>
      </c>
      <c r="K156" s="191">
        <f t="shared" si="75"/>
        <v>3920.6450843955213</v>
      </c>
      <c r="L156" s="191">
        <f t="shared" si="75"/>
        <v>3945.9272684252542</v>
      </c>
      <c r="M156" s="191">
        <f t="shared" si="75"/>
        <v>3972.0419967863731</v>
      </c>
      <c r="N156" s="191">
        <f t="shared" si="75"/>
        <v>0</v>
      </c>
      <c r="O156" s="191">
        <f t="shared" ref="O156:P156" si="76">SUM(O147:O155)</f>
        <v>28658.427138677966</v>
      </c>
      <c r="P156" s="191">
        <f t="shared" si="76"/>
        <v>19610.093657091478</v>
      </c>
    </row>
    <row r="157" spans="4:16" collapsed="1"/>
  </sheetData>
  <mergeCells count="1">
    <mergeCell ref="C13:C14"/>
  </mergeCells>
  <phoneticPr fontId="6" type="noConversion"/>
  <conditionalFormatting sqref="R14">
    <cfRule type="cellIs" dxfId="30" priority="4" operator="equal">
      <formula>"Error"</formula>
    </cfRule>
  </conditionalFormatting>
  <conditionalFormatting sqref="R11">
    <cfRule type="cellIs" dxfId="29" priority="3" operator="equal">
      <formula>"Error"</formula>
    </cfRule>
  </conditionalFormatting>
  <conditionalFormatting sqref="R54">
    <cfRule type="cellIs" dxfId="2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topLeftCell="D1" zoomScaleNormal="100" workbookViewId="0">
      <pane ySplit="10" topLeftCell="A66" activePane="bottomLeft" state="frozen"/>
      <selection activeCell="C2" sqref="C2"/>
      <selection pane="bottomLeft" activeCell="L73" sqref="L73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Project_Inputs!B42</f>
        <v>0</v>
      </c>
      <c r="F3" s="249" t="s">
        <v>63</v>
      </c>
      <c r="G3" s="249">
        <f>Project_Inputs!F42</f>
        <v>0</v>
      </c>
    </row>
    <row r="4" spans="1:21" ht="18.75">
      <c r="A4" s="6"/>
      <c r="B4" s="6"/>
      <c r="C4" s="13" t="s">
        <v>15</v>
      </c>
      <c r="D4" s="339" t="str">
        <f>Project_Inputs!D42</f>
        <v>Secondary &amp; Protection program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Project_Inputs!H42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Project_Inputs!I42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Project_Inputs!J42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14085.561359153853</v>
      </c>
      <c r="G11" s="319">
        <f>IF(G$10="Prior",SUMIFS(Project_Inputs!$W$5:$W$50,Project_Inputs!$D$5:$D$50,$D$4),SUMIFS(Project_Inputs!M$5:M$50,Project_Inputs!$D$5:$D$50,$D$4))</f>
        <v>22785.869850000003</v>
      </c>
      <c r="H11" s="389">
        <f>IF(H$10="Prior",SUMIFS(Project_Inputs!$W$5:$W$50,Project_Inputs!$D$5:$D$50,$D$4),SUMIFS(Project_Inputs!N$5:N$50,Project_Inputs!$D$5:$D$50,$D$4))</f>
        <v>12766.814368918454</v>
      </c>
      <c r="I11" s="399">
        <f>IF(I$10="Prior",SUMIFS(Project_Inputs!$W$5:$W$50,Project_Inputs!$D$5:$D$50,$D$4),SUMIFS(Project_Inputs!O$5:O$50,Project_Inputs!$D$5:$D$50,$D$4))</f>
        <v>18141.96</v>
      </c>
      <c r="J11" s="320">
        <f>IF(J$10="Prior",SUMIFS(Project_Inputs!$W$5:$W$50,Project_Inputs!$D$5:$D$50,$D$4),SUMIFS(Project_Inputs!P$5:P$50,Project_Inputs!$D$5:$D$50,$D$4))</f>
        <v>15423.936</v>
      </c>
      <c r="K11" s="320">
        <f>IF(K$10="Prior",SUMIFS(Project_Inputs!$W$5:$W$50,Project_Inputs!$D$5:$D$50,$D$4),SUMIFS(Project_Inputs!Q$5:Q$50,Project_Inputs!$D$5:$D$50,$D$4))</f>
        <v>13084.36</v>
      </c>
      <c r="L11" s="320">
        <f>IF(L$10="Prior",SUMIFS(Project_Inputs!$W$5:$W$50,Project_Inputs!$D$5:$D$50,$D$4),SUMIFS(Project_Inputs!R$5:R$50,Project_Inputs!$D$5:$D$50,$D$4))</f>
        <v>12452.16</v>
      </c>
      <c r="M11" s="320">
        <f>IF(M$10="Prior",SUMIFS(Project_Inputs!$W$5:$W$50,Project_Inputs!$D$5:$D$50,$D$4),SUMIFS(Project_Inputs!S$5:S$50,Project_Inputs!$D$5:$D$50,$D$4))</f>
        <v>13182.023999999999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121922.68557807233</v>
      </c>
      <c r="P11" s="300">
        <f t="shared" ref="P11" si="0">SUM(I11:M11)</f>
        <v>72284.44</v>
      </c>
      <c r="R11" s="608" t="str">
        <f>IF(O11=Project_Inputs!V42,"ok","error")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14085.561359153853</v>
      </c>
      <c r="G14" s="447">
        <f>IF($G$3="Yes",SUMIFS(Project_Inputs!AK$5:AK$50,Project_Inputs!$D$5:$D$50,$D$4),IF(AND(G$13="X",G$10="Prior"),G11,IF(G$13="X",SUM($F11:G11)-SUM(F14:$F14),0)))</f>
        <v>22785.869850000006</v>
      </c>
      <c r="H14" s="447">
        <f>IF($G$3="Yes",SUMIFS(Project_Inputs!AL$5:AL$50,Project_Inputs!$D$5:$D$50,$D$4),IF(AND(H$13="X",H$10="Prior"),H11,IF(H$13="X",SUM($F11:H11)-SUM($F14:G14),0)))</f>
        <v>12766.814368918451</v>
      </c>
      <c r="I14" s="448">
        <f>IF($G$3="Yes",SUMIFS(Project_Inputs!AM$5:AM$50,Project_Inputs!$D$5:$D$50,$D$4),IF(AND(I$13="X",I$10="Prior"),I11,IF(I$13="X",SUM($F11:I11)-SUM($F14:H14),0)))</f>
        <v>18141.960000000006</v>
      </c>
      <c r="J14" s="447">
        <f>IF($G$3="Yes",SUMIFS(Project_Inputs!AN$5:AN$50,Project_Inputs!$D$5:$D$50,$D$4),IF(AND(J$13="X",J$10="Prior"),J11,IF(J$13="X",SUM($F11:J11)-SUM($F14:I14),0)))</f>
        <v>15423.936000000002</v>
      </c>
      <c r="K14" s="447">
        <f>IF($G$3="Yes",SUMIFS(Project_Inputs!AO$5:AO$50,Project_Inputs!$D$5:$D$50,$D$4),IF(AND(K$13="X",K$10="Prior"),K11,IF(K$13="X",SUM($F11:K11)-SUM($F14:J14),0)))</f>
        <v>13084.36</v>
      </c>
      <c r="L14" s="447">
        <f>IF($G$3="Yes",SUMIFS(Project_Inputs!AP$5:AP$50,Project_Inputs!$D$5:$D$50,$D$4),IF(AND(L$13="X",L$10="Prior"),L11,IF(L$13="X",SUM($F11:L11)-SUM($F14:K14),0)))</f>
        <v>12452.160000000003</v>
      </c>
      <c r="M14" s="447">
        <f>IF($G$3="Yes",SUMIFS(Project_Inputs!AQ$5:AQ$50,Project_Inputs!$D$5:$D$50,$D$4),IF(AND(M$13="X",M$10="Prior"),M11,IF(M$13="X",SUM($F11:M11)-SUM($F14:L14),0)))</f>
        <v>13182.024000000005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121922.68557807233</v>
      </c>
      <c r="P14" s="451">
        <f>SUM(I14:M14)</f>
        <v>72284.440000000017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1</v>
      </c>
      <c r="G17" s="341">
        <v>1</v>
      </c>
      <c r="H17" s="392">
        <v>1</v>
      </c>
      <c r="I17" s="404">
        <v>1</v>
      </c>
      <c r="J17" s="341">
        <v>1</v>
      </c>
      <c r="K17" s="341">
        <v>1</v>
      </c>
      <c r="L17" s="341">
        <v>1</v>
      </c>
      <c r="M17" s="341">
        <v>1</v>
      </c>
      <c r="N17" s="342">
        <v>1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13.386698536875173</v>
      </c>
      <c r="H46" s="290">
        <f>IF(H$10="Prior",0,(H11*H29)*(Assumptions!H28-1))</f>
        <v>15.976104247941191</v>
      </c>
      <c r="I46" s="407">
        <f>IF(I$10="Prior",0,(I11*I29)*(Assumptions!I28-1))</f>
        <v>37.489472996326271</v>
      </c>
      <c r="J46" s="282">
        <f>IF(J$10="Prior",0,(J11*J29)*(Assumptions!J28-1))</f>
        <v>44.624367257607723</v>
      </c>
      <c r="K46" s="282">
        <f>IF(K$10="Prior",0,(K11*K29)*(Assumptions!K28-1))</f>
        <v>48.996093326246509</v>
      </c>
      <c r="L46" s="282">
        <f>IF(L$10="Prior",0,(L11*L29)*(Assumptions!L28-1))</f>
        <v>58.19074833845081</v>
      </c>
      <c r="M46" s="282">
        <f>IF(M$10="Prior",0,(M11*M29)*(Assumptions!M28-1))</f>
        <v>74.157724155848641</v>
      </c>
      <c r="N46" s="283">
        <f>IF(N$10="Prior",0,(N11*N29)*(Assumptions!N28-1))</f>
        <v>0</v>
      </c>
      <c r="O46" s="362">
        <f t="shared" ref="O46:O47" si="6">SUM(F46:N46)</f>
        <v>292.82120885929635</v>
      </c>
      <c r="P46" s="300">
        <f t="shared" ref="P46:P47" si="7">SUM(I46:M46)</f>
        <v>263.45840607447997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46.711033192499919</v>
      </c>
      <c r="H47" s="290">
        <f>IF(H$10="Prior",0,(H11*H30)*(Assumptions!H30-1))</f>
        <v>68.63543135097305</v>
      </c>
      <c r="I47" s="407">
        <f>IF(I$10="Prior",0,(I11*I30)*(Assumptions!I30-1))</f>
        <v>192.65596974831564</v>
      </c>
      <c r="J47" s="282">
        <f>IF(J$10="Prior",0,(J11*J30)*(Assumptions!J30-1))</f>
        <v>245.8971007102264</v>
      </c>
      <c r="K47" s="282">
        <f>IF(K$10="Prior",0,(K11*K30)*(Assumptions!K30-1))</f>
        <v>276.61234944347842</v>
      </c>
      <c r="L47" s="282">
        <f>IF(L$10="Prior",0,(L11*L30)*(Assumptions!L30-1))</f>
        <v>333.9808741638418</v>
      </c>
      <c r="M47" s="282">
        <f>IF(M$10="Prior",0,(M11*M30)*(Assumptions!M30-1))</f>
        <v>430.98858426835307</v>
      </c>
      <c r="N47" s="283">
        <f>IF(N$10="Prior",0,(N11*N30)*(Assumptions!N30-1))</f>
        <v>0</v>
      </c>
      <c r="O47" s="362">
        <f t="shared" si="6"/>
        <v>1595.4813428776883</v>
      </c>
      <c r="P47" s="300">
        <f t="shared" si="7"/>
        <v>1480.134878334215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60.097731729375091</v>
      </c>
      <c r="H48" s="253">
        <f t="shared" si="8"/>
        <v>84.611535598914244</v>
      </c>
      <c r="I48" s="408">
        <f t="shared" si="8"/>
        <v>230.14544274464191</v>
      </c>
      <c r="J48" s="5">
        <f t="shared" si="8"/>
        <v>290.5214679678341</v>
      </c>
      <c r="K48" s="5">
        <f t="shared" si="8"/>
        <v>325.60844276972495</v>
      </c>
      <c r="L48" s="5">
        <f t="shared" si="8"/>
        <v>392.17162250229262</v>
      </c>
      <c r="M48" s="5">
        <f t="shared" si="8"/>
        <v>505.14630842420172</v>
      </c>
      <c r="N48" s="286">
        <f t="shared" si="8"/>
        <v>0</v>
      </c>
      <c r="O48" s="433">
        <f>SUM(O46:O47)</f>
        <v>1888.3025517369847</v>
      </c>
      <c r="P48" s="434">
        <f>SUM(P46:P47)</f>
        <v>1743.5932844086951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60.097731729375091</v>
      </c>
      <c r="H49" s="253">
        <f t="shared" si="9"/>
        <v>84.611535598914244</v>
      </c>
      <c r="I49" s="408">
        <f t="shared" si="9"/>
        <v>230.14544274464191</v>
      </c>
      <c r="J49" s="5">
        <f t="shared" si="9"/>
        <v>290.5214679678341</v>
      </c>
      <c r="K49" s="5">
        <f t="shared" si="9"/>
        <v>325.60844276972495</v>
      </c>
      <c r="L49" s="5">
        <f t="shared" si="9"/>
        <v>392.17162250229262</v>
      </c>
      <c r="M49" s="5">
        <f t="shared" si="9"/>
        <v>505.14630842420172</v>
      </c>
      <c r="N49" s="286">
        <f t="shared" si="9"/>
        <v>0</v>
      </c>
      <c r="O49" s="370">
        <f>O44+O48</f>
        <v>1888.3025517369847</v>
      </c>
      <c r="P49" s="371">
        <f>P44+P48</f>
        <v>1743.5932844086951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1.8835754243782785E-2</v>
      </c>
      <c r="K50" s="443">
        <f t="shared" si="10"/>
        <v>2.4885316726972119E-2</v>
      </c>
      <c r="L50" s="443">
        <f t="shared" si="10"/>
        <v>3.149426464985132E-2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1.5487704710439826E-2</v>
      </c>
      <c r="P50" s="444">
        <f t="shared" si="10"/>
        <v>2.4121280934163634E-2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1432.385093101924</v>
      </c>
      <c r="G51" s="280">
        <f>(G29*G$11+G46)*Assumptions!$G$21</f>
        <v>2330.7476744237774</v>
      </c>
      <c r="H51" s="280">
        <f>(H29*H$11+H46)*Assumptions!$G$21</f>
        <v>1314.5258078132044</v>
      </c>
      <c r="I51" s="410">
        <f>(I29*I$11+I46)*Assumptions!$G$21</f>
        <v>1883.0109791184445</v>
      </c>
      <c r="J51" s="280">
        <f>(J29*J$11+J46)*Assumptions!$G$21</f>
        <v>1613.8660155758757</v>
      </c>
      <c r="K51" s="280">
        <f>(K29*K$11+K46)*Assumptions!$G$21</f>
        <v>1380.396170093044</v>
      </c>
      <c r="L51" s="280">
        <f>(L29*L$11+L46)*Assumptions!$G$21</f>
        <v>1325.4568625020713</v>
      </c>
      <c r="M51" s="280">
        <f>(M29*M$11+M46)*Assumptions!$G$21</f>
        <v>1415.9150886622449</v>
      </c>
      <c r="N51" s="281">
        <f>(N29*N$11+N46)*Assumptions!$G$21</f>
        <v>0</v>
      </c>
      <c r="O51" s="373">
        <f t="shared" ref="O51:O53" si="11">SUM(F51:N51)</f>
        <v>12696.303691290586</v>
      </c>
      <c r="P51" s="375">
        <f>SUM(I51:M51)</f>
        <v>7618.6451159516801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7161.9254655096192</v>
      </c>
      <c r="G52" s="282">
        <f>(G30*G$11+G47)*Assumptions!$G$21</f>
        <v>11633.173803349893</v>
      </c>
      <c r="H52" s="282">
        <f>(H30*H$11+H47)*Assumptions!$G$21</f>
        <v>6561.1937126942075</v>
      </c>
      <c r="I52" s="407">
        <f>(I30*I$11+I47)*Assumptions!$G$21</f>
        <v>9420.3516158530801</v>
      </c>
      <c r="J52" s="282">
        <f>(J30*J$11+J47)*Assumptions!$G$21</f>
        <v>8092.4906381282572</v>
      </c>
      <c r="K52" s="282">
        <f>(K30*K$11+K47)*Assumptions!$G$21</f>
        <v>6934.147859114516</v>
      </c>
      <c r="L52" s="282">
        <f>(L30*L$11+L47)*Assumptions!$G$21</f>
        <v>6671.0393475989449</v>
      </c>
      <c r="M52" s="282">
        <f>(M30*M$11+M47)*Assumptions!$G$21</f>
        <v>7140.7938272352994</v>
      </c>
      <c r="N52" s="283">
        <f>(N30*N$11+N47)*Assumptions!$G$21</f>
        <v>0</v>
      </c>
      <c r="O52" s="374">
        <f t="shared" si="11"/>
        <v>63615.11626948382</v>
      </c>
      <c r="P52" s="376">
        <f>SUM(I52:M52)</f>
        <v>38258.823287930099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5729.5403724076959</v>
      </c>
      <c r="G53" s="282">
        <f>(G31*G$11+G$44)*Assumptions!$G$21</f>
        <v>9268.5380367293255</v>
      </c>
      <c r="H53" s="282">
        <f>(H31*H$11+H$44)*Assumptions!$G$21</f>
        <v>5193.1177244999135</v>
      </c>
      <c r="I53" s="407">
        <f>(I31*I$11+I$44)*Assumptions!$G$21</f>
        <v>7379.5491428571431</v>
      </c>
      <c r="J53" s="282">
        <f>(J31*J$11+J$44)*Assumptions!$G$21</f>
        <v>6273.9468992481216</v>
      </c>
      <c r="K53" s="282">
        <f>(K31*K$11+K$44)*Assumptions!$G$21</f>
        <v>5322.2847819548879</v>
      </c>
      <c r="L53" s="282">
        <f>(L31*L$11+L$44)*Assumptions!$G$21</f>
        <v>5065.1267368421059</v>
      </c>
      <c r="M53" s="282">
        <f>(M31*M$11+M$44)*Assumptions!$G$21</f>
        <v>5362.0112661654148</v>
      </c>
      <c r="N53" s="283">
        <f>(N31*N$11+N$44)*Assumptions!$G$21</f>
        <v>0</v>
      </c>
      <c r="O53" s="374">
        <f t="shared" si="11"/>
        <v>49594.114960704603</v>
      </c>
      <c r="P53" s="376">
        <f>SUM(I53:M53)</f>
        <v>29402.918827067675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14323.850931019238</v>
      </c>
      <c r="G54" s="5">
        <f t="shared" si="12"/>
        <v>23232.459514502996</v>
      </c>
      <c r="H54" s="5">
        <f t="shared" si="12"/>
        <v>13068.837245007326</v>
      </c>
      <c r="I54" s="411">
        <f t="shared" si="12"/>
        <v>18682.911737828668</v>
      </c>
      <c r="J54" s="382">
        <f t="shared" si="12"/>
        <v>15980.303552952255</v>
      </c>
      <c r="K54" s="382">
        <f t="shared" si="12"/>
        <v>13636.828811162448</v>
      </c>
      <c r="L54" s="382">
        <f t="shared" si="12"/>
        <v>13061.622946943122</v>
      </c>
      <c r="M54" s="382">
        <f t="shared" si="12"/>
        <v>13918.72018206296</v>
      </c>
      <c r="N54" s="286">
        <f t="shared" si="12"/>
        <v>0</v>
      </c>
      <c r="O54" s="372">
        <f t="shared" si="12"/>
        <v>125905.534921479</v>
      </c>
      <c r="P54" s="428">
        <f t="shared" si="12"/>
        <v>75280.387230949447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1147.0786032079427</v>
      </c>
      <c r="G57" s="290">
        <f t="shared" ref="G57:N57" si="13">G54*G56</f>
        <v>1381.0485657444549</v>
      </c>
      <c r="H57" s="290">
        <f t="shared" si="13"/>
        <v>948.71507736181297</v>
      </c>
      <c r="I57" s="407">
        <f t="shared" si="13"/>
        <v>1647.5830694952449</v>
      </c>
      <c r="J57" s="282">
        <f t="shared" si="13"/>
        <v>1922.4247262150038</v>
      </c>
      <c r="K57" s="282">
        <f t="shared" si="13"/>
        <v>1779.3479102988858</v>
      </c>
      <c r="L57" s="282">
        <f t="shared" si="13"/>
        <v>1540.1012725381067</v>
      </c>
      <c r="M57" s="282">
        <f t="shared" si="13"/>
        <v>1545.5041731360398</v>
      </c>
      <c r="N57" s="283">
        <f t="shared" si="13"/>
        <v>0</v>
      </c>
      <c r="O57" s="309">
        <f>SUM(F57:N57)</f>
        <v>11911.803397997492</v>
      </c>
      <c r="P57" s="300">
        <f>SUM(I57:M57)</f>
        <v>8434.9611516832811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15470.929534227182</v>
      </c>
      <c r="G59" s="5">
        <f t="shared" si="14"/>
        <v>24613.508080247451</v>
      </c>
      <c r="H59" s="5">
        <f t="shared" si="14"/>
        <v>14017.552322369138</v>
      </c>
      <c r="I59" s="411">
        <f t="shared" si="14"/>
        <v>20330.494807323914</v>
      </c>
      <c r="J59" s="382">
        <f t="shared" si="14"/>
        <v>17902.728279167259</v>
      </c>
      <c r="K59" s="382">
        <f t="shared" si="14"/>
        <v>15416.176721461334</v>
      </c>
      <c r="L59" s="382">
        <f t="shared" si="14"/>
        <v>14601.724219481228</v>
      </c>
      <c r="M59" s="382">
        <f t="shared" si="14"/>
        <v>15464.224355199</v>
      </c>
      <c r="N59" s="418">
        <f>N54+N57</f>
        <v>0</v>
      </c>
      <c r="O59" s="419">
        <f t="shared" ref="O59:P59" si="15">O54+O57</f>
        <v>137817.33831947649</v>
      </c>
      <c r="P59" s="429">
        <f t="shared" si="15"/>
        <v>83715.348382632728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1147.0786032079427</v>
      </c>
      <c r="G60" s="290">
        <f t="shared" ref="G60:N60" si="16">G57+F60</f>
        <v>2528.1271689523974</v>
      </c>
      <c r="H60" s="290">
        <f t="shared" si="16"/>
        <v>3476.8422463142106</v>
      </c>
      <c r="I60" s="290">
        <f t="shared" si="16"/>
        <v>5124.4253158094552</v>
      </c>
      <c r="J60" s="290">
        <f t="shared" si="16"/>
        <v>7046.8500420244591</v>
      </c>
      <c r="K60" s="290">
        <f t="shared" si="16"/>
        <v>8826.1979523233458</v>
      </c>
      <c r="L60" s="290">
        <f t="shared" si="16"/>
        <v>10366.299224861452</v>
      </c>
      <c r="M60" s="290">
        <f t="shared" si="16"/>
        <v>11911.803397997492</v>
      </c>
      <c r="N60" s="290">
        <f t="shared" si="16"/>
        <v>11911.803397997492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60.097731729375091</v>
      </c>
      <c r="H61" s="252">
        <f t="shared" ref="H61:N61" si="17">H49+G61</f>
        <v>144.70926732828934</v>
      </c>
      <c r="I61" s="252">
        <f t="shared" si="17"/>
        <v>374.85471007293125</v>
      </c>
      <c r="J61" s="252">
        <f t="shared" si="17"/>
        <v>665.37617804076535</v>
      </c>
      <c r="K61" s="252">
        <f t="shared" si="17"/>
        <v>990.98462081049024</v>
      </c>
      <c r="L61" s="252">
        <f t="shared" si="17"/>
        <v>1383.1562433127829</v>
      </c>
      <c r="M61" s="252">
        <f t="shared" si="17"/>
        <v>1888.3025517369847</v>
      </c>
      <c r="N61" s="252">
        <f t="shared" si="17"/>
        <v>1888.3025517369847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15470.929534227182</v>
      </c>
      <c r="G64" s="280">
        <f t="shared" si="18"/>
        <v>24613.508080247451</v>
      </c>
      <c r="H64" s="280">
        <f t="shared" si="18"/>
        <v>14017.552322369138</v>
      </c>
      <c r="I64" s="415">
        <f t="shared" si="18"/>
        <v>20330.494807323914</v>
      </c>
      <c r="J64" s="380">
        <f t="shared" si="18"/>
        <v>17902.728279167259</v>
      </c>
      <c r="K64" s="380">
        <f t="shared" si="18"/>
        <v>15416.176721461334</v>
      </c>
      <c r="L64" s="380">
        <f t="shared" si="18"/>
        <v>14601.724219481228</v>
      </c>
      <c r="M64" s="380">
        <f t="shared" si="18"/>
        <v>15464.224355199</v>
      </c>
      <c r="N64" s="281">
        <f t="shared" si="18"/>
        <v>0</v>
      </c>
      <c r="O64" s="373">
        <f>SUM(F64:N64)</f>
        <v>137817.33831947652</v>
      </c>
      <c r="P64" s="430">
        <f>SUM(I64:M64)</f>
        <v>83715.348382632728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15470.929534227182</v>
      </c>
      <c r="G74" s="5">
        <f t="shared" ref="G74:N74" si="30">+SUM(G64:G73)</f>
        <v>24613.508080247451</v>
      </c>
      <c r="H74" s="5">
        <f t="shared" si="30"/>
        <v>14017.552322369138</v>
      </c>
      <c r="I74" s="411">
        <f t="shared" si="30"/>
        <v>20330.494807323914</v>
      </c>
      <c r="J74" s="382">
        <f t="shared" si="30"/>
        <v>17902.728279167259</v>
      </c>
      <c r="K74" s="382">
        <f t="shared" si="30"/>
        <v>15416.176721461334</v>
      </c>
      <c r="L74" s="382">
        <f t="shared" si="30"/>
        <v>14601.724219481228</v>
      </c>
      <c r="M74" s="382">
        <f t="shared" si="30"/>
        <v>15464.224355199</v>
      </c>
      <c r="N74" s="286">
        <f t="shared" si="30"/>
        <v>0</v>
      </c>
      <c r="O74" s="372">
        <f>SUM(O64:O73)</f>
        <v>137817.33831947652</v>
      </c>
      <c r="P74" s="428">
        <f>SUM(P64:P73)</f>
        <v>83715.348382632728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14085.561359153853</v>
      </c>
      <c r="G76" s="280">
        <f t="shared" si="32"/>
        <v>22785.869850000006</v>
      </c>
      <c r="H76" s="280">
        <f t="shared" si="32"/>
        <v>12766.814368918451</v>
      </c>
      <c r="I76" s="410">
        <f t="shared" si="32"/>
        <v>18141.960000000006</v>
      </c>
      <c r="J76" s="280">
        <f t="shared" si="32"/>
        <v>15423.936000000002</v>
      </c>
      <c r="K76" s="280">
        <f t="shared" si="32"/>
        <v>13084.36</v>
      </c>
      <c r="L76" s="280">
        <f t="shared" si="32"/>
        <v>12452.160000000003</v>
      </c>
      <c r="M76" s="280">
        <f t="shared" si="32"/>
        <v>13182.024000000005</v>
      </c>
      <c r="N76" s="281">
        <f t="shared" si="32"/>
        <v>0</v>
      </c>
      <c r="O76" s="377">
        <f>SUM(F76:N76)</f>
        <v>121922.68557807233</v>
      </c>
      <c r="P76" s="378">
        <f t="shared" ref="P76:P80" si="33">SUM(I76:M76)</f>
        <v>72284.440000000017</v>
      </c>
    </row>
    <row r="77" spans="1:16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60.097731729375091</v>
      </c>
      <c r="H77" s="282">
        <f>IF(H$10="Prior",0,IF(AND(H76&lt;&gt;0,SUM($F76:G76)=0),H76/SUM($F$76:H76)*H61,IF(H76&lt;&gt;0,SUM($F$76:H76)/SUM($F$11:H11)*H61-G83,0)))</f>
        <v>84.611535598914259</v>
      </c>
      <c r="I77" s="407">
        <f>IF(I$10="Prior",0,IF(AND(I76&lt;&gt;0,SUM($F76:H76)=0),I76/SUM($F$76:I76)*I61,IF(I76&lt;&gt;0,SUM($F$76:I76)/SUM($F$11:I11)*I61-H83,0)))</f>
        <v>230.14544274464191</v>
      </c>
      <c r="J77" s="282">
        <f>IF(J$10="Prior",0,IF(AND(J76&lt;&gt;0,SUM($F76:I76)=0),J76/SUM($F$76:J76)*J61,IF(J76&lt;&gt;0,SUM($F$76:J76)/SUM($F$11:J11)*J61-I83,0)))</f>
        <v>290.5214679678341</v>
      </c>
      <c r="K77" s="282">
        <f>IF(K$10="Prior",0,IF(AND(K76&lt;&gt;0,SUM($F76:J76)=0),K76/SUM($F$76:K76)*K61,IF(K76&lt;&gt;0,SUM($F$76:K76)/SUM($F$11:K11)*K61-J83,0)))</f>
        <v>325.60844276972489</v>
      </c>
      <c r="L77" s="282">
        <f>IF(L$10="Prior",0,IF(AND(L76&lt;&gt;0,SUM($F76:K76)=0),L76/SUM($F$76:L76)*L61,IF(L76&lt;&gt;0,SUM($F$76:L76)/SUM($F$11:L11)*L61-K83,0)))</f>
        <v>392.17162250229262</v>
      </c>
      <c r="M77" s="282">
        <f>IF(M$10="Prior",0,IF(AND(M76&lt;&gt;0,SUM($F76:L76)=0),M76/SUM($F$76:M76)*M61,IF(M76&lt;&gt;0,SUM($F$76:M76)/SUM($F$11:M11)*M61-L83,0)))</f>
        <v>505.14630842420183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1888.3025517369847</v>
      </c>
      <c r="P77" s="455">
        <f t="shared" si="33"/>
        <v>1743.5932844086954</v>
      </c>
    </row>
    <row r="78" spans="1:16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14085.561359153853</v>
      </c>
      <c r="G78" s="457">
        <f t="shared" ref="G78:N78" si="34">SUM(G76:G77)</f>
        <v>22845.967581729383</v>
      </c>
      <c r="H78" s="457">
        <f t="shared" si="34"/>
        <v>12851.425904517366</v>
      </c>
      <c r="I78" s="458">
        <f t="shared" si="34"/>
        <v>18372.105442744647</v>
      </c>
      <c r="J78" s="457">
        <f t="shared" si="34"/>
        <v>15714.457467967835</v>
      </c>
      <c r="K78" s="457">
        <f t="shared" si="34"/>
        <v>13409.968442769725</v>
      </c>
      <c r="L78" s="457">
        <f t="shared" si="34"/>
        <v>12844.331622502295</v>
      </c>
      <c r="M78" s="457">
        <f t="shared" si="34"/>
        <v>13687.170308424207</v>
      </c>
      <c r="N78" s="459">
        <f t="shared" si="34"/>
        <v>0</v>
      </c>
      <c r="O78" s="460">
        <f>SUM(F78:N78)</f>
        <v>123810.98812980931</v>
      </c>
      <c r="P78" s="461">
        <f t="shared" si="33"/>
        <v>74028.03328440871</v>
      </c>
    </row>
    <row r="79" spans="1:16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14323.850931019238</v>
      </c>
      <c r="G79" s="457">
        <f>G78*Assumptions!$G$21</f>
        <v>23232.459514503003</v>
      </c>
      <c r="H79" s="457">
        <f>H78*Assumptions!$G$21</f>
        <v>13068.837245007322</v>
      </c>
      <c r="I79" s="458">
        <f>I78*Assumptions!$G$21</f>
        <v>18682.911737828676</v>
      </c>
      <c r="J79" s="457">
        <f>J78*Assumptions!$G$21</f>
        <v>15980.303552952255</v>
      </c>
      <c r="K79" s="457">
        <f>K78*Assumptions!$G$21</f>
        <v>13636.828811162446</v>
      </c>
      <c r="L79" s="457">
        <f>L78*Assumptions!$G$21</f>
        <v>13061.622946943125</v>
      </c>
      <c r="M79" s="457">
        <f>M78*Assumptions!$G$21</f>
        <v>13918.720182062963</v>
      </c>
      <c r="N79" s="459">
        <f>N78*Assumptions!$G$21</f>
        <v>0</v>
      </c>
      <c r="O79" s="460">
        <f>SUM(F79:N79)</f>
        <v>125905.53492147903</v>
      </c>
      <c r="P79" s="461">
        <f t="shared" si="33"/>
        <v>75280.387230949476</v>
      </c>
    </row>
    <row r="80" spans="1:16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1147.0786032079427</v>
      </c>
      <c r="G80" s="282">
        <f>IF(G$10="Prior",G79*G56,IF(AND(G79&lt;&gt;0,SUM($F79:F79)=0),G79/SUM($F$54:G54)*G60,IF(G79&lt;&gt;0,SUM($F$79:G79)/SUM($F$54:G54)*G60-F82,0)))</f>
        <v>1381.0485657444551</v>
      </c>
      <c r="H80" s="282">
        <f>IF(H$10="Prior",H79*H56,IF(AND(H79&lt;&gt;0,SUM($F79:G79)=0),H79/SUM($F$54:H54)*H60,IF(H79&lt;&gt;0,SUM($F$79:H79)/SUM($F$54:H54)*H60-G82,0)))</f>
        <v>948.71507736181366</v>
      </c>
      <c r="I80" s="407">
        <f>IF(I$10="Prior",I79*I56,IF(AND(I79&lt;&gt;0,SUM($F79:H79)=0),I79/SUM($F$54:I54)*I60,IF(I79&lt;&gt;0,SUM($F$79:I79)/SUM($F$54:I54)*I60-H82,0)))</f>
        <v>1647.5830694952465</v>
      </c>
      <c r="J80" s="282">
        <f>IF(J$10="Prior",J79*J56,IF(AND(J79&lt;&gt;0,SUM($F79:I79)=0),J79/SUM($F$54:J54)*J60,IF(J79&lt;&gt;0,SUM($F$79:J79)/SUM($F$54:J54)*J60-I82,0)))</f>
        <v>1922.4247262150038</v>
      </c>
      <c r="K80" s="282">
        <f>IF(K$10="Prior",K79*K56,IF(AND(K79&lt;&gt;0,SUM($F79:J79)=0),K79/SUM($F$54:K54)*K60,IF(K79&lt;&gt;0,SUM($F$79:K79)/SUM($F$54:K54)*K60-J82,0)))</f>
        <v>1779.3479102988858</v>
      </c>
      <c r="L80" s="282">
        <f>IF(L$10="Prior",L79*L56,IF(AND(L79&lt;&gt;0,SUM($F79:K79)=0),L79/SUM($F$54:L54)*L60,IF(L79&lt;&gt;0,SUM($F$79:L79)/SUM($F$54:L54)*L60-K82,0)))</f>
        <v>1540.1012725381061</v>
      </c>
      <c r="M80" s="282">
        <f>IF(M$10="Prior",M79*M56,IF(AND(M79&lt;&gt;0,SUM($F79:L79)=0),M79/SUM($F$54:M54)*M60,IF(M79&lt;&gt;0,SUM($F$79:M79)/SUM($F$54:M54)*M60-L82,0)))</f>
        <v>1545.5041731360398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11911.803397997493</v>
      </c>
      <c r="P80" s="300">
        <f t="shared" si="33"/>
        <v>8434.9611516832811</v>
      </c>
    </row>
    <row r="81" spans="1:17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15470.929534227182</v>
      </c>
      <c r="G81" s="307">
        <f t="shared" ref="G81:P81" si="35">SUM(G79:G80)</f>
        <v>24613.508080247459</v>
      </c>
      <c r="H81" s="307">
        <f t="shared" si="35"/>
        <v>14017.552322369136</v>
      </c>
      <c r="I81" s="417">
        <f t="shared" si="35"/>
        <v>20330.494807323921</v>
      </c>
      <c r="J81" s="387">
        <f t="shared" si="35"/>
        <v>17902.728279167259</v>
      </c>
      <c r="K81" s="387">
        <f t="shared" si="35"/>
        <v>15416.176721461332</v>
      </c>
      <c r="L81" s="387">
        <f t="shared" si="35"/>
        <v>14601.724219481232</v>
      </c>
      <c r="M81" s="387">
        <f t="shared" si="35"/>
        <v>15464.224355199003</v>
      </c>
      <c r="N81" s="420">
        <f t="shared" si="35"/>
        <v>0</v>
      </c>
      <c r="O81" s="421">
        <f t="shared" si="35"/>
        <v>137817.33831947652</v>
      </c>
      <c r="P81" s="388">
        <f t="shared" si="35"/>
        <v>83715.348382632757</v>
      </c>
    </row>
    <row r="82" spans="1:17" outlineLevel="1">
      <c r="A82" s="6"/>
      <c r="B82" s="6"/>
      <c r="C82" s="6"/>
      <c r="D82" s="251" t="s">
        <v>286</v>
      </c>
      <c r="E82" s="251"/>
      <c r="F82" s="252">
        <f>F80</f>
        <v>1147.0786032079427</v>
      </c>
      <c r="G82" s="252">
        <f t="shared" ref="G82:N82" si="36">G80+F82</f>
        <v>2528.1271689523978</v>
      </c>
      <c r="H82" s="252">
        <f t="shared" si="36"/>
        <v>3476.8422463142115</v>
      </c>
      <c r="I82" s="252">
        <f t="shared" si="36"/>
        <v>5124.425315809458</v>
      </c>
      <c r="J82" s="252">
        <f t="shared" si="36"/>
        <v>7046.8500420244618</v>
      </c>
      <c r="K82" s="252">
        <f t="shared" si="36"/>
        <v>8826.1979523233476</v>
      </c>
      <c r="L82" s="252">
        <f t="shared" si="36"/>
        <v>10366.299224861454</v>
      </c>
      <c r="M82" s="252">
        <f t="shared" si="36"/>
        <v>11911.803397997493</v>
      </c>
      <c r="N82" s="252">
        <f t="shared" si="36"/>
        <v>11911.803397997493</v>
      </c>
      <c r="O82" s="12"/>
    </row>
    <row r="83" spans="1:17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60.097731729375091</v>
      </c>
      <c r="H83" s="252">
        <f t="shared" si="37"/>
        <v>144.70926732828934</v>
      </c>
      <c r="I83" s="252">
        <f t="shared" si="37"/>
        <v>374.85471007293125</v>
      </c>
      <c r="J83" s="252">
        <f t="shared" si="37"/>
        <v>665.37617804076535</v>
      </c>
      <c r="K83" s="252">
        <f t="shared" si="37"/>
        <v>990.98462081049024</v>
      </c>
      <c r="L83" s="252">
        <f t="shared" si="37"/>
        <v>1383.1562433127829</v>
      </c>
      <c r="M83" s="252">
        <f t="shared" si="37"/>
        <v>1888.3025517369847</v>
      </c>
      <c r="N83" s="252">
        <f t="shared" si="37"/>
        <v>1888.3025517369847</v>
      </c>
      <c r="O83" s="12"/>
    </row>
    <row r="84" spans="1:17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15470.929534227182</v>
      </c>
      <c r="G85" s="344">
        <f t="shared" si="38"/>
        <v>24613.508080247459</v>
      </c>
      <c r="H85" s="344">
        <f t="shared" si="38"/>
        <v>14017.552322369136</v>
      </c>
      <c r="I85" s="415">
        <f t="shared" si="38"/>
        <v>20330.494807323921</v>
      </c>
      <c r="J85" s="380">
        <f t="shared" si="38"/>
        <v>17902.728279167259</v>
      </c>
      <c r="K85" s="380">
        <f t="shared" si="38"/>
        <v>15416.176721461332</v>
      </c>
      <c r="L85" s="380">
        <f t="shared" si="38"/>
        <v>14601.724219481232</v>
      </c>
      <c r="M85" s="380">
        <f t="shared" si="38"/>
        <v>15464.224355199003</v>
      </c>
      <c r="N85" s="345">
        <f t="shared" si="38"/>
        <v>0</v>
      </c>
      <c r="O85" s="373">
        <f>SUM(F85:N85)</f>
        <v>137817.33831947652</v>
      </c>
      <c r="P85" s="430">
        <f t="shared" ref="P85:P94" si="39">SUM(I85:M85)</f>
        <v>83715.348382632743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15470.929534227182</v>
      </c>
      <c r="G95" s="5">
        <f t="shared" ref="G95" si="50">+SUM(G85:G94)</f>
        <v>24613.508080247459</v>
      </c>
      <c r="H95" s="5">
        <f t="shared" ref="H95:N95" si="51">+SUM(H85:H94)</f>
        <v>14017.552322369136</v>
      </c>
      <c r="I95" s="411">
        <f t="shared" si="51"/>
        <v>20330.494807323921</v>
      </c>
      <c r="J95" s="382">
        <f t="shared" si="51"/>
        <v>17902.728279167259</v>
      </c>
      <c r="K95" s="382">
        <f t="shared" si="51"/>
        <v>15416.176721461332</v>
      </c>
      <c r="L95" s="382">
        <f t="shared" si="51"/>
        <v>14601.724219481232</v>
      </c>
      <c r="M95" s="382">
        <f t="shared" si="51"/>
        <v>15464.224355199003</v>
      </c>
      <c r="N95" s="286">
        <f t="shared" si="51"/>
        <v>0</v>
      </c>
      <c r="O95" s="372">
        <f>SUM(O85:O94)</f>
        <v>137817.33831947652</v>
      </c>
      <c r="P95" s="428">
        <f>SUM(P85:P94)</f>
        <v>83715.348382632743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9268.5380367293255</v>
      </c>
      <c r="H118" s="191">
        <f t="shared" si="62"/>
        <v>5193.1177244999135</v>
      </c>
      <c r="I118" s="191">
        <f t="shared" si="62"/>
        <v>7379.5491428571431</v>
      </c>
      <c r="J118" s="191">
        <f t="shared" si="62"/>
        <v>6273.9468992481216</v>
      </c>
      <c r="K118" s="191">
        <f t="shared" si="62"/>
        <v>5322.2847819548879</v>
      </c>
      <c r="L118" s="191">
        <f t="shared" si="62"/>
        <v>5065.1267368421059</v>
      </c>
      <c r="M118" s="191">
        <f t="shared" si="62"/>
        <v>5362.0112661654148</v>
      </c>
      <c r="N118" s="191">
        <f t="shared" si="62"/>
        <v>0</v>
      </c>
      <c r="O118" s="191">
        <f t="shared" si="60"/>
        <v>43864.574588296913</v>
      </c>
      <c r="P118" s="191">
        <f t="shared" si="61"/>
        <v>29402.918827067675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9268.5380367293255</v>
      </c>
      <c r="H120" s="191">
        <f t="shared" ref="H120:P120" si="63">SUM(H111:H119)</f>
        <v>5193.1177244999135</v>
      </c>
      <c r="I120" s="191">
        <f t="shared" si="63"/>
        <v>7379.5491428571431</v>
      </c>
      <c r="J120" s="191">
        <f t="shared" si="63"/>
        <v>6273.9468992481216</v>
      </c>
      <c r="K120" s="191">
        <f t="shared" si="63"/>
        <v>5322.2847819548879</v>
      </c>
      <c r="L120" s="191">
        <f t="shared" si="63"/>
        <v>5065.1267368421059</v>
      </c>
      <c r="M120" s="191">
        <f t="shared" si="63"/>
        <v>5362.0112661654148</v>
      </c>
      <c r="N120" s="191">
        <f t="shared" si="63"/>
        <v>0</v>
      </c>
      <c r="O120" s="191">
        <f t="shared" si="63"/>
        <v>43864.574588296913</v>
      </c>
      <c r="P120" s="191">
        <f t="shared" si="63"/>
        <v>29402.918827067675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2330.7476744237774</v>
      </c>
      <c r="H130" s="191">
        <f t="shared" si="67"/>
        <v>1314.5258078132044</v>
      </c>
      <c r="I130" s="191">
        <f t="shared" si="67"/>
        <v>1883.0109791184445</v>
      </c>
      <c r="J130" s="191">
        <f t="shared" si="67"/>
        <v>1613.8660155758757</v>
      </c>
      <c r="K130" s="191">
        <f t="shared" si="67"/>
        <v>1380.396170093044</v>
      </c>
      <c r="L130" s="191">
        <f t="shared" si="67"/>
        <v>1325.4568625020713</v>
      </c>
      <c r="M130" s="191">
        <f t="shared" si="67"/>
        <v>1415.9150886622449</v>
      </c>
      <c r="N130" s="191">
        <f t="shared" si="67"/>
        <v>0</v>
      </c>
      <c r="O130" s="191">
        <f t="shared" si="65"/>
        <v>11263.91859818866</v>
      </c>
      <c r="P130" s="191">
        <f t="shared" si="66"/>
        <v>7618.6451159516801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2330.7476744237774</v>
      </c>
      <c r="H132" s="191">
        <f t="shared" ref="H132:P132" si="68">SUM(H123:H131)</f>
        <v>1314.5258078132044</v>
      </c>
      <c r="I132" s="191">
        <f t="shared" si="68"/>
        <v>1883.0109791184445</v>
      </c>
      <c r="J132" s="191">
        <f t="shared" si="68"/>
        <v>1613.8660155758757</v>
      </c>
      <c r="K132" s="191">
        <f t="shared" si="68"/>
        <v>1380.396170093044</v>
      </c>
      <c r="L132" s="191">
        <f t="shared" si="68"/>
        <v>1325.4568625020713</v>
      </c>
      <c r="M132" s="191">
        <f t="shared" si="68"/>
        <v>1415.9150886622449</v>
      </c>
      <c r="N132" s="191">
        <f t="shared" si="68"/>
        <v>0</v>
      </c>
      <c r="O132" s="191">
        <f t="shared" si="68"/>
        <v>11263.91859818866</v>
      </c>
      <c r="P132" s="191">
        <f t="shared" si="68"/>
        <v>7618.6451159516801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11633.173803349893</v>
      </c>
      <c r="H142" s="191">
        <f t="shared" si="72"/>
        <v>6561.1937126942075</v>
      </c>
      <c r="I142" s="191">
        <f t="shared" si="72"/>
        <v>9420.3516158530801</v>
      </c>
      <c r="J142" s="191">
        <f t="shared" si="72"/>
        <v>8092.4906381282572</v>
      </c>
      <c r="K142" s="191">
        <f t="shared" si="72"/>
        <v>6934.147859114516</v>
      </c>
      <c r="L142" s="191">
        <f t="shared" si="72"/>
        <v>6671.0393475989449</v>
      </c>
      <c r="M142" s="191">
        <f t="shared" si="72"/>
        <v>7140.7938272352994</v>
      </c>
      <c r="N142" s="191">
        <f t="shared" si="72"/>
        <v>0</v>
      </c>
      <c r="O142" s="191">
        <f t="shared" si="70"/>
        <v>56453.190803974197</v>
      </c>
      <c r="P142" s="191">
        <f t="shared" si="71"/>
        <v>38258.823287930099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11633.173803349893</v>
      </c>
      <c r="H144" s="191">
        <f t="shared" ref="H144:P144" si="73">SUM(H135:H143)</f>
        <v>6561.1937126942075</v>
      </c>
      <c r="I144" s="191">
        <f t="shared" si="73"/>
        <v>9420.3516158530801</v>
      </c>
      <c r="J144" s="191">
        <f t="shared" si="73"/>
        <v>8092.4906381282572</v>
      </c>
      <c r="K144" s="191">
        <f t="shared" si="73"/>
        <v>6934.147859114516</v>
      </c>
      <c r="L144" s="191">
        <f t="shared" si="73"/>
        <v>6671.0393475989449</v>
      </c>
      <c r="M144" s="191">
        <f t="shared" si="73"/>
        <v>7140.7938272352994</v>
      </c>
      <c r="N144" s="191">
        <f t="shared" si="73"/>
        <v>0</v>
      </c>
      <c r="O144" s="191">
        <f t="shared" si="73"/>
        <v>56453.190803974197</v>
      </c>
      <c r="P144" s="191">
        <f t="shared" si="73"/>
        <v>38258.823287930099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23232.459514502996</v>
      </c>
      <c r="H154" s="191">
        <f t="shared" si="74"/>
        <v>13068.837245007326</v>
      </c>
      <c r="I154" s="191">
        <f t="shared" si="74"/>
        <v>18682.911737828668</v>
      </c>
      <c r="J154" s="191">
        <f t="shared" si="74"/>
        <v>15980.303552952253</v>
      </c>
      <c r="K154" s="191">
        <f t="shared" si="74"/>
        <v>13636.828811162448</v>
      </c>
      <c r="L154" s="191">
        <f t="shared" si="74"/>
        <v>13061.622946943122</v>
      </c>
      <c r="M154" s="191">
        <f t="shared" si="74"/>
        <v>13918.72018206296</v>
      </c>
      <c r="N154" s="191">
        <f t="shared" si="74"/>
        <v>0</v>
      </c>
      <c r="O154" s="191">
        <f t="shared" si="75"/>
        <v>111581.68399045977</v>
      </c>
      <c r="P154" s="191">
        <f t="shared" si="76"/>
        <v>75280.387230949447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23232.459514502996</v>
      </c>
      <c r="H156" s="191">
        <f t="shared" ref="H156:N156" si="77">SUM(H147:H155)</f>
        <v>13068.837245007326</v>
      </c>
      <c r="I156" s="191">
        <f t="shared" si="77"/>
        <v>18682.911737828668</v>
      </c>
      <c r="J156" s="191">
        <f t="shared" si="77"/>
        <v>15980.303552952253</v>
      </c>
      <c r="K156" s="191">
        <f t="shared" si="77"/>
        <v>13636.828811162448</v>
      </c>
      <c r="L156" s="191">
        <f t="shared" si="77"/>
        <v>13061.622946943122</v>
      </c>
      <c r="M156" s="191">
        <f t="shared" si="77"/>
        <v>13918.72018206296</v>
      </c>
      <c r="N156" s="191">
        <f t="shared" si="77"/>
        <v>0</v>
      </c>
      <c r="O156" s="191">
        <f t="shared" ref="O156:P156" si="78">SUM(O147:O155)</f>
        <v>111581.68399045977</v>
      </c>
      <c r="P156" s="191">
        <f t="shared" si="78"/>
        <v>75280.387230949447</v>
      </c>
    </row>
    <row r="157" spans="4:16" collapsed="1"/>
  </sheetData>
  <mergeCells count="1">
    <mergeCell ref="C13:C14"/>
  </mergeCells>
  <phoneticPr fontId="6" type="noConversion"/>
  <conditionalFormatting sqref="R14">
    <cfRule type="cellIs" dxfId="27" priority="4" operator="equal">
      <formula>"Error"</formula>
    </cfRule>
  </conditionalFormatting>
  <conditionalFormatting sqref="R11">
    <cfRule type="cellIs" dxfId="26" priority="3" operator="equal">
      <formula>"Error"</formula>
    </cfRule>
  </conditionalFormatting>
  <conditionalFormatting sqref="R54">
    <cfRule type="cellIs" dxfId="2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Project_Inputs!B43</f>
        <v>0</v>
      </c>
      <c r="F3" s="249" t="s">
        <v>63</v>
      </c>
      <c r="G3" s="249">
        <f>Project_Inputs!F43</f>
        <v>0</v>
      </c>
    </row>
    <row r="4" spans="1:21" ht="18.75">
      <c r="A4" s="6"/>
      <c r="B4" s="6"/>
      <c r="C4" s="13" t="s">
        <v>15</v>
      </c>
      <c r="D4" s="339" t="str">
        <f>Project_Inputs!D43</f>
        <v>Comms program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Project_Inputs!H43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Project_Inputs!I43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Project_Inputs!J43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8855.1718599545093</v>
      </c>
      <c r="G11" s="319">
        <f>IF(G$10="Prior",SUMIFS(Project_Inputs!$W$5:$W$50,Project_Inputs!$D$5:$D$50,$D$4),SUMIFS(Project_Inputs!M$5:M$50,Project_Inputs!$D$5:$D$50,$D$4))</f>
        <v>6202.7849999999999</v>
      </c>
      <c r="H11" s="389">
        <f>IF(H$10="Prior",SUMIFS(Project_Inputs!$W$5:$W$50,Project_Inputs!$D$5:$D$50,$D$4),SUMIFS(Project_Inputs!N$5:N$50,Project_Inputs!$D$5:$D$50,$D$4))</f>
        <v>13342.880298567632</v>
      </c>
      <c r="I11" s="399">
        <f>IF(I$10="Prior",SUMIFS(Project_Inputs!$W$5:$W$50,Project_Inputs!$D$5:$D$50,$D$4),SUMIFS(Project_Inputs!O$5:O$50,Project_Inputs!$D$5:$D$50,$D$4))</f>
        <v>7580.3028312480001</v>
      </c>
      <c r="J11" s="320">
        <f>IF(J$10="Prior",SUMIFS(Project_Inputs!$W$5:$W$50,Project_Inputs!$D$5:$D$50,$D$4),SUMIFS(Project_Inputs!P$5:P$50,Project_Inputs!$D$5:$D$50,$D$4))</f>
        <v>10237.379268479999</v>
      </c>
      <c r="K11" s="320">
        <f>IF(K$10="Prior",SUMIFS(Project_Inputs!$W$5:$W$50,Project_Inputs!$D$5:$D$50,$D$4),SUMIFS(Project_Inputs!Q$5:Q$50,Project_Inputs!$D$5:$D$50,$D$4))</f>
        <v>11615.811615241275</v>
      </c>
      <c r="L11" s="320">
        <f>IF(L$10="Prior",SUMIFS(Project_Inputs!$W$5:$W$50,Project_Inputs!$D$5:$D$50,$D$4),SUMIFS(Project_Inputs!R$5:R$50,Project_Inputs!$D$5:$D$50,$D$4))</f>
        <v>10695.037468081275</v>
      </c>
      <c r="M11" s="320">
        <f>IF(M$10="Prior",SUMIFS(Project_Inputs!$W$5:$W$50,Project_Inputs!$D$5:$D$50,$D$4),SUMIFS(Project_Inputs!S$5:S$50,Project_Inputs!$D$5:$D$50,$D$4))</f>
        <v>6484.6310911212749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75013.999432693978</v>
      </c>
      <c r="P11" s="300">
        <f t="shared" ref="P11" si="0">SUM(I11:M11)</f>
        <v>46613.162274171831</v>
      </c>
      <c r="R11" s="608" t="str">
        <f>IF(O11=Project_Inputs!V43,"ok","error")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8855.1718599545093</v>
      </c>
      <c r="G14" s="447">
        <f>IF($G$3="Yes",SUMIFS(Project_Inputs!AK$5:AK$50,Project_Inputs!$D$5:$D$50,$D$4),IF(AND(G$13="X",G$10="Prior"),G11,IF(G$13="X",SUM($F11:G11)-SUM(F14:$F14),0)))</f>
        <v>6202.7849999999999</v>
      </c>
      <c r="H14" s="447">
        <f>IF($G$3="Yes",SUMIFS(Project_Inputs!AL$5:AL$50,Project_Inputs!$D$5:$D$50,$D$4),IF(AND(H$13="X",H$10="Prior"),H11,IF(H$13="X",SUM($F11:H11)-SUM($F14:G14),0)))</f>
        <v>13342.88029856763</v>
      </c>
      <c r="I14" s="448">
        <f>IF($G$3="Yes",SUMIFS(Project_Inputs!AM$5:AM$50,Project_Inputs!$D$5:$D$50,$D$4),IF(AND(I$13="X",I$10="Prior"),I11,IF(I$13="X",SUM($F11:I11)-SUM($F14:H14),0)))</f>
        <v>7580.3028312480019</v>
      </c>
      <c r="J14" s="447">
        <f>IF($G$3="Yes",SUMIFS(Project_Inputs!AN$5:AN$50,Project_Inputs!$D$5:$D$50,$D$4),IF(AND(J$13="X",J$10="Prior"),J11,IF(J$13="X",SUM($F11:J11)-SUM($F14:I14),0)))</f>
        <v>10237.379268479999</v>
      </c>
      <c r="K14" s="447">
        <f>IF($G$3="Yes",SUMIFS(Project_Inputs!AO$5:AO$50,Project_Inputs!$D$5:$D$50,$D$4),IF(AND(K$13="X",K$10="Prior"),K11,IF(K$13="X",SUM($F11:K11)-SUM($F14:J14),0)))</f>
        <v>11615.811615241277</v>
      </c>
      <c r="L14" s="447">
        <f>IF($G$3="Yes",SUMIFS(Project_Inputs!AP$5:AP$50,Project_Inputs!$D$5:$D$50,$D$4),IF(AND(L$13="X",L$10="Prior"),L11,IF(L$13="X",SUM($F11:L11)-SUM($F14:K14),0)))</f>
        <v>10695.037468081282</v>
      </c>
      <c r="M14" s="447">
        <f>IF($G$3="Yes",SUMIFS(Project_Inputs!AQ$5:AQ$50,Project_Inputs!$D$5:$D$50,$D$4),IF(AND(M$13="X",M$10="Prior"),M11,IF(M$13="X",SUM($F11:M11)-SUM($F14:L14),0)))</f>
        <v>6484.6310911212786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75013.999432693978</v>
      </c>
      <c r="P14" s="451">
        <f>SUM(I14:M14)</f>
        <v>46613.162274171838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1</v>
      </c>
      <c r="G23" s="341">
        <v>1</v>
      </c>
      <c r="H23" s="392">
        <v>1</v>
      </c>
      <c r="I23" s="404">
        <v>1</v>
      </c>
      <c r="J23" s="341">
        <v>1</v>
      </c>
      <c r="K23" s="341">
        <v>1</v>
      </c>
      <c r="L23" s="341">
        <v>1</v>
      </c>
      <c r="M23" s="341">
        <v>1</v>
      </c>
      <c r="N23" s="342">
        <v>1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3.6441361875000462</v>
      </c>
      <c r="H46" s="290">
        <f>IF(H$10="Prior",0,(H11*H29)*(Assumptions!H28-1))</f>
        <v>16.696980190820753</v>
      </c>
      <c r="I46" s="407">
        <f>IF(I$10="Prior",0,(I11*I29)*(Assumptions!I28-1))</f>
        <v>15.664325039634496</v>
      </c>
      <c r="J46" s="282">
        <f>IF(J$10="Prior",0,(J11*J29)*(Assumptions!J28-1))</f>
        <v>29.618676596691721</v>
      </c>
      <c r="K46" s="282">
        <f>IF(K$10="Prior",0,(K11*K29)*(Assumptions!K28-1))</f>
        <v>43.496922276707437</v>
      </c>
      <c r="L46" s="282">
        <f>IF(L$10="Prior",0,(L11*L29)*(Assumptions!L28-1))</f>
        <v>49.979460091696509</v>
      </c>
      <c r="M46" s="282">
        <f>IF(M$10="Prior",0,(M11*M29)*(Assumptions!M28-1))</f>
        <v>36.480398132169327</v>
      </c>
      <c r="N46" s="283">
        <f>IF(N$10="Prior",0,(N11*N29)*(Assumptions!N28-1))</f>
        <v>0</v>
      </c>
      <c r="O46" s="362">
        <f t="shared" ref="O46:O47" si="6">SUM(F46:N46)</f>
        <v>195.58089851522033</v>
      </c>
      <c r="P46" s="300">
        <f t="shared" ref="P46:P47" si="7">SUM(I46:M46)</f>
        <v>175.23978213689952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12.715709249999977</v>
      </c>
      <c r="H47" s="290">
        <f>IF(H$10="Prior",0,(H11*H30)*(Assumptions!H30-1))</f>
        <v>71.732408594123811</v>
      </c>
      <c r="I47" s="407">
        <f>IF(I$10="Prior",0,(I11*I30)*(Assumptions!I30-1))</f>
        <v>80.497950218167503</v>
      </c>
      <c r="J47" s="282">
        <f>IF(J$10="Prior",0,(J11*J30)*(Assumptions!J30-1))</f>
        <v>163.21008340479435</v>
      </c>
      <c r="K47" s="282">
        <f>IF(K$10="Prior",0,(K11*K30)*(Assumptions!K30-1))</f>
        <v>245.56622880941327</v>
      </c>
      <c r="L47" s="282">
        <f>IF(L$10="Prior",0,(L11*L30)*(Assumptions!L30-1))</f>
        <v>286.85288036813097</v>
      </c>
      <c r="M47" s="282">
        <f>IF(M$10="Prior",0,(M11*M30)*(Assumptions!M30-1))</f>
        <v>212.01614967966256</v>
      </c>
      <c r="N47" s="283">
        <f>IF(N$10="Prior",0,(N11*N30)*(Assumptions!N30-1))</f>
        <v>0</v>
      </c>
      <c r="O47" s="362">
        <f t="shared" si="6"/>
        <v>1072.5914103242924</v>
      </c>
      <c r="P47" s="300">
        <f t="shared" si="7"/>
        <v>988.14329248016872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16.359845437500024</v>
      </c>
      <c r="H48" s="253">
        <f t="shared" si="8"/>
        <v>88.429388784944564</v>
      </c>
      <c r="I48" s="408">
        <f t="shared" si="8"/>
        <v>96.162275257801994</v>
      </c>
      <c r="J48" s="5">
        <f t="shared" si="8"/>
        <v>192.82876000148607</v>
      </c>
      <c r="K48" s="5">
        <f t="shared" si="8"/>
        <v>289.06315108612068</v>
      </c>
      <c r="L48" s="5">
        <f t="shared" si="8"/>
        <v>336.83234045982749</v>
      </c>
      <c r="M48" s="5">
        <f t="shared" si="8"/>
        <v>248.49654781183187</v>
      </c>
      <c r="N48" s="286">
        <f t="shared" si="8"/>
        <v>0</v>
      </c>
      <c r="O48" s="433">
        <f>SUM(O46:O47)</f>
        <v>1268.1723088395127</v>
      </c>
      <c r="P48" s="434">
        <f>SUM(P46:P47)</f>
        <v>1163.3830746170684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16.359845437500024</v>
      </c>
      <c r="H49" s="253">
        <f t="shared" si="9"/>
        <v>88.429388784944564</v>
      </c>
      <c r="I49" s="408">
        <f t="shared" si="9"/>
        <v>96.162275257801994</v>
      </c>
      <c r="J49" s="5">
        <f t="shared" si="9"/>
        <v>192.82876000148607</v>
      </c>
      <c r="K49" s="5">
        <f t="shared" si="9"/>
        <v>289.06315108612068</v>
      </c>
      <c r="L49" s="5">
        <f t="shared" si="9"/>
        <v>336.83234045982749</v>
      </c>
      <c r="M49" s="5">
        <f t="shared" si="9"/>
        <v>248.49654781183187</v>
      </c>
      <c r="N49" s="286">
        <f t="shared" si="9"/>
        <v>0</v>
      </c>
      <c r="O49" s="370">
        <f>O44+O48</f>
        <v>1268.1723088395127</v>
      </c>
      <c r="P49" s="371">
        <f>P44+P48</f>
        <v>1163.3830746170684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3.1494264649851327E-2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1.6905808494818028E-2</v>
      </c>
      <c r="P50" s="444">
        <f t="shared" si="10"/>
        <v>2.4958252516193144E-2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900.49773989387029</v>
      </c>
      <c r="G51" s="280">
        <f>(G29*G$11+G46)*Assumptions!$G$21</f>
        <v>634.47771837864207</v>
      </c>
      <c r="H51" s="280">
        <f>(H29*H$11+H46)*Assumptions!$G$21</f>
        <v>1373.8400196160585</v>
      </c>
      <c r="I51" s="410">
        <f>(I29*I$11+I46)*Assumptions!$G$21</f>
        <v>786.78342672360736</v>
      </c>
      <c r="J51" s="280">
        <f>(J29*J$11+J46)*Assumptions!$G$21</f>
        <v>1071.1765459841697</v>
      </c>
      <c r="K51" s="280">
        <f>(K29*K$11+K46)*Assumptions!$G$21</f>
        <v>1225.4647431132553</v>
      </c>
      <c r="L51" s="280">
        <f>(L29*L$11+L46)*Assumptions!$G$21</f>
        <v>1138.4218325804602</v>
      </c>
      <c r="M51" s="280">
        <f>(M29*M$11+M46)*Assumptions!$G$21</f>
        <v>696.53089740444477</v>
      </c>
      <c r="N51" s="281">
        <f>(N29*N$11+N46)*Assumptions!$G$21</f>
        <v>0</v>
      </c>
      <c r="O51" s="373">
        <f t="shared" ref="O51:O53" si="11">SUM(F51:N51)</f>
        <v>7827.1929236945089</v>
      </c>
      <c r="P51" s="375">
        <f>SUM(I51:M51)</f>
        <v>4918.377445805937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4502.4886994693516</v>
      </c>
      <c r="G52" s="282">
        <f>(G30*G$11+G47)*Assumptions!$G$21</f>
        <v>3166.7904909854328</v>
      </c>
      <c r="H52" s="282">
        <f>(H30*H$11+H47)*Assumptions!$G$21</f>
        <v>6857.2487853608372</v>
      </c>
      <c r="I52" s="407">
        <f>(I30*I$11+I47)*Assumptions!$G$21</f>
        <v>3936.1302761665656</v>
      </c>
      <c r="J52" s="282">
        <f>(J30*J$11+J47)*Assumptions!$G$21</f>
        <v>5371.2551639959274</v>
      </c>
      <c r="K52" s="282">
        <f>(K30*K$11+K47)*Assumptions!$G$21</f>
        <v>6155.8803979486047</v>
      </c>
      <c r="L52" s="282">
        <f>(L30*L$11+L47)*Assumptions!$G$21</f>
        <v>5729.6899311938796</v>
      </c>
      <c r="M52" s="282">
        <f>(M30*M$11+M47)*Assumptions!$G$21</f>
        <v>3512.7696374530124</v>
      </c>
      <c r="N52" s="283">
        <f>(N30*N$11+N47)*Assumptions!$G$21</f>
        <v>0</v>
      </c>
      <c r="O52" s="374">
        <f t="shared" si="11"/>
        <v>39232.25338257361</v>
      </c>
      <c r="P52" s="376">
        <f>SUM(I52:M52)</f>
        <v>24705.725406757989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3601.9909595754812</v>
      </c>
      <c r="G53" s="282">
        <f>(G31*G$11+G$44)*Assumptions!$G$21</f>
        <v>2523.087733082707</v>
      </c>
      <c r="H53" s="282">
        <f>(H31*H$11+H$44)*Assumptions!$G$21</f>
        <v>5427.4422868609699</v>
      </c>
      <c r="I53" s="407">
        <f>(I31*I$11+I$44)*Assumptions!$G$21</f>
        <v>3083.4164148159161</v>
      </c>
      <c r="J53" s="282">
        <f>(J31*J$11+J$44)*Assumptions!$G$21</f>
        <v>4164.2272062012635</v>
      </c>
      <c r="K53" s="282">
        <f>(K31*K$11+K$44)*Assumptions!$G$21</f>
        <v>4724.927882590624</v>
      </c>
      <c r="L53" s="282">
        <f>(L31*L$11+L$44)*Assumptions!$G$21</f>
        <v>4350.3874212270457</v>
      </c>
      <c r="M53" s="282">
        <f>(M31*M$11+M$44)*Assumptions!$G$21</f>
        <v>2637.733398719256</v>
      </c>
      <c r="N53" s="283">
        <f>(N31*N$11+N$44)*Assumptions!$G$21</f>
        <v>0</v>
      </c>
      <c r="O53" s="374">
        <f t="shared" si="11"/>
        <v>30513.213303073258</v>
      </c>
      <c r="P53" s="376">
        <f>SUM(I53:M53)</f>
        <v>18960.692323554103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9004.9773989387031</v>
      </c>
      <c r="G54" s="5">
        <f t="shared" si="12"/>
        <v>6324.3559424467821</v>
      </c>
      <c r="H54" s="5">
        <f t="shared" si="12"/>
        <v>13658.531091837867</v>
      </c>
      <c r="I54" s="411">
        <f t="shared" si="12"/>
        <v>7806.3301177060894</v>
      </c>
      <c r="J54" s="382">
        <f t="shared" si="12"/>
        <v>10606.658916181361</v>
      </c>
      <c r="K54" s="382">
        <f t="shared" si="12"/>
        <v>12106.273023652484</v>
      </c>
      <c r="L54" s="382">
        <f t="shared" si="12"/>
        <v>11218.499185001387</v>
      </c>
      <c r="M54" s="382">
        <f t="shared" si="12"/>
        <v>6847.033933576713</v>
      </c>
      <c r="N54" s="286">
        <f t="shared" si="12"/>
        <v>0</v>
      </c>
      <c r="O54" s="372">
        <f t="shared" si="12"/>
        <v>77572.659609341383</v>
      </c>
      <c r="P54" s="428">
        <f t="shared" si="12"/>
        <v>48584.79517611803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721.13406837575155</v>
      </c>
      <c r="G57" s="290">
        <f t="shared" ref="G57:N57" si="13">G54*G56</f>
        <v>375.94998059164368</v>
      </c>
      <c r="H57" s="290">
        <f t="shared" si="13"/>
        <v>991.52312776655333</v>
      </c>
      <c r="I57" s="407">
        <f t="shared" si="13"/>
        <v>688.41396444546649</v>
      </c>
      <c r="J57" s="282">
        <f t="shared" si="13"/>
        <v>1275.9772238011631</v>
      </c>
      <c r="K57" s="282">
        <f t="shared" si="13"/>
        <v>1579.6393651661285</v>
      </c>
      <c r="L57" s="282">
        <f t="shared" si="13"/>
        <v>1322.7778003522847</v>
      </c>
      <c r="M57" s="282">
        <f t="shared" si="13"/>
        <v>760.27963631196849</v>
      </c>
      <c r="N57" s="283">
        <f t="shared" si="13"/>
        <v>0</v>
      </c>
      <c r="O57" s="309">
        <f>SUM(F57:N57)</f>
        <v>7715.6951668109596</v>
      </c>
      <c r="P57" s="300">
        <f>SUM(I57:M57)</f>
        <v>5627.0879900770115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9726.1114673144548</v>
      </c>
      <c r="G59" s="5">
        <f t="shared" si="14"/>
        <v>6700.305923038426</v>
      </c>
      <c r="H59" s="5">
        <f t="shared" si="14"/>
        <v>14650.054219604421</v>
      </c>
      <c r="I59" s="411">
        <f t="shared" si="14"/>
        <v>8494.7440821515556</v>
      </c>
      <c r="J59" s="382">
        <f t="shared" si="14"/>
        <v>11882.636139982524</v>
      </c>
      <c r="K59" s="382">
        <f t="shared" si="14"/>
        <v>13685.912388818613</v>
      </c>
      <c r="L59" s="382">
        <f t="shared" si="14"/>
        <v>12541.276985353672</v>
      </c>
      <c r="M59" s="382">
        <f t="shared" si="14"/>
        <v>7607.3135698886817</v>
      </c>
      <c r="N59" s="418">
        <f>N54+N57</f>
        <v>0</v>
      </c>
      <c r="O59" s="419">
        <f t="shared" ref="O59:P59" si="15">O54+O57</f>
        <v>85288.354776152337</v>
      </c>
      <c r="P59" s="429">
        <f t="shared" si="15"/>
        <v>54211.883166195039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721.13406837575155</v>
      </c>
      <c r="G60" s="290">
        <f t="shared" ref="G60:N60" si="16">G57+F60</f>
        <v>1097.0840489673951</v>
      </c>
      <c r="H60" s="290">
        <f t="shared" si="16"/>
        <v>2088.6071767339486</v>
      </c>
      <c r="I60" s="290">
        <f t="shared" si="16"/>
        <v>2777.0211411794153</v>
      </c>
      <c r="J60" s="290">
        <f t="shared" si="16"/>
        <v>4052.9983649805781</v>
      </c>
      <c r="K60" s="290">
        <f t="shared" si="16"/>
        <v>5632.6377301467064</v>
      </c>
      <c r="L60" s="290">
        <f t="shared" si="16"/>
        <v>6955.4155304989908</v>
      </c>
      <c r="M60" s="290">
        <f t="shared" si="16"/>
        <v>7715.6951668109596</v>
      </c>
      <c r="N60" s="290">
        <f t="shared" si="16"/>
        <v>7715.6951668109596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16.359845437500024</v>
      </c>
      <c r="H61" s="252">
        <f t="shared" ref="H61:N61" si="17">H49+G61</f>
        <v>104.78923422244459</v>
      </c>
      <c r="I61" s="252">
        <f t="shared" si="17"/>
        <v>200.95150948024659</v>
      </c>
      <c r="J61" s="252">
        <f t="shared" si="17"/>
        <v>393.78026948173266</v>
      </c>
      <c r="K61" s="252">
        <f t="shared" si="17"/>
        <v>682.8434205678534</v>
      </c>
      <c r="L61" s="252">
        <f t="shared" si="17"/>
        <v>1019.6757610276809</v>
      </c>
      <c r="M61" s="252">
        <f t="shared" si="17"/>
        <v>1268.1723088395129</v>
      </c>
      <c r="N61" s="252">
        <f t="shared" si="17"/>
        <v>1268.1723088395129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9726.1114673144548</v>
      </c>
      <c r="G70" s="282">
        <f t="shared" si="26"/>
        <v>6700.305923038426</v>
      </c>
      <c r="H70" s="282">
        <f t="shared" si="26"/>
        <v>14650.054219604421</v>
      </c>
      <c r="I70" s="416">
        <f t="shared" si="26"/>
        <v>8494.7440821515556</v>
      </c>
      <c r="J70" s="381">
        <f t="shared" si="26"/>
        <v>11882.636139982524</v>
      </c>
      <c r="K70" s="381">
        <f t="shared" si="26"/>
        <v>13685.912388818613</v>
      </c>
      <c r="L70" s="381">
        <f t="shared" si="26"/>
        <v>12541.276985353672</v>
      </c>
      <c r="M70" s="381">
        <f t="shared" si="26"/>
        <v>7607.3135698886817</v>
      </c>
      <c r="N70" s="283">
        <f t="shared" si="26"/>
        <v>0</v>
      </c>
      <c r="O70" s="374">
        <f t="shared" si="20"/>
        <v>85288.354776152337</v>
      </c>
      <c r="P70" s="431">
        <f t="shared" si="21"/>
        <v>54211.883166195053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9726.1114673144548</v>
      </c>
      <c r="G74" s="5">
        <f t="shared" ref="G74:N74" si="30">+SUM(G64:G73)</f>
        <v>6700.305923038426</v>
      </c>
      <c r="H74" s="5">
        <f t="shared" si="30"/>
        <v>14650.054219604421</v>
      </c>
      <c r="I74" s="411">
        <f t="shared" si="30"/>
        <v>8494.7440821515556</v>
      </c>
      <c r="J74" s="382">
        <f t="shared" si="30"/>
        <v>11882.636139982524</v>
      </c>
      <c r="K74" s="382">
        <f t="shared" si="30"/>
        <v>13685.912388818613</v>
      </c>
      <c r="L74" s="382">
        <f t="shared" si="30"/>
        <v>12541.276985353672</v>
      </c>
      <c r="M74" s="382">
        <f t="shared" si="30"/>
        <v>7607.3135698886817</v>
      </c>
      <c r="N74" s="286">
        <f t="shared" si="30"/>
        <v>0</v>
      </c>
      <c r="O74" s="372">
        <f>SUM(O64:O73)</f>
        <v>85288.354776152337</v>
      </c>
      <c r="P74" s="428">
        <f>SUM(P64:P73)</f>
        <v>54211.883166195053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8855.1718599545093</v>
      </c>
      <c r="G76" s="280">
        <f t="shared" si="32"/>
        <v>6202.7849999999999</v>
      </c>
      <c r="H76" s="280">
        <f t="shared" si="32"/>
        <v>13342.88029856763</v>
      </c>
      <c r="I76" s="410">
        <f t="shared" si="32"/>
        <v>7580.3028312480019</v>
      </c>
      <c r="J76" s="280">
        <f t="shared" si="32"/>
        <v>10237.379268479999</v>
      </c>
      <c r="K76" s="280">
        <f t="shared" si="32"/>
        <v>11615.811615241277</v>
      </c>
      <c r="L76" s="280">
        <f t="shared" si="32"/>
        <v>10695.037468081282</v>
      </c>
      <c r="M76" s="280">
        <f t="shared" si="32"/>
        <v>6484.6310911212786</v>
      </c>
      <c r="N76" s="281">
        <f t="shared" si="32"/>
        <v>0</v>
      </c>
      <c r="O76" s="377">
        <f>SUM(F76:N76)</f>
        <v>75013.999432693978</v>
      </c>
      <c r="P76" s="378">
        <f t="shared" ref="P76:P80" si="33">SUM(I76:M76)</f>
        <v>46613.162274171838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16.359845437500024</v>
      </c>
      <c r="H77" s="282">
        <f>IF(H$10="Prior",0,IF(AND(H76&lt;&gt;0,SUM($F76:G76)=0),H76/SUM($F$76:H76)*H61,IF(H76&lt;&gt;0,SUM($F$76:H76)/SUM($F$11:H11)*H61-G83,0)))</f>
        <v>88.429388784944564</v>
      </c>
      <c r="I77" s="407">
        <f>IF(I$10="Prior",0,IF(AND(I76&lt;&gt;0,SUM($F76:H76)=0),I76/SUM($F$76:I76)*I61,IF(I76&lt;&gt;0,SUM($F$76:I76)/SUM($F$11:I11)*I61-H83,0)))</f>
        <v>96.162275257801994</v>
      </c>
      <c r="J77" s="282">
        <f>IF(J$10="Prior",0,IF(AND(J76&lt;&gt;0,SUM($F76:I76)=0),J76/SUM($F$76:J76)*J61,IF(J76&lt;&gt;0,SUM($F$76:J76)/SUM($F$11:J11)*J61-I83,0)))</f>
        <v>192.82876000148607</v>
      </c>
      <c r="K77" s="282">
        <f>IF(K$10="Prior",0,IF(AND(K76&lt;&gt;0,SUM($F76:J76)=0),K76/SUM($F$76:K76)*K61,IF(K76&lt;&gt;0,SUM($F$76:K76)/SUM($F$11:K11)*K61-J83,0)))</f>
        <v>289.06315108612074</v>
      </c>
      <c r="L77" s="282">
        <f>IF(L$10="Prior",0,IF(AND(L76&lt;&gt;0,SUM($F76:K76)=0),L76/SUM($F$76:L76)*L61,IF(L76&lt;&gt;0,SUM($F$76:L76)/SUM($F$11:L11)*L61-K83,0)))</f>
        <v>336.83234045982749</v>
      </c>
      <c r="M77" s="282">
        <f>IF(M$10="Prior",0,IF(AND(M76&lt;&gt;0,SUM($F76:L76)=0),M76/SUM($F$76:M76)*M61,IF(M76&lt;&gt;0,SUM($F$76:M76)/SUM($F$11:M11)*M61-L83,0)))</f>
        <v>248.49654781183199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1268.1723088395129</v>
      </c>
      <c r="P77" s="455">
        <f t="shared" si="33"/>
        <v>1163.3830746170684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8855.1718599545093</v>
      </c>
      <c r="G78" s="457">
        <f t="shared" ref="G78:N78" si="34">SUM(G76:G77)</f>
        <v>6219.1448454374995</v>
      </c>
      <c r="H78" s="457">
        <f t="shared" si="34"/>
        <v>13431.309687352576</v>
      </c>
      <c r="I78" s="458">
        <f t="shared" si="34"/>
        <v>7676.4651065058042</v>
      </c>
      <c r="J78" s="457">
        <f t="shared" si="34"/>
        <v>10430.208028481486</v>
      </c>
      <c r="K78" s="457">
        <f t="shared" si="34"/>
        <v>11904.874766327397</v>
      </c>
      <c r="L78" s="457">
        <f t="shared" si="34"/>
        <v>11031.869808541109</v>
      </c>
      <c r="M78" s="457">
        <f t="shared" si="34"/>
        <v>6733.1276389331106</v>
      </c>
      <c r="N78" s="459">
        <f t="shared" si="34"/>
        <v>0</v>
      </c>
      <c r="O78" s="460">
        <f>SUM(F78:N78)</f>
        <v>76282.171741533501</v>
      </c>
      <c r="P78" s="461">
        <f t="shared" si="33"/>
        <v>47776.54534878891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9004.9773989387031</v>
      </c>
      <c r="G79" s="457">
        <f>G78*Assumptions!$G$21</f>
        <v>6324.3559424467812</v>
      </c>
      <c r="H79" s="457">
        <f>H78*Assumptions!$G$21</f>
        <v>13658.531091837864</v>
      </c>
      <c r="I79" s="458">
        <f>I78*Assumptions!$G$21</f>
        <v>7806.3301177060912</v>
      </c>
      <c r="J79" s="457">
        <f>J78*Assumptions!$G$21</f>
        <v>10606.658916181361</v>
      </c>
      <c r="K79" s="457">
        <f>K78*Assumptions!$G$21</f>
        <v>12106.273023652486</v>
      </c>
      <c r="L79" s="457">
        <f>L78*Assumptions!$G$21</f>
        <v>11218.499185001392</v>
      </c>
      <c r="M79" s="457">
        <f>M78*Assumptions!$G$21</f>
        <v>6847.0339335767167</v>
      </c>
      <c r="N79" s="459">
        <f>N78*Assumptions!$G$21</f>
        <v>0</v>
      </c>
      <c r="O79" s="460">
        <f>SUM(F79:N79)</f>
        <v>77572.659609341397</v>
      </c>
      <c r="P79" s="461">
        <f t="shared" si="33"/>
        <v>48584.795176118045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721.13406837575155</v>
      </c>
      <c r="G80" s="282">
        <f>IF(G$10="Prior",G79*G56,IF(AND(G79&lt;&gt;0,SUM($F79:F79)=0),G79/SUM($F$54:G54)*G60,IF(G79&lt;&gt;0,SUM($F$79:G79)/SUM($F$54:G54)*G60-F82,0)))</f>
        <v>375.94998059164357</v>
      </c>
      <c r="H80" s="282">
        <f>IF(H$10="Prior",H79*H56,IF(AND(H79&lt;&gt;0,SUM($F79:G79)=0),H79/SUM($F$54:H54)*H60,IF(H79&lt;&gt;0,SUM($F$79:H79)/SUM($F$54:H54)*H60-G82,0)))</f>
        <v>991.52312776655299</v>
      </c>
      <c r="I80" s="407">
        <f>IF(I$10="Prior",I79*I56,IF(AND(I79&lt;&gt;0,SUM($F79:H79)=0),I79/SUM($F$54:I54)*I60,IF(I79&lt;&gt;0,SUM($F$79:I79)/SUM($F$54:I54)*I60-H82,0)))</f>
        <v>688.41396444546672</v>
      </c>
      <c r="J80" s="282">
        <f>IF(J$10="Prior",J79*J56,IF(AND(J79&lt;&gt;0,SUM($F79:I79)=0),J79/SUM($F$54:J54)*J60,IF(J79&lt;&gt;0,SUM($F$79:J79)/SUM($F$54:J54)*J60-I82,0)))</f>
        <v>1275.9772238011628</v>
      </c>
      <c r="K80" s="282">
        <f>IF(K$10="Prior",K79*K56,IF(AND(K79&lt;&gt;0,SUM($F79:J79)=0),K79/SUM($F$54:K54)*K60,IF(K79&lt;&gt;0,SUM($F$79:K79)/SUM($F$54:K54)*K60-J82,0)))</f>
        <v>1579.6393651661288</v>
      </c>
      <c r="L80" s="282">
        <f>IF(L$10="Prior",L79*L56,IF(AND(L79&lt;&gt;0,SUM($F79:K79)=0),L79/SUM($F$54:L54)*L60,IF(L79&lt;&gt;0,SUM($F$79:L79)/SUM($F$54:L54)*L60-K82,0)))</f>
        <v>1322.7778003522844</v>
      </c>
      <c r="M80" s="282">
        <f>IF(M$10="Prior",M79*M56,IF(AND(M79&lt;&gt;0,SUM($F79:L79)=0),M79/SUM($F$54:M54)*M60,IF(M79&lt;&gt;0,SUM($F$79:M79)/SUM($F$54:M54)*M60-L82,0)))</f>
        <v>760.27963631197053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7715.6951668109614</v>
      </c>
      <c r="P80" s="300">
        <f t="shared" si="33"/>
        <v>5627.0879900770133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9726.1114673144548</v>
      </c>
      <c r="G81" s="307">
        <f t="shared" ref="G81:P81" si="35">SUM(G79:G80)</f>
        <v>6700.3059230384251</v>
      </c>
      <c r="H81" s="307">
        <f t="shared" si="35"/>
        <v>14650.054219604417</v>
      </c>
      <c r="I81" s="417">
        <f t="shared" si="35"/>
        <v>8494.7440821515574</v>
      </c>
      <c r="J81" s="387">
        <f t="shared" si="35"/>
        <v>11882.636139982524</v>
      </c>
      <c r="K81" s="387">
        <f t="shared" si="35"/>
        <v>13685.912388818615</v>
      </c>
      <c r="L81" s="387">
        <f t="shared" si="35"/>
        <v>12541.276985353677</v>
      </c>
      <c r="M81" s="387">
        <f t="shared" si="35"/>
        <v>7607.3135698886872</v>
      </c>
      <c r="N81" s="420">
        <f t="shared" si="35"/>
        <v>0</v>
      </c>
      <c r="O81" s="421">
        <f t="shared" si="35"/>
        <v>85288.354776152351</v>
      </c>
      <c r="P81" s="388">
        <f t="shared" si="35"/>
        <v>54211.883166195061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721.13406837575155</v>
      </c>
      <c r="G82" s="252">
        <f t="shared" ref="G82:N82" si="36">G80+F82</f>
        <v>1097.0840489673951</v>
      </c>
      <c r="H82" s="252">
        <f t="shared" si="36"/>
        <v>2088.6071767339481</v>
      </c>
      <c r="I82" s="252">
        <f t="shared" si="36"/>
        <v>2777.0211411794148</v>
      </c>
      <c r="J82" s="252">
        <f t="shared" si="36"/>
        <v>4052.9983649805777</v>
      </c>
      <c r="K82" s="252">
        <f t="shared" si="36"/>
        <v>5632.6377301467064</v>
      </c>
      <c r="L82" s="252">
        <f t="shared" si="36"/>
        <v>6955.4155304989908</v>
      </c>
      <c r="M82" s="252">
        <f t="shared" si="36"/>
        <v>7715.6951668109614</v>
      </c>
      <c r="N82" s="252">
        <f t="shared" si="36"/>
        <v>7715.6951668109614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16.359845437500024</v>
      </c>
      <c r="H83" s="252">
        <f t="shared" si="37"/>
        <v>104.78923422244459</v>
      </c>
      <c r="I83" s="252">
        <f t="shared" si="37"/>
        <v>200.95150948024659</v>
      </c>
      <c r="J83" s="252">
        <f t="shared" si="37"/>
        <v>393.78026948173266</v>
      </c>
      <c r="K83" s="252">
        <f t="shared" si="37"/>
        <v>682.8434205678534</v>
      </c>
      <c r="L83" s="252">
        <f t="shared" si="37"/>
        <v>1019.6757610276809</v>
      </c>
      <c r="M83" s="252">
        <f t="shared" si="37"/>
        <v>1268.1723088395129</v>
      </c>
      <c r="N83" s="252">
        <f t="shared" si="37"/>
        <v>1268.1723088395129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9726.111467314453</v>
      </c>
      <c r="G91" s="290">
        <f t="shared" si="46"/>
        <v>6700.3059230384233</v>
      </c>
      <c r="H91" s="290">
        <f t="shared" si="46"/>
        <v>14650.054219604415</v>
      </c>
      <c r="I91" s="416">
        <f t="shared" si="46"/>
        <v>8494.7440821515556</v>
      </c>
      <c r="J91" s="381">
        <f t="shared" si="46"/>
        <v>11882.636139982522</v>
      </c>
      <c r="K91" s="381">
        <f t="shared" si="46"/>
        <v>13685.912388818613</v>
      </c>
      <c r="L91" s="381">
        <f t="shared" si="46"/>
        <v>12541.276985353676</v>
      </c>
      <c r="M91" s="381">
        <f t="shared" si="46"/>
        <v>7607.3135698886863</v>
      </c>
      <c r="N91" s="346">
        <f t="shared" si="46"/>
        <v>0</v>
      </c>
      <c r="O91" s="374">
        <f t="shared" si="41"/>
        <v>85288.354776152351</v>
      </c>
      <c r="P91" s="431">
        <f t="shared" si="39"/>
        <v>54211.883166195046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9726.111467314453</v>
      </c>
      <c r="G95" s="5">
        <f t="shared" ref="G95" si="50">+SUM(G85:G94)</f>
        <v>6700.3059230384233</v>
      </c>
      <c r="H95" s="5">
        <f t="shared" ref="H95:N95" si="51">+SUM(H85:H94)</f>
        <v>14650.054219604415</v>
      </c>
      <c r="I95" s="411">
        <f t="shared" si="51"/>
        <v>8494.7440821515556</v>
      </c>
      <c r="J95" s="382">
        <f t="shared" si="51"/>
        <v>11882.636139982522</v>
      </c>
      <c r="K95" s="382">
        <f t="shared" si="51"/>
        <v>13685.912388818613</v>
      </c>
      <c r="L95" s="382">
        <f t="shared" si="51"/>
        <v>12541.276985353676</v>
      </c>
      <c r="M95" s="382">
        <f t="shared" si="51"/>
        <v>7607.3135698886863</v>
      </c>
      <c r="N95" s="286">
        <f t="shared" si="51"/>
        <v>0</v>
      </c>
      <c r="O95" s="372">
        <f>SUM(O85:O94)</f>
        <v>85288.354776152351</v>
      </c>
      <c r="P95" s="428">
        <f>SUM(P85:P94)</f>
        <v>54211.883166195046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2523.087733082707</v>
      </c>
      <c r="H118" s="191">
        <f t="shared" si="62"/>
        <v>5427.4422868609699</v>
      </c>
      <c r="I118" s="191">
        <f t="shared" si="62"/>
        <v>3083.4164148159161</v>
      </c>
      <c r="J118" s="191">
        <f t="shared" si="62"/>
        <v>4164.2272062012635</v>
      </c>
      <c r="K118" s="191">
        <f t="shared" si="62"/>
        <v>4724.927882590624</v>
      </c>
      <c r="L118" s="191">
        <f t="shared" si="62"/>
        <v>4350.3874212270457</v>
      </c>
      <c r="M118" s="191">
        <f t="shared" si="62"/>
        <v>2637.733398719256</v>
      </c>
      <c r="N118" s="191">
        <f t="shared" si="62"/>
        <v>0</v>
      </c>
      <c r="O118" s="191">
        <f t="shared" si="60"/>
        <v>26911.222343497779</v>
      </c>
      <c r="P118" s="191">
        <f t="shared" si="61"/>
        <v>18960.692323554103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2523.087733082707</v>
      </c>
      <c r="H120" s="191">
        <f t="shared" ref="H120:P120" si="63">SUM(H111:H119)</f>
        <v>5427.4422868609699</v>
      </c>
      <c r="I120" s="191">
        <f t="shared" si="63"/>
        <v>3083.4164148159161</v>
      </c>
      <c r="J120" s="191">
        <f t="shared" si="63"/>
        <v>4164.2272062012635</v>
      </c>
      <c r="K120" s="191">
        <f t="shared" si="63"/>
        <v>4724.927882590624</v>
      </c>
      <c r="L120" s="191">
        <f t="shared" si="63"/>
        <v>4350.3874212270457</v>
      </c>
      <c r="M120" s="191">
        <f t="shared" si="63"/>
        <v>2637.733398719256</v>
      </c>
      <c r="N120" s="191">
        <f t="shared" si="63"/>
        <v>0</v>
      </c>
      <c r="O120" s="191">
        <f t="shared" si="63"/>
        <v>26911.222343497779</v>
      </c>
      <c r="P120" s="191">
        <f t="shared" si="63"/>
        <v>18960.692323554103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634.47771837864207</v>
      </c>
      <c r="H130" s="191">
        <f t="shared" si="67"/>
        <v>1373.8400196160585</v>
      </c>
      <c r="I130" s="191">
        <f t="shared" si="67"/>
        <v>786.78342672360736</v>
      </c>
      <c r="J130" s="191">
        <f t="shared" si="67"/>
        <v>1071.1765459841697</v>
      </c>
      <c r="K130" s="191">
        <f t="shared" si="67"/>
        <v>1225.4647431132553</v>
      </c>
      <c r="L130" s="191">
        <f t="shared" si="67"/>
        <v>1138.4218325804602</v>
      </c>
      <c r="M130" s="191">
        <f t="shared" si="67"/>
        <v>696.53089740444477</v>
      </c>
      <c r="N130" s="191">
        <f t="shared" si="67"/>
        <v>0</v>
      </c>
      <c r="O130" s="191">
        <f t="shared" si="65"/>
        <v>6926.695183800638</v>
      </c>
      <c r="P130" s="191">
        <f t="shared" si="66"/>
        <v>4918.377445805937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634.47771837864207</v>
      </c>
      <c r="H132" s="191">
        <f t="shared" ref="H132:P132" si="68">SUM(H123:H131)</f>
        <v>1373.8400196160585</v>
      </c>
      <c r="I132" s="191">
        <f t="shared" si="68"/>
        <v>786.78342672360736</v>
      </c>
      <c r="J132" s="191">
        <f t="shared" si="68"/>
        <v>1071.1765459841697</v>
      </c>
      <c r="K132" s="191">
        <f t="shared" si="68"/>
        <v>1225.4647431132553</v>
      </c>
      <c r="L132" s="191">
        <f t="shared" si="68"/>
        <v>1138.4218325804602</v>
      </c>
      <c r="M132" s="191">
        <f t="shared" si="68"/>
        <v>696.53089740444477</v>
      </c>
      <c r="N132" s="191">
        <f t="shared" si="68"/>
        <v>0</v>
      </c>
      <c r="O132" s="191">
        <f t="shared" si="68"/>
        <v>6926.695183800638</v>
      </c>
      <c r="P132" s="191">
        <f t="shared" si="68"/>
        <v>4918.377445805937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3166.7904909854328</v>
      </c>
      <c r="H142" s="191">
        <f t="shared" si="72"/>
        <v>6857.2487853608372</v>
      </c>
      <c r="I142" s="191">
        <f t="shared" si="72"/>
        <v>3936.1302761665656</v>
      </c>
      <c r="J142" s="191">
        <f t="shared" si="72"/>
        <v>5371.2551639959274</v>
      </c>
      <c r="K142" s="191">
        <f t="shared" si="72"/>
        <v>6155.8803979486047</v>
      </c>
      <c r="L142" s="191">
        <f t="shared" si="72"/>
        <v>5729.6899311938796</v>
      </c>
      <c r="M142" s="191">
        <f t="shared" si="72"/>
        <v>3512.7696374530124</v>
      </c>
      <c r="N142" s="191">
        <f t="shared" si="72"/>
        <v>0</v>
      </c>
      <c r="O142" s="191">
        <f t="shared" si="70"/>
        <v>34729.764683104258</v>
      </c>
      <c r="P142" s="191">
        <f t="shared" si="71"/>
        <v>24705.725406757989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3166.7904909854328</v>
      </c>
      <c r="H144" s="191">
        <f t="shared" ref="H144:P144" si="73">SUM(H135:H143)</f>
        <v>6857.2487853608372</v>
      </c>
      <c r="I144" s="191">
        <f t="shared" si="73"/>
        <v>3936.1302761665656</v>
      </c>
      <c r="J144" s="191">
        <f t="shared" si="73"/>
        <v>5371.2551639959274</v>
      </c>
      <c r="K144" s="191">
        <f t="shared" si="73"/>
        <v>6155.8803979486047</v>
      </c>
      <c r="L144" s="191">
        <f t="shared" si="73"/>
        <v>5729.6899311938796</v>
      </c>
      <c r="M144" s="191">
        <f t="shared" si="73"/>
        <v>3512.7696374530124</v>
      </c>
      <c r="N144" s="191">
        <f t="shared" si="73"/>
        <v>0</v>
      </c>
      <c r="O144" s="191">
        <f t="shared" si="73"/>
        <v>34729.764683104258</v>
      </c>
      <c r="P144" s="191">
        <f t="shared" si="73"/>
        <v>24705.725406757989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6324.3559424467821</v>
      </c>
      <c r="H154" s="191">
        <f t="shared" si="74"/>
        <v>13658.531091837865</v>
      </c>
      <c r="I154" s="191">
        <f t="shared" si="74"/>
        <v>7806.3301177060894</v>
      </c>
      <c r="J154" s="191">
        <f t="shared" si="74"/>
        <v>10606.658916181361</v>
      </c>
      <c r="K154" s="191">
        <f t="shared" si="74"/>
        <v>12106.273023652484</v>
      </c>
      <c r="L154" s="191">
        <f t="shared" si="74"/>
        <v>11218.499185001387</v>
      </c>
      <c r="M154" s="191">
        <f t="shared" si="74"/>
        <v>6847.033933576713</v>
      </c>
      <c r="N154" s="191">
        <f t="shared" si="74"/>
        <v>0</v>
      </c>
      <c r="O154" s="191">
        <f t="shared" si="75"/>
        <v>68567.68221040268</v>
      </c>
      <c r="P154" s="191">
        <f t="shared" si="76"/>
        <v>48584.795176118037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6324.3559424467821</v>
      </c>
      <c r="H156" s="191">
        <f t="shared" ref="H156:N156" si="77">SUM(H147:H155)</f>
        <v>13658.531091837865</v>
      </c>
      <c r="I156" s="191">
        <f t="shared" si="77"/>
        <v>7806.3301177060894</v>
      </c>
      <c r="J156" s="191">
        <f t="shared" si="77"/>
        <v>10606.658916181361</v>
      </c>
      <c r="K156" s="191">
        <f t="shared" si="77"/>
        <v>12106.273023652484</v>
      </c>
      <c r="L156" s="191">
        <f t="shared" si="77"/>
        <v>11218.499185001387</v>
      </c>
      <c r="M156" s="191">
        <f t="shared" si="77"/>
        <v>6847.033933576713</v>
      </c>
      <c r="N156" s="191">
        <f t="shared" si="77"/>
        <v>0</v>
      </c>
      <c r="O156" s="191">
        <f t="shared" ref="O156:P156" si="78">SUM(O147:O155)</f>
        <v>68567.68221040268</v>
      </c>
      <c r="P156" s="191">
        <f t="shared" si="78"/>
        <v>48584.795176118037</v>
      </c>
    </row>
    <row r="157" spans="4:16" collapsed="1"/>
  </sheetData>
  <mergeCells count="1">
    <mergeCell ref="C13:C14"/>
  </mergeCells>
  <phoneticPr fontId="6" type="noConversion"/>
  <conditionalFormatting sqref="R14">
    <cfRule type="cellIs" dxfId="24" priority="4" operator="equal">
      <formula>"Error"</formula>
    </cfRule>
  </conditionalFormatting>
  <conditionalFormatting sqref="R11">
    <cfRule type="cellIs" dxfId="23" priority="3" operator="equal">
      <formula>"Error"</formula>
    </cfRule>
  </conditionalFormatting>
  <conditionalFormatting sqref="R54">
    <cfRule type="cellIs" dxfId="2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Project_Inputs!B44</f>
        <v>0</v>
      </c>
      <c r="F3" s="249" t="s">
        <v>63</v>
      </c>
      <c r="G3" s="249">
        <f>Project_Inputs!F44</f>
        <v>0</v>
      </c>
    </row>
    <row r="4" spans="1:21" ht="18.75">
      <c r="A4" s="6"/>
      <c r="B4" s="6"/>
      <c r="C4" s="13" t="s">
        <v>15</v>
      </c>
      <c r="D4" s="339" t="str">
        <f>Project_Inputs!D44</f>
        <v>Comms program - safety and security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Project_Inputs!H44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Project_Inputs!I44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Project_Inputs!J44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0</v>
      </c>
      <c r="G11" s="319">
        <f>IF(G$10="Prior",SUMIFS(Project_Inputs!$W$5:$W$50,Project_Inputs!$D$5:$D$50,$D$4),SUMIFS(Project_Inputs!M$5:M$50,Project_Inputs!$D$5:$D$50,$D$4))</f>
        <v>887.39628000000005</v>
      </c>
      <c r="H11" s="389">
        <f>IF(H$10="Prior",SUMIFS(Project_Inputs!$W$5:$W$50,Project_Inputs!$D$5:$D$50,$D$4),SUMIFS(Project_Inputs!N$5:N$50,Project_Inputs!$D$5:$D$50,$D$4))</f>
        <v>406.16764358089767</v>
      </c>
      <c r="I11" s="399">
        <f>IF(I$10="Prior",SUMIFS(Project_Inputs!$W$5:$W$50,Project_Inputs!$D$5:$D$50,$D$4),SUMIFS(Project_Inputs!O$5:O$50,Project_Inputs!$D$5:$D$50,$D$4))</f>
        <v>1162.5373199999999</v>
      </c>
      <c r="J11" s="320">
        <f>IF(J$10="Prior",SUMIFS(Project_Inputs!$W$5:$W$50,Project_Inputs!$D$5:$D$50,$D$4),SUMIFS(Project_Inputs!P$5:P$50,Project_Inputs!$D$5:$D$50,$D$4))</f>
        <v>247.07465999999997</v>
      </c>
      <c r="K11" s="320">
        <f>IF(K$10="Prior",SUMIFS(Project_Inputs!$W$5:$W$50,Project_Inputs!$D$5:$D$50,$D$4),SUMIFS(Project_Inputs!Q$5:Q$50,Project_Inputs!$D$5:$D$50,$D$4))</f>
        <v>658.27062000000001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1201.18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4562.6265235808978</v>
      </c>
      <c r="P11" s="300">
        <f t="shared" ref="P11" si="0">SUM(I11:M11)</f>
        <v>3269.0626000000002</v>
      </c>
      <c r="R11" s="608" t="str">
        <f>IF(O11=Project_Inputs!V44,"ok","error")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887.39628000000005</v>
      </c>
      <c r="H14" s="447">
        <f>IF($G$3="Yes",SUMIFS(Project_Inputs!AL$5:AL$50,Project_Inputs!$D$5:$D$50,$D$4),IF(AND(H$13="X",H$10="Prior"),H11,IF(H$13="X",SUM($F11:H11)-SUM($F14:G14),0)))</f>
        <v>406.16764358089756</v>
      </c>
      <c r="I14" s="448">
        <f>IF($G$3="Yes",SUMIFS(Project_Inputs!AM$5:AM$50,Project_Inputs!$D$5:$D$50,$D$4),IF(AND(I$13="X",I$10="Prior"),I11,IF(I$13="X",SUM($F11:I11)-SUM($F14:H14),0)))</f>
        <v>1162.5373199999999</v>
      </c>
      <c r="J14" s="447">
        <f>IF($G$3="Yes",SUMIFS(Project_Inputs!AN$5:AN$50,Project_Inputs!$D$5:$D$50,$D$4),IF(AND(J$13="X",J$10="Prior"),J11,IF(J$13="X",SUM($F11:J11)-SUM($F14:I14),0)))</f>
        <v>247.07465999999977</v>
      </c>
      <c r="K14" s="447">
        <f>IF($G$3="Yes",SUMIFS(Project_Inputs!AO$5:AO$50,Project_Inputs!$D$5:$D$50,$D$4),IF(AND(K$13="X",K$10="Prior"),K11,IF(K$13="X",SUM($F11:K11)-SUM($F14:J14),0)))</f>
        <v>658.27062000000024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1201.1800000000003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4562.6265235808978</v>
      </c>
      <c r="P14" s="451">
        <f>SUM(I14:M14)</f>
        <v>3269.0626000000002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1</v>
      </c>
      <c r="G23" s="341">
        <v>1</v>
      </c>
      <c r="H23" s="392">
        <v>1</v>
      </c>
      <c r="I23" s="404">
        <v>1</v>
      </c>
      <c r="J23" s="341">
        <v>1</v>
      </c>
      <c r="K23" s="341">
        <v>1</v>
      </c>
      <c r="L23" s="341">
        <v>1</v>
      </c>
      <c r="M23" s="341">
        <v>1</v>
      </c>
      <c r="N23" s="342">
        <v>1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0.52134531450000665</v>
      </c>
      <c r="H46" s="290">
        <f>IF(H$10="Prior",0,(H11*H29)*(Assumptions!H28-1))</f>
        <v>0.50826905040515269</v>
      </c>
      <c r="I46" s="407">
        <f>IF(I$10="Prior",0,(I11*I29)*(Assumptions!I28-1))</f>
        <v>2.4023265107717968</v>
      </c>
      <c r="J46" s="282">
        <f>IF(J$10="Prior",0,(J11*J29)*(Assumptions!J28-1))</f>
        <v>0.71483377316195806</v>
      </c>
      <c r="K46" s="282">
        <f>IF(K$10="Prior",0,(K11*K29)*(Assumptions!K28-1))</f>
        <v>2.4649802307064426</v>
      </c>
      <c r="L46" s="282">
        <f>IF(L$10="Prior",0,(L11*L29)*(Assumptions!L28-1))</f>
        <v>0</v>
      </c>
      <c r="M46" s="282">
        <f>IF(M$10="Prior",0,(M11*M29)*(Assumptions!M28-1))</f>
        <v>6.7574429466614738</v>
      </c>
      <c r="N46" s="283">
        <f>IF(N$10="Prior",0,(N11*N29)*(Assumptions!N28-1))</f>
        <v>0</v>
      </c>
      <c r="O46" s="362">
        <f t="shared" ref="O46:O47" si="6">SUM(F46:N46)</f>
        <v>13.369197826206831</v>
      </c>
      <c r="P46" s="300">
        <f t="shared" ref="P46:P47" si="7">SUM(I46:M46)</f>
        <v>12.339583461301672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1.8191623739999967</v>
      </c>
      <c r="H47" s="290">
        <f>IF(H$10="Prior",0,(H11*H30)*(Assumptions!H30-1))</f>
        <v>2.1835902530119458</v>
      </c>
      <c r="I47" s="407">
        <f>IF(I$10="Prior",0,(I11*I30)*(Assumptions!I30-1))</f>
        <v>12.345400097520221</v>
      </c>
      <c r="J47" s="282">
        <f>IF(J$10="Prior",0,(J11*J30)*(Assumptions!J30-1))</f>
        <v>3.9390038024642307</v>
      </c>
      <c r="K47" s="282">
        <f>IF(K$10="Prior",0,(K11*K30)*(Assumptions!K30-1))</f>
        <v>13.916292640053864</v>
      </c>
      <c r="L47" s="282">
        <f>IF(L$10="Prior",0,(L11*L30)*(Assumptions!L30-1))</f>
        <v>0</v>
      </c>
      <c r="M47" s="282">
        <f>IF(M$10="Prior",0,(M11*M30)*(Assumptions!M30-1))</f>
        <v>39.272790555643077</v>
      </c>
      <c r="N47" s="283">
        <f>IF(N$10="Prior",0,(N11*N30)*(Assumptions!N30-1))</f>
        <v>0</v>
      </c>
      <c r="O47" s="362">
        <f t="shared" si="6"/>
        <v>73.476239722693336</v>
      </c>
      <c r="P47" s="300">
        <f t="shared" si="7"/>
        <v>69.473487095681392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2.3405076885000033</v>
      </c>
      <c r="H48" s="253">
        <f t="shared" si="8"/>
        <v>2.6918593034170986</v>
      </c>
      <c r="I48" s="408">
        <f t="shared" si="8"/>
        <v>14.747726608292018</v>
      </c>
      <c r="J48" s="5">
        <f t="shared" si="8"/>
        <v>4.6538375756261887</v>
      </c>
      <c r="K48" s="5">
        <f t="shared" si="8"/>
        <v>16.381272870760306</v>
      </c>
      <c r="L48" s="5">
        <f t="shared" si="8"/>
        <v>0</v>
      </c>
      <c r="M48" s="5">
        <f t="shared" si="8"/>
        <v>46.030233502304554</v>
      </c>
      <c r="N48" s="286">
        <f t="shared" si="8"/>
        <v>0</v>
      </c>
      <c r="O48" s="433">
        <f>SUM(O46:O47)</f>
        <v>86.845437548900165</v>
      </c>
      <c r="P48" s="434">
        <f>SUM(P46:P47)</f>
        <v>81.813070556983064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2.3405076885000033</v>
      </c>
      <c r="H49" s="253">
        <f t="shared" si="9"/>
        <v>2.6918593034170986</v>
      </c>
      <c r="I49" s="408">
        <f t="shared" si="9"/>
        <v>14.747726608292018</v>
      </c>
      <c r="J49" s="5">
        <f t="shared" si="9"/>
        <v>4.6538375756261887</v>
      </c>
      <c r="K49" s="5">
        <f t="shared" si="9"/>
        <v>16.381272870760306</v>
      </c>
      <c r="L49" s="5">
        <f t="shared" si="9"/>
        <v>0</v>
      </c>
      <c r="M49" s="5">
        <f t="shared" si="9"/>
        <v>46.030233502304554</v>
      </c>
      <c r="N49" s="286">
        <f t="shared" si="9"/>
        <v>0</v>
      </c>
      <c r="O49" s="370">
        <f>O44+O48</f>
        <v>86.845437548900165</v>
      </c>
      <c r="P49" s="371">
        <f>P44+P48</f>
        <v>81.813070556983064</v>
      </c>
    </row>
    <row r="50" spans="1:18">
      <c r="A50" s="6"/>
      <c r="B50" s="250"/>
      <c r="C50" s="260"/>
      <c r="D50" s="386" t="s">
        <v>285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0</v>
      </c>
      <c r="M50" s="443">
        <f t="shared" si="10"/>
        <v>3.8320845753596088E-2</v>
      </c>
      <c r="N50" s="444">
        <f t="shared" si="10"/>
        <v>0</v>
      </c>
      <c r="O50" s="444">
        <f t="shared" si="10"/>
        <v>1.9034088611035609E-2</v>
      </c>
      <c r="P50" s="444">
        <f t="shared" si="10"/>
        <v>2.5026461884511804E-2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0</v>
      </c>
      <c r="G51" s="280">
        <f>(G29*G$11+G46)*Assumptions!$G$21</f>
        <v>90.771027374331794</v>
      </c>
      <c r="H51" s="280">
        <f>(H29*H$11+H46)*Assumptions!$G$21</f>
        <v>41.820757657886759</v>
      </c>
      <c r="I51" s="410">
        <f>(I29*I$11+I46)*Assumptions!$G$21</f>
        <v>120.66339784648035</v>
      </c>
      <c r="J51" s="280">
        <f>(J29*J$11+J46)*Assumptions!$G$21</f>
        <v>25.852376273083866</v>
      </c>
      <c r="K51" s="280">
        <f>(K29*K$11+K46)*Assumptions!$G$21</f>
        <v>69.447358734609381</v>
      </c>
      <c r="L51" s="280">
        <f>(L29*L$11+L46)*Assumptions!$G$21</f>
        <v>0</v>
      </c>
      <c r="M51" s="280">
        <f>(M29*M$11+M46)*Assumptions!$G$21</f>
        <v>129.0218320190674</v>
      </c>
      <c r="N51" s="281">
        <f>(N29*N$11+N46)*Assumptions!$G$21</f>
        <v>0</v>
      </c>
      <c r="O51" s="373">
        <f t="shared" ref="O51:O53" si="11">SUM(F51:N51)</f>
        <v>477.57674990545956</v>
      </c>
      <c r="P51" s="375">
        <f>SUM(I51:M51)</f>
        <v>344.98496487324098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0</v>
      </c>
      <c r="G52" s="282">
        <f>(G30*G$11+G47)*Assumptions!$G$21</f>
        <v>453.05424921867296</v>
      </c>
      <c r="H52" s="282">
        <f>(H30*H$11+H47)*Assumptions!$G$21</f>
        <v>208.73998104419604</v>
      </c>
      <c r="I52" s="407">
        <f>(I30*I$11+I47)*Assumptions!$G$21</f>
        <v>603.6564032194708</v>
      </c>
      <c r="J52" s="282">
        <f>(J30*J$11+J47)*Assumptions!$G$21</f>
        <v>129.63288832167885</v>
      </c>
      <c r="K52" s="282">
        <f>(K30*K$11+K47)*Assumptions!$G$21</f>
        <v>348.85510719599466</v>
      </c>
      <c r="L52" s="282">
        <f>(L30*L$11+L47)*Assumptions!$G$21</f>
        <v>0</v>
      </c>
      <c r="M52" s="282">
        <f>(M30*M$11+M47)*Assumptions!$G$21</f>
        <v>650.68753701241155</v>
      </c>
      <c r="N52" s="283">
        <f>(N30*N$11+N47)*Assumptions!$G$21</f>
        <v>0</v>
      </c>
      <c r="O52" s="374">
        <f t="shared" si="11"/>
        <v>2394.6261660124246</v>
      </c>
      <c r="P52" s="376">
        <f>SUM(I52:M52)</f>
        <v>1732.8319357495557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0</v>
      </c>
      <c r="G53" s="282">
        <f>(G31*G$11+G$44)*Assumptions!$G$21</f>
        <v>360.96344923308277</v>
      </c>
      <c r="H53" s="282">
        <f>(H31*H$11+H$44)*Assumptions!$G$21</f>
        <v>165.21556028365839</v>
      </c>
      <c r="I53" s="407">
        <f>(I31*I$11+I$44)*Assumptions!$G$21</f>
        <v>472.88172189473687</v>
      </c>
      <c r="J53" s="282">
        <f>(J31*J$11+J$44)*Assumptions!$G$21</f>
        <v>100.50179778947367</v>
      </c>
      <c r="K53" s="282">
        <f>(K31*K$11+K$44)*Assumptions!$G$21</f>
        <v>267.76271084210526</v>
      </c>
      <c r="L53" s="282">
        <f>(L31*L$11+L$44)*Assumptions!$G$21</f>
        <v>0</v>
      </c>
      <c r="M53" s="282">
        <f>(M31*M$11+M$44)*Assumptions!$G$21</f>
        <v>488.6002857142858</v>
      </c>
      <c r="N53" s="283">
        <f>(N31*N$11+N$44)*Assumptions!$G$21</f>
        <v>0</v>
      </c>
      <c r="O53" s="374">
        <f t="shared" si="11"/>
        <v>1855.9255257573427</v>
      </c>
      <c r="P53" s="376">
        <f>SUM(I53:M53)</f>
        <v>1329.7465162406015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0</v>
      </c>
      <c r="G54" s="5">
        <f t="shared" si="12"/>
        <v>904.78872582608756</v>
      </c>
      <c r="H54" s="5">
        <f t="shared" si="12"/>
        <v>415.77629898574116</v>
      </c>
      <c r="I54" s="411">
        <f t="shared" si="12"/>
        <v>1197.2015229606882</v>
      </c>
      <c r="J54" s="382">
        <f t="shared" si="12"/>
        <v>255.9870623842364</v>
      </c>
      <c r="K54" s="382">
        <f t="shared" si="12"/>
        <v>686.06517677270926</v>
      </c>
      <c r="L54" s="382">
        <f t="shared" si="12"/>
        <v>0</v>
      </c>
      <c r="M54" s="382">
        <f t="shared" si="12"/>
        <v>1268.3096547457646</v>
      </c>
      <c r="N54" s="286">
        <f t="shared" si="12"/>
        <v>0</v>
      </c>
      <c r="O54" s="372">
        <f t="shared" si="12"/>
        <v>4728.1284416752269</v>
      </c>
      <c r="P54" s="428">
        <f t="shared" si="12"/>
        <v>3407.5634168633983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53.784971467348427</v>
      </c>
      <c r="H57" s="290">
        <f t="shared" si="13"/>
        <v>30.182734413358638</v>
      </c>
      <c r="I57" s="407">
        <f t="shared" si="13"/>
        <v>105.57717060826812</v>
      </c>
      <c r="J57" s="282">
        <f t="shared" si="13"/>
        <v>30.795150836022987</v>
      </c>
      <c r="K57" s="282">
        <f t="shared" si="13"/>
        <v>89.518513103289095</v>
      </c>
      <c r="L57" s="282">
        <f t="shared" si="13"/>
        <v>0</v>
      </c>
      <c r="M57" s="282">
        <f t="shared" si="13"/>
        <v>140.83032337731655</v>
      </c>
      <c r="N57" s="283">
        <f t="shared" si="13"/>
        <v>0</v>
      </c>
      <c r="O57" s="309">
        <f>SUM(F57:N57)</f>
        <v>450.68886380560377</v>
      </c>
      <c r="P57" s="300">
        <f>SUM(I57:M57)</f>
        <v>366.72115792489672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0</v>
      </c>
      <c r="G59" s="5">
        <f t="shared" si="14"/>
        <v>958.573697293436</v>
      </c>
      <c r="H59" s="5">
        <f t="shared" si="14"/>
        <v>445.95903339909978</v>
      </c>
      <c r="I59" s="411">
        <f t="shared" si="14"/>
        <v>1302.7786935689562</v>
      </c>
      <c r="J59" s="382">
        <f t="shared" si="14"/>
        <v>286.78221322025939</v>
      </c>
      <c r="K59" s="382">
        <f t="shared" si="14"/>
        <v>775.5836898759984</v>
      </c>
      <c r="L59" s="382">
        <f t="shared" si="14"/>
        <v>0</v>
      </c>
      <c r="M59" s="382">
        <f t="shared" si="14"/>
        <v>1409.1399781230812</v>
      </c>
      <c r="N59" s="418">
        <f>N54+N57</f>
        <v>0</v>
      </c>
      <c r="O59" s="419">
        <f t="shared" ref="O59:P59" si="15">O54+O57</f>
        <v>5178.8173054808303</v>
      </c>
      <c r="P59" s="429">
        <f t="shared" si="15"/>
        <v>3774.2845747882948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53.784971467348427</v>
      </c>
      <c r="H60" s="290">
        <f t="shared" si="16"/>
        <v>83.967705880707058</v>
      </c>
      <c r="I60" s="290">
        <f t="shared" si="16"/>
        <v>189.54487648897518</v>
      </c>
      <c r="J60" s="290">
        <f t="shared" si="16"/>
        <v>220.34002732499818</v>
      </c>
      <c r="K60" s="290">
        <f t="shared" si="16"/>
        <v>309.85854042828726</v>
      </c>
      <c r="L60" s="290">
        <f t="shared" si="16"/>
        <v>309.85854042828726</v>
      </c>
      <c r="M60" s="290">
        <f t="shared" si="16"/>
        <v>450.68886380560377</v>
      </c>
      <c r="N60" s="290">
        <f t="shared" si="16"/>
        <v>450.68886380560377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2.3405076885000033</v>
      </c>
      <c r="H61" s="252">
        <f t="shared" ref="H61:N61" si="17">H49+G61</f>
        <v>5.0323669919171019</v>
      </c>
      <c r="I61" s="252">
        <f t="shared" si="17"/>
        <v>19.780093600209121</v>
      </c>
      <c r="J61" s="252">
        <f t="shared" si="17"/>
        <v>24.433931175835308</v>
      </c>
      <c r="K61" s="252">
        <f t="shared" si="17"/>
        <v>40.815204046595611</v>
      </c>
      <c r="L61" s="252">
        <f t="shared" si="17"/>
        <v>40.815204046595611</v>
      </c>
      <c r="M61" s="252">
        <f t="shared" si="17"/>
        <v>86.845437548900165</v>
      </c>
      <c r="N61" s="252">
        <f t="shared" si="17"/>
        <v>86.845437548900165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958.573697293436</v>
      </c>
      <c r="H70" s="282">
        <f t="shared" si="26"/>
        <v>445.95903339909978</v>
      </c>
      <c r="I70" s="416">
        <f t="shared" si="26"/>
        <v>1302.7786935689562</v>
      </c>
      <c r="J70" s="381">
        <f t="shared" si="26"/>
        <v>286.78221322025939</v>
      </c>
      <c r="K70" s="381">
        <f t="shared" si="26"/>
        <v>775.5836898759984</v>
      </c>
      <c r="L70" s="381">
        <f t="shared" si="26"/>
        <v>0</v>
      </c>
      <c r="M70" s="381">
        <f t="shared" si="26"/>
        <v>1409.1399781230812</v>
      </c>
      <c r="N70" s="283">
        <f t="shared" si="26"/>
        <v>0</v>
      </c>
      <c r="O70" s="374">
        <f t="shared" si="20"/>
        <v>5178.8173054808312</v>
      </c>
      <c r="P70" s="431">
        <f t="shared" si="21"/>
        <v>3774.2845747882952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0</v>
      </c>
      <c r="G74" s="5">
        <f t="shared" ref="G74:N74" si="30">+SUM(G64:G73)</f>
        <v>958.573697293436</v>
      </c>
      <c r="H74" s="5">
        <f t="shared" si="30"/>
        <v>445.95903339909978</v>
      </c>
      <c r="I74" s="411">
        <f t="shared" si="30"/>
        <v>1302.7786935689562</v>
      </c>
      <c r="J74" s="382">
        <f t="shared" si="30"/>
        <v>286.78221322025939</v>
      </c>
      <c r="K74" s="382">
        <f t="shared" si="30"/>
        <v>775.5836898759984</v>
      </c>
      <c r="L74" s="382">
        <f t="shared" si="30"/>
        <v>0</v>
      </c>
      <c r="M74" s="382">
        <f t="shared" si="30"/>
        <v>1409.1399781230812</v>
      </c>
      <c r="N74" s="286">
        <f t="shared" si="30"/>
        <v>0</v>
      </c>
      <c r="O74" s="372">
        <f>SUM(O64:O73)</f>
        <v>5178.8173054808312</v>
      </c>
      <c r="P74" s="428">
        <f>SUM(P64:P73)</f>
        <v>3774.2845747882952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887.39628000000005</v>
      </c>
      <c r="H76" s="280">
        <f t="shared" si="32"/>
        <v>406.16764358089756</v>
      </c>
      <c r="I76" s="410">
        <f t="shared" si="32"/>
        <v>1162.5373199999999</v>
      </c>
      <c r="J76" s="280">
        <f t="shared" si="32"/>
        <v>247.07465999999977</v>
      </c>
      <c r="K76" s="280">
        <f t="shared" si="32"/>
        <v>658.27062000000024</v>
      </c>
      <c r="L76" s="280">
        <f t="shared" si="32"/>
        <v>0</v>
      </c>
      <c r="M76" s="280">
        <f t="shared" si="32"/>
        <v>1201.1800000000003</v>
      </c>
      <c r="N76" s="281">
        <f t="shared" si="32"/>
        <v>0</v>
      </c>
      <c r="O76" s="377">
        <f>SUM(F76:N76)</f>
        <v>4562.6265235808978</v>
      </c>
      <c r="P76" s="378">
        <f t="shared" ref="P76:P80" si="33">SUM(I76:M76)</f>
        <v>3269.0626000000002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2.3405076885000033</v>
      </c>
      <c r="H77" s="282">
        <f>IF(H$10="Prior",0,IF(AND(H76&lt;&gt;0,SUM($F76:G76)=0),H76/SUM($F$76:H76)*H61,IF(H76&lt;&gt;0,SUM($F$76:H76)/SUM($F$11:H11)*H61-G83,0)))</f>
        <v>2.6918593034170986</v>
      </c>
      <c r="I77" s="407">
        <f>IF(I$10="Prior",0,IF(AND(I76&lt;&gt;0,SUM($F76:H76)=0),I76/SUM($F$76:I76)*I61,IF(I76&lt;&gt;0,SUM($F$76:I76)/SUM($F$11:I11)*I61-H83,0)))</f>
        <v>14.74772660829202</v>
      </c>
      <c r="J77" s="282">
        <f>IF(J$10="Prior",0,IF(AND(J76&lt;&gt;0,SUM($F76:I76)=0),J76/SUM($F$76:J76)*J61,IF(J76&lt;&gt;0,SUM($F$76:J76)/SUM($F$11:J11)*J61-I83,0)))</f>
        <v>4.6538375756261878</v>
      </c>
      <c r="K77" s="282">
        <f>IF(K$10="Prior",0,IF(AND(K76&lt;&gt;0,SUM($F76:J76)=0),K76/SUM($F$76:K76)*K61,IF(K76&lt;&gt;0,SUM($F$76:K76)/SUM($F$11:K11)*K61-J83,0)))</f>
        <v>16.381272870760302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46.030233502304554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86.845437548900165</v>
      </c>
      <c r="P77" s="455">
        <f t="shared" si="33"/>
        <v>81.813070556983064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889.73678768850004</v>
      </c>
      <c r="H78" s="457">
        <f t="shared" si="34"/>
        <v>408.85950288431468</v>
      </c>
      <c r="I78" s="458">
        <f t="shared" si="34"/>
        <v>1177.2850466082919</v>
      </c>
      <c r="J78" s="457">
        <f t="shared" si="34"/>
        <v>251.72849757562597</v>
      </c>
      <c r="K78" s="457">
        <f t="shared" si="34"/>
        <v>674.65189287076055</v>
      </c>
      <c r="L78" s="457">
        <f t="shared" si="34"/>
        <v>0</v>
      </c>
      <c r="M78" s="457">
        <f t="shared" si="34"/>
        <v>1247.2102335023048</v>
      </c>
      <c r="N78" s="459">
        <f t="shared" si="34"/>
        <v>0</v>
      </c>
      <c r="O78" s="460">
        <f>SUM(F78:N78)</f>
        <v>4649.4719611297978</v>
      </c>
      <c r="P78" s="461">
        <f t="shared" si="33"/>
        <v>3350.8756705569831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904.78872582608756</v>
      </c>
      <c r="H79" s="457">
        <f>H78*Assumptions!$G$21</f>
        <v>415.77629898574111</v>
      </c>
      <c r="I79" s="458">
        <f>I78*Assumptions!$G$21</f>
        <v>1197.201522960688</v>
      </c>
      <c r="J79" s="457">
        <f>J78*Assumptions!$G$21</f>
        <v>255.9870623842362</v>
      </c>
      <c r="K79" s="457">
        <f>K78*Assumptions!$G$21</f>
        <v>686.06517677270961</v>
      </c>
      <c r="L79" s="457">
        <f>L78*Assumptions!$G$21</f>
        <v>0</v>
      </c>
      <c r="M79" s="457">
        <f>M78*Assumptions!$G$21</f>
        <v>1268.3096547457649</v>
      </c>
      <c r="N79" s="459">
        <f>N78*Assumptions!$G$21</f>
        <v>0</v>
      </c>
      <c r="O79" s="460">
        <f>SUM(F79:N79)</f>
        <v>4728.1284416752278</v>
      </c>
      <c r="P79" s="461">
        <f t="shared" si="33"/>
        <v>3407.5634168633987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53.784971467348427</v>
      </c>
      <c r="H80" s="282">
        <f>IF(H$10="Prior",H79*H56,IF(AND(H79&lt;&gt;0,SUM($F79:G79)=0),H79/SUM($F$54:H54)*H60,IF(H79&lt;&gt;0,SUM($F$79:H79)/SUM($F$54:H54)*H60-G82,0)))</f>
        <v>30.182734413358631</v>
      </c>
      <c r="I80" s="407">
        <f>IF(I$10="Prior",I79*I56,IF(AND(I79&lt;&gt;0,SUM($F79:H79)=0),I79/SUM($F$54:I54)*I60,IF(I79&lt;&gt;0,SUM($F$79:I79)/SUM($F$54:I54)*I60-H82,0)))</f>
        <v>105.57717060826812</v>
      </c>
      <c r="J80" s="282">
        <f>IF(J$10="Prior",J79*J56,IF(AND(J79&lt;&gt;0,SUM($F79:I79)=0),J79/SUM($F$54:J54)*J60,IF(J79&lt;&gt;0,SUM($F$79:J79)/SUM($F$54:J54)*J60-I82,0)))</f>
        <v>30.795150836022998</v>
      </c>
      <c r="K80" s="282">
        <f>IF(K$10="Prior",K79*K56,IF(AND(K79&lt;&gt;0,SUM($F79:J79)=0),K79/SUM($F$54:K54)*K60,IF(K79&lt;&gt;0,SUM($F$79:K79)/SUM($F$54:K54)*K60-J82,0)))</f>
        <v>89.518513103289081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140.83032337731663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450.68886380560389</v>
      </c>
      <c r="P80" s="300">
        <f t="shared" si="33"/>
        <v>366.72115792489683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958.573697293436</v>
      </c>
      <c r="H81" s="307">
        <f t="shared" si="35"/>
        <v>445.95903339909972</v>
      </c>
      <c r="I81" s="417">
        <f t="shared" si="35"/>
        <v>1302.778693568956</v>
      </c>
      <c r="J81" s="387">
        <f t="shared" si="35"/>
        <v>286.78221322025922</v>
      </c>
      <c r="K81" s="387">
        <f t="shared" si="35"/>
        <v>775.58368987599874</v>
      </c>
      <c r="L81" s="387">
        <f t="shared" si="35"/>
        <v>0</v>
      </c>
      <c r="M81" s="387">
        <f t="shared" si="35"/>
        <v>1409.1399781230816</v>
      </c>
      <c r="N81" s="420">
        <f t="shared" si="35"/>
        <v>0</v>
      </c>
      <c r="O81" s="421">
        <f t="shared" si="35"/>
        <v>5178.8173054808321</v>
      </c>
      <c r="P81" s="388">
        <f t="shared" si="35"/>
        <v>3774.2845747882957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53.784971467348427</v>
      </c>
      <c r="H82" s="252">
        <f t="shared" si="36"/>
        <v>83.967705880707058</v>
      </c>
      <c r="I82" s="252">
        <f t="shared" si="36"/>
        <v>189.54487648897518</v>
      </c>
      <c r="J82" s="252">
        <f t="shared" si="36"/>
        <v>220.34002732499818</v>
      </c>
      <c r="K82" s="252">
        <f t="shared" si="36"/>
        <v>309.85854042828726</v>
      </c>
      <c r="L82" s="252">
        <f t="shared" si="36"/>
        <v>309.85854042828726</v>
      </c>
      <c r="M82" s="252">
        <f t="shared" si="36"/>
        <v>450.68886380560389</v>
      </c>
      <c r="N82" s="252">
        <f t="shared" si="36"/>
        <v>450.68886380560389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2.3405076885000033</v>
      </c>
      <c r="H83" s="252">
        <f t="shared" si="37"/>
        <v>5.0323669919171019</v>
      </c>
      <c r="I83" s="252">
        <f t="shared" si="37"/>
        <v>19.780093600209121</v>
      </c>
      <c r="J83" s="252">
        <f t="shared" si="37"/>
        <v>24.433931175835308</v>
      </c>
      <c r="K83" s="252">
        <f t="shared" si="37"/>
        <v>40.815204046595611</v>
      </c>
      <c r="L83" s="252">
        <f t="shared" si="37"/>
        <v>40.815204046595611</v>
      </c>
      <c r="M83" s="252">
        <f t="shared" si="37"/>
        <v>86.845437548900165</v>
      </c>
      <c r="N83" s="252">
        <f t="shared" si="37"/>
        <v>86.845437548900165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958.57369729343577</v>
      </c>
      <c r="H91" s="290">
        <f t="shared" si="46"/>
        <v>445.95903339909961</v>
      </c>
      <c r="I91" s="416">
        <f t="shared" si="46"/>
        <v>1302.7786935689558</v>
      </c>
      <c r="J91" s="381">
        <f t="shared" si="46"/>
        <v>286.78221322025917</v>
      </c>
      <c r="K91" s="381">
        <f t="shared" si="46"/>
        <v>775.58368987599852</v>
      </c>
      <c r="L91" s="381">
        <f t="shared" si="46"/>
        <v>0</v>
      </c>
      <c r="M91" s="381">
        <f t="shared" si="46"/>
        <v>1409.1399781230812</v>
      </c>
      <c r="N91" s="346">
        <f t="shared" si="46"/>
        <v>0</v>
      </c>
      <c r="O91" s="374">
        <f t="shared" si="41"/>
        <v>5178.8173054808303</v>
      </c>
      <c r="P91" s="431">
        <f t="shared" si="39"/>
        <v>3774.2845747882948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958.57369729343577</v>
      </c>
      <c r="H95" s="5">
        <f t="shared" ref="H95:N95" si="51">+SUM(H85:H94)</f>
        <v>445.95903339909961</v>
      </c>
      <c r="I95" s="411">
        <f t="shared" si="51"/>
        <v>1302.7786935689558</v>
      </c>
      <c r="J95" s="382">
        <f t="shared" si="51"/>
        <v>286.78221322025917</v>
      </c>
      <c r="K95" s="382">
        <f t="shared" si="51"/>
        <v>775.58368987599852</v>
      </c>
      <c r="L95" s="382">
        <f t="shared" si="51"/>
        <v>0</v>
      </c>
      <c r="M95" s="382">
        <f t="shared" si="51"/>
        <v>1409.1399781230812</v>
      </c>
      <c r="N95" s="286">
        <f t="shared" si="51"/>
        <v>0</v>
      </c>
      <c r="O95" s="372">
        <f>SUM(O85:O94)</f>
        <v>5178.8173054808303</v>
      </c>
      <c r="P95" s="428">
        <f>SUM(P85:P94)</f>
        <v>3774.2845747882948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48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0</v>
      </c>
      <c r="H115" s="191">
        <f t="shared" si="62"/>
        <v>0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0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360.96344923308277</v>
      </c>
      <c r="H118" s="191">
        <f t="shared" si="62"/>
        <v>165.21556028365839</v>
      </c>
      <c r="I118" s="191">
        <f t="shared" si="62"/>
        <v>472.88172189473687</v>
      </c>
      <c r="J118" s="191">
        <f t="shared" si="62"/>
        <v>100.50179778947367</v>
      </c>
      <c r="K118" s="191">
        <f t="shared" si="62"/>
        <v>267.76271084210526</v>
      </c>
      <c r="L118" s="191">
        <f t="shared" si="62"/>
        <v>0</v>
      </c>
      <c r="M118" s="191">
        <f t="shared" si="62"/>
        <v>488.6002857142858</v>
      </c>
      <c r="N118" s="191">
        <f t="shared" si="62"/>
        <v>0</v>
      </c>
      <c r="O118" s="191">
        <f t="shared" si="60"/>
        <v>1855.9255257573427</v>
      </c>
      <c r="P118" s="191">
        <f t="shared" si="61"/>
        <v>1329.7465162406015</v>
      </c>
    </row>
    <row r="119" spans="4:16" hidden="1" outlineLevel="1">
      <c r="D119" s="248" t="s">
        <v>387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360.96344923308277</v>
      </c>
      <c r="H120" s="191">
        <f t="shared" ref="H120:P120" si="63">SUM(H111:H119)</f>
        <v>165.21556028365839</v>
      </c>
      <c r="I120" s="191">
        <f t="shared" si="63"/>
        <v>472.88172189473687</v>
      </c>
      <c r="J120" s="191">
        <f t="shared" si="63"/>
        <v>100.50179778947367</v>
      </c>
      <c r="K120" s="191">
        <f t="shared" si="63"/>
        <v>267.76271084210526</v>
      </c>
      <c r="L120" s="191">
        <f t="shared" si="63"/>
        <v>0</v>
      </c>
      <c r="M120" s="191">
        <f t="shared" si="63"/>
        <v>488.6002857142858</v>
      </c>
      <c r="N120" s="191">
        <f t="shared" si="63"/>
        <v>0</v>
      </c>
      <c r="O120" s="191">
        <f t="shared" si="63"/>
        <v>1855.9255257573427</v>
      </c>
      <c r="P120" s="191">
        <f t="shared" si="63"/>
        <v>1329.7465162406015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0</v>
      </c>
      <c r="H127" s="191">
        <f t="shared" si="67"/>
        <v>0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0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90.771027374331794</v>
      </c>
      <c r="H130" s="191">
        <f t="shared" si="67"/>
        <v>41.820757657886759</v>
      </c>
      <c r="I130" s="191">
        <f t="shared" si="67"/>
        <v>120.66339784648035</v>
      </c>
      <c r="J130" s="191">
        <f t="shared" si="67"/>
        <v>25.852376273083866</v>
      </c>
      <c r="K130" s="191">
        <f t="shared" si="67"/>
        <v>69.447358734609381</v>
      </c>
      <c r="L130" s="191">
        <f t="shared" si="67"/>
        <v>0</v>
      </c>
      <c r="M130" s="191">
        <f t="shared" si="67"/>
        <v>129.0218320190674</v>
      </c>
      <c r="N130" s="191">
        <f t="shared" si="67"/>
        <v>0</v>
      </c>
      <c r="O130" s="191">
        <f t="shared" si="65"/>
        <v>477.57674990545956</v>
      </c>
      <c r="P130" s="191">
        <f t="shared" si="66"/>
        <v>344.98496487324098</v>
      </c>
    </row>
    <row r="131" spans="4:16" hidden="1" outlineLevel="1">
      <c r="D131" s="248" t="s">
        <v>387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90.771027374331794</v>
      </c>
      <c r="H132" s="191">
        <f t="shared" ref="H132:P132" si="68">SUM(H123:H131)</f>
        <v>41.820757657886759</v>
      </c>
      <c r="I132" s="191">
        <f t="shared" si="68"/>
        <v>120.66339784648035</v>
      </c>
      <c r="J132" s="191">
        <f t="shared" si="68"/>
        <v>25.852376273083866</v>
      </c>
      <c r="K132" s="191">
        <f t="shared" si="68"/>
        <v>69.447358734609381</v>
      </c>
      <c r="L132" s="191">
        <f t="shared" si="68"/>
        <v>0</v>
      </c>
      <c r="M132" s="191">
        <f t="shared" si="68"/>
        <v>129.0218320190674</v>
      </c>
      <c r="N132" s="191">
        <f t="shared" si="68"/>
        <v>0</v>
      </c>
      <c r="O132" s="191">
        <f t="shared" si="68"/>
        <v>477.57674990545956</v>
      </c>
      <c r="P132" s="191">
        <f t="shared" si="68"/>
        <v>344.98496487324098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0</v>
      </c>
      <c r="H139" s="191">
        <f t="shared" si="72"/>
        <v>0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0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453.05424921867296</v>
      </c>
      <c r="H142" s="191">
        <f t="shared" si="72"/>
        <v>208.73998104419604</v>
      </c>
      <c r="I142" s="191">
        <f t="shared" si="72"/>
        <v>603.6564032194708</v>
      </c>
      <c r="J142" s="191">
        <f t="shared" si="72"/>
        <v>129.63288832167885</v>
      </c>
      <c r="K142" s="191">
        <f t="shared" si="72"/>
        <v>348.85510719599466</v>
      </c>
      <c r="L142" s="191">
        <f t="shared" si="72"/>
        <v>0</v>
      </c>
      <c r="M142" s="191">
        <f t="shared" si="72"/>
        <v>650.68753701241155</v>
      </c>
      <c r="N142" s="191">
        <f t="shared" si="72"/>
        <v>0</v>
      </c>
      <c r="O142" s="191">
        <f t="shared" si="70"/>
        <v>2394.6261660124246</v>
      </c>
      <c r="P142" s="191">
        <f t="shared" si="71"/>
        <v>1732.8319357495557</v>
      </c>
    </row>
    <row r="143" spans="4:16" hidden="1" outlineLevel="1">
      <c r="D143" s="248" t="s">
        <v>387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453.05424921867296</v>
      </c>
      <c r="H144" s="191">
        <f t="shared" ref="H144:P144" si="73">SUM(H135:H143)</f>
        <v>208.73998104419604</v>
      </c>
      <c r="I144" s="191">
        <f t="shared" si="73"/>
        <v>603.6564032194708</v>
      </c>
      <c r="J144" s="191">
        <f t="shared" si="73"/>
        <v>129.63288832167885</v>
      </c>
      <c r="K144" s="191">
        <f t="shared" si="73"/>
        <v>348.85510719599466</v>
      </c>
      <c r="L144" s="191">
        <f t="shared" si="73"/>
        <v>0</v>
      </c>
      <c r="M144" s="191">
        <f t="shared" si="73"/>
        <v>650.68753701241155</v>
      </c>
      <c r="N144" s="191">
        <f t="shared" si="73"/>
        <v>0</v>
      </c>
      <c r="O144" s="191">
        <f t="shared" si="73"/>
        <v>2394.6261660124246</v>
      </c>
      <c r="P144" s="191">
        <f t="shared" si="73"/>
        <v>1732.8319357495557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0</v>
      </c>
      <c r="H151" s="191">
        <f t="shared" si="74"/>
        <v>0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0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904.78872582608756</v>
      </c>
      <c r="H154" s="191">
        <f t="shared" si="74"/>
        <v>415.77629898574116</v>
      </c>
      <c r="I154" s="191">
        <f t="shared" si="74"/>
        <v>1197.2015229606882</v>
      </c>
      <c r="J154" s="191">
        <f t="shared" si="74"/>
        <v>255.98706238423637</v>
      </c>
      <c r="K154" s="191">
        <f t="shared" si="74"/>
        <v>686.06517677270926</v>
      </c>
      <c r="L154" s="191">
        <f t="shared" si="74"/>
        <v>0</v>
      </c>
      <c r="M154" s="191">
        <f t="shared" si="74"/>
        <v>1268.3096547457649</v>
      </c>
      <c r="N154" s="191">
        <f t="shared" si="74"/>
        <v>0</v>
      </c>
      <c r="O154" s="191">
        <f t="shared" si="75"/>
        <v>4728.1284416752278</v>
      </c>
      <c r="P154" s="191">
        <f t="shared" si="76"/>
        <v>3407.5634168633987</v>
      </c>
    </row>
    <row r="155" spans="4:16" hidden="1" outlineLevel="1">
      <c r="D155" s="248" t="s">
        <v>387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904.78872582608756</v>
      </c>
      <c r="H156" s="191">
        <f t="shared" ref="H156:N156" si="77">SUM(H147:H155)</f>
        <v>415.77629898574116</v>
      </c>
      <c r="I156" s="191">
        <f t="shared" si="77"/>
        <v>1197.2015229606882</v>
      </c>
      <c r="J156" s="191">
        <f t="shared" si="77"/>
        <v>255.98706238423637</v>
      </c>
      <c r="K156" s="191">
        <f t="shared" si="77"/>
        <v>686.06517677270926</v>
      </c>
      <c r="L156" s="191">
        <f t="shared" si="77"/>
        <v>0</v>
      </c>
      <c r="M156" s="191">
        <f t="shared" si="77"/>
        <v>1268.3096547457649</v>
      </c>
      <c r="N156" s="191">
        <f t="shared" si="77"/>
        <v>0</v>
      </c>
      <c r="O156" s="191">
        <f t="shared" ref="O156:P156" si="78">SUM(O147:O155)</f>
        <v>4728.1284416752278</v>
      </c>
      <c r="P156" s="191">
        <f t="shared" si="78"/>
        <v>3407.5634168633987</v>
      </c>
    </row>
    <row r="157" spans="4:16" collapsed="1"/>
  </sheetData>
  <mergeCells count="1">
    <mergeCell ref="C13:C14"/>
  </mergeCells>
  <phoneticPr fontId="6" type="noConversion"/>
  <conditionalFormatting sqref="R14">
    <cfRule type="cellIs" dxfId="21" priority="4" operator="equal">
      <formula>"Error"</formula>
    </cfRule>
  </conditionalFormatting>
  <conditionalFormatting sqref="R11">
    <cfRule type="cellIs" dxfId="20" priority="3" operator="equal">
      <formula>"Error"</formula>
    </cfRule>
  </conditionalFormatting>
  <conditionalFormatting sqref="R54">
    <cfRule type="cellIs" dxfId="1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3.570312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Project_Inputs!B45</f>
        <v>0</v>
      </c>
      <c r="F3" s="249" t="s">
        <v>63</v>
      </c>
      <c r="G3" s="249">
        <f>Project_Inputs!F45</f>
        <v>0</v>
      </c>
    </row>
    <row r="4" spans="1:21" ht="18.75">
      <c r="A4" s="6"/>
      <c r="B4" s="6"/>
      <c r="C4" s="13" t="s">
        <v>15</v>
      </c>
      <c r="D4" s="339" t="str">
        <f>Project_Inputs!D45</f>
        <v>Other station works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Project_Inputs!H45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Project_Inputs!I45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Project_Inputs!J45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4715.6316044729101</v>
      </c>
      <c r="G11" s="319">
        <f>IF(G$10="Prior",SUMIFS(Project_Inputs!$W$5:$W$50,Project_Inputs!$D$5:$D$50,$D$4),SUMIFS(Project_Inputs!M$5:M$50,Project_Inputs!$D$5:$D$50,$D$4))</f>
        <v>3035.5501525000004</v>
      </c>
      <c r="H11" s="389">
        <f>IF(H$10="Prior",SUMIFS(Project_Inputs!$W$5:$W$50,Project_Inputs!$D$5:$D$50,$D$4),SUMIFS(Project_Inputs!N$5:N$50,Project_Inputs!$D$5:$D$50,$D$4))</f>
        <v>2182.8864317917796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9934.0681887646897</v>
      </c>
      <c r="P11" s="300">
        <f t="shared" ref="P11" si="0">SUM(I11:M11)</f>
        <v>0</v>
      </c>
      <c r="R11" s="608" t="str">
        <f>IF(O11=Project_Inputs!V45,"ok","error")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4715.6316044729101</v>
      </c>
      <c r="G14" s="447">
        <f>IF($G$3="Yes",SUMIFS(Project_Inputs!AK$5:AK$50,Project_Inputs!$D$5:$D$50,$D$4),IF(AND(G$13="X",G$10="Prior"),G11,IF(G$13="X",SUM($F11:G11)-SUM(F14:$F14),0)))</f>
        <v>3035.5501525</v>
      </c>
      <c r="H14" s="447">
        <f>IF($G$3="Yes",SUMIFS(Project_Inputs!AL$5:AL$50,Project_Inputs!$D$5:$D$50,$D$4),IF(AND(H$13="X",H$10="Prior"),H11,IF(H$13="X",SUM($F11:H11)-SUM($F14:G14),0)))</f>
        <v>2182.8864317917796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9934.0681887646897</v>
      </c>
      <c r="P14" s="451">
        <f>SUM(I14:M14)</f>
        <v>0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0.17179678162811926</v>
      </c>
      <c r="G17" s="341">
        <v>0.17179678162811926</v>
      </c>
      <c r="H17" s="392">
        <v>0.17179678162811926</v>
      </c>
      <c r="I17" s="404">
        <v>0.17179678162811926</v>
      </c>
      <c r="J17" s="341">
        <v>0.17179678162811926</v>
      </c>
      <c r="K17" s="341">
        <v>0.17179678162811926</v>
      </c>
      <c r="L17" s="341">
        <v>0.17179678162811926</v>
      </c>
      <c r="M17" s="341">
        <v>0.17179678162811926</v>
      </c>
      <c r="N17" s="342">
        <v>0.17179678162811926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0.30927407153240916</v>
      </c>
      <c r="G18" s="341">
        <v>0.30927407153240916</v>
      </c>
      <c r="H18" s="392">
        <v>0.30927407153240916</v>
      </c>
      <c r="I18" s="404">
        <v>0.30927407153240916</v>
      </c>
      <c r="J18" s="341">
        <v>0.30927407153240916</v>
      </c>
      <c r="K18" s="341">
        <v>0.30927407153240916</v>
      </c>
      <c r="L18" s="341">
        <v>0.30927407153240916</v>
      </c>
      <c r="M18" s="341">
        <v>0.30927407153240916</v>
      </c>
      <c r="N18" s="342">
        <v>0.30927407153240916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0.43998263980647478</v>
      </c>
      <c r="G19" s="341">
        <v>0.43998263980647478</v>
      </c>
      <c r="H19" s="392">
        <v>0.43998263980647478</v>
      </c>
      <c r="I19" s="404">
        <v>0.43998263980647478</v>
      </c>
      <c r="J19" s="341">
        <v>0.43998263980647478</v>
      </c>
      <c r="K19" s="341">
        <v>0.43998263980647478</v>
      </c>
      <c r="L19" s="341">
        <v>0.43998263980647478</v>
      </c>
      <c r="M19" s="341">
        <v>0.43998263980647478</v>
      </c>
      <c r="N19" s="342">
        <v>0.43998263980647478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0</v>
      </c>
      <c r="G21" s="341">
        <v>0</v>
      </c>
      <c r="H21" s="392">
        <v>0</v>
      </c>
      <c r="I21" s="404">
        <v>0</v>
      </c>
      <c r="J21" s="341">
        <v>0</v>
      </c>
      <c r="K21" s="341">
        <v>0</v>
      </c>
      <c r="L21" s="341">
        <v>0</v>
      </c>
      <c r="M21" s="341">
        <v>0</v>
      </c>
      <c r="N21" s="342">
        <v>0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7.8946507032996854E-2</v>
      </c>
      <c r="G22" s="341">
        <v>7.8946507032996854E-2</v>
      </c>
      <c r="H22" s="392">
        <v>7.8946507032996854E-2</v>
      </c>
      <c r="I22" s="404">
        <v>7.8946507032996854E-2</v>
      </c>
      <c r="J22" s="341">
        <v>7.8946507032996854E-2</v>
      </c>
      <c r="K22" s="341">
        <v>7.8946507032996854E-2</v>
      </c>
      <c r="L22" s="341">
        <v>7.8946507032996854E-2</v>
      </c>
      <c r="M22" s="341">
        <v>7.8946507032996854E-2</v>
      </c>
      <c r="N22" s="342">
        <v>7.8946507032996854E-2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0</v>
      </c>
      <c r="G23" s="341">
        <v>0</v>
      </c>
      <c r="H23" s="392">
        <v>0</v>
      </c>
      <c r="I23" s="404">
        <v>0</v>
      </c>
      <c r="J23" s="341">
        <v>0</v>
      </c>
      <c r="K23" s="341">
        <v>0</v>
      </c>
      <c r="L23" s="341">
        <v>0</v>
      </c>
      <c r="M23" s="341">
        <v>0</v>
      </c>
      <c r="N23" s="342">
        <v>0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1.783385714593773</v>
      </c>
      <c r="H46" s="290">
        <f>IF(H$10="Prior",0,(H11*H29)*(Assumptions!H28-1))</f>
        <v>2.7316149657995066</v>
      </c>
      <c r="I46" s="407">
        <f>IF(I$10="Prior",0,(I11*I29)*(Assumptions!I28-1))</f>
        <v>0</v>
      </c>
      <c r="J46" s="282">
        <f>IF(J$10="Prior",0,(J11*J29)*(Assumptions!J28-1))</f>
        <v>0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4.5150006803932801</v>
      </c>
      <c r="P46" s="300">
        <f t="shared" ref="P46:P47" si="7">SUM(I46:M46)</f>
        <v>0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6.22287781262499</v>
      </c>
      <c r="H47" s="290">
        <f>IF(H$10="Prior",0,(H11*H30)*(Assumptions!H30-1))</f>
        <v>11.735374816835185</v>
      </c>
      <c r="I47" s="407">
        <f>IF(I$10="Prior",0,(I11*I30)*(Assumptions!I30-1))</f>
        <v>0</v>
      </c>
      <c r="J47" s="282">
        <f>IF(J$10="Prior",0,(J11*J30)*(Assumptions!J30-1))</f>
        <v>0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17.958252629460176</v>
      </c>
      <c r="P47" s="300">
        <f t="shared" si="7"/>
        <v>0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8.0062635272187634</v>
      </c>
      <c r="H48" s="253">
        <f t="shared" si="8"/>
        <v>14.466989782634691</v>
      </c>
      <c r="I48" s="408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22.473253309853455</v>
      </c>
      <c r="P48" s="434">
        <f>SUM(P46:P47)</f>
        <v>0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8.0062635272187634</v>
      </c>
      <c r="H49" s="253">
        <f t="shared" si="9"/>
        <v>14.466989782634691</v>
      </c>
      <c r="I49" s="408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22.473253309853455</v>
      </c>
      <c r="P49" s="371">
        <f>P44+P48</f>
        <v>0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6.6274587499999919E-3</v>
      </c>
      <c r="I50" s="442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2.2622406936234274E-3</v>
      </c>
      <c r="P50" s="444">
        <f t="shared" si="10"/>
        <v>0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479.54073271049708</v>
      </c>
      <c r="G51" s="280">
        <f>(G29*G$11+G46)*Assumptions!$G$21</f>
        <v>310.50390022903247</v>
      </c>
      <c r="H51" s="280">
        <f>(H29*H$11+H46)*Assumptions!$G$21</f>
        <v>224.75932266246772</v>
      </c>
      <c r="I51" s="410">
        <f>(I29*I$11+I46)*Assumptions!$G$21</f>
        <v>0</v>
      </c>
      <c r="J51" s="280">
        <f>(J29*J$11+J46)*Assumptions!$G$21</f>
        <v>0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1014.8039556019972</v>
      </c>
      <c r="P51" s="375">
        <f>SUM(I51:M51)</f>
        <v>0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2397.7036635524855</v>
      </c>
      <c r="G52" s="282">
        <f>(G30*G$11+G47)*Assumptions!$G$21</f>
        <v>1549.7798743381209</v>
      </c>
      <c r="H52" s="282">
        <f>(H30*H$11+H47)*Assumptions!$G$21</f>
        <v>1121.8413864202712</v>
      </c>
      <c r="I52" s="407">
        <f>(I30*I$11+I47)*Assumptions!$G$21</f>
        <v>0</v>
      </c>
      <c r="J52" s="282">
        <f>(J30*J$11+J47)*Assumptions!$G$21</f>
        <v>0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5069.3249243108776</v>
      </c>
      <c r="P52" s="376">
        <f>SUM(I52:M52)</f>
        <v>0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1918.1629308419883</v>
      </c>
      <c r="G53" s="282">
        <f>(G31*G$11+G$44)*Assumptions!$G$21</f>
        <v>1234.7613778214288</v>
      </c>
      <c r="H53" s="282">
        <f>(H31*H$11+H$44)*Assumptions!$G$21</f>
        <v>887.9259846611676</v>
      </c>
      <c r="I53" s="407">
        <f>(I31*I$11+I$44)*Assumptions!$G$21</f>
        <v>0</v>
      </c>
      <c r="J53" s="282">
        <f>(J31*J$11+J$44)*Assumptions!$G$21</f>
        <v>0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4040.8502933245845</v>
      </c>
      <c r="P53" s="376">
        <f>SUM(I53:M53)</f>
        <v>0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4795.407327104971</v>
      </c>
      <c r="G54" s="5">
        <f t="shared" si="12"/>
        <v>3095.0451523885822</v>
      </c>
      <c r="H54" s="5">
        <f t="shared" si="12"/>
        <v>2234.5266937439064</v>
      </c>
      <c r="I54" s="411">
        <f t="shared" si="12"/>
        <v>0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10124.97917323746</v>
      </c>
      <c r="P54" s="428">
        <f t="shared" si="12"/>
        <v>0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IF($D$9=0,0,INDEX(OHD_Summary_tbl,MATCH($D$9,Assumptions!$C$95:$C$97,0),MATCH(F$10,Assumptions!$D$94:$N$94,0)))</f>
        <v>8.0081718857033676E-2</v>
      </c>
      <c r="G56" s="315">
        <f>IF($D$9=0,0,INDEX(OHD_Summary_tbl,MATCH($D$9,Assumptions!$C$95:$C$97,0),MATCH(G$10,Assumptions!$D$94:$N$94,0)))</f>
        <v>5.9444785210206755E-2</v>
      </c>
      <c r="H56" s="396">
        <f>IF($D$9=0,0,INDEX(OHD_Summary_tbl,MATCH($D$9,Assumptions!$C$95:$C$97,0),MATCH(H$10,Assumptions!$D$94:$N$94,0)))</f>
        <v>7.2593686766146664E-2</v>
      </c>
      <c r="I56" s="413">
        <f>IF($D$9=0,0,INDEX(OHD_Summary_tbl,MATCH($D$9,Assumptions!$C$95:$C$97,0),MATCH(I$10,Assumptions!$D$94:$N$94,0)))</f>
        <v>8.8186632395166858E-2</v>
      </c>
      <c r="J56" s="316">
        <f>IF($D$9=0,0,INDEX(OHD_Summary_tbl,MATCH($D$9,Assumptions!$C$95:$C$97,0),MATCH(J$10,Assumptions!$D$94:$N$94,0)))</f>
        <v>0.12029963760355783</v>
      </c>
      <c r="K56" s="316">
        <f>IF($D$9=0,0,INDEX(OHD_Summary_tbl,MATCH($D$9,Assumptions!$C$95:$C$97,0),MATCH(K$10,Assumptions!$D$94:$N$94,0)))</f>
        <v>0.13048106234511045</v>
      </c>
      <c r="L56" s="316">
        <f>IF($D$9=0,0,INDEX(OHD_Summary_tbl,MATCH($D$9,Assumptions!$C$95:$C$97,0),MATCH(L$10,Assumptions!$D$94:$N$94,0)))</f>
        <v>0.1179104066006242</v>
      </c>
      <c r="M56" s="316">
        <f>IF($D$9=0,0,INDEX(OHD_Summary_tbl,MATCH($D$9,Assumptions!$C$95:$C$97,0),MATCH(M$10,Assumptions!$D$94:$N$94,0)))</f>
        <v>0.11103780756565028</v>
      </c>
      <c r="N56" s="317">
        <f>IF($D$9=0,0,INDEX(OHD_Summary_tbl,MATCH($D$9,Assumptions!$C$95:$C$97,0),MATCH(N$10,Assumptions!$D$94:$N$94,0)))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384.02446137417962</v>
      </c>
      <c r="G57" s="290">
        <f t="shared" ref="G57:N57" si="13">G54*G56</f>
        <v>183.9842942996309</v>
      </c>
      <c r="H57" s="290">
        <f t="shared" si="13"/>
        <v>162.21253087623847</v>
      </c>
      <c r="I57" s="407">
        <f t="shared" si="13"/>
        <v>0</v>
      </c>
      <c r="J57" s="282">
        <f t="shared" si="13"/>
        <v>0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730.22128655004906</v>
      </c>
      <c r="P57" s="300">
        <f>SUM(I57:M57)</f>
        <v>0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5179.4317884791508</v>
      </c>
      <c r="G59" s="5">
        <f t="shared" si="14"/>
        <v>3279.0294466882133</v>
      </c>
      <c r="H59" s="5">
        <f t="shared" si="14"/>
        <v>2396.7392246201448</v>
      </c>
      <c r="I59" s="411">
        <f t="shared" si="14"/>
        <v>0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10855.200459787509</v>
      </c>
      <c r="P59" s="429">
        <f t="shared" si="15"/>
        <v>0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384.02446137417962</v>
      </c>
      <c r="G60" s="290">
        <f t="shared" ref="G60:N60" si="16">G57+F60</f>
        <v>568.00875567381058</v>
      </c>
      <c r="H60" s="290">
        <f t="shared" si="16"/>
        <v>730.22128655004906</v>
      </c>
      <c r="I60" s="290">
        <f t="shared" si="16"/>
        <v>730.22128655004906</v>
      </c>
      <c r="J60" s="290">
        <f t="shared" si="16"/>
        <v>730.22128655004906</v>
      </c>
      <c r="K60" s="290">
        <f t="shared" si="16"/>
        <v>730.22128655004906</v>
      </c>
      <c r="L60" s="290">
        <f t="shared" si="16"/>
        <v>730.22128655004906</v>
      </c>
      <c r="M60" s="290">
        <f t="shared" si="16"/>
        <v>730.22128655004906</v>
      </c>
      <c r="N60" s="290">
        <f t="shared" si="16"/>
        <v>730.22128655004906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8.0062635272187634</v>
      </c>
      <c r="H61" s="252">
        <f t="shared" ref="H61:N61" si="17">H49+G61</f>
        <v>22.473253309853455</v>
      </c>
      <c r="I61" s="252">
        <f t="shared" si="17"/>
        <v>22.473253309853455</v>
      </c>
      <c r="J61" s="252">
        <f t="shared" si="17"/>
        <v>22.473253309853455</v>
      </c>
      <c r="K61" s="252">
        <f t="shared" si="17"/>
        <v>22.473253309853455</v>
      </c>
      <c r="L61" s="252">
        <f t="shared" si="17"/>
        <v>22.473253309853455</v>
      </c>
      <c r="M61" s="252">
        <f t="shared" si="17"/>
        <v>22.473253309853455</v>
      </c>
      <c r="N61" s="252">
        <f t="shared" si="17"/>
        <v>22.473253309853455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889.80971192309187</v>
      </c>
      <c r="G64" s="280">
        <f t="shared" si="18"/>
        <v>563.32670580486774</v>
      </c>
      <c r="H64" s="280">
        <f t="shared" si="18"/>
        <v>411.75208519161487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1864.8885029195746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1601.8639574473348</v>
      </c>
      <c r="G65" s="282">
        <f t="shared" si="19"/>
        <v>1014.1187876519265</v>
      </c>
      <c r="H65" s="282">
        <f t="shared" si="19"/>
        <v>741.2492983997015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3357.2320434989624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2278.8600709926277</v>
      </c>
      <c r="G66" s="282">
        <f t="shared" si="22"/>
        <v>1442.7160319570444</v>
      </c>
      <c r="H66" s="282">
        <f t="shared" si="22"/>
        <v>1054.5236509760948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4776.0997539257669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408.89804811609673</v>
      </c>
      <c r="G69" s="282">
        <f t="shared" si="25"/>
        <v>258.86792127437479</v>
      </c>
      <c r="H69" s="282">
        <f t="shared" si="25"/>
        <v>189.2141900527337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856.98015944320525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5179.4317884791517</v>
      </c>
      <c r="G74" s="5">
        <f t="shared" ref="G74:N74" si="30">+SUM(G64:G73)</f>
        <v>3279.0294466882133</v>
      </c>
      <c r="H74" s="5">
        <f t="shared" si="30"/>
        <v>2396.7392246201448</v>
      </c>
      <c r="I74" s="411">
        <f t="shared" si="30"/>
        <v>0</v>
      </c>
      <c r="J74" s="382">
        <f t="shared" si="30"/>
        <v>0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10855.200459787507</v>
      </c>
      <c r="P74" s="428">
        <f>SUM(P64:P73)</f>
        <v>0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4715.6316044729101</v>
      </c>
      <c r="G76" s="280">
        <f t="shared" si="32"/>
        <v>3035.5501525</v>
      </c>
      <c r="H76" s="280">
        <f t="shared" si="32"/>
        <v>2182.8864317917796</v>
      </c>
      <c r="I76" s="410">
        <f t="shared" si="32"/>
        <v>0</v>
      </c>
      <c r="J76" s="280">
        <f t="shared" si="32"/>
        <v>0</v>
      </c>
      <c r="K76" s="280">
        <f t="shared" si="32"/>
        <v>0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9934.0681887646897</v>
      </c>
      <c r="P76" s="378">
        <f t="shared" ref="P76:P80" si="33">SUM(I76:M76)</f>
        <v>0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8.0062635272187634</v>
      </c>
      <c r="H77" s="282">
        <f>IF(H$10="Prior",0,IF(AND(H76&lt;&gt;0,SUM($F76:G76)=0),H76/SUM($F$76:H76)*H61,IF(H76&lt;&gt;0,SUM($F$76:H76)/SUM($F$11:H11)*H61-G83,0)))</f>
        <v>14.466989782634691</v>
      </c>
      <c r="I77" s="407">
        <f>IF(I$10="Prior",0,IF(AND(I76&lt;&gt;0,SUM($F76:H76)=0),I76/SUM($F$76:I76)*I61,IF(I76&lt;&gt;0,SUM($F$76:I76)/SUM($F$11:I11)*I61-H83,0)))</f>
        <v>0</v>
      </c>
      <c r="J77" s="282">
        <f>IF(J$10="Prior",0,IF(AND(J76&lt;&gt;0,SUM($F76:I76)=0),J76/SUM($F$76:J76)*J61,IF(J76&lt;&gt;0,SUM($F$76:J76)/SUM($F$11:J11)*J61-I83,0)))</f>
        <v>0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22.473253309853455</v>
      </c>
      <c r="P77" s="455">
        <f t="shared" si="33"/>
        <v>0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4715.6316044729101</v>
      </c>
      <c r="G78" s="457">
        <f t="shared" ref="G78:N78" si="34">SUM(G76:G77)</f>
        <v>3043.5564160272188</v>
      </c>
      <c r="H78" s="457">
        <f t="shared" si="34"/>
        <v>2197.3534215744144</v>
      </c>
      <c r="I78" s="458">
        <f t="shared" si="34"/>
        <v>0</v>
      </c>
      <c r="J78" s="457">
        <f t="shared" si="34"/>
        <v>0</v>
      </c>
      <c r="K78" s="457">
        <f t="shared" si="34"/>
        <v>0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9956.5414420745437</v>
      </c>
      <c r="P78" s="461">
        <f t="shared" si="33"/>
        <v>0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4795.407327104971</v>
      </c>
      <c r="G79" s="457">
        <f>G78*Assumptions!$G$21</f>
        <v>3095.0451523885818</v>
      </c>
      <c r="H79" s="457">
        <f>H78*Assumptions!$G$21</f>
        <v>2234.5266937439064</v>
      </c>
      <c r="I79" s="458">
        <f>I78*Assumptions!$G$21</f>
        <v>0</v>
      </c>
      <c r="J79" s="457">
        <f>J78*Assumptions!$G$21</f>
        <v>0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10124.97917323746</v>
      </c>
      <c r="P79" s="461">
        <f t="shared" si="33"/>
        <v>0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384.02446137417962</v>
      </c>
      <c r="G80" s="282">
        <f>IF(G$10="Prior",G79*G56,IF(AND(G79&lt;&gt;0,SUM($F79:F79)=0),G79/SUM($F$54:G54)*G60,IF(G79&lt;&gt;0,SUM($F$79:G79)/SUM($F$54:G54)*G60-F82,0)))</f>
        <v>183.98429429963096</v>
      </c>
      <c r="H80" s="282">
        <f>IF(H$10="Prior",H79*H56,IF(AND(H79&lt;&gt;0,SUM($F79:G79)=0),H79/SUM($F$54:H54)*H60,IF(H79&lt;&gt;0,SUM($F$79:H79)/SUM($F$54:H54)*H60-G82,0)))</f>
        <v>162.21253087623847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0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730.22128655004906</v>
      </c>
      <c r="P80" s="300">
        <f t="shared" si="33"/>
        <v>0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5179.4317884791508</v>
      </c>
      <c r="G81" s="307">
        <f t="shared" ref="G81:P81" si="35">SUM(G79:G80)</f>
        <v>3279.0294466882128</v>
      </c>
      <c r="H81" s="307">
        <f t="shared" si="35"/>
        <v>2396.7392246201448</v>
      </c>
      <c r="I81" s="417">
        <f t="shared" si="35"/>
        <v>0</v>
      </c>
      <c r="J81" s="387">
        <f t="shared" si="35"/>
        <v>0</v>
      </c>
      <c r="K81" s="387">
        <f t="shared" si="35"/>
        <v>0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10855.200459787509</v>
      </c>
      <c r="P81" s="388">
        <f t="shared" si="35"/>
        <v>0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384.02446137417962</v>
      </c>
      <c r="G82" s="252">
        <f t="shared" ref="G82:N82" si="36">G80+F82</f>
        <v>568.00875567381058</v>
      </c>
      <c r="H82" s="252">
        <f t="shared" si="36"/>
        <v>730.22128655004906</v>
      </c>
      <c r="I82" s="252">
        <f t="shared" si="36"/>
        <v>730.22128655004906</v>
      </c>
      <c r="J82" s="252">
        <f t="shared" si="36"/>
        <v>730.22128655004906</v>
      </c>
      <c r="K82" s="252">
        <f t="shared" si="36"/>
        <v>730.22128655004906</v>
      </c>
      <c r="L82" s="252">
        <f t="shared" si="36"/>
        <v>730.22128655004906</v>
      </c>
      <c r="M82" s="252">
        <f t="shared" si="36"/>
        <v>730.22128655004906</v>
      </c>
      <c r="N82" s="252">
        <f t="shared" si="36"/>
        <v>730.22128655004906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8.0062635272187634</v>
      </c>
      <c r="H83" s="252">
        <f t="shared" si="37"/>
        <v>22.473253309853455</v>
      </c>
      <c r="I83" s="252">
        <f t="shared" si="37"/>
        <v>22.473253309853455</v>
      </c>
      <c r="J83" s="252">
        <f t="shared" si="37"/>
        <v>22.473253309853455</v>
      </c>
      <c r="K83" s="252">
        <f t="shared" si="37"/>
        <v>22.473253309853455</v>
      </c>
      <c r="L83" s="252">
        <f t="shared" si="37"/>
        <v>22.473253309853455</v>
      </c>
      <c r="M83" s="252">
        <f t="shared" si="37"/>
        <v>22.473253309853455</v>
      </c>
      <c r="N83" s="252">
        <f t="shared" si="37"/>
        <v>22.473253309853455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889.80971192309175</v>
      </c>
      <c r="G85" s="344">
        <f t="shared" si="38"/>
        <v>563.32670580486752</v>
      </c>
      <c r="H85" s="344">
        <f t="shared" si="38"/>
        <v>411.75208519161481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1864.888502919574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1601.8639574473345</v>
      </c>
      <c r="G86" s="290">
        <f t="shared" si="40"/>
        <v>1014.118787651926</v>
      </c>
      <c r="H86" s="290">
        <f t="shared" si="40"/>
        <v>741.24929839970139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3357.232043498962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2278.8600709926272</v>
      </c>
      <c r="G87" s="290">
        <f t="shared" si="42"/>
        <v>1442.7160319570439</v>
      </c>
      <c r="H87" s="290">
        <f t="shared" si="42"/>
        <v>1054.5236509760946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4776.099753925766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408.89804811609667</v>
      </c>
      <c r="G90" s="290">
        <f t="shared" si="45"/>
        <v>258.86792127437468</v>
      </c>
      <c r="H90" s="290">
        <f t="shared" si="45"/>
        <v>189.21419005273364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856.98015944320503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5179.4317884791499</v>
      </c>
      <c r="G95" s="5">
        <f t="shared" ref="G95" si="50">+SUM(G85:G94)</f>
        <v>3279.0294466882119</v>
      </c>
      <c r="H95" s="5">
        <f t="shared" ref="H95:N95" si="51">+SUM(H85:H94)</f>
        <v>2396.7392246201443</v>
      </c>
      <c r="I95" s="411">
        <f t="shared" si="51"/>
        <v>0</v>
      </c>
      <c r="J95" s="382">
        <f t="shared" si="51"/>
        <v>0</v>
      </c>
      <c r="K95" s="382">
        <f t="shared" si="51"/>
        <v>0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10855.200459787507</v>
      </c>
      <c r="P95" s="428">
        <f>SUM(P85:P94)</f>
        <v>0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0.30927407153240916</v>
      </c>
      <c r="H103" s="2">
        <f t="shared" ref="H103:N105" si="55">H18</f>
        <v>0.30927407153240916</v>
      </c>
      <c r="I103" s="2">
        <f t="shared" si="55"/>
        <v>0.30927407153240916</v>
      </c>
      <c r="J103" s="2">
        <f t="shared" si="55"/>
        <v>0.30927407153240916</v>
      </c>
      <c r="K103" s="2">
        <f t="shared" si="55"/>
        <v>0.30927407153240916</v>
      </c>
      <c r="L103" s="2">
        <f t="shared" si="55"/>
        <v>0.30927407153240916</v>
      </c>
      <c r="M103" s="2">
        <f t="shared" si="55"/>
        <v>0.30927407153240916</v>
      </c>
      <c r="N103" s="2">
        <f t="shared" si="55"/>
        <v>0.30927407153240916</v>
      </c>
    </row>
    <row r="104" spans="3:16" hidden="1" outlineLevel="1">
      <c r="D104" s="248" t="s">
        <v>384</v>
      </c>
      <c r="G104" s="2">
        <f>G19</f>
        <v>0.43998263980647478</v>
      </c>
      <c r="H104" s="2">
        <f t="shared" si="55"/>
        <v>0.43998263980647478</v>
      </c>
      <c r="I104" s="2">
        <f t="shared" si="55"/>
        <v>0.43998263980647478</v>
      </c>
      <c r="J104" s="2">
        <f t="shared" si="55"/>
        <v>0.43998263980647478</v>
      </c>
      <c r="K104" s="2">
        <f t="shared" si="55"/>
        <v>0.43998263980647478</v>
      </c>
      <c r="L104" s="2">
        <f t="shared" si="55"/>
        <v>0.43998263980647478</v>
      </c>
      <c r="M104" s="2">
        <f t="shared" si="55"/>
        <v>0.43998263980647478</v>
      </c>
      <c r="N104" s="2">
        <f t="shared" si="55"/>
        <v>0.43998263980647478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0.17179678162811926</v>
      </c>
      <c r="H106" s="2">
        <f t="shared" ref="H106:N106" si="56">H17+H23</f>
        <v>0.17179678162811926</v>
      </c>
      <c r="I106" s="2">
        <f t="shared" si="56"/>
        <v>0.17179678162811926</v>
      </c>
      <c r="J106" s="2">
        <f t="shared" si="56"/>
        <v>0.17179678162811926</v>
      </c>
      <c r="K106" s="2">
        <f t="shared" si="56"/>
        <v>0.17179678162811926</v>
      </c>
      <c r="L106" s="2">
        <f t="shared" si="56"/>
        <v>0.17179678162811926</v>
      </c>
      <c r="M106" s="2">
        <f t="shared" si="56"/>
        <v>0.17179678162811926</v>
      </c>
      <c r="N106" s="2">
        <f t="shared" si="56"/>
        <v>0.17179678162811926</v>
      </c>
    </row>
    <row r="107" spans="3:16" hidden="1" outlineLevel="1">
      <c r="D107" s="248" t="s">
        <v>387</v>
      </c>
      <c r="G107" s="2">
        <f>G22</f>
        <v>7.8946507032996854E-2</v>
      </c>
      <c r="H107" s="2">
        <f t="shared" ref="H107:N107" si="57">H22</f>
        <v>7.8946507032996854E-2</v>
      </c>
      <c r="I107" s="2">
        <f t="shared" si="57"/>
        <v>7.8946507032996854E-2</v>
      </c>
      <c r="J107" s="2">
        <f t="shared" si="57"/>
        <v>7.8946507032996854E-2</v>
      </c>
      <c r="K107" s="2">
        <f t="shared" si="57"/>
        <v>7.8946507032996854E-2</v>
      </c>
      <c r="L107" s="2">
        <f t="shared" si="57"/>
        <v>7.8946507032996854E-2</v>
      </c>
      <c r="M107" s="2">
        <f t="shared" si="57"/>
        <v>7.8946507032996854E-2</v>
      </c>
      <c r="N107" s="2">
        <f t="shared" si="57"/>
        <v>7.8946507032996854E-2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381.87967868980064</v>
      </c>
      <c r="H115" s="191">
        <f t="shared" si="62"/>
        <v>274.61248449558281</v>
      </c>
      <c r="I115" s="191">
        <f t="shared" si="62"/>
        <v>0</v>
      </c>
      <c r="J115" s="191">
        <f t="shared" si="62"/>
        <v>0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656.49216318538345</v>
      </c>
      <c r="P115" s="191">
        <f t="shared" si="61"/>
        <v>0</v>
      </c>
    </row>
    <row r="116" spans="4:16" hidden="1" outlineLevel="1">
      <c r="D116" s="248" t="s">
        <v>384</v>
      </c>
      <c r="G116" s="191">
        <f t="shared" si="62"/>
        <v>543.27357054495224</v>
      </c>
      <c r="H116" s="191">
        <f t="shared" si="62"/>
        <v>390.67201868398394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933.94558922893611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212.12803078842367</v>
      </c>
      <c r="H118" s="191">
        <f t="shared" si="62"/>
        <v>152.54282648876739</v>
      </c>
      <c r="I118" s="191">
        <f t="shared" si="62"/>
        <v>0</v>
      </c>
      <c r="J118" s="191">
        <f t="shared" si="62"/>
        <v>0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364.67085727719109</v>
      </c>
      <c r="P118" s="191">
        <f t="shared" si="61"/>
        <v>0</v>
      </c>
    </row>
    <row r="119" spans="4:16" hidden="1" outlineLevel="1">
      <c r="D119" s="248" t="s">
        <v>387</v>
      </c>
      <c r="G119" s="912">
        <f t="shared" si="62"/>
        <v>97.480097798252316</v>
      </c>
      <c r="H119" s="912">
        <f t="shared" si="62"/>
        <v>70.098654992833531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167.57875279108583</v>
      </c>
      <c r="P119" s="912">
        <f t="shared" si="61"/>
        <v>0</v>
      </c>
    </row>
    <row r="120" spans="4:16" hidden="1" outlineLevel="1">
      <c r="D120" s="248" t="s">
        <v>440</v>
      </c>
      <c r="G120" s="191">
        <f>SUM(G111:G119)</f>
        <v>1234.7613778214288</v>
      </c>
      <c r="H120" s="191">
        <f t="shared" ref="H120:P120" si="63">SUM(H111:H119)</f>
        <v>887.92598466116772</v>
      </c>
      <c r="I120" s="191">
        <f t="shared" si="63"/>
        <v>0</v>
      </c>
      <c r="J120" s="191">
        <f t="shared" si="63"/>
        <v>0</v>
      </c>
      <c r="K120" s="191">
        <f t="shared" si="63"/>
        <v>0</v>
      </c>
      <c r="L120" s="191">
        <f t="shared" si="63"/>
        <v>0</v>
      </c>
      <c r="M120" s="191">
        <f t="shared" si="63"/>
        <v>0</v>
      </c>
      <c r="N120" s="191">
        <f t="shared" si="63"/>
        <v>0</v>
      </c>
      <c r="O120" s="191">
        <f t="shared" si="63"/>
        <v>2122.6873624825967</v>
      </c>
      <c r="P120" s="191">
        <f t="shared" si="63"/>
        <v>0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96.030805450525818</v>
      </c>
      <c r="H127" s="191">
        <f t="shared" si="67"/>
        <v>69.51223083468787</v>
      </c>
      <c r="I127" s="191">
        <f t="shared" si="67"/>
        <v>0</v>
      </c>
      <c r="J127" s="191">
        <f t="shared" si="67"/>
        <v>0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165.5430362852137</v>
      </c>
      <c r="P127" s="191">
        <f t="shared" si="66"/>
        <v>0</v>
      </c>
    </row>
    <row r="128" spans="4:16" hidden="1" outlineLevel="1">
      <c r="D128" s="248" t="s">
        <v>384</v>
      </c>
      <c r="G128" s="191">
        <f t="shared" si="67"/>
        <v>136.61632569297598</v>
      </c>
      <c r="H128" s="191">
        <f t="shared" si="67"/>
        <v>98.890200106147788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235.50652579912378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53.34357074232642</v>
      </c>
      <c r="H130" s="191">
        <f t="shared" si="67"/>
        <v>38.612928274327963</v>
      </c>
      <c r="I130" s="191">
        <f t="shared" si="67"/>
        <v>0</v>
      </c>
      <c r="J130" s="191">
        <f t="shared" si="67"/>
        <v>0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91.956499016654391</v>
      </c>
      <c r="P130" s="191">
        <f t="shared" si="66"/>
        <v>0</v>
      </c>
    </row>
    <row r="131" spans="4:16" hidden="1" outlineLevel="1">
      <c r="D131" s="248" t="s">
        <v>387</v>
      </c>
      <c r="G131" s="912">
        <f t="shared" si="67"/>
        <v>24.513198343204266</v>
      </c>
      <c r="H131" s="912">
        <f t="shared" si="67"/>
        <v>17.743963447304118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42.257161790508384</v>
      </c>
      <c r="P131" s="912">
        <f t="shared" si="66"/>
        <v>0</v>
      </c>
    </row>
    <row r="132" spans="4:16" hidden="1" outlineLevel="1">
      <c r="D132" s="248" t="s">
        <v>441</v>
      </c>
      <c r="G132" s="191">
        <f>SUM(G123:G131)</f>
        <v>310.50390022903252</v>
      </c>
      <c r="H132" s="191">
        <f t="shared" ref="H132:P132" si="68">SUM(H123:H131)</f>
        <v>224.75932266246772</v>
      </c>
      <c r="I132" s="191">
        <f t="shared" si="68"/>
        <v>0</v>
      </c>
      <c r="J132" s="191">
        <f t="shared" si="68"/>
        <v>0</v>
      </c>
      <c r="K132" s="191">
        <f t="shared" si="68"/>
        <v>0</v>
      </c>
      <c r="L132" s="191">
        <f t="shared" si="68"/>
        <v>0</v>
      </c>
      <c r="M132" s="191">
        <f t="shared" si="68"/>
        <v>0</v>
      </c>
      <c r="N132" s="191">
        <f t="shared" si="68"/>
        <v>0</v>
      </c>
      <c r="O132" s="191">
        <f t="shared" si="68"/>
        <v>535.26322289150028</v>
      </c>
      <c r="P132" s="191">
        <f t="shared" si="68"/>
        <v>0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479.30673171553605</v>
      </c>
      <c r="H139" s="191">
        <f t="shared" si="72"/>
        <v>346.95645319176003</v>
      </c>
      <c r="I139" s="191">
        <f t="shared" si="72"/>
        <v>0</v>
      </c>
      <c r="J139" s="191">
        <f t="shared" si="72"/>
        <v>0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826.26318490729614</v>
      </c>
      <c r="P139" s="191">
        <f t="shared" si="71"/>
        <v>0</v>
      </c>
    </row>
    <row r="140" spans="4:16" hidden="1" outlineLevel="1">
      <c r="D140" s="248" t="s">
        <v>384</v>
      </c>
      <c r="G140" s="191">
        <f t="shared" si="72"/>
        <v>681.87624023023318</v>
      </c>
      <c r="H140" s="191">
        <f t="shared" si="72"/>
        <v>493.5907346413465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1175.4669748715796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266.24719464332026</v>
      </c>
      <c r="H142" s="191">
        <f t="shared" si="72"/>
        <v>192.72873968422988</v>
      </c>
      <c r="I142" s="191">
        <f t="shared" si="72"/>
        <v>0</v>
      </c>
      <c r="J142" s="191">
        <f t="shared" si="72"/>
        <v>0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458.97593432755014</v>
      </c>
      <c r="P142" s="191">
        <f t="shared" si="71"/>
        <v>0</v>
      </c>
    </row>
    <row r="143" spans="4:16" hidden="1" outlineLevel="1">
      <c r="D143" s="248" t="s">
        <v>387</v>
      </c>
      <c r="G143" s="912">
        <f t="shared" si="72"/>
        <v>122.34970774903144</v>
      </c>
      <c r="H143" s="912">
        <f t="shared" si="72"/>
        <v>88.565458902934878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210.91516665196633</v>
      </c>
      <c r="P143" s="912">
        <f t="shared" si="71"/>
        <v>0</v>
      </c>
    </row>
    <row r="144" spans="4:16" hidden="1" outlineLevel="1">
      <c r="D144" s="248" t="s">
        <v>442</v>
      </c>
      <c r="G144" s="191">
        <f>SUM(G135:G143)</f>
        <v>1549.7798743381209</v>
      </c>
      <c r="H144" s="191">
        <f t="shared" ref="H144:P144" si="73">SUM(H135:H143)</f>
        <v>1121.8413864202712</v>
      </c>
      <c r="I144" s="191">
        <f t="shared" si="73"/>
        <v>0</v>
      </c>
      <c r="J144" s="191">
        <f t="shared" si="73"/>
        <v>0</v>
      </c>
      <c r="K144" s="191">
        <f t="shared" si="73"/>
        <v>0</v>
      </c>
      <c r="L144" s="191">
        <f t="shared" si="73"/>
        <v>0</v>
      </c>
      <c r="M144" s="191">
        <f t="shared" si="73"/>
        <v>0</v>
      </c>
      <c r="N144" s="191">
        <f t="shared" si="73"/>
        <v>0</v>
      </c>
      <c r="O144" s="191">
        <f t="shared" si="73"/>
        <v>2671.6212607583925</v>
      </c>
      <c r="P144" s="191">
        <f t="shared" si="73"/>
        <v>0</v>
      </c>
    </row>
    <row r="145" spans="4:16" hidden="1" outlineLevel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957.21721585586249</v>
      </c>
      <c r="H151" s="191">
        <f t="shared" si="74"/>
        <v>691.08116852203068</v>
      </c>
      <c r="I151" s="191">
        <f t="shared" si="74"/>
        <v>0</v>
      </c>
      <c r="J151" s="191">
        <f t="shared" si="74"/>
        <v>0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1648.2983843778932</v>
      </c>
      <c r="P151" s="191">
        <f t="shared" si="76"/>
        <v>0</v>
      </c>
    </row>
    <row r="152" spans="4:16" hidden="1" outlineLevel="1">
      <c r="D152" s="248" t="s">
        <v>384</v>
      </c>
      <c r="G152" s="191">
        <f t="shared" si="74"/>
        <v>1361.7661364681614</v>
      </c>
      <c r="H152" s="191">
        <f t="shared" si="74"/>
        <v>983.15295343147818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2344.9190898996394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531.71879617407035</v>
      </c>
      <c r="H154" s="191">
        <f t="shared" si="74"/>
        <v>383.88449444732521</v>
      </c>
      <c r="I154" s="191">
        <f t="shared" si="74"/>
        <v>0</v>
      </c>
      <c r="J154" s="191">
        <f t="shared" si="74"/>
        <v>0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915.60329062139556</v>
      </c>
      <c r="P154" s="191">
        <f t="shared" si="76"/>
        <v>0</v>
      </c>
    </row>
    <row r="155" spans="4:16" hidden="1" outlineLevel="1">
      <c r="D155" s="248" t="s">
        <v>387</v>
      </c>
      <c r="G155" s="912">
        <f t="shared" si="74"/>
        <v>244.34300389048803</v>
      </c>
      <c r="H155" s="912">
        <f t="shared" si="74"/>
        <v>176.40807734307253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420.75108123356057</v>
      </c>
      <c r="P155" s="912">
        <f t="shared" si="76"/>
        <v>0</v>
      </c>
    </row>
    <row r="156" spans="4:16" hidden="1" outlineLevel="1">
      <c r="D156" s="248" t="s">
        <v>454</v>
      </c>
      <c r="G156" s="191">
        <f>SUM(G147:G155)</f>
        <v>3095.0451523885822</v>
      </c>
      <c r="H156" s="191">
        <f t="shared" ref="H156:N156" si="77">SUM(H147:H155)</f>
        <v>2234.5266937439064</v>
      </c>
      <c r="I156" s="191">
        <f t="shared" si="77"/>
        <v>0</v>
      </c>
      <c r="J156" s="191">
        <f t="shared" si="77"/>
        <v>0</v>
      </c>
      <c r="K156" s="191">
        <f t="shared" si="77"/>
        <v>0</v>
      </c>
      <c r="L156" s="191">
        <f t="shared" si="77"/>
        <v>0</v>
      </c>
      <c r="M156" s="191">
        <f t="shared" si="77"/>
        <v>0</v>
      </c>
      <c r="N156" s="191">
        <f t="shared" si="77"/>
        <v>0</v>
      </c>
      <c r="O156" s="191">
        <f t="shared" ref="O156:P156" si="78">SUM(O147:O155)</f>
        <v>5329.5718461324886</v>
      </c>
      <c r="P156" s="191">
        <f t="shared" si="78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18" priority="4" operator="equal">
      <formula>"Error"</formula>
    </cfRule>
  </conditionalFormatting>
  <conditionalFormatting sqref="R11">
    <cfRule type="cellIs" dxfId="17" priority="3" operator="equal">
      <formula>"Error"</formula>
    </cfRule>
  </conditionalFormatting>
  <conditionalFormatting sqref="R54">
    <cfRule type="cellIs" dxfId="1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3"/>
  <sheetViews>
    <sheetView zoomScaleNormal="100" workbookViewId="0">
      <pane ySplit="10" topLeftCell="A67" activePane="bottomLeft" state="frozen"/>
      <selection activeCell="R52" sqref="R52"/>
      <selection pane="bottomLeft" activeCell="H82" sqref="H82"/>
    </sheetView>
  </sheetViews>
  <sheetFormatPr defaultRowHeight="15" outlineLevelRow="1"/>
  <cols>
    <col min="1" max="1" width="4" style="236" customWidth="1"/>
    <col min="2" max="2" width="6.5703125" style="236" customWidth="1"/>
    <col min="3" max="3" width="26.42578125" style="236" customWidth="1"/>
    <col min="4" max="4" width="25.5703125" style="236" customWidth="1"/>
    <col min="5" max="5" width="21.42578125" style="236" customWidth="1"/>
    <col min="6" max="6" width="14.7109375" style="236" customWidth="1"/>
    <col min="7" max="9" width="12.140625" style="236" customWidth="1"/>
    <col min="10" max="10" width="11.28515625" style="236" customWidth="1"/>
    <col min="11" max="11" width="12.7109375" style="236" customWidth="1"/>
    <col min="12" max="14" width="11.28515625" style="236" customWidth="1"/>
    <col min="15" max="15" width="12.28515625" style="236" customWidth="1"/>
    <col min="16" max="16" width="12.5703125" style="236" customWidth="1"/>
    <col min="17" max="19" width="9.140625" style="236"/>
    <col min="20" max="20" width="11.85546875" style="236" customWidth="1"/>
    <col min="21" max="16384" width="9.140625" style="236"/>
  </cols>
  <sheetData>
    <row r="1" spans="1:21">
      <c r="B1" s="574" t="s">
        <v>294</v>
      </c>
      <c r="C1" s="484" t="s">
        <v>290</v>
      </c>
    </row>
    <row r="2" spans="1:21">
      <c r="A2" s="250"/>
      <c r="B2" s="250"/>
      <c r="C2" s="572" t="s">
        <v>293</v>
      </c>
    </row>
    <row r="3" spans="1:21" ht="18.75">
      <c r="A3" s="250"/>
      <c r="B3" s="250"/>
      <c r="D3" s="339">
        <f>Project_Inputs!B46</f>
        <v>0</v>
      </c>
      <c r="E3" s="248"/>
      <c r="F3" s="249" t="s">
        <v>63</v>
      </c>
      <c r="G3" s="249">
        <f>Project_Inputs!F46</f>
        <v>0</v>
      </c>
      <c r="H3" s="248"/>
    </row>
    <row r="4" spans="1:21" ht="18.75">
      <c r="A4" s="250"/>
      <c r="B4" s="250"/>
      <c r="C4" s="485" t="s">
        <v>15</v>
      </c>
      <c r="D4" s="339" t="str">
        <f>Project_Inputs!D46</f>
        <v>Other station works - security &amp; compliance</v>
      </c>
      <c r="E4" s="486"/>
      <c r="F4" s="486"/>
      <c r="G4" s="486"/>
    </row>
    <row r="5" spans="1:21">
      <c r="A5" s="250"/>
      <c r="B5" s="250"/>
      <c r="D5" s="248"/>
    </row>
    <row r="6" spans="1:21">
      <c r="A6" s="250"/>
      <c r="B6" s="250"/>
      <c r="C6" s="236" t="s">
        <v>20</v>
      </c>
      <c r="D6" s="338" t="str">
        <f>Project_Inputs!H46</f>
        <v>Network</v>
      </c>
      <c r="E6" s="486"/>
      <c r="F6" s="10"/>
      <c r="G6" s="9" t="s">
        <v>269</v>
      </c>
      <c r="H6" s="248"/>
      <c r="I6" s="487"/>
      <c r="J6" s="487"/>
      <c r="K6" s="487"/>
      <c r="L6" s="487"/>
      <c r="M6" s="487"/>
      <c r="N6" s="487"/>
    </row>
    <row r="7" spans="1:21">
      <c r="A7" s="250"/>
      <c r="B7" s="250"/>
      <c r="C7" s="236" t="s">
        <v>21</v>
      </c>
      <c r="D7" s="338" t="str">
        <f>Project_Inputs!I46</f>
        <v>Security and Compliance</v>
      </c>
      <c r="E7" s="486"/>
      <c r="F7" s="486"/>
      <c r="G7" s="486"/>
      <c r="I7" s="487"/>
      <c r="J7" s="487"/>
      <c r="K7" s="487"/>
      <c r="L7" s="487"/>
      <c r="M7" s="487"/>
      <c r="N7" s="487"/>
    </row>
    <row r="8" spans="1:21">
      <c r="A8" s="250"/>
      <c r="B8" s="250"/>
      <c r="C8" s="236" t="s">
        <v>13</v>
      </c>
      <c r="D8" s="338" t="s">
        <v>14</v>
      </c>
      <c r="E8" s="486"/>
      <c r="F8" s="486"/>
      <c r="G8" s="486"/>
      <c r="I8" s="488"/>
      <c r="J8" s="488"/>
      <c r="K8" s="488"/>
      <c r="L8" s="488"/>
      <c r="M8" s="487"/>
      <c r="N8" s="487"/>
    </row>
    <row r="9" spans="1:21">
      <c r="A9" s="250"/>
      <c r="B9" s="250"/>
      <c r="C9" s="236" t="s">
        <v>278</v>
      </c>
      <c r="D9" s="338" t="str">
        <f>Project_Inputs!J46</f>
        <v>Repex_OHD</v>
      </c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489" t="s">
        <v>265</v>
      </c>
      <c r="P9" s="490" t="s">
        <v>231</v>
      </c>
    </row>
    <row r="10" spans="1:21">
      <c r="A10" s="250"/>
      <c r="B10" s="250"/>
      <c r="E10" s="491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492" t="s">
        <v>16</v>
      </c>
      <c r="P10" s="493" t="s">
        <v>16</v>
      </c>
      <c r="R10" s="494" t="s">
        <v>50</v>
      </c>
      <c r="T10" s="495"/>
      <c r="U10" s="250"/>
    </row>
    <row r="11" spans="1:21">
      <c r="A11" s="250"/>
      <c r="B11" s="250"/>
      <c r="C11" s="257" t="s">
        <v>22</v>
      </c>
      <c r="D11" s="353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120.27098946153852</v>
      </c>
      <c r="G11" s="319">
        <f>IF(G$10="Prior",SUMIFS(Project_Inputs!$W$5:$W$50,Project_Inputs!$D$5:$D$50,$D$4),SUMIFS(Project_Inputs!M$5:M$50,Project_Inputs!$D$5:$D$50,$D$4))</f>
        <v>0</v>
      </c>
      <c r="H11" s="389">
        <f>IF(H$10="Prior",SUMIFS(Project_Inputs!$W$5:$W$50,Project_Inputs!$D$5:$D$50,$D$4),SUMIFS(Project_Inputs!N$5:N$50,Project_Inputs!$D$5:$D$50,$D$4))</f>
        <v>0</v>
      </c>
      <c r="I11" s="399">
        <f>IF(I$10="Prior",SUMIFS(Project_Inputs!$W$5:$W$50,Project_Inputs!$D$5:$D$50,$D$4),SUMIFS(Project_Inputs!O$5:O$50,Project_Inputs!$D$5:$D$50,$D$4))</f>
        <v>0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496">
        <f>SUM(F11:N11)</f>
        <v>120.27098946153852</v>
      </c>
      <c r="P11" s="497">
        <f t="shared" ref="P11" si="0">SUM(I11:M11)</f>
        <v>0</v>
      </c>
      <c r="R11" s="608" t="str">
        <f>IF(O11=Project_Inputs!V46,"ok","error")</f>
        <v>ok</v>
      </c>
      <c r="T11" s="250"/>
      <c r="U11" s="250"/>
    </row>
    <row r="12" spans="1:21" ht="15" hidden="1" customHeight="1">
      <c r="A12" s="250"/>
      <c r="B12" s="250"/>
      <c r="C12" s="482"/>
      <c r="D12" s="350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496"/>
      <c r="P12" s="497"/>
    </row>
    <row r="13" spans="1:21">
      <c r="A13" s="250"/>
      <c r="B13" s="250"/>
      <c r="C13" s="1006" t="s">
        <v>284</v>
      </c>
      <c r="D13" s="350" t="s">
        <v>65</v>
      </c>
      <c r="E13" s="313"/>
      <c r="F13" s="336" t="s">
        <v>132</v>
      </c>
      <c r="G13" s="10"/>
      <c r="H13" s="391"/>
      <c r="I13" s="401"/>
      <c r="J13" s="10"/>
      <c r="K13" s="10"/>
      <c r="L13" s="10"/>
      <c r="M13" s="10"/>
      <c r="N13" s="337"/>
      <c r="O13" s="498"/>
      <c r="P13" s="258"/>
    </row>
    <row r="14" spans="1:21">
      <c r="A14" s="250"/>
      <c r="B14" s="250"/>
      <c r="C14" s="1006"/>
      <c r="D14" s="350" t="str">
        <f>"Direct Expenditure (As Commissioned) - "&amp;Assumptions!C7</f>
        <v>Direct Expenditure (As Commissioned) - $ 2015/16</v>
      </c>
      <c r="E14" s="313"/>
      <c r="F14" s="446">
        <f>IF($G$3="Yes",SUMIFS(Project_Inputs!AJ$5:AJ$50,Project_Inputs!$D$5:$D$50,$D$4),IF(AND(F$13="X",F$10="Prior"),F11,IF(F$13="X",SUM($F11:F11)-SUM(E14:$F14),0)))</f>
        <v>120.27098946153852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0</v>
      </c>
      <c r="I14" s="448">
        <f>IF($G$3="Yes",SUMIFS(Project_Inputs!AM$5:AM$50,Project_Inputs!$D$5:$D$50,$D$4),IF(AND(I$13="X",I$10="Prior"),I11,IF(I$13="X",SUM($F11:I11)-SUM($F14:H14),0)))</f>
        <v>0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99">
        <f>SUM(F14:N14)</f>
        <v>120.27098946153852</v>
      </c>
      <c r="P14" s="500">
        <f>SUM(I14:M14)</f>
        <v>0</v>
      </c>
      <c r="R14" s="607" t="str">
        <f>IF(AND(O$11&lt;&gt;0,O$14=0),"Error","ok")</f>
        <v>ok</v>
      </c>
    </row>
    <row r="15" spans="1:21">
      <c r="A15" s="250"/>
      <c r="B15" s="250"/>
      <c r="C15" s="259"/>
      <c r="D15" s="354"/>
      <c r="E15" s="501"/>
      <c r="F15" s="327"/>
      <c r="G15" s="328"/>
      <c r="H15" s="328"/>
      <c r="I15" s="402"/>
      <c r="J15" s="328"/>
      <c r="K15" s="328"/>
      <c r="L15" s="328"/>
      <c r="M15" s="328"/>
      <c r="N15" s="329"/>
      <c r="O15" s="502"/>
      <c r="P15" s="503"/>
    </row>
    <row r="16" spans="1:21">
      <c r="A16" s="250"/>
      <c r="B16" s="250"/>
      <c r="C16" s="258"/>
      <c r="D16" s="504"/>
      <c r="E16" s="313"/>
      <c r="F16" s="325"/>
      <c r="G16" s="326"/>
      <c r="H16" s="330"/>
      <c r="I16" s="403"/>
      <c r="J16" s="330"/>
      <c r="K16" s="330"/>
      <c r="L16" s="330"/>
      <c r="M16" s="330"/>
      <c r="N16" s="331"/>
      <c r="O16" s="505"/>
      <c r="P16" s="258"/>
    </row>
    <row r="17" spans="1:27">
      <c r="A17" s="250"/>
      <c r="B17" s="250"/>
      <c r="C17" s="258" t="s">
        <v>2</v>
      </c>
      <c r="D17" s="350" t="s">
        <v>3</v>
      </c>
      <c r="E17" s="506"/>
      <c r="F17" s="340">
        <v>0</v>
      </c>
      <c r="G17" s="341">
        <v>0</v>
      </c>
      <c r="H17" s="392">
        <v>0</v>
      </c>
      <c r="I17" s="404">
        <v>0</v>
      </c>
      <c r="J17" s="341">
        <v>0</v>
      </c>
      <c r="K17" s="341">
        <v>0</v>
      </c>
      <c r="L17" s="341">
        <v>0</v>
      </c>
      <c r="M17" s="341">
        <v>0</v>
      </c>
      <c r="N17" s="342">
        <v>0</v>
      </c>
      <c r="O17" s="505"/>
      <c r="P17" s="258"/>
    </row>
    <row r="18" spans="1:27">
      <c r="A18" s="250"/>
      <c r="B18" s="250"/>
      <c r="C18" s="258"/>
      <c r="D18" s="350" t="s">
        <v>4</v>
      </c>
      <c r="E18" s="506"/>
      <c r="F18" s="340">
        <v>0</v>
      </c>
      <c r="G18" s="341">
        <v>0</v>
      </c>
      <c r="H18" s="392">
        <v>0</v>
      </c>
      <c r="I18" s="404">
        <v>0</v>
      </c>
      <c r="J18" s="341">
        <v>0</v>
      </c>
      <c r="K18" s="341">
        <v>0</v>
      </c>
      <c r="L18" s="341">
        <v>0</v>
      </c>
      <c r="M18" s="341">
        <v>0</v>
      </c>
      <c r="N18" s="342">
        <v>0</v>
      </c>
      <c r="O18" s="505"/>
      <c r="P18" s="258"/>
    </row>
    <row r="19" spans="1:27">
      <c r="A19" s="250"/>
      <c r="B19" s="250"/>
      <c r="C19" s="258"/>
      <c r="D19" s="350" t="s">
        <v>5</v>
      </c>
      <c r="E19" s="506"/>
      <c r="F19" s="340">
        <v>0</v>
      </c>
      <c r="G19" s="341">
        <v>0</v>
      </c>
      <c r="H19" s="392">
        <v>0</v>
      </c>
      <c r="I19" s="404">
        <v>0</v>
      </c>
      <c r="J19" s="341">
        <v>0</v>
      </c>
      <c r="K19" s="341">
        <v>0</v>
      </c>
      <c r="L19" s="341">
        <v>0</v>
      </c>
      <c r="M19" s="341">
        <v>0</v>
      </c>
      <c r="N19" s="342">
        <v>0</v>
      </c>
      <c r="O19" s="505"/>
      <c r="P19" s="258"/>
    </row>
    <row r="20" spans="1:27">
      <c r="A20" s="250"/>
      <c r="B20" s="250"/>
      <c r="C20" s="258"/>
      <c r="D20" s="350" t="s">
        <v>6</v>
      </c>
      <c r="E20" s="506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505"/>
      <c r="P20" s="258"/>
    </row>
    <row r="21" spans="1:27">
      <c r="A21" s="250"/>
      <c r="B21" s="250"/>
      <c r="C21" s="258"/>
      <c r="D21" s="350" t="s">
        <v>7</v>
      </c>
      <c r="E21" s="506"/>
      <c r="F21" s="340">
        <v>0</v>
      </c>
      <c r="G21" s="341">
        <v>0</v>
      </c>
      <c r="H21" s="392">
        <v>0</v>
      </c>
      <c r="I21" s="404">
        <v>0</v>
      </c>
      <c r="J21" s="341">
        <v>0</v>
      </c>
      <c r="K21" s="341">
        <v>0</v>
      </c>
      <c r="L21" s="341">
        <v>0</v>
      </c>
      <c r="M21" s="341">
        <v>0</v>
      </c>
      <c r="N21" s="342">
        <v>0</v>
      </c>
      <c r="O21" s="505"/>
      <c r="P21" s="258"/>
      <c r="U21" s="507"/>
      <c r="V21" s="507"/>
      <c r="W21" s="507"/>
      <c r="X21" s="507"/>
      <c r="Y21" s="507"/>
      <c r="Z21" s="507"/>
      <c r="AA21" s="507"/>
    </row>
    <row r="22" spans="1:27">
      <c r="A22" s="250"/>
      <c r="B22" s="250"/>
      <c r="C22" s="258"/>
      <c r="D22" s="350" t="s">
        <v>8</v>
      </c>
      <c r="E22" s="506"/>
      <c r="F22" s="340">
        <v>1</v>
      </c>
      <c r="G22" s="341">
        <v>1</v>
      </c>
      <c r="H22" s="392">
        <v>1</v>
      </c>
      <c r="I22" s="404">
        <v>1</v>
      </c>
      <c r="J22" s="341">
        <v>1</v>
      </c>
      <c r="K22" s="341">
        <v>1</v>
      </c>
      <c r="L22" s="341">
        <v>1</v>
      </c>
      <c r="M22" s="341">
        <v>1</v>
      </c>
      <c r="N22" s="342">
        <v>1</v>
      </c>
      <c r="O22" s="505"/>
      <c r="P22" s="258"/>
    </row>
    <row r="23" spans="1:27">
      <c r="A23" s="250"/>
      <c r="B23" s="250"/>
      <c r="C23" s="258"/>
      <c r="D23" s="350" t="s">
        <v>9</v>
      </c>
      <c r="E23" s="506"/>
      <c r="F23" s="340">
        <v>0</v>
      </c>
      <c r="G23" s="341">
        <v>0</v>
      </c>
      <c r="H23" s="392">
        <v>0</v>
      </c>
      <c r="I23" s="404">
        <v>0</v>
      </c>
      <c r="J23" s="341">
        <v>0</v>
      </c>
      <c r="K23" s="341">
        <v>0</v>
      </c>
      <c r="L23" s="341">
        <v>0</v>
      </c>
      <c r="M23" s="341">
        <v>0</v>
      </c>
      <c r="N23" s="342">
        <v>0</v>
      </c>
      <c r="O23" s="505"/>
      <c r="P23" s="258"/>
    </row>
    <row r="24" spans="1:27">
      <c r="A24" s="250"/>
      <c r="B24" s="250"/>
      <c r="C24" s="258"/>
      <c r="D24" s="350" t="s">
        <v>10</v>
      </c>
      <c r="E24" s="506"/>
      <c r="F24" s="340">
        <v>0</v>
      </c>
      <c r="G24" s="341">
        <v>0</v>
      </c>
      <c r="H24" s="392">
        <v>0</v>
      </c>
      <c r="I24" s="404">
        <v>0</v>
      </c>
      <c r="J24" s="341">
        <v>0</v>
      </c>
      <c r="K24" s="341">
        <v>0</v>
      </c>
      <c r="L24" s="341">
        <v>0</v>
      </c>
      <c r="M24" s="341">
        <v>0</v>
      </c>
      <c r="N24" s="342">
        <v>0</v>
      </c>
      <c r="O24" s="505"/>
      <c r="P24" s="258"/>
    </row>
    <row r="25" spans="1:27">
      <c r="A25" s="250"/>
      <c r="B25" s="250"/>
      <c r="C25" s="258"/>
      <c r="D25" s="350" t="s">
        <v>11</v>
      </c>
      <c r="E25" s="506"/>
      <c r="F25" s="340">
        <v>0</v>
      </c>
      <c r="G25" s="341">
        <v>0</v>
      </c>
      <c r="H25" s="392">
        <v>0</v>
      </c>
      <c r="I25" s="404">
        <v>0</v>
      </c>
      <c r="J25" s="341">
        <v>0</v>
      </c>
      <c r="K25" s="341">
        <v>0</v>
      </c>
      <c r="L25" s="341">
        <v>0</v>
      </c>
      <c r="M25" s="341">
        <v>0</v>
      </c>
      <c r="N25" s="342">
        <v>0</v>
      </c>
      <c r="O25" s="505"/>
      <c r="P25" s="258"/>
      <c r="T25" s="507"/>
    </row>
    <row r="26" spans="1:27">
      <c r="A26" s="250"/>
      <c r="B26" s="250"/>
      <c r="C26" s="258"/>
      <c r="D26" s="350" t="s">
        <v>12</v>
      </c>
      <c r="E26" s="506"/>
      <c r="F26" s="340">
        <v>0</v>
      </c>
      <c r="G26" s="341">
        <v>0</v>
      </c>
      <c r="H26" s="392">
        <v>0</v>
      </c>
      <c r="I26" s="404">
        <v>0</v>
      </c>
      <c r="J26" s="341">
        <v>0</v>
      </c>
      <c r="K26" s="341">
        <v>0</v>
      </c>
      <c r="L26" s="341">
        <v>0</v>
      </c>
      <c r="M26" s="341">
        <v>0</v>
      </c>
      <c r="N26" s="342">
        <v>0</v>
      </c>
      <c r="O26" s="505"/>
      <c r="P26" s="258"/>
      <c r="T26" s="507"/>
    </row>
    <row r="27" spans="1:27">
      <c r="A27" s="250"/>
      <c r="B27" s="250"/>
      <c r="C27" s="259"/>
      <c r="D27" s="464"/>
      <c r="E27" s="508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509"/>
      <c r="P27" s="259"/>
      <c r="T27" s="507"/>
    </row>
    <row r="28" spans="1:27">
      <c r="A28" s="250"/>
      <c r="B28" s="250"/>
      <c r="C28" s="257"/>
      <c r="D28" s="302"/>
      <c r="E28" s="510"/>
      <c r="F28" s="333"/>
      <c r="G28" s="334"/>
      <c r="H28" s="394"/>
      <c r="I28" s="406"/>
      <c r="J28" s="334"/>
      <c r="K28" s="334"/>
      <c r="L28" s="334"/>
      <c r="M28" s="334"/>
      <c r="N28" s="335"/>
      <c r="O28" s="505"/>
      <c r="P28" s="258"/>
      <c r="T28" s="507"/>
    </row>
    <row r="29" spans="1:27">
      <c r="A29" s="250"/>
      <c r="B29" s="250"/>
      <c r="C29" s="258" t="s">
        <v>58</v>
      </c>
      <c r="D29" s="350" t="s">
        <v>0</v>
      </c>
      <c r="E29" s="506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505"/>
      <c r="P29" s="258"/>
      <c r="T29" s="507"/>
    </row>
    <row r="30" spans="1:27">
      <c r="A30" s="250"/>
      <c r="B30" s="250"/>
      <c r="C30" s="258"/>
      <c r="D30" s="350" t="s">
        <v>1</v>
      </c>
      <c r="E30" s="506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505"/>
      <c r="P30" s="258"/>
      <c r="T30" s="507"/>
    </row>
    <row r="31" spans="1:27">
      <c r="A31" s="250"/>
      <c r="B31" s="250"/>
      <c r="C31" s="258"/>
      <c r="D31" s="350" t="s">
        <v>57</v>
      </c>
      <c r="E31" s="506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1"/>
      <c r="P31" s="258"/>
      <c r="T31" s="507"/>
    </row>
    <row r="32" spans="1:27">
      <c r="A32" s="250"/>
      <c r="B32" s="250"/>
      <c r="C32" s="259"/>
      <c r="D32" s="464"/>
      <c r="E32" s="508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5"/>
      <c r="P32" s="259"/>
    </row>
    <row r="33" spans="1:21">
      <c r="A33" s="250"/>
      <c r="B33" s="250"/>
      <c r="C33" s="258" t="s">
        <v>59</v>
      </c>
      <c r="D33" s="271"/>
      <c r="E33" s="313"/>
      <c r="F33" s="511"/>
      <c r="G33" s="250"/>
      <c r="H33" s="250"/>
      <c r="I33" s="512"/>
      <c r="J33" s="290"/>
      <c r="K33" s="290"/>
      <c r="L33" s="290"/>
      <c r="M33" s="290"/>
      <c r="N33" s="346"/>
      <c r="O33" s="511"/>
      <c r="P33" s="258"/>
      <c r="Q33" s="250"/>
      <c r="R33" s="250"/>
      <c r="S33" s="250"/>
      <c r="T33" s="250"/>
      <c r="U33" s="250"/>
    </row>
    <row r="34" spans="1:21">
      <c r="A34" s="250"/>
      <c r="B34" s="250"/>
      <c r="C34" s="258" t="s">
        <v>266</v>
      </c>
      <c r="D34" s="350" t="s">
        <v>3</v>
      </c>
      <c r="E34" s="313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512">
        <f>IF(I$10="Prior",0,(I$11*I$31*I17)*(Assumptions!I54-1))</f>
        <v>0</v>
      </c>
      <c r="J34" s="290">
        <f>IF(J$10="Prior",0,(J$11*J$31*J17)*(Assumptions!J54-1))</f>
        <v>0</v>
      </c>
      <c r="K34" s="290">
        <f>IF(K$10="Prior",0,(K$11*K$31*K17)*(Assumptions!K54-1))</f>
        <v>0</v>
      </c>
      <c r="L34" s="290">
        <f>IF(L$10="Prior",0,(L$11*L$31*L17)*(Assumptions!L54-1))</f>
        <v>0</v>
      </c>
      <c r="M34" s="290">
        <f>IF(M$10="Prior",0,(M$11*M$31*M17)*(Assumptions!M54-1))</f>
        <v>0</v>
      </c>
      <c r="N34" s="346">
        <f>IF(N$10="Prior",0,(N$11*N$31*N17)*(Assumptions!N54-1))</f>
        <v>0</v>
      </c>
      <c r="O34" s="513">
        <f t="shared" ref="O34:O43" si="3">SUM(F34:N34)</f>
        <v>0</v>
      </c>
      <c r="P34" s="514">
        <f t="shared" ref="P34:P43" si="4">SUM(I34:M34)</f>
        <v>0</v>
      </c>
      <c r="Q34" s="250"/>
      <c r="R34" s="250"/>
      <c r="S34" s="250"/>
      <c r="T34" s="250"/>
      <c r="U34" s="250"/>
    </row>
    <row r="35" spans="1:21">
      <c r="A35" s="250"/>
      <c r="B35" s="250"/>
      <c r="C35" s="258"/>
      <c r="D35" s="350" t="s">
        <v>4</v>
      </c>
      <c r="E35" s="313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512">
        <f>IF(I$10="Prior",0,(I$11*I$31*I18)*(Assumptions!I55-1))</f>
        <v>0</v>
      </c>
      <c r="J35" s="290">
        <f>IF(J$10="Prior",0,(J$11*J$31*J18)*(Assumptions!J55-1))</f>
        <v>0</v>
      </c>
      <c r="K35" s="290">
        <f>IF(K$10="Prior",0,(K$11*K$31*K18)*(Assumptions!K55-1))</f>
        <v>0</v>
      </c>
      <c r="L35" s="290">
        <f>IF(L$10="Prior",0,(L$11*L$31*L18)*(Assumptions!L55-1))</f>
        <v>0</v>
      </c>
      <c r="M35" s="290">
        <f>IF(M$10="Prior",0,(M$11*M$31*M18)*(Assumptions!M55-1))</f>
        <v>0</v>
      </c>
      <c r="N35" s="346">
        <f>IF(N$10="Prior",0,(N$11*N$31*N18)*(Assumptions!N55-1))</f>
        <v>0</v>
      </c>
      <c r="O35" s="513">
        <f t="shared" si="3"/>
        <v>0</v>
      </c>
      <c r="P35" s="514">
        <f t="shared" si="4"/>
        <v>0</v>
      </c>
      <c r="Q35" s="515"/>
      <c r="R35" s="515"/>
      <c r="S35" s="515"/>
      <c r="T35" s="515"/>
    </row>
    <row r="36" spans="1:21">
      <c r="A36" s="250"/>
      <c r="B36" s="250"/>
      <c r="C36" s="258"/>
      <c r="D36" s="350" t="s">
        <v>5</v>
      </c>
      <c r="E36" s="313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512">
        <f>IF(I$10="Prior",0,(I$11*I$31*I19)*(Assumptions!I56-1))</f>
        <v>0</v>
      </c>
      <c r="J36" s="290">
        <f>IF(J$10="Prior",0,(J$11*J$31*J19)*(Assumptions!J56-1))</f>
        <v>0</v>
      </c>
      <c r="K36" s="290">
        <f>IF(K$10="Prior",0,(K$11*K$31*K19)*(Assumptions!K56-1))</f>
        <v>0</v>
      </c>
      <c r="L36" s="290">
        <f>IF(L$10="Prior",0,(L$11*L$31*L19)*(Assumptions!L56-1))</f>
        <v>0</v>
      </c>
      <c r="M36" s="290">
        <f>IF(M$10="Prior",0,(M$11*M$31*M19)*(Assumptions!M56-1))</f>
        <v>0</v>
      </c>
      <c r="N36" s="346">
        <f>IF(N$10="Prior",0,(N$11*N$31*N19)*(Assumptions!N56-1))</f>
        <v>0</v>
      </c>
      <c r="O36" s="513">
        <f t="shared" si="3"/>
        <v>0</v>
      </c>
      <c r="P36" s="514">
        <f t="shared" si="4"/>
        <v>0</v>
      </c>
    </row>
    <row r="37" spans="1:21">
      <c r="A37" s="250"/>
      <c r="B37" s="250"/>
      <c r="C37" s="258"/>
      <c r="D37" s="350" t="s">
        <v>6</v>
      </c>
      <c r="E37" s="313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512">
        <f>IF(I$10="Prior",0,(I$11*I$31*I20)*(Assumptions!I57-1))</f>
        <v>0</v>
      </c>
      <c r="J37" s="290">
        <f>IF(J$10="Prior",0,(J$11*J$31*J20)*(Assumptions!J57-1))</f>
        <v>0</v>
      </c>
      <c r="K37" s="290">
        <f>IF(K$10="Prior",0,(K$11*K$31*K20)*(Assumptions!K57-1))</f>
        <v>0</v>
      </c>
      <c r="L37" s="290">
        <f>IF(L$10="Prior",0,(L$11*L$31*L20)*(Assumptions!L57-1))</f>
        <v>0</v>
      </c>
      <c r="M37" s="290">
        <f>IF(M$10="Prior",0,(M$11*M$31*M20)*(Assumptions!M57-1))</f>
        <v>0</v>
      </c>
      <c r="N37" s="346">
        <f>IF(N$10="Prior",0,(N$11*N$31*N20)*(Assumptions!N57-1))</f>
        <v>0</v>
      </c>
      <c r="O37" s="513">
        <f t="shared" si="3"/>
        <v>0</v>
      </c>
      <c r="P37" s="514">
        <f t="shared" si="4"/>
        <v>0</v>
      </c>
    </row>
    <row r="38" spans="1:21">
      <c r="A38" s="250"/>
      <c r="B38" s="250"/>
      <c r="C38" s="258"/>
      <c r="D38" s="350" t="s">
        <v>7</v>
      </c>
      <c r="E38" s="313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512">
        <f>IF(I$10="Prior",0,(I$11*I$31*I21)*(Assumptions!I58-1))</f>
        <v>0</v>
      </c>
      <c r="J38" s="290">
        <f>IF(J$10="Prior",0,(J$11*J$31*J21)*(Assumptions!J58-1))</f>
        <v>0</v>
      </c>
      <c r="K38" s="290">
        <f>IF(K$10="Prior",0,(K$11*K$31*K21)*(Assumptions!K58-1))</f>
        <v>0</v>
      </c>
      <c r="L38" s="290">
        <f>IF(L$10="Prior",0,(L$11*L$31*L21)*(Assumptions!L58-1))</f>
        <v>0</v>
      </c>
      <c r="M38" s="290">
        <f>IF(M$10="Prior",0,(M$11*M$31*M21)*(Assumptions!M58-1))</f>
        <v>0</v>
      </c>
      <c r="N38" s="346">
        <f>IF(N$10="Prior",0,(N$11*N$31*N21)*(Assumptions!N58-1))</f>
        <v>0</v>
      </c>
      <c r="O38" s="513">
        <f t="shared" si="3"/>
        <v>0</v>
      </c>
      <c r="P38" s="514">
        <f t="shared" si="4"/>
        <v>0</v>
      </c>
      <c r="Q38" s="516"/>
      <c r="R38" s="516"/>
      <c r="S38" s="516"/>
      <c r="T38" s="516"/>
    </row>
    <row r="39" spans="1:21">
      <c r="A39" s="250"/>
      <c r="B39" s="250"/>
      <c r="C39" s="258"/>
      <c r="D39" s="350" t="s">
        <v>8</v>
      </c>
      <c r="E39" s="313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512">
        <f>IF(I$10="Prior",0,(I$11*I$31*I22)*(Assumptions!I59-1))</f>
        <v>0</v>
      </c>
      <c r="J39" s="290">
        <f>IF(J$10="Prior",0,(J$11*J$31*J22)*(Assumptions!J59-1))</f>
        <v>0</v>
      </c>
      <c r="K39" s="290">
        <f>IF(K$10="Prior",0,(K$11*K$31*K22)*(Assumptions!K59-1))</f>
        <v>0</v>
      </c>
      <c r="L39" s="290">
        <f>IF(L$10="Prior",0,(L$11*L$31*L22)*(Assumptions!L59-1))</f>
        <v>0</v>
      </c>
      <c r="M39" s="290">
        <f>IF(M$10="Prior",0,(M$11*M$31*M22)*(Assumptions!M59-1))</f>
        <v>0</v>
      </c>
      <c r="N39" s="346">
        <f>IF(N$10="Prior",0,(N$11*N$31*N22)*(Assumptions!N59-1))</f>
        <v>0</v>
      </c>
      <c r="O39" s="513">
        <f t="shared" si="3"/>
        <v>0</v>
      </c>
      <c r="P39" s="514">
        <f t="shared" si="4"/>
        <v>0</v>
      </c>
    </row>
    <row r="40" spans="1:21">
      <c r="A40" s="250"/>
      <c r="B40" s="250"/>
      <c r="C40" s="258"/>
      <c r="D40" s="350" t="s">
        <v>9</v>
      </c>
      <c r="E40" s="313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512">
        <f>IF(I$10="Prior",0,(I$11*I$31*I23)*(Assumptions!I60-1))</f>
        <v>0</v>
      </c>
      <c r="J40" s="290">
        <f>IF(J$10="Prior",0,(J$11*J$31*J23)*(Assumptions!J60-1))</f>
        <v>0</v>
      </c>
      <c r="K40" s="290">
        <f>IF(K$10="Prior",0,(K$11*K$31*K23)*(Assumptions!K60-1))</f>
        <v>0</v>
      </c>
      <c r="L40" s="290">
        <f>IF(L$10="Prior",0,(L$11*L$31*L23)*(Assumptions!L60-1))</f>
        <v>0</v>
      </c>
      <c r="M40" s="290">
        <f>IF(M$10="Prior",0,(M$11*M$31*M23)*(Assumptions!M60-1))</f>
        <v>0</v>
      </c>
      <c r="N40" s="346">
        <f>IF(N$10="Prior",0,(N$11*N$31*N23)*(Assumptions!N60-1))</f>
        <v>0</v>
      </c>
      <c r="O40" s="513">
        <f t="shared" si="3"/>
        <v>0</v>
      </c>
      <c r="P40" s="514">
        <f t="shared" si="4"/>
        <v>0</v>
      </c>
    </row>
    <row r="41" spans="1:21">
      <c r="A41" s="250"/>
      <c r="B41" s="250"/>
      <c r="C41" s="258"/>
      <c r="D41" s="350" t="s">
        <v>10</v>
      </c>
      <c r="E41" s="313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512">
        <f>IF(I$10="Prior",0,(I$11*I$31*I24)*(Assumptions!I61-1))</f>
        <v>0</v>
      </c>
      <c r="J41" s="290">
        <f>IF(J$10="Prior",0,(J$11*J$31*J24)*(Assumptions!J61-1))</f>
        <v>0</v>
      </c>
      <c r="K41" s="290">
        <f>IF(K$10="Prior",0,(K$11*K$31*K24)*(Assumptions!K61-1))</f>
        <v>0</v>
      </c>
      <c r="L41" s="290">
        <f>IF(L$10="Prior",0,(L$11*L$31*L24)*(Assumptions!L61-1))</f>
        <v>0</v>
      </c>
      <c r="M41" s="290">
        <f>IF(M$10="Prior",0,(M$11*M$31*M24)*(Assumptions!M61-1))</f>
        <v>0</v>
      </c>
      <c r="N41" s="346">
        <f>IF(N$10="Prior",0,(N$11*N$31*N24)*(Assumptions!N61-1))</f>
        <v>0</v>
      </c>
      <c r="O41" s="513">
        <f t="shared" si="3"/>
        <v>0</v>
      </c>
      <c r="P41" s="514">
        <f t="shared" si="4"/>
        <v>0</v>
      </c>
      <c r="Q41" s="516"/>
      <c r="R41" s="516"/>
      <c r="S41" s="516"/>
      <c r="T41" s="516"/>
    </row>
    <row r="42" spans="1:21">
      <c r="A42" s="250"/>
      <c r="B42" s="250"/>
      <c r="C42" s="258"/>
      <c r="D42" s="350" t="s">
        <v>11</v>
      </c>
      <c r="E42" s="313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512">
        <f>IF(I$10="Prior",0,(I$11*I$31*I25)*(Assumptions!I62-1))</f>
        <v>0</v>
      </c>
      <c r="J42" s="290">
        <f>IF(J$10="Prior",0,(J$11*J$31*J25)*(Assumptions!J62-1))</f>
        <v>0</v>
      </c>
      <c r="K42" s="290">
        <f>IF(K$10="Prior",0,(K$11*K$31*K25)*(Assumptions!K62-1))</f>
        <v>0</v>
      </c>
      <c r="L42" s="290">
        <f>IF(L$10="Prior",0,(L$11*L$31*L25)*(Assumptions!L62-1))</f>
        <v>0</v>
      </c>
      <c r="M42" s="290">
        <f>IF(M$10="Prior",0,(M$11*M$31*M25)*(Assumptions!M62-1))</f>
        <v>0</v>
      </c>
      <c r="N42" s="346">
        <f>IF(N$10="Prior",0,(N$11*N$31*N25)*(Assumptions!N62-1))</f>
        <v>0</v>
      </c>
      <c r="O42" s="513">
        <f t="shared" si="3"/>
        <v>0</v>
      </c>
      <c r="P42" s="514">
        <f t="shared" si="4"/>
        <v>0</v>
      </c>
    </row>
    <row r="43" spans="1:21">
      <c r="A43" s="250"/>
      <c r="B43" s="250"/>
      <c r="C43" s="258"/>
      <c r="D43" s="350" t="s">
        <v>12</v>
      </c>
      <c r="E43" s="313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512">
        <f>IF(I$10="Prior",0,(I$11*I$31*I26)*(Assumptions!I63-1))</f>
        <v>0</v>
      </c>
      <c r="J43" s="290">
        <f>IF(J$10="Prior",0,(J$11*J$31*J26)*(Assumptions!J63-1))</f>
        <v>0</v>
      </c>
      <c r="K43" s="290">
        <f>IF(K$10="Prior",0,(K$11*K$31*K26)*(Assumptions!K63-1))</f>
        <v>0</v>
      </c>
      <c r="L43" s="290">
        <f>IF(L$10="Prior",0,(L$11*L$31*L26)*(Assumptions!L63-1))</f>
        <v>0</v>
      </c>
      <c r="M43" s="290">
        <f>IF(M$10="Prior",0,(M$11*M$31*M26)*(Assumptions!M63-1))</f>
        <v>0</v>
      </c>
      <c r="N43" s="346">
        <f>IF(N$10="Prior",0,(N$11*N$31*N26)*(Assumptions!N63-1))</f>
        <v>0</v>
      </c>
      <c r="O43" s="513">
        <f t="shared" si="3"/>
        <v>0</v>
      </c>
      <c r="P43" s="514">
        <f t="shared" si="4"/>
        <v>0</v>
      </c>
    </row>
    <row r="44" spans="1:21">
      <c r="A44" s="250"/>
      <c r="B44" s="250"/>
      <c r="C44" s="258"/>
      <c r="D44" s="465" t="s">
        <v>61</v>
      </c>
      <c r="E44" s="517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518">
        <f t="shared" si="5"/>
        <v>0</v>
      </c>
      <c r="J44" s="253">
        <f t="shared" si="5"/>
        <v>0</v>
      </c>
      <c r="K44" s="253">
        <f t="shared" si="5"/>
        <v>0</v>
      </c>
      <c r="L44" s="253">
        <f t="shared" si="5"/>
        <v>0</v>
      </c>
      <c r="M44" s="253">
        <f t="shared" si="5"/>
        <v>0</v>
      </c>
      <c r="N44" s="519">
        <f t="shared" si="5"/>
        <v>0</v>
      </c>
      <c r="O44" s="520">
        <f>SUM(O34:O43)</f>
        <v>0</v>
      </c>
      <c r="P44" s="521">
        <f>SUM(P34:P43)</f>
        <v>0</v>
      </c>
      <c r="Q44" s="516"/>
      <c r="R44" s="516"/>
      <c r="S44" s="516"/>
      <c r="T44" s="516"/>
    </row>
    <row r="45" spans="1:21">
      <c r="A45" s="250"/>
      <c r="B45" s="250"/>
      <c r="C45" s="258"/>
      <c r="D45" s="284"/>
      <c r="E45" s="250"/>
      <c r="F45" s="293"/>
      <c r="G45" s="287"/>
      <c r="H45" s="287"/>
      <c r="I45" s="522"/>
      <c r="J45" s="523"/>
      <c r="K45" s="523"/>
      <c r="L45" s="523"/>
      <c r="M45" s="523"/>
      <c r="N45" s="524"/>
      <c r="O45" s="511"/>
      <c r="P45" s="258"/>
    </row>
    <row r="46" spans="1:21">
      <c r="A46" s="250"/>
      <c r="B46" s="250"/>
      <c r="C46" s="258" t="s">
        <v>165</v>
      </c>
      <c r="D46" s="352" t="s">
        <v>270</v>
      </c>
      <c r="E46" s="250"/>
      <c r="F46" s="291">
        <f>IF(F$10="Prior",0,(F11*F29)*(Assumptions!F28-1))</f>
        <v>0</v>
      </c>
      <c r="G46" s="290">
        <f>IF(G$10="Prior",0,(G11*G29)*(Assumptions!G28-1))</f>
        <v>0</v>
      </c>
      <c r="H46" s="290">
        <f>IF(H$10="Prior",0,(H11*H29)*(Assumptions!H28-1))</f>
        <v>0</v>
      </c>
      <c r="I46" s="512">
        <f>IF(I$10="Prior",0,(I11*I29)*(Assumptions!I28-1))</f>
        <v>0</v>
      </c>
      <c r="J46" s="290">
        <f>IF(J$10="Prior",0,(J11*J29)*(Assumptions!J28-1))</f>
        <v>0</v>
      </c>
      <c r="K46" s="290">
        <f>IF(K$10="Prior",0,(K11*K29)*(Assumptions!K28-1))</f>
        <v>0</v>
      </c>
      <c r="L46" s="290">
        <f>IF(L$10="Prior",0,(L11*L29)*(Assumptions!L28-1))</f>
        <v>0</v>
      </c>
      <c r="M46" s="290">
        <f>IF(M$10="Prior",0,(M11*M29)*(Assumptions!M28-1))</f>
        <v>0</v>
      </c>
      <c r="N46" s="346">
        <f>IF(N$10="Prior",0,(N11*N29)*(Assumptions!N28-1))</f>
        <v>0</v>
      </c>
      <c r="O46" s="294">
        <f t="shared" ref="O46:O47" si="6">SUM(F46:N46)</f>
        <v>0</v>
      </c>
      <c r="P46" s="497">
        <f t="shared" ref="P46:P47" si="7">SUM(I46:M46)</f>
        <v>0</v>
      </c>
    </row>
    <row r="47" spans="1:21">
      <c r="A47" s="250"/>
      <c r="B47" s="250"/>
      <c r="C47" s="258"/>
      <c r="D47" s="352" t="s">
        <v>271</v>
      </c>
      <c r="E47" s="250"/>
      <c r="F47" s="294">
        <f>IF(F$10="Prior",0,(F11*F30)*(Assumptions!F30-1))</f>
        <v>0</v>
      </c>
      <c r="G47" s="290">
        <f>IF(G$10="Prior",0,(G11*G30)*(Assumptions!G30-1))</f>
        <v>0</v>
      </c>
      <c r="H47" s="290">
        <f>IF(H$10="Prior",0,(H11*H30)*(Assumptions!H30-1))</f>
        <v>0</v>
      </c>
      <c r="I47" s="512">
        <f>IF(I$10="Prior",0,(I11*I30)*(Assumptions!I30-1))</f>
        <v>0</v>
      </c>
      <c r="J47" s="290">
        <f>IF(J$10="Prior",0,(J11*J30)*(Assumptions!J30-1))</f>
        <v>0</v>
      </c>
      <c r="K47" s="290">
        <f>IF(K$10="Prior",0,(K11*K30)*(Assumptions!K30-1))</f>
        <v>0</v>
      </c>
      <c r="L47" s="290">
        <f>IF(L$10="Prior",0,(L11*L30)*(Assumptions!L30-1))</f>
        <v>0</v>
      </c>
      <c r="M47" s="290">
        <f>IF(M$10="Prior",0,(M11*M30)*(Assumptions!M30-1))</f>
        <v>0</v>
      </c>
      <c r="N47" s="346">
        <f>IF(N$10="Prior",0,(N11*N30)*(Assumptions!N30-1))</f>
        <v>0</v>
      </c>
      <c r="O47" s="294">
        <f t="shared" si="6"/>
        <v>0</v>
      </c>
      <c r="P47" s="497">
        <f t="shared" si="7"/>
        <v>0</v>
      </c>
    </row>
    <row r="48" spans="1:21">
      <c r="A48" s="250"/>
      <c r="B48" s="250"/>
      <c r="C48" s="258"/>
      <c r="D48" s="465" t="s">
        <v>273</v>
      </c>
      <c r="E48" s="525"/>
      <c r="F48" s="292">
        <f>SUM(F46:F47)</f>
        <v>0</v>
      </c>
      <c r="G48" s="253">
        <f t="shared" ref="G48:N48" si="8">SUM(G46:G47)</f>
        <v>0</v>
      </c>
      <c r="H48" s="253">
        <f t="shared" si="8"/>
        <v>0</v>
      </c>
      <c r="I48" s="518">
        <f t="shared" si="8"/>
        <v>0</v>
      </c>
      <c r="J48" s="253">
        <f t="shared" si="8"/>
        <v>0</v>
      </c>
      <c r="K48" s="253">
        <f t="shared" si="8"/>
        <v>0</v>
      </c>
      <c r="L48" s="253">
        <f t="shared" si="8"/>
        <v>0</v>
      </c>
      <c r="M48" s="253">
        <f t="shared" si="8"/>
        <v>0</v>
      </c>
      <c r="N48" s="519">
        <f t="shared" si="8"/>
        <v>0</v>
      </c>
      <c r="O48" s="520">
        <f>SUM(O46:O47)</f>
        <v>0</v>
      </c>
      <c r="P48" s="526">
        <f>SUM(P46:P47)</f>
        <v>0</v>
      </c>
    </row>
    <row r="49" spans="1:18">
      <c r="A49" s="250"/>
      <c r="B49" s="250"/>
      <c r="C49" s="439"/>
      <c r="D49" s="465" t="s">
        <v>60</v>
      </c>
      <c r="E49" s="525"/>
      <c r="F49" s="292">
        <f t="shared" ref="F49:N49" si="9">F44+F48</f>
        <v>0</v>
      </c>
      <c r="G49" s="253">
        <f t="shared" si="9"/>
        <v>0</v>
      </c>
      <c r="H49" s="253">
        <f t="shared" si="9"/>
        <v>0</v>
      </c>
      <c r="I49" s="518">
        <f t="shared" si="9"/>
        <v>0</v>
      </c>
      <c r="J49" s="253">
        <f t="shared" si="9"/>
        <v>0</v>
      </c>
      <c r="K49" s="253">
        <f t="shared" si="9"/>
        <v>0</v>
      </c>
      <c r="L49" s="253">
        <f t="shared" si="9"/>
        <v>0</v>
      </c>
      <c r="M49" s="253">
        <f t="shared" si="9"/>
        <v>0</v>
      </c>
      <c r="N49" s="519">
        <f t="shared" si="9"/>
        <v>0</v>
      </c>
      <c r="O49" s="520">
        <f>O44+O48</f>
        <v>0</v>
      </c>
      <c r="P49" s="521">
        <f>P44+P48</f>
        <v>0</v>
      </c>
    </row>
    <row r="50" spans="1:18">
      <c r="A50" s="250"/>
      <c r="B50" s="250"/>
      <c r="C50" s="260"/>
      <c r="D50" s="386" t="s">
        <v>283</v>
      </c>
      <c r="E50" s="527"/>
      <c r="F50" s="440">
        <f t="shared" ref="F50:P50" si="10">IF(ISERROR(F49/F11),0,F49/F11)</f>
        <v>0</v>
      </c>
      <c r="G50" s="441">
        <f t="shared" si="10"/>
        <v>0</v>
      </c>
      <c r="H50" s="441">
        <f t="shared" si="10"/>
        <v>0</v>
      </c>
      <c r="I50" s="528">
        <f t="shared" si="10"/>
        <v>0</v>
      </c>
      <c r="J50" s="441">
        <f t="shared" si="10"/>
        <v>0</v>
      </c>
      <c r="K50" s="441">
        <f t="shared" si="10"/>
        <v>0</v>
      </c>
      <c r="L50" s="441">
        <f t="shared" si="10"/>
        <v>0</v>
      </c>
      <c r="M50" s="441">
        <f t="shared" si="10"/>
        <v>0</v>
      </c>
      <c r="N50" s="529">
        <f t="shared" si="10"/>
        <v>0</v>
      </c>
      <c r="O50" s="529">
        <f t="shared" si="10"/>
        <v>0</v>
      </c>
      <c r="P50" s="529">
        <f t="shared" si="10"/>
        <v>0</v>
      </c>
    </row>
    <row r="51" spans="1:18">
      <c r="A51" s="250"/>
      <c r="B51" s="250"/>
      <c r="C51" s="310" t="s">
        <v>277</v>
      </c>
      <c r="D51" s="353" t="s">
        <v>17</v>
      </c>
      <c r="E51" s="530"/>
      <c r="F51" s="343">
        <f>(F29*F$11+F46)*Assumptions!$G$21</f>
        <v>12.230564905769238</v>
      </c>
      <c r="G51" s="344">
        <f>(G29*G$11+G46)*Assumptions!$G$21</f>
        <v>0</v>
      </c>
      <c r="H51" s="344">
        <f>(H29*H$11+H46)*Assumptions!$G$21</f>
        <v>0</v>
      </c>
      <c r="I51" s="531">
        <f>(I29*I$11+I46)*Assumptions!$G$21</f>
        <v>0</v>
      </c>
      <c r="J51" s="344">
        <f>(J29*J$11+J46)*Assumptions!$G$21</f>
        <v>0</v>
      </c>
      <c r="K51" s="344">
        <f>(K29*K$11+K46)*Assumptions!$G$21</f>
        <v>0</v>
      </c>
      <c r="L51" s="344">
        <f>(L29*L$11+L46)*Assumptions!$G$21</f>
        <v>0</v>
      </c>
      <c r="M51" s="344">
        <f>(M29*M$11+M46)*Assumptions!$G$21</f>
        <v>0</v>
      </c>
      <c r="N51" s="345">
        <f>(N29*N$11+N46)*Assumptions!$G$21</f>
        <v>0</v>
      </c>
      <c r="O51" s="532">
        <f t="shared" ref="O51:O53" si="11">SUM(F51:N51)</f>
        <v>12.230564905769238</v>
      </c>
      <c r="P51" s="533">
        <f>SUM(I51:M51)</f>
        <v>0</v>
      </c>
    </row>
    <row r="52" spans="1:18">
      <c r="A52" s="250"/>
      <c r="B52" s="250"/>
      <c r="C52" s="258" t="s">
        <v>25</v>
      </c>
      <c r="D52" s="350" t="s">
        <v>19</v>
      </c>
      <c r="E52" s="313"/>
      <c r="F52" s="294">
        <f>(F30*F$11+F47)*Assumptions!$G$21</f>
        <v>61.152824528846189</v>
      </c>
      <c r="G52" s="290">
        <f>(G30*G$11+G47)*Assumptions!$G$21</f>
        <v>0</v>
      </c>
      <c r="H52" s="290">
        <f>(H30*H$11+H47)*Assumptions!$G$21</f>
        <v>0</v>
      </c>
      <c r="I52" s="512">
        <f>(I30*I$11+I47)*Assumptions!$G$21</f>
        <v>0</v>
      </c>
      <c r="J52" s="290">
        <f>(J30*J$11+J47)*Assumptions!$G$21</f>
        <v>0</v>
      </c>
      <c r="K52" s="290">
        <f>(K30*K$11+K47)*Assumptions!$G$21</f>
        <v>0</v>
      </c>
      <c r="L52" s="290">
        <f>(L30*L$11+L47)*Assumptions!$G$21</f>
        <v>0</v>
      </c>
      <c r="M52" s="290">
        <f>(M30*M$11+M47)*Assumptions!$G$21</f>
        <v>0</v>
      </c>
      <c r="N52" s="346">
        <f>(N30*N$11+N47)*Assumptions!$G$21</f>
        <v>0</v>
      </c>
      <c r="O52" s="534">
        <f t="shared" si="11"/>
        <v>61.152824528846189</v>
      </c>
      <c r="P52" s="535">
        <f>SUM(I52:M52)</f>
        <v>0</v>
      </c>
    </row>
    <row r="53" spans="1:18">
      <c r="A53" s="250"/>
      <c r="B53" s="250"/>
      <c r="C53" s="258"/>
      <c r="D53" s="350" t="s">
        <v>18</v>
      </c>
      <c r="E53" s="313"/>
      <c r="F53" s="294">
        <f>(F31*F$11+F$44)*Assumptions!$G$21</f>
        <v>48.922259623076954</v>
      </c>
      <c r="G53" s="290">
        <f>(G31*G$11+G$44)*Assumptions!$G$21</f>
        <v>0</v>
      </c>
      <c r="H53" s="290">
        <f>(H31*H$11+H$44)*Assumptions!$G$21</f>
        <v>0</v>
      </c>
      <c r="I53" s="512">
        <f>(I31*I$11+I$44)*Assumptions!$G$21</f>
        <v>0</v>
      </c>
      <c r="J53" s="290">
        <f>(J31*J$11+J$44)*Assumptions!$G$21</f>
        <v>0</v>
      </c>
      <c r="K53" s="290">
        <f>(K31*K$11+K$44)*Assumptions!$G$21</f>
        <v>0</v>
      </c>
      <c r="L53" s="290">
        <f>(L31*L$11+L$44)*Assumptions!$G$21</f>
        <v>0</v>
      </c>
      <c r="M53" s="290">
        <f>(M31*M$11+M$44)*Assumptions!$G$21</f>
        <v>0</v>
      </c>
      <c r="N53" s="346">
        <f>(N31*N$11+N$44)*Assumptions!$G$21</f>
        <v>0</v>
      </c>
      <c r="O53" s="534">
        <f t="shared" si="11"/>
        <v>48.922259623076954</v>
      </c>
      <c r="P53" s="535">
        <f>SUM(I53:M53)</f>
        <v>0</v>
      </c>
    </row>
    <row r="54" spans="1:18">
      <c r="A54" s="250"/>
      <c r="B54" s="250"/>
      <c r="C54" s="536"/>
      <c r="D54" s="537" t="str">
        <f>"Total Direct - As Incurred "&amp;Assumptions!$C$8</f>
        <v>Total Direct - As Incurred $ Mar 2017</v>
      </c>
      <c r="E54" s="517"/>
      <c r="F54" s="292">
        <f t="shared" ref="F54:P54" si="12">+SUM(F51:F53)</f>
        <v>122.30564905769238</v>
      </c>
      <c r="G54" s="253">
        <f t="shared" si="12"/>
        <v>0</v>
      </c>
      <c r="H54" s="253">
        <f t="shared" si="12"/>
        <v>0</v>
      </c>
      <c r="I54" s="411">
        <f t="shared" si="12"/>
        <v>0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122.30564905769238</v>
      </c>
      <c r="P54" s="428">
        <f t="shared" si="12"/>
        <v>0</v>
      </c>
      <c r="R54" s="616" t="str">
        <f>IF(ROUND(O11*(1+O50)*Assumptions!$G$21,0)-ROUND(O54,0)&lt;&gt;0,"Error","ok")</f>
        <v>ok</v>
      </c>
    </row>
    <row r="55" spans="1:18">
      <c r="A55" s="250"/>
      <c r="B55" s="250"/>
      <c r="C55" s="257"/>
      <c r="D55" s="302"/>
      <c r="E55" s="510"/>
      <c r="F55" s="296"/>
      <c r="G55" s="297"/>
      <c r="H55" s="395"/>
      <c r="I55" s="412"/>
      <c r="J55" s="303"/>
      <c r="K55" s="303"/>
      <c r="L55" s="303"/>
      <c r="M55" s="303"/>
      <c r="N55" s="304"/>
      <c r="O55" s="511"/>
      <c r="P55" s="258"/>
    </row>
    <row r="56" spans="1:18">
      <c r="A56" s="250"/>
      <c r="B56" s="250"/>
      <c r="C56" s="258" t="s">
        <v>274</v>
      </c>
      <c r="D56" s="350" t="s">
        <v>272</v>
      </c>
      <c r="E56" s="506"/>
      <c r="F56" s="314">
        <f>IF($D$9=0,0,INDEX(OHD_Summary_tbl,MATCH($D$9,Assumptions!$C$95:$C$97,0),MATCH(F$10,Assumptions!$D$94:$N$94,0)))</f>
        <v>8.0081718857033676E-2</v>
      </c>
      <c r="G56" s="315">
        <f>IF($D$9=0,0,INDEX(OHD_Summary_tbl,MATCH($D$9,Assumptions!$C$95:$C$97,0),MATCH(G$10,Assumptions!$D$94:$N$94,0)))</f>
        <v>5.9444785210206755E-2</v>
      </c>
      <c r="H56" s="396">
        <f>IF($D$9=0,0,INDEX(OHD_Summary_tbl,MATCH($D$9,Assumptions!$C$95:$C$97,0),MATCH(H$10,Assumptions!$D$94:$N$94,0)))</f>
        <v>7.2593686766146664E-2</v>
      </c>
      <c r="I56" s="413">
        <f>IF($D$9=0,0,INDEX(OHD_Summary_tbl,MATCH($D$9,Assumptions!$C$95:$C$97,0),MATCH(I$10,Assumptions!$D$94:$N$94,0)))</f>
        <v>8.8186632395166858E-2</v>
      </c>
      <c r="J56" s="316">
        <f>IF($D$9=0,0,INDEX(OHD_Summary_tbl,MATCH($D$9,Assumptions!$C$95:$C$97,0),MATCH(J$10,Assumptions!$D$94:$N$94,0)))</f>
        <v>0.12029963760355783</v>
      </c>
      <c r="K56" s="316">
        <f>IF($D$9=0,0,INDEX(OHD_Summary_tbl,MATCH($D$9,Assumptions!$C$95:$C$97,0),MATCH(K$10,Assumptions!$D$94:$N$94,0)))</f>
        <v>0.13048106234511045</v>
      </c>
      <c r="L56" s="316">
        <f>IF($D$9=0,0,INDEX(OHD_Summary_tbl,MATCH($D$9,Assumptions!$C$95:$C$97,0),MATCH(L$10,Assumptions!$D$94:$N$94,0)))</f>
        <v>0.1179104066006242</v>
      </c>
      <c r="M56" s="316">
        <f>IF($D$9=0,0,INDEX(OHD_Summary_tbl,MATCH($D$9,Assumptions!$C$95:$C$97,0),MATCH(M$10,Assumptions!$D$94:$N$94,0)))</f>
        <v>0.11103780756565028</v>
      </c>
      <c r="N56" s="317">
        <f>IF($D$9=0,0,INDEX(OHD_Summary_tbl,MATCH($D$9,Assumptions!$C$95:$C$97,0),MATCH(N$10,Assumptions!$D$94:$N$94,0)))</f>
        <v>0.11358310930202191</v>
      </c>
      <c r="O56" s="511"/>
      <c r="P56" s="538"/>
    </row>
    <row r="57" spans="1:18">
      <c r="A57" s="250"/>
      <c r="B57" s="250"/>
      <c r="C57" s="258"/>
      <c r="D57" s="350" t="s">
        <v>267</v>
      </c>
      <c r="E57" s="506"/>
      <c r="F57" s="294">
        <f>F54*F56</f>
        <v>9.7944466024651469</v>
      </c>
      <c r="G57" s="290">
        <f t="shared" ref="G57:N57" si="13">G54*G56</f>
        <v>0</v>
      </c>
      <c r="H57" s="290">
        <f t="shared" si="13"/>
        <v>0</v>
      </c>
      <c r="I57" s="512">
        <f t="shared" si="13"/>
        <v>0</v>
      </c>
      <c r="J57" s="290">
        <f t="shared" si="13"/>
        <v>0</v>
      </c>
      <c r="K57" s="290">
        <f t="shared" si="13"/>
        <v>0</v>
      </c>
      <c r="L57" s="290">
        <f t="shared" si="13"/>
        <v>0</v>
      </c>
      <c r="M57" s="290">
        <f t="shared" si="13"/>
        <v>0</v>
      </c>
      <c r="N57" s="346">
        <f t="shared" si="13"/>
        <v>0</v>
      </c>
      <c r="O57" s="294">
        <f>SUM(F57:N57)</f>
        <v>9.7944466024651469</v>
      </c>
      <c r="P57" s="497">
        <f>SUM(I57:M57)</f>
        <v>0</v>
      </c>
    </row>
    <row r="58" spans="1:18">
      <c r="A58" s="250"/>
      <c r="B58" s="250"/>
      <c r="C58" s="259"/>
      <c r="D58" s="305"/>
      <c r="E58" s="312"/>
      <c r="F58" s="511"/>
      <c r="G58" s="250"/>
      <c r="H58" s="250"/>
      <c r="I58" s="539"/>
      <c r="J58" s="250"/>
      <c r="K58" s="250"/>
      <c r="L58" s="250"/>
      <c r="M58" s="250"/>
      <c r="N58" s="454"/>
      <c r="O58" s="511"/>
      <c r="P58" s="258"/>
    </row>
    <row r="59" spans="1:18">
      <c r="A59" s="250"/>
      <c r="B59" s="250"/>
      <c r="C59" s="536"/>
      <c r="D59" s="537" t="str">
        <f>"Total incl Overhead - As Incurred "&amp;Assumptions!$C$8</f>
        <v>Total incl Overhead - As Incurred $ Mar 2017</v>
      </c>
      <c r="E59" s="517"/>
      <c r="F59" s="292">
        <f t="shared" ref="F59:M59" si="14">F54+F57</f>
        <v>132.10009566015754</v>
      </c>
      <c r="G59" s="253">
        <f t="shared" si="14"/>
        <v>0</v>
      </c>
      <c r="H59" s="253">
        <f t="shared" si="14"/>
        <v>0</v>
      </c>
      <c r="I59" s="411">
        <f t="shared" si="14"/>
        <v>0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132.10009566015754</v>
      </c>
      <c r="P59" s="429">
        <f t="shared" si="15"/>
        <v>0</v>
      </c>
    </row>
    <row r="60" spans="1:18" outlineLevel="1">
      <c r="A60" s="250"/>
      <c r="B60" s="250"/>
      <c r="C60" s="250"/>
      <c r="D60" s="313" t="s">
        <v>263</v>
      </c>
      <c r="E60" s="313"/>
      <c r="F60" s="290">
        <f>F57</f>
        <v>9.7944466024651469</v>
      </c>
      <c r="G60" s="290">
        <f t="shared" ref="G60:N60" si="16">G57+F60</f>
        <v>9.7944466024651469</v>
      </c>
      <c r="H60" s="290">
        <f t="shared" si="16"/>
        <v>9.7944466024651469</v>
      </c>
      <c r="I60" s="290">
        <f t="shared" si="16"/>
        <v>9.7944466024651469</v>
      </c>
      <c r="J60" s="290">
        <f t="shared" si="16"/>
        <v>9.7944466024651469</v>
      </c>
      <c r="K60" s="290">
        <f t="shared" si="16"/>
        <v>9.7944466024651469</v>
      </c>
      <c r="L60" s="290">
        <f t="shared" si="16"/>
        <v>9.7944466024651469</v>
      </c>
      <c r="M60" s="290">
        <f t="shared" si="16"/>
        <v>9.7944466024651469</v>
      </c>
      <c r="N60" s="290">
        <f t="shared" si="16"/>
        <v>9.7944466024651469</v>
      </c>
    </row>
    <row r="61" spans="1:18" outlineLevel="1" collapsed="1">
      <c r="A61" s="250"/>
      <c r="B61" s="250"/>
      <c r="D61" s="251" t="s">
        <v>288</v>
      </c>
      <c r="E61" s="251"/>
      <c r="F61" s="252">
        <f>F49</f>
        <v>0</v>
      </c>
      <c r="G61" s="252">
        <f>G49+F61</f>
        <v>0</v>
      </c>
      <c r="H61" s="252">
        <f t="shared" ref="H61:N61" si="17">H49+G61</f>
        <v>0</v>
      </c>
      <c r="I61" s="252">
        <f t="shared" si="17"/>
        <v>0</v>
      </c>
      <c r="J61" s="252">
        <f t="shared" si="17"/>
        <v>0</v>
      </c>
      <c r="K61" s="252">
        <f t="shared" si="17"/>
        <v>0</v>
      </c>
      <c r="L61" s="252">
        <f t="shared" si="17"/>
        <v>0</v>
      </c>
      <c r="M61" s="252">
        <f t="shared" si="17"/>
        <v>0</v>
      </c>
      <c r="N61" s="252">
        <f t="shared" si="17"/>
        <v>0</v>
      </c>
    </row>
    <row r="62" spans="1:18">
      <c r="A62" s="250"/>
      <c r="B62" s="250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  <c r="P62" s="248"/>
    </row>
    <row r="63" spans="1:18">
      <c r="A63" s="250"/>
      <c r="B63" s="250"/>
      <c r="C63" s="540" t="s">
        <v>275</v>
      </c>
      <c r="D63" s="541"/>
      <c r="E63" s="541"/>
      <c r="F63" s="542"/>
      <c r="G63" s="542"/>
      <c r="H63" s="542"/>
      <c r="I63" s="542"/>
      <c r="J63" s="542"/>
      <c r="K63" s="542"/>
      <c r="L63" s="542"/>
      <c r="M63" s="542"/>
      <c r="N63" s="542"/>
      <c r="O63" s="543"/>
      <c r="P63" s="544"/>
    </row>
    <row r="64" spans="1:18">
      <c r="A64" s="250"/>
      <c r="B64" s="250"/>
      <c r="C64" s="257" t="s">
        <v>23</v>
      </c>
      <c r="D64" s="353" t="s">
        <v>3</v>
      </c>
      <c r="E64" s="530"/>
      <c r="F64" s="343">
        <f t="shared" ref="F64:N73" si="18">F$59*F17</f>
        <v>0</v>
      </c>
      <c r="G64" s="344">
        <f t="shared" si="18"/>
        <v>0</v>
      </c>
      <c r="H64" s="344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345">
        <f t="shared" si="18"/>
        <v>0</v>
      </c>
      <c r="O64" s="532">
        <f>SUM(F64:N64)</f>
        <v>0</v>
      </c>
      <c r="P64" s="430">
        <f>SUM(I64:M64)</f>
        <v>0</v>
      </c>
    </row>
    <row r="65" spans="1:16">
      <c r="A65" s="250"/>
      <c r="B65" s="250"/>
      <c r="C65" s="258" t="s">
        <v>24</v>
      </c>
      <c r="D65" s="350" t="s">
        <v>4</v>
      </c>
      <c r="E65" s="313"/>
      <c r="F65" s="294">
        <f t="shared" si="18"/>
        <v>0</v>
      </c>
      <c r="G65" s="290">
        <f t="shared" si="18"/>
        <v>0</v>
      </c>
      <c r="H65" s="290">
        <f t="shared" si="18"/>
        <v>0</v>
      </c>
      <c r="I65" s="416">
        <f t="shared" si="18"/>
        <v>0</v>
      </c>
      <c r="J65" s="381">
        <f t="shared" si="18"/>
        <v>0</v>
      </c>
      <c r="K65" s="381">
        <f t="shared" si="18"/>
        <v>0</v>
      </c>
      <c r="L65" s="381">
        <f t="shared" si="18"/>
        <v>0</v>
      </c>
      <c r="M65" s="381">
        <f t="shared" si="18"/>
        <v>0</v>
      </c>
      <c r="N65" s="346">
        <f t="shared" si="18"/>
        <v>0</v>
      </c>
      <c r="O65" s="534">
        <f t="shared" ref="O65:O73" si="19">SUM(F65:N65)</f>
        <v>0</v>
      </c>
      <c r="P65" s="431">
        <f t="shared" ref="P65:P73" si="20">SUM(I65:M65)</f>
        <v>0</v>
      </c>
    </row>
    <row r="66" spans="1:16">
      <c r="A66" s="250"/>
      <c r="B66" s="250"/>
      <c r="C66" s="258" t="s">
        <v>25</v>
      </c>
      <c r="D66" s="350" t="s">
        <v>5</v>
      </c>
      <c r="E66" s="313"/>
      <c r="F66" s="294">
        <f t="shared" si="18"/>
        <v>0</v>
      </c>
      <c r="G66" s="290">
        <f t="shared" si="18"/>
        <v>0</v>
      </c>
      <c r="H66" s="290">
        <f t="shared" si="18"/>
        <v>0</v>
      </c>
      <c r="I66" s="416">
        <f t="shared" si="18"/>
        <v>0</v>
      </c>
      <c r="J66" s="381">
        <f t="shared" si="18"/>
        <v>0</v>
      </c>
      <c r="K66" s="381">
        <f t="shared" si="18"/>
        <v>0</v>
      </c>
      <c r="L66" s="381">
        <f t="shared" si="18"/>
        <v>0</v>
      </c>
      <c r="M66" s="381">
        <f t="shared" si="18"/>
        <v>0</v>
      </c>
      <c r="N66" s="346">
        <f t="shared" si="18"/>
        <v>0</v>
      </c>
      <c r="O66" s="534">
        <f t="shared" si="19"/>
        <v>0</v>
      </c>
      <c r="P66" s="431">
        <f t="shared" si="20"/>
        <v>0</v>
      </c>
    </row>
    <row r="67" spans="1:16">
      <c r="A67" s="250"/>
      <c r="B67" s="250"/>
      <c r="C67" s="258"/>
      <c r="D67" s="350" t="s">
        <v>6</v>
      </c>
      <c r="E67" s="313"/>
      <c r="F67" s="294">
        <f t="shared" si="18"/>
        <v>0</v>
      </c>
      <c r="G67" s="290">
        <f t="shared" si="18"/>
        <v>0</v>
      </c>
      <c r="H67" s="290">
        <f t="shared" si="18"/>
        <v>0</v>
      </c>
      <c r="I67" s="416">
        <f t="shared" si="18"/>
        <v>0</v>
      </c>
      <c r="J67" s="381">
        <f t="shared" si="18"/>
        <v>0</v>
      </c>
      <c r="K67" s="381">
        <f t="shared" si="18"/>
        <v>0</v>
      </c>
      <c r="L67" s="381">
        <f t="shared" si="18"/>
        <v>0</v>
      </c>
      <c r="M67" s="381">
        <f t="shared" si="18"/>
        <v>0</v>
      </c>
      <c r="N67" s="346">
        <f t="shared" si="18"/>
        <v>0</v>
      </c>
      <c r="O67" s="534">
        <f t="shared" si="19"/>
        <v>0</v>
      </c>
      <c r="P67" s="431">
        <f t="shared" si="20"/>
        <v>0</v>
      </c>
    </row>
    <row r="68" spans="1:16">
      <c r="A68" s="250"/>
      <c r="B68" s="250"/>
      <c r="C68" s="258"/>
      <c r="D68" s="350" t="s">
        <v>7</v>
      </c>
      <c r="E68" s="313"/>
      <c r="F68" s="294">
        <f t="shared" si="18"/>
        <v>0</v>
      </c>
      <c r="G68" s="290">
        <f t="shared" si="18"/>
        <v>0</v>
      </c>
      <c r="H68" s="290">
        <f t="shared" si="18"/>
        <v>0</v>
      </c>
      <c r="I68" s="416">
        <f t="shared" si="18"/>
        <v>0</v>
      </c>
      <c r="J68" s="381">
        <f t="shared" si="18"/>
        <v>0</v>
      </c>
      <c r="K68" s="381">
        <f t="shared" si="18"/>
        <v>0</v>
      </c>
      <c r="L68" s="381">
        <f t="shared" si="18"/>
        <v>0</v>
      </c>
      <c r="M68" s="381">
        <f t="shared" si="18"/>
        <v>0</v>
      </c>
      <c r="N68" s="346">
        <f t="shared" si="18"/>
        <v>0</v>
      </c>
      <c r="O68" s="534">
        <f t="shared" si="19"/>
        <v>0</v>
      </c>
      <c r="P68" s="431">
        <f t="shared" si="20"/>
        <v>0</v>
      </c>
    </row>
    <row r="69" spans="1:16">
      <c r="A69" s="250"/>
      <c r="B69" s="250"/>
      <c r="C69" s="258"/>
      <c r="D69" s="350" t="s">
        <v>8</v>
      </c>
      <c r="E69" s="313"/>
      <c r="F69" s="294">
        <f t="shared" si="18"/>
        <v>132.10009566015754</v>
      </c>
      <c r="G69" s="290">
        <f t="shared" si="18"/>
        <v>0</v>
      </c>
      <c r="H69" s="290">
        <f t="shared" si="18"/>
        <v>0</v>
      </c>
      <c r="I69" s="416">
        <f t="shared" si="18"/>
        <v>0</v>
      </c>
      <c r="J69" s="381">
        <f t="shared" si="18"/>
        <v>0</v>
      </c>
      <c r="K69" s="381">
        <f t="shared" si="18"/>
        <v>0</v>
      </c>
      <c r="L69" s="381">
        <f t="shared" si="18"/>
        <v>0</v>
      </c>
      <c r="M69" s="381">
        <f t="shared" si="18"/>
        <v>0</v>
      </c>
      <c r="N69" s="346">
        <f t="shared" si="18"/>
        <v>0</v>
      </c>
      <c r="O69" s="534">
        <f t="shared" si="19"/>
        <v>132.10009566015754</v>
      </c>
      <c r="P69" s="431">
        <f t="shared" si="20"/>
        <v>0</v>
      </c>
    </row>
    <row r="70" spans="1:16">
      <c r="A70" s="250"/>
      <c r="B70" s="250"/>
      <c r="C70" s="258"/>
      <c r="D70" s="350" t="s">
        <v>9</v>
      </c>
      <c r="E70" s="313"/>
      <c r="F70" s="294">
        <f t="shared" si="18"/>
        <v>0</v>
      </c>
      <c r="G70" s="290">
        <f t="shared" si="18"/>
        <v>0</v>
      </c>
      <c r="H70" s="290">
        <f t="shared" si="18"/>
        <v>0</v>
      </c>
      <c r="I70" s="416">
        <f t="shared" si="18"/>
        <v>0</v>
      </c>
      <c r="J70" s="381">
        <f t="shared" si="18"/>
        <v>0</v>
      </c>
      <c r="K70" s="381">
        <f t="shared" si="18"/>
        <v>0</v>
      </c>
      <c r="L70" s="381">
        <f t="shared" si="18"/>
        <v>0</v>
      </c>
      <c r="M70" s="381">
        <f t="shared" si="18"/>
        <v>0</v>
      </c>
      <c r="N70" s="346">
        <f t="shared" si="18"/>
        <v>0</v>
      </c>
      <c r="O70" s="534">
        <f t="shared" si="19"/>
        <v>0</v>
      </c>
      <c r="P70" s="431">
        <f t="shared" si="20"/>
        <v>0</v>
      </c>
    </row>
    <row r="71" spans="1:16">
      <c r="A71" s="250"/>
      <c r="B71" s="250"/>
      <c r="C71" s="258"/>
      <c r="D71" s="350" t="s">
        <v>10</v>
      </c>
      <c r="E71" s="313"/>
      <c r="F71" s="294">
        <f t="shared" si="18"/>
        <v>0</v>
      </c>
      <c r="G71" s="290">
        <f t="shared" si="18"/>
        <v>0</v>
      </c>
      <c r="H71" s="290">
        <f t="shared" si="18"/>
        <v>0</v>
      </c>
      <c r="I71" s="416">
        <f t="shared" si="18"/>
        <v>0</v>
      </c>
      <c r="J71" s="381">
        <f t="shared" si="18"/>
        <v>0</v>
      </c>
      <c r="K71" s="381">
        <f t="shared" si="18"/>
        <v>0</v>
      </c>
      <c r="L71" s="381">
        <f t="shared" si="18"/>
        <v>0</v>
      </c>
      <c r="M71" s="381">
        <f t="shared" si="18"/>
        <v>0</v>
      </c>
      <c r="N71" s="346">
        <f t="shared" si="18"/>
        <v>0</v>
      </c>
      <c r="O71" s="534">
        <f t="shared" si="19"/>
        <v>0</v>
      </c>
      <c r="P71" s="431">
        <f t="shared" si="20"/>
        <v>0</v>
      </c>
    </row>
    <row r="72" spans="1:16">
      <c r="A72" s="250"/>
      <c r="B72" s="250"/>
      <c r="C72" s="258"/>
      <c r="D72" s="350" t="s">
        <v>11</v>
      </c>
      <c r="E72" s="313"/>
      <c r="F72" s="294">
        <f t="shared" si="18"/>
        <v>0</v>
      </c>
      <c r="G72" s="290">
        <f t="shared" si="18"/>
        <v>0</v>
      </c>
      <c r="H72" s="290">
        <f t="shared" si="18"/>
        <v>0</v>
      </c>
      <c r="I72" s="416">
        <f t="shared" si="18"/>
        <v>0</v>
      </c>
      <c r="J72" s="381">
        <f t="shared" si="18"/>
        <v>0</v>
      </c>
      <c r="K72" s="381">
        <f t="shared" si="18"/>
        <v>0</v>
      </c>
      <c r="L72" s="381">
        <f t="shared" si="18"/>
        <v>0</v>
      </c>
      <c r="M72" s="381">
        <f t="shared" si="18"/>
        <v>0</v>
      </c>
      <c r="N72" s="346">
        <f t="shared" si="18"/>
        <v>0</v>
      </c>
      <c r="O72" s="534">
        <f t="shared" si="19"/>
        <v>0</v>
      </c>
      <c r="P72" s="431">
        <f t="shared" si="20"/>
        <v>0</v>
      </c>
    </row>
    <row r="73" spans="1:16">
      <c r="A73" s="250"/>
      <c r="B73" s="250"/>
      <c r="C73" s="259"/>
      <c r="D73" s="354" t="s">
        <v>12</v>
      </c>
      <c r="E73" s="546"/>
      <c r="F73" s="294">
        <f t="shared" si="18"/>
        <v>0</v>
      </c>
      <c r="G73" s="290">
        <f t="shared" si="18"/>
        <v>0</v>
      </c>
      <c r="H73" s="290">
        <f t="shared" si="18"/>
        <v>0</v>
      </c>
      <c r="I73" s="416">
        <f t="shared" si="18"/>
        <v>0</v>
      </c>
      <c r="J73" s="381">
        <f t="shared" si="18"/>
        <v>0</v>
      </c>
      <c r="K73" s="381">
        <f t="shared" si="18"/>
        <v>0</v>
      </c>
      <c r="L73" s="381">
        <f t="shared" si="18"/>
        <v>0</v>
      </c>
      <c r="M73" s="381">
        <f t="shared" si="18"/>
        <v>0</v>
      </c>
      <c r="N73" s="346">
        <f t="shared" si="18"/>
        <v>0</v>
      </c>
      <c r="O73" s="534">
        <f t="shared" si="19"/>
        <v>0</v>
      </c>
      <c r="P73" s="431">
        <f t="shared" si="20"/>
        <v>0</v>
      </c>
    </row>
    <row r="74" spans="1:16">
      <c r="A74" s="250"/>
      <c r="B74" s="250"/>
      <c r="C74" s="536"/>
      <c r="D74" s="537" t="str">
        <f>"Total incl Overhead - As Incurred "&amp;Assumptions!$C$8</f>
        <v>Total incl Overhead - As Incurred $ Mar 2017</v>
      </c>
      <c r="E74" s="517"/>
      <c r="F74" s="292">
        <f>+SUM(F64:F73)</f>
        <v>132.10009566015754</v>
      </c>
      <c r="G74" s="253">
        <f t="shared" ref="G74:N74" si="21">+SUM(G64:G73)</f>
        <v>0</v>
      </c>
      <c r="H74" s="253">
        <f t="shared" si="21"/>
        <v>0</v>
      </c>
      <c r="I74" s="411">
        <f t="shared" si="21"/>
        <v>0</v>
      </c>
      <c r="J74" s="382">
        <f t="shared" si="21"/>
        <v>0</v>
      </c>
      <c r="K74" s="382">
        <f t="shared" si="21"/>
        <v>0</v>
      </c>
      <c r="L74" s="382">
        <f t="shared" si="21"/>
        <v>0</v>
      </c>
      <c r="M74" s="382">
        <f t="shared" si="21"/>
        <v>0</v>
      </c>
      <c r="N74" s="519">
        <f t="shared" si="21"/>
        <v>0</v>
      </c>
      <c r="O74" s="292">
        <f>SUM(O64:O73)</f>
        <v>132.10009566015754</v>
      </c>
      <c r="P74" s="428">
        <f>SUM(P64:P73)</f>
        <v>0</v>
      </c>
    </row>
    <row r="75" spans="1:16">
      <c r="B75" s="250"/>
      <c r="E75" s="547" t="s">
        <v>50</v>
      </c>
      <c r="F75" s="548">
        <f>F74-F59</f>
        <v>0</v>
      </c>
      <c r="G75" s="548">
        <f t="shared" ref="G75:P75" si="22">G74-G59</f>
        <v>0</v>
      </c>
      <c r="H75" s="548">
        <f t="shared" si="22"/>
        <v>0</v>
      </c>
      <c r="I75" s="548">
        <f t="shared" si="22"/>
        <v>0</v>
      </c>
      <c r="J75" s="548">
        <f t="shared" si="22"/>
        <v>0</v>
      </c>
      <c r="K75" s="548">
        <f t="shared" si="22"/>
        <v>0</v>
      </c>
      <c r="L75" s="548">
        <f t="shared" si="22"/>
        <v>0</v>
      </c>
      <c r="M75" s="548">
        <f t="shared" si="22"/>
        <v>0</v>
      </c>
      <c r="N75" s="548">
        <f t="shared" si="22"/>
        <v>0</v>
      </c>
      <c r="O75" s="548">
        <f t="shared" si="22"/>
        <v>0</v>
      </c>
      <c r="P75" s="548">
        <f t="shared" si="22"/>
        <v>0</v>
      </c>
    </row>
    <row r="76" spans="1:16" outlineLevel="1">
      <c r="A76" s="250"/>
      <c r="B76" s="250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344">
        <f t="shared" ref="F76:N76" si="23">F14</f>
        <v>120.27098946153852</v>
      </c>
      <c r="G76" s="344">
        <f t="shared" si="23"/>
        <v>0</v>
      </c>
      <c r="H76" s="344">
        <f t="shared" si="23"/>
        <v>0</v>
      </c>
      <c r="I76" s="531">
        <f t="shared" si="23"/>
        <v>0</v>
      </c>
      <c r="J76" s="344">
        <f t="shared" si="23"/>
        <v>0</v>
      </c>
      <c r="K76" s="344">
        <f t="shared" si="23"/>
        <v>0</v>
      </c>
      <c r="L76" s="344">
        <f t="shared" si="23"/>
        <v>0</v>
      </c>
      <c r="M76" s="344">
        <f t="shared" si="23"/>
        <v>0</v>
      </c>
      <c r="N76" s="345">
        <f t="shared" si="23"/>
        <v>0</v>
      </c>
      <c r="O76" s="549">
        <f>SUM(F76:N76)</f>
        <v>120.27098946153852</v>
      </c>
      <c r="P76" s="545">
        <f t="shared" ref="P76:P80" si="24">SUM(I76:M76)</f>
        <v>0</v>
      </c>
    </row>
    <row r="77" spans="1:16" outlineLevel="1">
      <c r="A77" s="250"/>
      <c r="B77" s="250"/>
      <c r="C77" s="453"/>
      <c r="D77" s="350" t="str">
        <f>"Labour &amp; Material Escalation - "&amp;Assumptions!C7</f>
        <v>Labour &amp; Material Escalation - $ 2015/16</v>
      </c>
      <c r="E77" s="454"/>
      <c r="F77" s="290">
        <f>IF(F$10="Prior",0,IF(AND(F76&lt;&gt;0,SUM(E76:$F76)=0),F76/SUM($F$76:F76)*F61,IF(F76&lt;&gt;0,SUM($F$76:F76)/SUM($F$11:F11)*F61-E83,0)))</f>
        <v>0</v>
      </c>
      <c r="G77" s="290">
        <f>IF(G$10="Prior",0,IF(AND(G76&lt;&gt;0,SUM($F76:F76)=0),G76/SUM($F$76:G76)*G61,IF(G76&lt;&gt;0,SUM($F$76:G76)/SUM($F$11:G11)*G61-F83,0)))</f>
        <v>0</v>
      </c>
      <c r="H77" s="290">
        <f>IF(H$10="Prior",0,IF(AND(H76&lt;&gt;0,SUM($F76:G76)=0),H76/SUM($F$76:H76)*H61,IF(H76&lt;&gt;0,SUM($F$76:H76)/SUM($F$11:H11)*H61-G83,0)))</f>
        <v>0</v>
      </c>
      <c r="I77" s="512">
        <f>IF(I$10="Prior",0,IF(AND(I76&lt;&gt;0,SUM($F76:H76)=0),I76/SUM($F$76:I76)*I61,IF(I76&lt;&gt;0,SUM($F$76:I76)/SUM($F$11:I11)*I61-H83,0)))</f>
        <v>0</v>
      </c>
      <c r="J77" s="290">
        <f>IF(J$10="Prior",0,IF(AND(J76&lt;&gt;0,SUM($F76:I76)=0),J76/SUM($F$76:J76)*J61,IF(J76&lt;&gt;0,SUM($F$76:J76)/SUM($F$11:J11)*J61-I83,0)))</f>
        <v>0</v>
      </c>
      <c r="K77" s="290">
        <f>IF(K$10="Prior",0,IF(AND(K76&lt;&gt;0,SUM($F76:J76)=0),K76/SUM($F$76:K76)*K61,IF(K76&lt;&gt;0,SUM($F$76:K76)/SUM($F$11:K11)*K61-J83,0)))</f>
        <v>0</v>
      </c>
      <c r="L77" s="290">
        <f>IF(L$10="Prior",0,IF(AND(L76&lt;&gt;0,SUM($F76:K76)=0),L76/SUM($F$76:L76)*L61,IF(L76&lt;&gt;0,SUM($F$76:L76)/SUM($F$11:L11)*L61-K83,0)))</f>
        <v>0</v>
      </c>
      <c r="M77" s="290">
        <f>IF(M$10="Prior",0,IF(AND(M76&lt;&gt;0,SUM($F76:L76)=0),M76/SUM($F$76:M76)*M61,IF(M76&lt;&gt;0,SUM($F$76:M76)/SUM($F$11:M11)*M61-L83,0)))</f>
        <v>0</v>
      </c>
      <c r="N77" s="346">
        <f>IF(N$10="Prior",0,IF(AND(N76&lt;&gt;0,SUM($F76:M76)=0),N76/SUM($F$76:N76)*N61,IF(N76&lt;&gt;0,SUM($F$76:N76)/SUM($F$11:N11)*N61-M83,0)))</f>
        <v>0</v>
      </c>
      <c r="O77" s="550">
        <f>SUM(F77:N77)</f>
        <v>0</v>
      </c>
      <c r="P77" s="551">
        <f t="shared" si="24"/>
        <v>0</v>
      </c>
    </row>
    <row r="78" spans="1:16" outlineLevel="1">
      <c r="A78" s="250"/>
      <c r="B78" s="250"/>
      <c r="C78" s="453"/>
      <c r="D78" s="470" t="str">
        <f>"Total Direct Expenditure - "&amp;Assumptions!C7</f>
        <v>Total Direct Expenditure - $ 2015/16</v>
      </c>
      <c r="E78" s="471"/>
      <c r="F78" s="552">
        <f>SUM(F76:F77)</f>
        <v>120.27098946153852</v>
      </c>
      <c r="G78" s="553">
        <f t="shared" ref="G78:N78" si="25">SUM(G76:G77)</f>
        <v>0</v>
      </c>
      <c r="H78" s="553">
        <f t="shared" si="25"/>
        <v>0</v>
      </c>
      <c r="I78" s="554">
        <f t="shared" si="25"/>
        <v>0</v>
      </c>
      <c r="J78" s="553">
        <f t="shared" si="25"/>
        <v>0</v>
      </c>
      <c r="K78" s="553">
        <f t="shared" si="25"/>
        <v>0</v>
      </c>
      <c r="L78" s="553">
        <f t="shared" si="25"/>
        <v>0</v>
      </c>
      <c r="M78" s="553">
        <f t="shared" si="25"/>
        <v>0</v>
      </c>
      <c r="N78" s="555">
        <f t="shared" si="25"/>
        <v>0</v>
      </c>
      <c r="O78" s="556">
        <f>SUM(F78:N78)</f>
        <v>120.27098946153852</v>
      </c>
      <c r="P78" s="557">
        <f t="shared" si="24"/>
        <v>0</v>
      </c>
    </row>
    <row r="79" spans="1:16" outlineLevel="1">
      <c r="A79" s="250"/>
      <c r="B79" s="250"/>
      <c r="C79" s="453"/>
      <c r="D79" s="470" t="str">
        <f>"Total Direct Expenditure - "&amp;Assumptions!C8</f>
        <v>Total Direct Expenditure - $ Mar 2017</v>
      </c>
      <c r="E79" s="471"/>
      <c r="F79" s="552">
        <f>F78*Assumptions!$G$21</f>
        <v>122.30564905769238</v>
      </c>
      <c r="G79" s="553">
        <f>G78*Assumptions!$G$21</f>
        <v>0</v>
      </c>
      <c r="H79" s="553">
        <f>H78*Assumptions!$G$21</f>
        <v>0</v>
      </c>
      <c r="I79" s="554">
        <f>I78*Assumptions!$G$21</f>
        <v>0</v>
      </c>
      <c r="J79" s="553">
        <f>J78*Assumptions!$G$21</f>
        <v>0</v>
      </c>
      <c r="K79" s="553">
        <f>K78*Assumptions!$G$21</f>
        <v>0</v>
      </c>
      <c r="L79" s="553">
        <f>L78*Assumptions!$G$21</f>
        <v>0</v>
      </c>
      <c r="M79" s="553">
        <f>M78*Assumptions!$G$21</f>
        <v>0</v>
      </c>
      <c r="N79" s="555">
        <f>N78*Assumptions!$G$21</f>
        <v>0</v>
      </c>
      <c r="O79" s="556">
        <f>SUM(F79:N79)</f>
        <v>122.30564905769238</v>
      </c>
      <c r="P79" s="557">
        <f t="shared" si="24"/>
        <v>0</v>
      </c>
    </row>
    <row r="80" spans="1:16" outlineLevel="1">
      <c r="A80" s="250"/>
      <c r="B80" s="250"/>
      <c r="C80" s="258"/>
      <c r="D80" s="354" t="s">
        <v>264</v>
      </c>
      <c r="E80" s="312"/>
      <c r="F80" s="290">
        <f>IF(F$10="Prior",F79*F56,IF(AND(F79&lt;&gt;0,SUM(E79:$F79)=0),F79/SUM($F$54:F54)*F60,IF(F79&lt;&gt;0,SUM($F$79:F79)/SUM($F$54:F54)*F60-E82,0)))</f>
        <v>9.7944466024651469</v>
      </c>
      <c r="G80" s="290">
        <f>IF(G$10="Prior",G79*G56,IF(AND(G79&lt;&gt;0,SUM($F79:F79)=0),G79/SUM($F$54:G54)*G60,IF(G79&lt;&gt;0,SUM($F$79:G79)/SUM($F$54:G54)*G60-F82,0)))</f>
        <v>0</v>
      </c>
      <c r="H80" s="290">
        <f>IF(H$10="Prior",H79*H56,IF(AND(H79&lt;&gt;0,SUM($F79:G79)=0),H79/SUM($F$54:H54)*H60,IF(H79&lt;&gt;0,SUM($F$79:H79)/SUM($F$54:H54)*H60-G82,0)))</f>
        <v>0</v>
      </c>
      <c r="I80" s="512">
        <f>IF(I$10="Prior",I79*I56,IF(AND(I79&lt;&gt;0,SUM($F79:H79)=0),I79/SUM($F$54:I54)*I60,IF(I79&lt;&gt;0,SUM($F$79:I79)/SUM($F$54:I54)*I60-H82,0)))</f>
        <v>0</v>
      </c>
      <c r="J80" s="290">
        <f>IF(J$10="Prior",J79*J56,IF(AND(J79&lt;&gt;0,SUM($F79:I79)=0),J79/SUM($F$54:J54)*J60,IF(J79&lt;&gt;0,SUM($F$79:J79)/SUM($F$54:J54)*J60-I82,0)))</f>
        <v>0</v>
      </c>
      <c r="K80" s="290">
        <f>IF(K$10="Prior",K79*K56,IF(AND(K79&lt;&gt;0,SUM($F79:J79)=0),K79/SUM($F$54:K54)*K60,IF(K79&lt;&gt;0,SUM($F$79:K79)/SUM($F$54:K54)*K60-J82,0)))</f>
        <v>0</v>
      </c>
      <c r="L80" s="290">
        <f>IF(L$10="Prior",L79*L56,IF(AND(L79&lt;&gt;0,SUM($F79:K79)=0),L79/SUM($F$54:L54)*L60,IF(L79&lt;&gt;0,SUM($F$79:L79)/SUM($F$54:L54)*L60-K82,0)))</f>
        <v>0</v>
      </c>
      <c r="M80" s="290">
        <f>IF(M$10="Prior",M79*M56,IF(AND(M79&lt;&gt;0,SUM($F79:L79)=0),M79/SUM($F$54:M54)*M60,IF(M79&lt;&gt;0,SUM($F$79:M79)/SUM($F$54:M54)*M60-L82,0)))</f>
        <v>0</v>
      </c>
      <c r="N80" s="346">
        <f>IF(N$10="Prior",N79*N56,IF(AND(N79&lt;&gt;0,SUM($F79:M79)=0),N79/SUM($F$54:N54)*N60,IF(N79&lt;&gt;0,SUM($F$79:N79)/SUM($F$54:N54)*N60-M82,0)))</f>
        <v>0</v>
      </c>
      <c r="O80" s="550">
        <f>SUM(F80:N80)</f>
        <v>9.7944466024651469</v>
      </c>
      <c r="P80" s="497">
        <f t="shared" si="24"/>
        <v>0</v>
      </c>
    </row>
    <row r="81" spans="1:17" outlineLevel="1">
      <c r="A81" s="250"/>
      <c r="B81" s="250"/>
      <c r="C81" s="536"/>
      <c r="D81" s="537" t="str">
        <f>"Total incl Overhead - As commissioned "&amp;Assumptions!$C$8</f>
        <v>Total incl Overhead - As commissioned $ Mar 2017</v>
      </c>
      <c r="E81" s="517"/>
      <c r="F81" s="558">
        <f>SUM(F79:F80)</f>
        <v>132.10009566015754</v>
      </c>
      <c r="G81" s="559">
        <f t="shared" ref="G81:P81" si="26">SUM(G79:G80)</f>
        <v>0</v>
      </c>
      <c r="H81" s="559">
        <f t="shared" si="26"/>
        <v>0</v>
      </c>
      <c r="I81" s="560">
        <f t="shared" si="26"/>
        <v>0</v>
      </c>
      <c r="J81" s="559">
        <f t="shared" si="26"/>
        <v>0</v>
      </c>
      <c r="K81" s="559">
        <f t="shared" si="26"/>
        <v>0</v>
      </c>
      <c r="L81" s="559">
        <f t="shared" si="26"/>
        <v>0</v>
      </c>
      <c r="M81" s="559">
        <f t="shared" si="26"/>
        <v>0</v>
      </c>
      <c r="N81" s="561">
        <f t="shared" si="26"/>
        <v>0</v>
      </c>
      <c r="O81" s="562">
        <f t="shared" si="26"/>
        <v>132.10009566015754</v>
      </c>
      <c r="P81" s="563">
        <f t="shared" si="26"/>
        <v>0</v>
      </c>
    </row>
    <row r="82" spans="1:17" outlineLevel="1">
      <c r="A82" s="250"/>
      <c r="B82" s="250"/>
      <c r="C82" s="250"/>
      <c r="D82" s="251" t="s">
        <v>286</v>
      </c>
      <c r="E82" s="251"/>
      <c r="F82" s="252">
        <f>F80</f>
        <v>9.7944466024651469</v>
      </c>
      <c r="G82" s="252">
        <f t="shared" ref="G82:N82" si="27">G80+F82</f>
        <v>9.7944466024651469</v>
      </c>
      <c r="H82" s="252">
        <f t="shared" si="27"/>
        <v>9.7944466024651469</v>
      </c>
      <c r="I82" s="252">
        <f t="shared" si="27"/>
        <v>9.7944466024651469</v>
      </c>
      <c r="J82" s="252">
        <f t="shared" si="27"/>
        <v>9.7944466024651469</v>
      </c>
      <c r="K82" s="252">
        <f t="shared" si="27"/>
        <v>9.7944466024651469</v>
      </c>
      <c r="L82" s="252">
        <f t="shared" si="27"/>
        <v>9.7944466024651469</v>
      </c>
      <c r="M82" s="252">
        <f t="shared" si="27"/>
        <v>9.7944466024651469</v>
      </c>
      <c r="N82" s="252">
        <f t="shared" si="27"/>
        <v>9.7944466024651469</v>
      </c>
      <c r="O82" s="543"/>
    </row>
    <row r="83" spans="1:17" outlineLevel="1">
      <c r="A83" s="250"/>
      <c r="B83" s="250"/>
      <c r="C83" s="250"/>
      <c r="D83" s="251" t="s">
        <v>287</v>
      </c>
      <c r="E83" s="251"/>
      <c r="F83" s="252">
        <f>F77</f>
        <v>0</v>
      </c>
      <c r="G83" s="252">
        <f t="shared" ref="G83:N83" si="28">G77+F83</f>
        <v>0</v>
      </c>
      <c r="H83" s="252">
        <f t="shared" si="28"/>
        <v>0</v>
      </c>
      <c r="I83" s="252">
        <f t="shared" si="28"/>
        <v>0</v>
      </c>
      <c r="J83" s="252">
        <f t="shared" si="28"/>
        <v>0</v>
      </c>
      <c r="K83" s="252">
        <f t="shared" si="28"/>
        <v>0</v>
      </c>
      <c r="L83" s="252">
        <f t="shared" si="28"/>
        <v>0</v>
      </c>
      <c r="M83" s="252">
        <f t="shared" si="28"/>
        <v>0</v>
      </c>
      <c r="N83" s="252">
        <f t="shared" si="28"/>
        <v>0</v>
      </c>
      <c r="O83" s="543"/>
    </row>
    <row r="84" spans="1:17">
      <c r="A84" s="250"/>
      <c r="B84" s="250"/>
      <c r="C84" s="540" t="s">
        <v>276</v>
      </c>
    </row>
    <row r="85" spans="1:17">
      <c r="B85" s="250"/>
      <c r="C85" s="257" t="s">
        <v>23</v>
      </c>
      <c r="D85" s="353" t="s">
        <v>3</v>
      </c>
      <c r="E85" s="530"/>
      <c r="F85" s="343">
        <f t="shared" ref="F85:N94" si="29">IF($O$74=0,0,F$81/$O$81*$O$74*F17)</f>
        <v>0</v>
      </c>
      <c r="G85" s="344">
        <f t="shared" si="29"/>
        <v>0</v>
      </c>
      <c r="H85" s="344">
        <f t="shared" si="29"/>
        <v>0</v>
      </c>
      <c r="I85" s="415">
        <f t="shared" si="29"/>
        <v>0</v>
      </c>
      <c r="J85" s="380">
        <f t="shared" si="29"/>
        <v>0</v>
      </c>
      <c r="K85" s="380">
        <f t="shared" si="29"/>
        <v>0</v>
      </c>
      <c r="L85" s="380">
        <f t="shared" si="29"/>
        <v>0</v>
      </c>
      <c r="M85" s="380">
        <f t="shared" si="29"/>
        <v>0</v>
      </c>
      <c r="N85" s="345">
        <f t="shared" si="29"/>
        <v>0</v>
      </c>
      <c r="O85" s="532">
        <f>SUM(F85:N85)</f>
        <v>0</v>
      </c>
      <c r="P85" s="430">
        <f t="shared" ref="P85:P94" si="30">SUM(I85:M85)</f>
        <v>0</v>
      </c>
    </row>
    <row r="86" spans="1:17">
      <c r="C86" s="258" t="s">
        <v>24</v>
      </c>
      <c r="D86" s="350" t="s">
        <v>4</v>
      </c>
      <c r="E86" s="313"/>
      <c r="F86" s="294">
        <f t="shared" si="29"/>
        <v>0</v>
      </c>
      <c r="G86" s="290">
        <f t="shared" si="29"/>
        <v>0</v>
      </c>
      <c r="H86" s="290">
        <f t="shared" si="29"/>
        <v>0</v>
      </c>
      <c r="I86" s="416">
        <f t="shared" si="29"/>
        <v>0</v>
      </c>
      <c r="J86" s="381">
        <f t="shared" si="29"/>
        <v>0</v>
      </c>
      <c r="K86" s="381">
        <f t="shared" si="29"/>
        <v>0</v>
      </c>
      <c r="L86" s="381">
        <f t="shared" si="29"/>
        <v>0</v>
      </c>
      <c r="M86" s="381">
        <f t="shared" si="29"/>
        <v>0</v>
      </c>
      <c r="N86" s="346">
        <f t="shared" si="29"/>
        <v>0</v>
      </c>
      <c r="O86" s="534">
        <f t="shared" ref="O86:O94" si="31">SUM(F86:N86)</f>
        <v>0</v>
      </c>
      <c r="P86" s="431">
        <f t="shared" si="30"/>
        <v>0</v>
      </c>
    </row>
    <row r="87" spans="1:17">
      <c r="C87" s="258" t="s">
        <v>26</v>
      </c>
      <c r="D87" s="350" t="s">
        <v>5</v>
      </c>
      <c r="E87" s="313"/>
      <c r="F87" s="294">
        <f t="shared" si="29"/>
        <v>0</v>
      </c>
      <c r="G87" s="290">
        <f t="shared" si="29"/>
        <v>0</v>
      </c>
      <c r="H87" s="290">
        <f t="shared" si="29"/>
        <v>0</v>
      </c>
      <c r="I87" s="416">
        <f t="shared" si="29"/>
        <v>0</v>
      </c>
      <c r="J87" s="381">
        <f t="shared" si="29"/>
        <v>0</v>
      </c>
      <c r="K87" s="381">
        <f t="shared" si="29"/>
        <v>0</v>
      </c>
      <c r="L87" s="381">
        <f t="shared" si="29"/>
        <v>0</v>
      </c>
      <c r="M87" s="381">
        <f t="shared" si="29"/>
        <v>0</v>
      </c>
      <c r="N87" s="346">
        <f t="shared" si="29"/>
        <v>0</v>
      </c>
      <c r="O87" s="534">
        <f t="shared" si="31"/>
        <v>0</v>
      </c>
      <c r="P87" s="431">
        <f t="shared" si="30"/>
        <v>0</v>
      </c>
    </row>
    <row r="88" spans="1:17">
      <c r="C88" s="258"/>
      <c r="D88" s="350" t="s">
        <v>6</v>
      </c>
      <c r="E88" s="313"/>
      <c r="F88" s="294">
        <f t="shared" si="29"/>
        <v>0</v>
      </c>
      <c r="G88" s="290">
        <f t="shared" si="29"/>
        <v>0</v>
      </c>
      <c r="H88" s="290">
        <f t="shared" si="29"/>
        <v>0</v>
      </c>
      <c r="I88" s="416">
        <f t="shared" si="29"/>
        <v>0</v>
      </c>
      <c r="J88" s="381">
        <f t="shared" si="29"/>
        <v>0</v>
      </c>
      <c r="K88" s="381">
        <f t="shared" si="29"/>
        <v>0</v>
      </c>
      <c r="L88" s="381">
        <f t="shared" si="29"/>
        <v>0</v>
      </c>
      <c r="M88" s="381">
        <f t="shared" si="29"/>
        <v>0</v>
      </c>
      <c r="N88" s="346">
        <f t="shared" si="29"/>
        <v>0</v>
      </c>
      <c r="O88" s="534">
        <f t="shared" si="31"/>
        <v>0</v>
      </c>
      <c r="P88" s="431">
        <f t="shared" si="30"/>
        <v>0</v>
      </c>
    </row>
    <row r="89" spans="1:17">
      <c r="C89" s="258"/>
      <c r="D89" s="350" t="s">
        <v>7</v>
      </c>
      <c r="E89" s="313"/>
      <c r="F89" s="294">
        <f t="shared" si="29"/>
        <v>0</v>
      </c>
      <c r="G89" s="290">
        <f t="shared" si="29"/>
        <v>0</v>
      </c>
      <c r="H89" s="290">
        <f t="shared" si="29"/>
        <v>0</v>
      </c>
      <c r="I89" s="416">
        <f t="shared" si="29"/>
        <v>0</v>
      </c>
      <c r="J89" s="381">
        <f t="shared" si="29"/>
        <v>0</v>
      </c>
      <c r="K89" s="381">
        <f t="shared" si="29"/>
        <v>0</v>
      </c>
      <c r="L89" s="381">
        <f t="shared" si="29"/>
        <v>0</v>
      </c>
      <c r="M89" s="381">
        <f t="shared" si="29"/>
        <v>0</v>
      </c>
      <c r="N89" s="346">
        <f t="shared" si="29"/>
        <v>0</v>
      </c>
      <c r="O89" s="534">
        <f t="shared" si="31"/>
        <v>0</v>
      </c>
      <c r="P89" s="431">
        <f t="shared" si="30"/>
        <v>0</v>
      </c>
    </row>
    <row r="90" spans="1:17">
      <c r="C90" s="258"/>
      <c r="D90" s="350" t="s">
        <v>8</v>
      </c>
      <c r="E90" s="313"/>
      <c r="F90" s="294">
        <f t="shared" si="29"/>
        <v>132.10009566015754</v>
      </c>
      <c r="G90" s="290">
        <f t="shared" si="29"/>
        <v>0</v>
      </c>
      <c r="H90" s="290">
        <f t="shared" si="29"/>
        <v>0</v>
      </c>
      <c r="I90" s="416">
        <f t="shared" si="29"/>
        <v>0</v>
      </c>
      <c r="J90" s="381">
        <f t="shared" si="29"/>
        <v>0</v>
      </c>
      <c r="K90" s="381">
        <f t="shared" si="29"/>
        <v>0</v>
      </c>
      <c r="L90" s="381">
        <f t="shared" si="29"/>
        <v>0</v>
      </c>
      <c r="M90" s="381">
        <f t="shared" si="29"/>
        <v>0</v>
      </c>
      <c r="N90" s="346">
        <f t="shared" si="29"/>
        <v>0</v>
      </c>
      <c r="O90" s="534">
        <f t="shared" si="31"/>
        <v>132.10009566015754</v>
      </c>
      <c r="P90" s="431">
        <f t="shared" si="30"/>
        <v>0</v>
      </c>
    </row>
    <row r="91" spans="1:17">
      <c r="C91" s="258"/>
      <c r="D91" s="350" t="s">
        <v>9</v>
      </c>
      <c r="E91" s="313"/>
      <c r="F91" s="294">
        <f t="shared" si="29"/>
        <v>0</v>
      </c>
      <c r="G91" s="290">
        <f t="shared" si="29"/>
        <v>0</v>
      </c>
      <c r="H91" s="290">
        <f t="shared" si="29"/>
        <v>0</v>
      </c>
      <c r="I91" s="416">
        <f t="shared" si="29"/>
        <v>0</v>
      </c>
      <c r="J91" s="381">
        <f t="shared" si="29"/>
        <v>0</v>
      </c>
      <c r="K91" s="381">
        <f t="shared" si="29"/>
        <v>0</v>
      </c>
      <c r="L91" s="381">
        <f t="shared" si="29"/>
        <v>0</v>
      </c>
      <c r="M91" s="381">
        <f t="shared" si="29"/>
        <v>0</v>
      </c>
      <c r="N91" s="346">
        <f t="shared" si="29"/>
        <v>0</v>
      </c>
      <c r="O91" s="534">
        <f t="shared" si="31"/>
        <v>0</v>
      </c>
      <c r="P91" s="431">
        <f t="shared" si="30"/>
        <v>0</v>
      </c>
    </row>
    <row r="92" spans="1:17">
      <c r="C92" s="258"/>
      <c r="D92" s="350" t="s">
        <v>10</v>
      </c>
      <c r="E92" s="313"/>
      <c r="F92" s="294">
        <f t="shared" si="29"/>
        <v>0</v>
      </c>
      <c r="G92" s="290">
        <f t="shared" si="29"/>
        <v>0</v>
      </c>
      <c r="H92" s="290">
        <f t="shared" si="29"/>
        <v>0</v>
      </c>
      <c r="I92" s="416">
        <f t="shared" si="29"/>
        <v>0</v>
      </c>
      <c r="J92" s="381">
        <f t="shared" si="29"/>
        <v>0</v>
      </c>
      <c r="K92" s="381">
        <f t="shared" si="29"/>
        <v>0</v>
      </c>
      <c r="L92" s="381">
        <f t="shared" si="29"/>
        <v>0</v>
      </c>
      <c r="M92" s="381">
        <f t="shared" si="29"/>
        <v>0</v>
      </c>
      <c r="N92" s="346">
        <f t="shared" si="29"/>
        <v>0</v>
      </c>
      <c r="O92" s="534">
        <f t="shared" si="31"/>
        <v>0</v>
      </c>
      <c r="P92" s="431">
        <f t="shared" si="30"/>
        <v>0</v>
      </c>
    </row>
    <row r="93" spans="1:17">
      <c r="C93" s="258"/>
      <c r="D93" s="350" t="s">
        <v>11</v>
      </c>
      <c r="E93" s="313"/>
      <c r="F93" s="294">
        <f t="shared" si="29"/>
        <v>0</v>
      </c>
      <c r="G93" s="290">
        <f t="shared" si="29"/>
        <v>0</v>
      </c>
      <c r="H93" s="290">
        <f t="shared" si="29"/>
        <v>0</v>
      </c>
      <c r="I93" s="416">
        <f t="shared" si="29"/>
        <v>0</v>
      </c>
      <c r="J93" s="381">
        <f t="shared" si="29"/>
        <v>0</v>
      </c>
      <c r="K93" s="381">
        <f t="shared" si="29"/>
        <v>0</v>
      </c>
      <c r="L93" s="381">
        <f t="shared" si="29"/>
        <v>0</v>
      </c>
      <c r="M93" s="381">
        <f t="shared" si="29"/>
        <v>0</v>
      </c>
      <c r="N93" s="346">
        <f t="shared" si="29"/>
        <v>0</v>
      </c>
      <c r="O93" s="534">
        <f t="shared" si="31"/>
        <v>0</v>
      </c>
      <c r="P93" s="431">
        <f t="shared" si="30"/>
        <v>0</v>
      </c>
    </row>
    <row r="94" spans="1:17">
      <c r="C94" s="258"/>
      <c r="D94" s="350" t="s">
        <v>12</v>
      </c>
      <c r="E94" s="313"/>
      <c r="F94" s="294">
        <f t="shared" si="29"/>
        <v>0</v>
      </c>
      <c r="G94" s="290">
        <f t="shared" si="29"/>
        <v>0</v>
      </c>
      <c r="H94" s="290">
        <f t="shared" si="29"/>
        <v>0</v>
      </c>
      <c r="I94" s="416">
        <f t="shared" si="29"/>
        <v>0</v>
      </c>
      <c r="J94" s="381">
        <f t="shared" si="29"/>
        <v>0</v>
      </c>
      <c r="K94" s="381">
        <f t="shared" si="29"/>
        <v>0</v>
      </c>
      <c r="L94" s="381">
        <f t="shared" si="29"/>
        <v>0</v>
      </c>
      <c r="M94" s="381">
        <f t="shared" si="29"/>
        <v>0</v>
      </c>
      <c r="N94" s="346">
        <f t="shared" si="29"/>
        <v>0</v>
      </c>
      <c r="O94" s="534">
        <f t="shared" si="31"/>
        <v>0</v>
      </c>
      <c r="P94" s="431">
        <f t="shared" si="30"/>
        <v>0</v>
      </c>
    </row>
    <row r="95" spans="1:17">
      <c r="C95" s="536"/>
      <c r="D95" s="537" t="str">
        <f>"Total incl Overhead - As commissioned "&amp;Assumptions!$C$8</f>
        <v>Total incl Overhead - As commissioned $ Mar 2017</v>
      </c>
      <c r="E95" s="517"/>
      <c r="F95" s="292">
        <f>+SUM(F85:F94)</f>
        <v>132.10009566015754</v>
      </c>
      <c r="G95" s="253">
        <f t="shared" ref="G95" si="32">+SUM(G85:G94)</f>
        <v>0</v>
      </c>
      <c r="H95" s="253">
        <f t="shared" ref="H95:N95" si="33">+SUM(H85:H94)</f>
        <v>0</v>
      </c>
      <c r="I95" s="411">
        <f t="shared" si="33"/>
        <v>0</v>
      </c>
      <c r="J95" s="382">
        <f t="shared" si="33"/>
        <v>0</v>
      </c>
      <c r="K95" s="382">
        <f t="shared" si="33"/>
        <v>0</v>
      </c>
      <c r="L95" s="382">
        <f t="shared" si="33"/>
        <v>0</v>
      </c>
      <c r="M95" s="382">
        <f t="shared" si="33"/>
        <v>0</v>
      </c>
      <c r="N95" s="286">
        <f t="shared" si="33"/>
        <v>0</v>
      </c>
      <c r="O95" s="292">
        <f>SUM(O85:O94)</f>
        <v>132.10009566015754</v>
      </c>
      <c r="P95" s="428">
        <f>SUM(P85:P94)</f>
        <v>0</v>
      </c>
      <c r="Q95" s="564"/>
    </row>
    <row r="96" spans="1:17">
      <c r="E96" s="547" t="s">
        <v>50</v>
      </c>
      <c r="F96" s="452">
        <f>F95-F81</f>
        <v>0</v>
      </c>
      <c r="G96" s="452">
        <f t="shared" ref="G96:P96" si="34">G95-G81</f>
        <v>0</v>
      </c>
      <c r="H96" s="452">
        <f t="shared" si="34"/>
        <v>0</v>
      </c>
      <c r="I96" s="452">
        <f t="shared" si="34"/>
        <v>0</v>
      </c>
      <c r="J96" s="452">
        <f t="shared" si="34"/>
        <v>0</v>
      </c>
      <c r="K96" s="452">
        <f t="shared" si="34"/>
        <v>0</v>
      </c>
      <c r="L96" s="452">
        <f t="shared" si="34"/>
        <v>0</v>
      </c>
      <c r="M96" s="452">
        <f t="shared" si="34"/>
        <v>0</v>
      </c>
      <c r="N96" s="452">
        <f t="shared" si="34"/>
        <v>0</v>
      </c>
      <c r="O96" s="452">
        <f t="shared" si="34"/>
        <v>0</v>
      </c>
      <c r="P96" s="452">
        <f t="shared" si="34"/>
        <v>0</v>
      </c>
    </row>
    <row r="97" spans="3:16">
      <c r="C97" s="565"/>
      <c r="D97" s="251"/>
      <c r="F97" s="252"/>
      <c r="G97" s="252"/>
      <c r="H97" s="252"/>
      <c r="I97" s="252"/>
      <c r="J97" s="252"/>
      <c r="K97" s="252"/>
      <c r="L97" s="252"/>
      <c r="M97" s="252"/>
      <c r="N97" s="252"/>
      <c r="O97" s="566">
        <f>O95-O74</f>
        <v>0</v>
      </c>
      <c r="P97" s="565"/>
    </row>
    <row r="98" spans="3:16">
      <c r="F98" s="452"/>
      <c r="G98" s="452"/>
      <c r="H98" s="452"/>
      <c r="I98" s="452"/>
      <c r="J98" s="452"/>
      <c r="K98" s="452"/>
      <c r="L98" s="452"/>
      <c r="M98" s="452"/>
      <c r="N98" s="452"/>
    </row>
    <row r="99" spans="3:16">
      <c r="F99" s="252"/>
      <c r="G99" s="452"/>
      <c r="H99" s="452"/>
      <c r="I99" s="452"/>
      <c r="J99" s="452"/>
      <c r="K99" s="452"/>
      <c r="L99" s="452"/>
      <c r="M99" s="452"/>
      <c r="N99" s="452"/>
    </row>
    <row r="100" spans="3:16">
      <c r="F100" s="452"/>
      <c r="G100" s="452"/>
      <c r="H100" s="452"/>
      <c r="I100" s="452"/>
      <c r="J100" s="452"/>
      <c r="K100" s="452"/>
      <c r="L100" s="452"/>
      <c r="M100" s="452"/>
      <c r="N100" s="452"/>
    </row>
    <row r="102" spans="3:16">
      <c r="F102" s="452"/>
      <c r="G102" s="452"/>
      <c r="H102" s="452"/>
      <c r="I102" s="452"/>
      <c r="J102" s="452"/>
    </row>
    <row r="103" spans="3:16">
      <c r="F103" s="452"/>
      <c r="G103" s="452"/>
      <c r="H103" s="452"/>
      <c r="I103" s="452"/>
      <c r="J103" s="452"/>
    </row>
  </sheetData>
  <mergeCells count="1">
    <mergeCell ref="C13:C14"/>
  </mergeCells>
  <conditionalFormatting sqref="R14">
    <cfRule type="cellIs" dxfId="15" priority="4" operator="equal">
      <formula>"Error"</formula>
    </cfRule>
  </conditionalFormatting>
  <conditionalFormatting sqref="R11">
    <cfRule type="cellIs" dxfId="14" priority="3" operator="equal">
      <formula>"Error"</formula>
    </cfRule>
  </conditionalFormatting>
  <conditionalFormatting sqref="R54">
    <cfRule type="cellIs" dxfId="1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Normal="100" workbookViewId="0">
      <pane ySplit="10" topLeftCell="A11" activePane="bottomLeft" state="frozen"/>
      <selection activeCell="R52" sqref="R5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Project_Inputs!B47</f>
        <v>0</v>
      </c>
      <c r="F3" s="249" t="s">
        <v>63</v>
      </c>
      <c r="G3" s="249">
        <f>Project_Inputs!F47</f>
        <v>0</v>
      </c>
    </row>
    <row r="4" spans="1:21" ht="18.75">
      <c r="A4" s="6"/>
      <c r="B4" s="6"/>
      <c r="C4" s="13" t="s">
        <v>15</v>
      </c>
      <c r="D4" s="339" t="str">
        <f>Project_Inputs!D47</f>
        <v>Buildings &amp; Property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Project_Inputs!H47</f>
        <v>Non 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Project_Inputs!I47</f>
        <v>Non Network - Premises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Project_Inputs!J47</f>
        <v>Non_IT_OHD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8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131.37622346153847</v>
      </c>
      <c r="G11" s="319">
        <f>IF(G$10="Prior",SUMIFS(Project_Inputs!$W$5:$W$50,Project_Inputs!$D$5:$D$50,$D$4),SUMIFS(Project_Inputs!M$5:M$50,Project_Inputs!$D$5:$D$50,$D$4))</f>
        <v>2712.8072519083958</v>
      </c>
      <c r="H11" s="389">
        <f>IF(H$10="Prior",SUMIFS(Project_Inputs!$W$5:$W$50,Project_Inputs!$D$5:$D$50,$D$4),SUMIFS(Project_Inputs!N$5:N$50,Project_Inputs!$D$5:$D$50,$D$4))</f>
        <v>517.7862595419848</v>
      </c>
      <c r="I11" s="399">
        <f>IF(I$10="Prior",SUMIFS(Project_Inputs!$W$5:$W$50,Project_Inputs!$D$5:$D$50,$D$4),SUMIFS(Project_Inputs!O$5:O$50,Project_Inputs!$D$5:$D$50,$D$4))</f>
        <v>213</v>
      </c>
      <c r="J11" s="320">
        <f>IF(J$10="Prior",SUMIFS(Project_Inputs!$W$5:$W$50,Project_Inputs!$D$5:$D$50,$D$4),SUMIFS(Project_Inputs!P$5:P$50,Project_Inputs!$D$5:$D$50,$D$4))</f>
        <v>574.9</v>
      </c>
      <c r="K11" s="320">
        <f>IF(K$10="Prior",SUMIFS(Project_Inputs!$W$5:$W$50,Project_Inputs!$D$5:$D$50,$D$4),SUMIFS(Project_Inputs!Q$5:Q$50,Project_Inputs!$D$5:$D$50,$D$4))</f>
        <v>91.75</v>
      </c>
      <c r="L11" s="320">
        <f>IF(L$10="Prior",SUMIFS(Project_Inputs!$W$5:$W$50,Project_Inputs!$D$5:$D$50,$D$4),SUMIFS(Project_Inputs!R$5:R$50,Project_Inputs!$D$5:$D$50,$D$4))</f>
        <v>201.53</v>
      </c>
      <c r="M11" s="320">
        <f>IF(M$10="Prior",SUMIFS(Project_Inputs!$W$5:$W$50,Project_Inputs!$D$5:$D$50,$D$4),SUMIFS(Project_Inputs!S$5:S$50,Project_Inputs!$D$5:$D$50,$D$4))</f>
        <v>979.32999999999993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5422.4797349119181</v>
      </c>
      <c r="P11" s="300">
        <f t="shared" ref="P11" si="0">SUM(I11:M11)</f>
        <v>2060.5100000000002</v>
      </c>
      <c r="R11" s="608" t="str">
        <f>IF(O11=Project_Inputs!V47,"ok","error")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131.37622346153847</v>
      </c>
      <c r="G14" s="447">
        <f>IF($G$3="Yes",SUMIFS(Project_Inputs!AK$5:AK$50,Project_Inputs!$D$5:$D$50,$D$4),IF(AND(G$13="X",G$10="Prior"),G11,IF(G$13="X",SUM($F11:G11)-SUM(F14:$F14),0)))</f>
        <v>2712.8072519083958</v>
      </c>
      <c r="H14" s="447">
        <f>IF($G$3="Yes",SUMIFS(Project_Inputs!AL$5:AL$50,Project_Inputs!$D$5:$D$50,$D$4),IF(AND(H$13="X",H$10="Prior"),H11,IF(H$13="X",SUM($F11:H11)-SUM($F14:G14),0)))</f>
        <v>517.78625954198469</v>
      </c>
      <c r="I14" s="448">
        <f>IF($G$3="Yes",SUMIFS(Project_Inputs!AM$5:AM$50,Project_Inputs!$D$5:$D$50,$D$4),IF(AND(I$13="X",I$10="Prior"),I11,IF(I$13="X",SUM($F11:I11)-SUM($F14:H14),0)))</f>
        <v>213</v>
      </c>
      <c r="J14" s="447">
        <f>IF($G$3="Yes",SUMIFS(Project_Inputs!AN$5:AN$50,Project_Inputs!$D$5:$D$50,$D$4),IF(AND(J$13="X",J$10="Prior"),J11,IF(J$13="X",SUM($F11:J11)-SUM($F14:I14),0)))</f>
        <v>574.89999999999964</v>
      </c>
      <c r="K14" s="447">
        <f>IF($G$3="Yes",SUMIFS(Project_Inputs!AO$5:AO$50,Project_Inputs!$D$5:$D$50,$D$4),IF(AND(K$13="X",K$10="Prior"),K11,IF(K$13="X",SUM($F11:K11)-SUM($F14:J14),0)))</f>
        <v>91.75</v>
      </c>
      <c r="L14" s="447">
        <f>IF($G$3="Yes",SUMIFS(Project_Inputs!AP$5:AP$50,Project_Inputs!$D$5:$D$50,$D$4),IF(AND(L$13="X",L$10="Prior"),L11,IF(L$13="X",SUM($F11:L11)-SUM($F14:K14),0)))</f>
        <v>201.52999999999975</v>
      </c>
      <c r="M14" s="447">
        <f>IF($G$3="Yes",SUMIFS(Project_Inputs!AQ$5:AQ$50,Project_Inputs!$D$5:$D$50,$D$4),IF(AND(M$13="X",M$10="Prior"),M11,IF(M$13="X",SUM($F11:M11)-SUM($F14:L14),0)))</f>
        <v>979.32999999999993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5422.4797349119181</v>
      </c>
      <c r="P14" s="451">
        <f>SUM(I14:M14)</f>
        <v>2060.5099999999993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>
        <v>1</v>
      </c>
      <c r="G24" s="341">
        <v>1</v>
      </c>
      <c r="H24" s="392">
        <v>1</v>
      </c>
      <c r="I24" s="404">
        <v>1</v>
      </c>
      <c r="J24" s="341">
        <v>1</v>
      </c>
      <c r="K24" s="341">
        <v>1</v>
      </c>
      <c r="L24" s="341">
        <v>1</v>
      </c>
      <c r="M24" s="341">
        <v>1</v>
      </c>
      <c r="N24" s="342">
        <v>1</v>
      </c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1.5937742604962029</v>
      </c>
      <c r="H46" s="290">
        <f>IF(H$10="Prior",0,(H11*H29)*(Assumptions!H28-1))</f>
        <v>0.64794607499999746</v>
      </c>
      <c r="I46" s="407">
        <f>IF(I$10="Prior",0,(I11*I29)*(Assumptions!I28-1))</f>
        <v>0.44015408193037003</v>
      </c>
      <c r="J46" s="282">
        <f>IF(J$10="Prior",0,(J11*J29)*(Assumptions!J28-1))</f>
        <v>1.6632945531152799</v>
      </c>
      <c r="K46" s="282">
        <f>IF(K$10="Prior",0,(K11*K29)*(Assumptions!K28-1))</f>
        <v>0.34356984695339454</v>
      </c>
      <c r="L46" s="282">
        <f>IF(L$10="Prior",0,(L11*L29)*(Assumptions!L28-1))</f>
        <v>0.94177889720723096</v>
      </c>
      <c r="M46" s="282">
        <f>IF(M$10="Prior",0,(M11*M29)*(Assumptions!M28-1))</f>
        <v>5.509387935991259</v>
      </c>
      <c r="N46" s="283">
        <f>IF(N$10="Prior",0,(N11*N29)*(Assumptions!N28-1))</f>
        <v>0</v>
      </c>
      <c r="O46" s="362">
        <f t="shared" ref="O46:O47" si="6">SUM(F46:N46)</f>
        <v>11.139905650693734</v>
      </c>
      <c r="P46" s="300">
        <f t="shared" ref="P46:P47" si="7">SUM(I46:M46)</f>
        <v>8.8981853151975336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5.5612548664122015</v>
      </c>
      <c r="H47" s="290">
        <f>IF(H$10="Prior",0,(H11*H30)*(Assumptions!H30-1))</f>
        <v>2.7836610014312968</v>
      </c>
      <c r="I47" s="407">
        <f>IF(I$10="Prior",0,(I11*I30)*(Assumptions!I30-1))</f>
        <v>2.2619232738023474</v>
      </c>
      <c r="J47" s="282">
        <f>IF(J$10="Prior",0,(J11*J30)*(Assumptions!J30-1))</f>
        <v>9.1653805616354447</v>
      </c>
      <c r="K47" s="282">
        <f>IF(K$10="Prior",0,(K11*K30)*(Assumptions!K30-1))</f>
        <v>1.9396579627462973</v>
      </c>
      <c r="L47" s="282">
        <f>IF(L$10="Prior",0,(L11*L30)*(Assumptions!L30-1))</f>
        <v>5.4052602576773063</v>
      </c>
      <c r="M47" s="282">
        <f>IF(M$10="Prior",0,(M11*M30)*(Assumptions!M30-1))</f>
        <v>32.019365935878</v>
      </c>
      <c r="N47" s="283">
        <f>IF(N$10="Prior",0,(N11*N30)*(Assumptions!N30-1))</f>
        <v>0</v>
      </c>
      <c r="O47" s="362">
        <f t="shared" si="6"/>
        <v>59.136503859582895</v>
      </c>
      <c r="P47" s="300">
        <f t="shared" si="7"/>
        <v>50.791587991739391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7.1550291269084045</v>
      </c>
      <c r="H48" s="253">
        <f t="shared" si="8"/>
        <v>3.4316070764312943</v>
      </c>
      <c r="I48" s="408">
        <f t="shared" si="8"/>
        <v>2.7020773557327176</v>
      </c>
      <c r="J48" s="5">
        <f t="shared" si="8"/>
        <v>10.828675114750725</v>
      </c>
      <c r="K48" s="5">
        <f t="shared" si="8"/>
        <v>2.2832278096996919</v>
      </c>
      <c r="L48" s="5">
        <f t="shared" si="8"/>
        <v>6.3470391548845377</v>
      </c>
      <c r="M48" s="5">
        <f t="shared" si="8"/>
        <v>37.528753871869256</v>
      </c>
      <c r="N48" s="286">
        <f t="shared" si="8"/>
        <v>0</v>
      </c>
      <c r="O48" s="433">
        <f>SUM(O46:O47)</f>
        <v>70.276409510276636</v>
      </c>
      <c r="P48" s="434">
        <f>SUM(P46:P47)</f>
        <v>59.689773306936928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7.1550291269084045</v>
      </c>
      <c r="H49" s="253">
        <f t="shared" si="9"/>
        <v>3.4316070764312943</v>
      </c>
      <c r="I49" s="408">
        <f t="shared" si="9"/>
        <v>2.7020773557327176</v>
      </c>
      <c r="J49" s="5">
        <f t="shared" si="9"/>
        <v>10.828675114750725</v>
      </c>
      <c r="K49" s="5">
        <f t="shared" si="9"/>
        <v>2.2832278096996919</v>
      </c>
      <c r="L49" s="5">
        <f t="shared" si="9"/>
        <v>6.3470391548845377</v>
      </c>
      <c r="M49" s="5">
        <f t="shared" si="9"/>
        <v>37.528753871869256</v>
      </c>
      <c r="N49" s="286">
        <f t="shared" si="9"/>
        <v>0</v>
      </c>
      <c r="O49" s="370">
        <f>O44+O48</f>
        <v>70.276409510276636</v>
      </c>
      <c r="P49" s="371">
        <f>P44+P48</f>
        <v>59.689773306936928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1.8835754243782789E-2</v>
      </c>
      <c r="K50" s="443">
        <f t="shared" si="10"/>
        <v>2.4885316726972119E-2</v>
      </c>
      <c r="L50" s="443">
        <f t="shared" si="10"/>
        <v>3.1494264649851327E-2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1.2960197722420477E-2</v>
      </c>
      <c r="P50" s="444">
        <f t="shared" si="10"/>
        <v>2.8968446310348856E-2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13.359875355769233</v>
      </c>
      <c r="G51" s="280">
        <f>(G29*G$11+G46)*Assumptions!$G$21</f>
        <v>277.49079737438473</v>
      </c>
      <c r="H51" s="280">
        <f>(H29*H$11+H46)*Assumptions!$G$21</f>
        <v>53.313487721421765</v>
      </c>
      <c r="I51" s="410">
        <f>(I29*I$11+I46)*Assumptions!$G$21</f>
        <v>22.107938643466788</v>
      </c>
      <c r="J51" s="280">
        <f>(J29*J$11+J46)*Assumptions!$G$21</f>
        <v>60.154008182773246</v>
      </c>
      <c r="K51" s="280">
        <f>(K29*K$11+K46)*Assumptions!$G$21</f>
        <v>9.6795982842138866</v>
      </c>
      <c r="L51" s="280">
        <f>(L29*L$11+L46)*Assumptions!$G$21</f>
        <v>21.451645457498337</v>
      </c>
      <c r="M51" s="280">
        <f>(M29*M$11+M46)*Assumptions!$G$21</f>
        <v>105.19235314543472</v>
      </c>
      <c r="N51" s="281">
        <f>(N29*N$11+N46)*Assumptions!$G$21</f>
        <v>0</v>
      </c>
      <c r="O51" s="373">
        <f t="shared" ref="O51:O53" si="11">SUM(F51:N51)</f>
        <v>562.74970416496274</v>
      </c>
      <c r="P51" s="375">
        <f>SUM(I51:M51)</f>
        <v>218.58554371338698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66.799376778846167</v>
      </c>
      <c r="G52" s="282">
        <f>(G30*G$11+G47)*Assumptions!$G$21</f>
        <v>1385.0056400826129</v>
      </c>
      <c r="H52" s="282">
        <f>(H30*H$11+H47)*Assumptions!$G$21</f>
        <v>266.10365377421283</v>
      </c>
      <c r="I52" s="407">
        <f>(I30*I$11+I47)*Assumptions!$G$21</f>
        <v>110.60188062241932</v>
      </c>
      <c r="J52" s="282">
        <f>(J30*J$11+J47)*Assumptions!$G$21</f>
        <v>301.63330993203908</v>
      </c>
      <c r="K52" s="282">
        <f>(K30*K$11+K47)*Assumptions!$G$21</f>
        <v>48.623552552341629</v>
      </c>
      <c r="L52" s="282">
        <f>(L30*L$11+L47)*Assumptions!$G$21</f>
        <v>107.96637368308916</v>
      </c>
      <c r="M52" s="282">
        <f>(M30*M$11+M47)*Assumptions!$G$21</f>
        <v>530.50985332953007</v>
      </c>
      <c r="N52" s="283">
        <f>(N30*N$11+N47)*Assumptions!$G$21</f>
        <v>0</v>
      </c>
      <c r="O52" s="374">
        <f t="shared" si="11"/>
        <v>2817.2436407550908</v>
      </c>
      <c r="P52" s="376">
        <f>SUM(I52:M52)</f>
        <v>1099.3349701194193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53.439501423076933</v>
      </c>
      <c r="G53" s="282">
        <f>(G31*G$11+G$44)*Assumptions!$G$21</f>
        <v>1103.4802430695054</v>
      </c>
      <c r="H53" s="282">
        <f>(H31*H$11+H$44)*Assumptions!$G$21</f>
        <v>210.61832061068708</v>
      </c>
      <c r="I53" s="407">
        <f>(I31*I$11+I$44)*Assumptions!$G$21</f>
        <v>86.64135338345865</v>
      </c>
      <c r="J53" s="282">
        <f>(J31*J$11+J$44)*Assumptions!$G$21</f>
        <v>233.85030075187973</v>
      </c>
      <c r="K53" s="282">
        <f>(K31*K$11+K$44)*Assumptions!$G$21</f>
        <v>37.320864661654142</v>
      </c>
      <c r="L53" s="282">
        <f>(L31*L$11+L$44)*Assumptions!$G$21</f>
        <v>81.975736842105277</v>
      </c>
      <c r="M53" s="282">
        <f>(M31*M$11+M$44)*Assumptions!$G$21</f>
        <v>398.35904511278193</v>
      </c>
      <c r="N53" s="283">
        <f>(N31*N$11+N$44)*Assumptions!$G$21</f>
        <v>0</v>
      </c>
      <c r="O53" s="374">
        <f t="shared" si="11"/>
        <v>2205.6853658551495</v>
      </c>
      <c r="P53" s="376">
        <f>SUM(I53:M53)</f>
        <v>838.1473007518797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133.59875355769233</v>
      </c>
      <c r="G54" s="5">
        <f t="shared" si="12"/>
        <v>2765.9766805265031</v>
      </c>
      <c r="H54" s="5">
        <f t="shared" si="12"/>
        <v>530.03546210632169</v>
      </c>
      <c r="I54" s="411">
        <f t="shared" si="12"/>
        <v>219.35117264934473</v>
      </c>
      <c r="J54" s="382">
        <f t="shared" si="12"/>
        <v>595.63761886669204</v>
      </c>
      <c r="K54" s="382">
        <f t="shared" si="12"/>
        <v>95.624015498209658</v>
      </c>
      <c r="L54" s="382">
        <f t="shared" si="12"/>
        <v>211.39375598269277</v>
      </c>
      <c r="M54" s="382">
        <f t="shared" si="12"/>
        <v>1034.0612515877467</v>
      </c>
      <c r="N54" s="286">
        <f t="shared" si="12"/>
        <v>0</v>
      </c>
      <c r="O54" s="372">
        <f t="shared" si="12"/>
        <v>5585.6787107752025</v>
      </c>
      <c r="P54" s="428">
        <f t="shared" si="12"/>
        <v>2156.0678145846859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0</v>
      </c>
      <c r="G56" s="315">
        <f>INDEX(OHD_Summary_tbl,MATCH($D$9,Assumptions!$C$95:$C$97,0),MATCH(G$10,Assumptions!$D$94:$N$94,0))</f>
        <v>0</v>
      </c>
      <c r="H56" s="396">
        <f>INDEX(OHD_Summary_tbl,MATCH($D$9,Assumptions!$C$95:$C$97,0),MATCH(H$10,Assumptions!$D$94:$N$94,0))</f>
        <v>0</v>
      </c>
      <c r="I56" s="413">
        <f>INDEX(OHD_Summary_tbl,MATCH($D$9,Assumptions!$C$95:$C$97,0),MATCH(I$10,Assumptions!$D$94:$N$94,0))</f>
        <v>0</v>
      </c>
      <c r="J56" s="316">
        <f>INDEX(OHD_Summary_tbl,MATCH($D$9,Assumptions!$C$95:$C$97,0),MATCH(J$10,Assumptions!$D$94:$N$94,0))</f>
        <v>0</v>
      </c>
      <c r="K56" s="316">
        <f>INDEX(OHD_Summary_tbl,MATCH($D$9,Assumptions!$C$95:$C$97,0),MATCH(K$10,Assumptions!$D$94:$N$94,0))</f>
        <v>0</v>
      </c>
      <c r="L56" s="316">
        <f>INDEX(OHD_Summary_tbl,MATCH($D$9,Assumptions!$C$95:$C$97,0),MATCH(L$10,Assumptions!$D$94:$N$94,0))</f>
        <v>0</v>
      </c>
      <c r="M56" s="316">
        <f>INDEX(OHD_Summary_tbl,MATCH($D$9,Assumptions!$C$95:$C$97,0),MATCH(M$10,Assumptions!$D$94:$N$94,0))</f>
        <v>0</v>
      </c>
      <c r="N56" s="317">
        <f>INDEX(OHD_Summary_tbl,MATCH($D$9,Assumptions!$C$95:$C$97,0),MATCH(N$10,Assumptions!$D$94:$N$94,0))</f>
        <v>0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0</v>
      </c>
      <c r="H57" s="290">
        <f t="shared" si="13"/>
        <v>0</v>
      </c>
      <c r="I57" s="407">
        <f t="shared" si="13"/>
        <v>0</v>
      </c>
      <c r="J57" s="282">
        <f t="shared" si="13"/>
        <v>0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0</v>
      </c>
      <c r="P57" s="300">
        <f>SUM(I57:M57)</f>
        <v>0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133.59875355769233</v>
      </c>
      <c r="G59" s="5">
        <f t="shared" si="14"/>
        <v>2765.9766805265031</v>
      </c>
      <c r="H59" s="5">
        <f t="shared" si="14"/>
        <v>530.03546210632169</v>
      </c>
      <c r="I59" s="411">
        <f t="shared" si="14"/>
        <v>219.35117264934473</v>
      </c>
      <c r="J59" s="382">
        <f t="shared" si="14"/>
        <v>595.63761886669204</v>
      </c>
      <c r="K59" s="382">
        <f t="shared" si="14"/>
        <v>95.624015498209658</v>
      </c>
      <c r="L59" s="382">
        <f t="shared" si="14"/>
        <v>211.39375598269277</v>
      </c>
      <c r="M59" s="382">
        <f t="shared" si="14"/>
        <v>1034.0612515877467</v>
      </c>
      <c r="N59" s="418">
        <f>N54+N57</f>
        <v>0</v>
      </c>
      <c r="O59" s="419">
        <f t="shared" ref="O59:P59" si="15">O54+O57</f>
        <v>5585.6787107752025</v>
      </c>
      <c r="P59" s="429">
        <f t="shared" si="15"/>
        <v>2156.0678145846859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0</v>
      </c>
      <c r="H60" s="290">
        <f t="shared" si="16"/>
        <v>0</v>
      </c>
      <c r="I60" s="290">
        <f t="shared" si="16"/>
        <v>0</v>
      </c>
      <c r="J60" s="290">
        <f t="shared" si="16"/>
        <v>0</v>
      </c>
      <c r="K60" s="290">
        <f t="shared" si="16"/>
        <v>0</v>
      </c>
      <c r="L60" s="290">
        <f t="shared" si="16"/>
        <v>0</v>
      </c>
      <c r="M60" s="290">
        <f t="shared" si="16"/>
        <v>0</v>
      </c>
      <c r="N60" s="290">
        <f t="shared" si="16"/>
        <v>0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7.1550291269084045</v>
      </c>
      <c r="H61" s="252">
        <f t="shared" ref="H61:N61" si="17">H49+G61</f>
        <v>10.586636203339699</v>
      </c>
      <c r="I61" s="252">
        <f t="shared" si="17"/>
        <v>13.288713559072416</v>
      </c>
      <c r="J61" s="252">
        <f t="shared" si="17"/>
        <v>24.117388673823143</v>
      </c>
      <c r="K61" s="252">
        <f t="shared" si="17"/>
        <v>26.400616483522835</v>
      </c>
      <c r="L61" s="252">
        <f t="shared" si="17"/>
        <v>32.747655638407373</v>
      </c>
      <c r="M61" s="252">
        <f t="shared" si="17"/>
        <v>70.276409510276636</v>
      </c>
      <c r="N61" s="252">
        <f t="shared" si="17"/>
        <v>70.276409510276636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133.59875355769233</v>
      </c>
      <c r="G71" s="282">
        <f t="shared" si="27"/>
        <v>2765.9766805265031</v>
      </c>
      <c r="H71" s="282">
        <f t="shared" si="27"/>
        <v>530.03546210632169</v>
      </c>
      <c r="I71" s="416">
        <f t="shared" si="27"/>
        <v>219.35117264934473</v>
      </c>
      <c r="J71" s="381">
        <f t="shared" si="27"/>
        <v>595.63761886669204</v>
      </c>
      <c r="K71" s="381">
        <f t="shared" si="27"/>
        <v>95.624015498209658</v>
      </c>
      <c r="L71" s="381">
        <f t="shared" si="27"/>
        <v>211.39375598269277</v>
      </c>
      <c r="M71" s="381">
        <f t="shared" si="27"/>
        <v>1034.0612515877467</v>
      </c>
      <c r="N71" s="283">
        <f t="shared" si="27"/>
        <v>0</v>
      </c>
      <c r="O71" s="374">
        <f t="shared" si="20"/>
        <v>5585.6787107752025</v>
      </c>
      <c r="P71" s="431">
        <f t="shared" si="21"/>
        <v>2156.0678145846859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133.59875355769233</v>
      </c>
      <c r="G74" s="5">
        <f t="shared" ref="G74:N74" si="30">+SUM(G64:G73)</f>
        <v>2765.9766805265031</v>
      </c>
      <c r="H74" s="5">
        <f t="shared" si="30"/>
        <v>530.03546210632169</v>
      </c>
      <c r="I74" s="411">
        <f t="shared" si="30"/>
        <v>219.35117264934473</v>
      </c>
      <c r="J74" s="382">
        <f t="shared" si="30"/>
        <v>595.63761886669204</v>
      </c>
      <c r="K74" s="382">
        <f t="shared" si="30"/>
        <v>95.624015498209658</v>
      </c>
      <c r="L74" s="382">
        <f t="shared" si="30"/>
        <v>211.39375598269277</v>
      </c>
      <c r="M74" s="382">
        <f t="shared" si="30"/>
        <v>1034.0612515877467</v>
      </c>
      <c r="N74" s="286">
        <f t="shared" si="30"/>
        <v>0</v>
      </c>
      <c r="O74" s="372">
        <f>SUM(O64:O73)</f>
        <v>5585.6787107752025</v>
      </c>
      <c r="P74" s="428">
        <f>SUM(P64:P73)</f>
        <v>2156.0678145846859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131.37622346153847</v>
      </c>
      <c r="G76" s="280">
        <f t="shared" si="32"/>
        <v>2712.8072519083958</v>
      </c>
      <c r="H76" s="280">
        <f t="shared" si="32"/>
        <v>517.78625954198469</v>
      </c>
      <c r="I76" s="410">
        <f t="shared" si="32"/>
        <v>213</v>
      </c>
      <c r="J76" s="280">
        <f t="shared" si="32"/>
        <v>574.89999999999964</v>
      </c>
      <c r="K76" s="280">
        <f t="shared" si="32"/>
        <v>91.75</v>
      </c>
      <c r="L76" s="280">
        <f t="shared" si="32"/>
        <v>201.52999999999975</v>
      </c>
      <c r="M76" s="280">
        <f t="shared" si="32"/>
        <v>979.32999999999993</v>
      </c>
      <c r="N76" s="281">
        <f t="shared" si="32"/>
        <v>0</v>
      </c>
      <c r="O76" s="377">
        <f>SUM(F76:N76)</f>
        <v>5422.4797349119181</v>
      </c>
      <c r="P76" s="378">
        <f t="shared" ref="P76:P80" si="33">SUM(I76:M76)</f>
        <v>2060.5099999999993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7.1550291269084045</v>
      </c>
      <c r="H77" s="282">
        <f>IF(H$10="Prior",0,IF(AND(H76&lt;&gt;0,SUM($F76:G76)=0),H76/SUM($F$76:H76)*H61,IF(H76&lt;&gt;0,SUM($F$76:H76)/SUM($F$11:H11)*H61-G83,0)))</f>
        <v>3.4316070764312947</v>
      </c>
      <c r="I77" s="407">
        <f>IF(I$10="Prior",0,IF(AND(I76&lt;&gt;0,SUM($F76:H76)=0),I76/SUM($F$76:I76)*I61,IF(I76&lt;&gt;0,SUM($F$76:I76)/SUM($F$11:I11)*I61-H83,0)))</f>
        <v>2.7020773557327171</v>
      </c>
      <c r="J77" s="282">
        <f>IF(J$10="Prior",0,IF(AND(J76&lt;&gt;0,SUM($F76:I76)=0),J76/SUM($F$76:J76)*J61,IF(J76&lt;&gt;0,SUM($F$76:J76)/SUM($F$11:J11)*J61-I83,0)))</f>
        <v>10.828675114750727</v>
      </c>
      <c r="K77" s="282">
        <f>IF(K$10="Prior",0,IF(AND(K76&lt;&gt;0,SUM($F76:J76)=0),K76/SUM($F$76:K76)*K61,IF(K76&lt;&gt;0,SUM($F$76:K76)/SUM($F$11:K11)*K61-J83,0)))</f>
        <v>2.2832278096996923</v>
      </c>
      <c r="L77" s="282">
        <f>IF(L$10="Prior",0,IF(AND(L76&lt;&gt;0,SUM($F76:K76)=0),L76/SUM($F$76:L76)*L61,IF(L76&lt;&gt;0,SUM($F$76:L76)/SUM($F$11:L11)*L61-K83,0)))</f>
        <v>6.3470391548845377</v>
      </c>
      <c r="M77" s="282">
        <f>IF(M$10="Prior",0,IF(AND(M76&lt;&gt;0,SUM($F76:L76)=0),M76/SUM($F$76:M76)*M61,IF(M76&lt;&gt;0,SUM($F$76:M76)/SUM($F$11:M11)*M61-L83,0)))</f>
        <v>37.528753871869263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70.276409510276636</v>
      </c>
      <c r="P77" s="455">
        <f t="shared" si="33"/>
        <v>59.689773306936935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131.37622346153847</v>
      </c>
      <c r="G78" s="457">
        <f t="shared" ref="G78:N78" si="34">SUM(G76:G77)</f>
        <v>2719.9622810353044</v>
      </c>
      <c r="H78" s="457">
        <f t="shared" si="34"/>
        <v>521.217866618416</v>
      </c>
      <c r="I78" s="458">
        <f t="shared" si="34"/>
        <v>215.70207735573271</v>
      </c>
      <c r="J78" s="457">
        <f t="shared" si="34"/>
        <v>585.72867511475033</v>
      </c>
      <c r="K78" s="457">
        <f t="shared" si="34"/>
        <v>94.033227809699696</v>
      </c>
      <c r="L78" s="457">
        <f t="shared" si="34"/>
        <v>207.87703915488427</v>
      </c>
      <c r="M78" s="457">
        <f t="shared" si="34"/>
        <v>1016.8587538718692</v>
      </c>
      <c r="N78" s="459">
        <f t="shared" si="34"/>
        <v>0</v>
      </c>
      <c r="O78" s="460">
        <f>SUM(F78:N78)</f>
        <v>5492.7561444221947</v>
      </c>
      <c r="P78" s="461">
        <f t="shared" si="33"/>
        <v>2120.1997733069361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133.59875355769233</v>
      </c>
      <c r="G79" s="457">
        <f>G78*Assumptions!$G$21</f>
        <v>2765.9766805265035</v>
      </c>
      <c r="H79" s="457">
        <f>H78*Assumptions!$G$21</f>
        <v>530.03546210632157</v>
      </c>
      <c r="I79" s="458">
        <f>I78*Assumptions!$G$21</f>
        <v>219.35117264934473</v>
      </c>
      <c r="J79" s="457">
        <f>J78*Assumptions!$G$21</f>
        <v>595.63761886669158</v>
      </c>
      <c r="K79" s="457">
        <f>K78*Assumptions!$G$21</f>
        <v>95.624015498209658</v>
      </c>
      <c r="L79" s="457">
        <f>L78*Assumptions!$G$21</f>
        <v>211.39375598269248</v>
      </c>
      <c r="M79" s="457">
        <f>M78*Assumptions!$G$21</f>
        <v>1034.0612515877467</v>
      </c>
      <c r="N79" s="459">
        <f>N78*Assumptions!$G$21</f>
        <v>0</v>
      </c>
      <c r="O79" s="460">
        <f>SUM(F79:N79)</f>
        <v>5585.6787107752025</v>
      </c>
      <c r="P79" s="461">
        <f t="shared" si="33"/>
        <v>2156.067814584685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0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0</v>
      </c>
      <c r="P80" s="300">
        <f t="shared" si="33"/>
        <v>0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133.59875355769233</v>
      </c>
      <c r="G81" s="307">
        <f t="shared" ref="G81:P81" si="35">SUM(G79:G80)</f>
        <v>2765.9766805265035</v>
      </c>
      <c r="H81" s="307">
        <f t="shared" si="35"/>
        <v>530.03546210632157</v>
      </c>
      <c r="I81" s="417">
        <f t="shared" si="35"/>
        <v>219.35117264934473</v>
      </c>
      <c r="J81" s="387">
        <f t="shared" si="35"/>
        <v>595.63761886669158</v>
      </c>
      <c r="K81" s="387">
        <f t="shared" si="35"/>
        <v>95.624015498209658</v>
      </c>
      <c r="L81" s="387">
        <f t="shared" si="35"/>
        <v>211.39375598269248</v>
      </c>
      <c r="M81" s="387">
        <f t="shared" si="35"/>
        <v>1034.0612515877467</v>
      </c>
      <c r="N81" s="420">
        <f t="shared" si="35"/>
        <v>0</v>
      </c>
      <c r="O81" s="421">
        <f t="shared" si="35"/>
        <v>5585.6787107752025</v>
      </c>
      <c r="P81" s="388">
        <f t="shared" si="35"/>
        <v>2156.067814584685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0</v>
      </c>
      <c r="J82" s="252">
        <f t="shared" si="36"/>
        <v>0</v>
      </c>
      <c r="K82" s="252">
        <f t="shared" si="36"/>
        <v>0</v>
      </c>
      <c r="L82" s="252">
        <f t="shared" si="36"/>
        <v>0</v>
      </c>
      <c r="M82" s="252">
        <f t="shared" si="36"/>
        <v>0</v>
      </c>
      <c r="N82" s="252">
        <f t="shared" si="36"/>
        <v>0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7.1550291269084045</v>
      </c>
      <c r="H83" s="252">
        <f t="shared" si="37"/>
        <v>10.586636203339699</v>
      </c>
      <c r="I83" s="252">
        <f t="shared" si="37"/>
        <v>13.288713559072416</v>
      </c>
      <c r="J83" s="252">
        <f t="shared" si="37"/>
        <v>24.117388673823143</v>
      </c>
      <c r="K83" s="252">
        <f t="shared" si="37"/>
        <v>26.400616483522835</v>
      </c>
      <c r="L83" s="252">
        <f t="shared" si="37"/>
        <v>32.747655638407373</v>
      </c>
      <c r="M83" s="252">
        <f t="shared" si="37"/>
        <v>70.276409510276636</v>
      </c>
      <c r="N83" s="252">
        <f t="shared" si="37"/>
        <v>70.276409510276636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133.59875355769233</v>
      </c>
      <c r="G92" s="290">
        <f t="shared" si="47"/>
        <v>2765.9766805265035</v>
      </c>
      <c r="H92" s="290">
        <f t="shared" si="47"/>
        <v>530.03546210632157</v>
      </c>
      <c r="I92" s="416">
        <f t="shared" si="47"/>
        <v>219.35117264934473</v>
      </c>
      <c r="J92" s="381">
        <f t="shared" si="47"/>
        <v>595.63761886669158</v>
      </c>
      <c r="K92" s="381">
        <f t="shared" si="47"/>
        <v>95.624015498209658</v>
      </c>
      <c r="L92" s="381">
        <f t="shared" si="47"/>
        <v>211.39375598269248</v>
      </c>
      <c r="M92" s="381">
        <f t="shared" si="47"/>
        <v>1034.0612515877467</v>
      </c>
      <c r="N92" s="346">
        <f t="shared" si="47"/>
        <v>0</v>
      </c>
      <c r="O92" s="374">
        <f t="shared" si="41"/>
        <v>5585.6787107752025</v>
      </c>
      <c r="P92" s="431">
        <f t="shared" si="39"/>
        <v>2156.067814584685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133.59875355769233</v>
      </c>
      <c r="G95" s="5">
        <f t="shared" ref="G95" si="50">+SUM(G85:G94)</f>
        <v>2765.9766805265035</v>
      </c>
      <c r="H95" s="5">
        <f t="shared" ref="H95:N95" si="51">+SUM(H85:H94)</f>
        <v>530.03546210632157</v>
      </c>
      <c r="I95" s="411">
        <f t="shared" si="51"/>
        <v>219.35117264934473</v>
      </c>
      <c r="J95" s="382">
        <f t="shared" si="51"/>
        <v>595.63761886669158</v>
      </c>
      <c r="K95" s="382">
        <f t="shared" si="51"/>
        <v>95.624015498209658</v>
      </c>
      <c r="L95" s="382">
        <f t="shared" si="51"/>
        <v>211.39375598269248</v>
      </c>
      <c r="M95" s="382">
        <f t="shared" si="51"/>
        <v>1034.0612515877467</v>
      </c>
      <c r="N95" s="286">
        <f t="shared" si="51"/>
        <v>0</v>
      </c>
      <c r="O95" s="372">
        <f>SUM(O85:O94)</f>
        <v>5585.6787107752025</v>
      </c>
      <c r="P95" s="428">
        <f>SUM(P85:P94)</f>
        <v>2156.067814584685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>
      <c r="F98" s="191"/>
      <c r="G98" s="191"/>
      <c r="H98" s="191"/>
      <c r="I98" s="191"/>
      <c r="J98" s="191"/>
      <c r="K98" s="191"/>
      <c r="L98" s="191"/>
      <c r="M98" s="191"/>
      <c r="N98" s="191"/>
    </row>
    <row r="99" spans="3:16">
      <c r="F99" s="4"/>
      <c r="G99" s="191"/>
      <c r="H99" s="191"/>
      <c r="I99" s="191"/>
      <c r="J99" s="191"/>
      <c r="K99" s="191"/>
      <c r="L99" s="191"/>
      <c r="M99" s="191"/>
      <c r="N99" s="191"/>
    </row>
    <row r="100" spans="3:16">
      <c r="F100" s="191"/>
      <c r="G100" s="191"/>
      <c r="H100" s="191"/>
      <c r="I100" s="191"/>
      <c r="J100" s="191"/>
      <c r="K100" s="191"/>
      <c r="L100" s="191"/>
      <c r="M100" s="191"/>
      <c r="N100" s="191"/>
    </row>
    <row r="102" spans="3:16">
      <c r="F102" s="191"/>
      <c r="G102" s="191"/>
      <c r="H102" s="191"/>
      <c r="I102" s="191"/>
      <c r="J102" s="191"/>
    </row>
    <row r="103" spans="3:16">
      <c r="F103" s="191"/>
      <c r="G103" s="191"/>
      <c r="H103" s="191"/>
      <c r="I103" s="191"/>
      <c r="J103" s="191"/>
    </row>
  </sheetData>
  <mergeCells count="1">
    <mergeCell ref="C13:C14"/>
  </mergeCells>
  <phoneticPr fontId="6" type="noConversion"/>
  <conditionalFormatting sqref="R14">
    <cfRule type="cellIs" dxfId="12" priority="4" operator="equal">
      <formula>"Error"</formula>
    </cfRule>
  </conditionalFormatting>
  <conditionalFormatting sqref="R11">
    <cfRule type="cellIs" dxfId="11" priority="3" operator="equal">
      <formula>"Error"</formula>
    </cfRule>
  </conditionalFormatting>
  <conditionalFormatting sqref="R54">
    <cfRule type="cellIs" dxfId="1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topLeftCell="D1" zoomScaleNormal="100" workbookViewId="0">
      <pane ySplit="10" topLeftCell="A48" activePane="bottomLeft" state="frozen"/>
      <selection activeCell="R52" sqref="R52"/>
      <selection pane="bottomLeft" activeCell="I53" sqref="I53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Project_Inputs!B48</f>
        <v>0</v>
      </c>
      <c r="F3" s="249" t="s">
        <v>63</v>
      </c>
      <c r="G3" s="249">
        <f>Project_Inputs!F48</f>
        <v>0</v>
      </c>
    </row>
    <row r="4" spans="1:21" ht="18.75">
      <c r="A4" s="6"/>
      <c r="B4" s="6"/>
      <c r="C4" s="13" t="s">
        <v>15</v>
      </c>
      <c r="D4" s="339" t="str">
        <f>Project_Inputs!D48</f>
        <v>Non-network - Other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Project_Inputs!H48</f>
        <v>Non 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Project_Inputs!I48</f>
        <v>Non Network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Project_Inputs!J48</f>
        <v>Non_IT_OHD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8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2153.2518915384603</v>
      </c>
      <c r="G11" s="319">
        <f>IF(G$10="Prior",SUMIFS(Project_Inputs!$W$5:$W$50,Project_Inputs!$D$5:$D$50,$D$4),SUMIFS(Project_Inputs!M$5:M$50,Project_Inputs!$D$5:$D$50,$D$4))</f>
        <v>2019.0118663246947</v>
      </c>
      <c r="H11" s="389">
        <f>IF(H$10="Prior",SUMIFS(Project_Inputs!$W$5:$W$50,Project_Inputs!$D$5:$D$50,$D$4),SUMIFS(Project_Inputs!N$5:N$50,Project_Inputs!$D$5:$D$50,$D$4))</f>
        <v>2527.7624851662899</v>
      </c>
      <c r="I11" s="399">
        <f>IF(I$10="Prior",SUMIFS(Project_Inputs!$W$5:$W$50,Project_Inputs!$D$5:$D$50,$D$4),SUMIFS(Project_Inputs!O$5:O$50,Project_Inputs!$D$5:$D$50,$D$4))</f>
        <v>2838.7039768405721</v>
      </c>
      <c r="J11" s="320">
        <f>IF(J$10="Prior",SUMIFS(Project_Inputs!$W$5:$W$50,Project_Inputs!$D$5:$D$50,$D$4),SUMIFS(Project_Inputs!P$5:P$50,Project_Inputs!$D$5:$D$50,$D$4))</f>
        <v>2838.7039768405721</v>
      </c>
      <c r="K11" s="320">
        <f>IF(K$10="Prior",SUMIFS(Project_Inputs!$W$5:$W$50,Project_Inputs!$D$5:$D$50,$D$4),SUMIFS(Project_Inputs!Q$5:Q$50,Project_Inputs!$D$5:$D$50,$D$4))</f>
        <v>2838.7039768405721</v>
      </c>
      <c r="L11" s="320">
        <f>IF(L$10="Prior",SUMIFS(Project_Inputs!$W$5:$W$50,Project_Inputs!$D$5:$D$50,$D$4),SUMIFS(Project_Inputs!R$5:R$50,Project_Inputs!$D$5:$D$50,$D$4))</f>
        <v>2838.7039768405721</v>
      </c>
      <c r="M11" s="320">
        <f>IF(M$10="Prior",SUMIFS(Project_Inputs!$W$5:$W$50,Project_Inputs!$D$5:$D$50,$D$4),SUMIFS(Project_Inputs!S$5:S$50,Project_Inputs!$D$5:$D$50,$D$4))</f>
        <v>2838.7039768405721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20893.546127232308</v>
      </c>
      <c r="P11" s="300">
        <f t="shared" ref="P11" si="0">SUM(I11:M11)</f>
        <v>14193.51988420286</v>
      </c>
      <c r="R11" s="608" t="str">
        <f>IF(O11=Project_Inputs!V48,"ok","error")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2153.2518915384603</v>
      </c>
      <c r="G14" s="447">
        <f>IF($G$3="Yes",SUMIFS(Project_Inputs!AK$5:AK$50,Project_Inputs!$D$5:$D$50,$D$4),IF(AND(G$13="X",G$10="Prior"),G11,IF(G$13="X",SUM($F11:G11)-SUM(F14:$F14),0)))</f>
        <v>2019.0118663246944</v>
      </c>
      <c r="H14" s="447">
        <f>IF($G$3="Yes",SUMIFS(Project_Inputs!AL$5:AL$50,Project_Inputs!$D$5:$D$50,$D$4),IF(AND(H$13="X",H$10="Prior"),H11,IF(H$13="X",SUM($F11:H11)-SUM($F14:G14),0)))</f>
        <v>2527.7624851662895</v>
      </c>
      <c r="I14" s="448">
        <f>IF($G$3="Yes",SUMIFS(Project_Inputs!AM$5:AM$50,Project_Inputs!$D$5:$D$50,$D$4),IF(AND(I$13="X",I$10="Prior"),I11,IF(I$13="X",SUM($F11:I11)-SUM($F14:H14),0)))</f>
        <v>2838.7039768405721</v>
      </c>
      <c r="J14" s="447">
        <f>IF($G$3="Yes",SUMIFS(Project_Inputs!AN$5:AN$50,Project_Inputs!$D$5:$D$50,$D$4),IF(AND(J$13="X",J$10="Prior"),J11,IF(J$13="X",SUM($F11:J11)-SUM($F14:I14),0)))</f>
        <v>2838.7039768405721</v>
      </c>
      <c r="K14" s="447">
        <f>IF($G$3="Yes",SUMIFS(Project_Inputs!AO$5:AO$50,Project_Inputs!$D$5:$D$50,$D$4),IF(AND(K$13="X",K$10="Prior"),K11,IF(K$13="X",SUM($F11:K11)-SUM($F14:J14),0)))</f>
        <v>2838.7039768405721</v>
      </c>
      <c r="L14" s="447">
        <f>IF($G$3="Yes",SUMIFS(Project_Inputs!AP$5:AP$50,Project_Inputs!$D$5:$D$50,$D$4),IF(AND(L$13="X",L$10="Prior"),L11,IF(L$13="X",SUM($F11:L11)-SUM($F14:K14),0)))</f>
        <v>2838.7039768405739</v>
      </c>
      <c r="M14" s="447">
        <f>IF($G$3="Yes",SUMIFS(Project_Inputs!AQ$5:AQ$50,Project_Inputs!$D$5:$D$50,$D$4),IF(AND(M$13="X",M$10="Prior"),M11,IF(M$13="X",SUM($F11:M11)-SUM($F14:L14),0)))</f>
        <v>2838.7039768405739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20893.546127232308</v>
      </c>
      <c r="P14" s="451">
        <f>SUM(I14:M14)</f>
        <v>14193.519884202864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>
        <v>1</v>
      </c>
      <c r="G24" s="341">
        <v>1</v>
      </c>
      <c r="H24" s="392">
        <v>1</v>
      </c>
      <c r="I24" s="404">
        <v>1</v>
      </c>
      <c r="J24" s="341">
        <v>1</v>
      </c>
      <c r="K24" s="341">
        <v>1</v>
      </c>
      <c r="L24" s="341">
        <v>1</v>
      </c>
      <c r="M24" s="341">
        <v>1</v>
      </c>
      <c r="N24" s="342">
        <v>1</v>
      </c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1.1861694714657733</v>
      </c>
      <c r="H46" s="290">
        <f>IF(H$10="Prior",0,(H11*H29)*(Assumptions!H28-1))</f>
        <v>3.1631850992811663</v>
      </c>
      <c r="I46" s="407">
        <f>IF(I$10="Prior",0,(I11*I29)*(Assumptions!I28-1))</f>
        <v>5.8660429239359262</v>
      </c>
      <c r="J46" s="282">
        <f>IF(J$10="Prior",0,(J11*J29)*(Assumptions!J28-1))</f>
        <v>8.2129080928606832</v>
      </c>
      <c r="K46" s="282">
        <f>IF(K$10="Prior",0,(K11*K29)*(Assumptions!K28-1))</f>
        <v>10.629897448164661</v>
      </c>
      <c r="L46" s="282">
        <f>IF(L$10="Prior",0,(L11*L29)*(Assumptions!L28-1))</f>
        <v>13.265675089598046</v>
      </c>
      <c r="M46" s="282">
        <f>IF(M$10="Prior",0,(M11*M29)*(Assumptions!M28-1))</f>
        <v>15.969613351838357</v>
      </c>
      <c r="N46" s="283">
        <f>IF(N$10="Prior",0,(N11*N29)*(Assumptions!N28-1))</f>
        <v>0</v>
      </c>
      <c r="O46" s="362">
        <f t="shared" ref="O46:O47" si="6">SUM(F46:N46)</f>
        <v>58.293491477144613</v>
      </c>
      <c r="P46" s="300">
        <f t="shared" ref="P46:P47" si="7">SUM(I46:M46)</f>
        <v>53.944136906397674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4.1389743259656164</v>
      </c>
      <c r="H47" s="290">
        <f>IF(H$10="Prior",0,(H11*H30)*(Assumptions!H30-1))</f>
        <v>13.589456500955889</v>
      </c>
      <c r="I47" s="407">
        <f>IF(I$10="Prior",0,(I11*I30)*(Assumptions!I30-1))</f>
        <v>30.145214050004551</v>
      </c>
      <c r="J47" s="282">
        <f>IF(J$10="Prior",0,(J11*J30)*(Assumptions!J30-1))</f>
        <v>45.256222385757198</v>
      </c>
      <c r="K47" s="282">
        <f>IF(K$10="Prior",0,(K11*K30)*(Assumptions!K30-1))</f>
        <v>60.012150109628294</v>
      </c>
      <c r="L47" s="282">
        <f>IF(L$10="Prior",0,(L11*L30)*(Assumptions!L30-1))</f>
        <v>76.137219219604347</v>
      </c>
      <c r="M47" s="282">
        <f>IF(M$10="Prior",0,(M11*M30)*(Assumptions!M30-1))</f>
        <v>92.81192388478901</v>
      </c>
      <c r="N47" s="283">
        <f>IF(N$10="Prior",0,(N11*N30)*(Assumptions!N30-1))</f>
        <v>0</v>
      </c>
      <c r="O47" s="362">
        <f t="shared" si="6"/>
        <v>322.09116047670489</v>
      </c>
      <c r="P47" s="300">
        <f t="shared" si="7"/>
        <v>304.36272964978338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5.32514379743139</v>
      </c>
      <c r="H48" s="253">
        <f t="shared" si="8"/>
        <v>16.752641600237055</v>
      </c>
      <c r="I48" s="408">
        <f t="shared" si="8"/>
        <v>36.011256973940476</v>
      </c>
      <c r="J48" s="5">
        <f t="shared" si="8"/>
        <v>53.469130478617885</v>
      </c>
      <c r="K48" s="5">
        <f t="shared" si="8"/>
        <v>70.642047557792949</v>
      </c>
      <c r="L48" s="5">
        <f t="shared" si="8"/>
        <v>89.402894309202395</v>
      </c>
      <c r="M48" s="5">
        <f t="shared" si="8"/>
        <v>108.78153723662737</v>
      </c>
      <c r="N48" s="286">
        <f t="shared" si="8"/>
        <v>0</v>
      </c>
      <c r="O48" s="433">
        <f>SUM(O46:O47)</f>
        <v>380.38465195384947</v>
      </c>
      <c r="P48" s="434">
        <f>SUM(P46:P47)</f>
        <v>358.30686655618103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5.32514379743139</v>
      </c>
      <c r="H49" s="253">
        <f t="shared" si="9"/>
        <v>16.752641600237055</v>
      </c>
      <c r="I49" s="408">
        <f t="shared" si="9"/>
        <v>36.011256973940476</v>
      </c>
      <c r="J49" s="5">
        <f t="shared" si="9"/>
        <v>53.469130478617885</v>
      </c>
      <c r="K49" s="5">
        <f t="shared" si="9"/>
        <v>70.642047557792949</v>
      </c>
      <c r="L49" s="5">
        <f t="shared" si="9"/>
        <v>89.402894309202395</v>
      </c>
      <c r="M49" s="5">
        <f t="shared" si="9"/>
        <v>108.78153723662737</v>
      </c>
      <c r="N49" s="286">
        <f t="shared" si="9"/>
        <v>0</v>
      </c>
      <c r="O49" s="370">
        <f>O44+O48</f>
        <v>380.38465195384947</v>
      </c>
      <c r="P49" s="371">
        <f>P44+P48</f>
        <v>358.30686655618103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3.149426464985132E-2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1.8205844505163358E-2</v>
      </c>
      <c r="P50" s="444">
        <f t="shared" si="10"/>
        <v>2.524439811120921E-2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218.96790851923069</v>
      </c>
      <c r="G51" s="280">
        <f>(G29*G$11+G46)*Assumptions!$G$21</f>
        <v>206.52304445907703</v>
      </c>
      <c r="H51" s="280">
        <f>(H29*H$11+H46)*Assumptions!$G$21</f>
        <v>260.26923606429966</v>
      </c>
      <c r="I51" s="410">
        <f>(I29*I$11+I46)*Assumptions!$G$21</f>
        <v>294.63799693406821</v>
      </c>
      <c r="J51" s="280">
        <f>(J29*J$11+J46)*Assumptions!$G$21</f>
        <v>297.0245647092342</v>
      </c>
      <c r="K51" s="280">
        <f>(K29*K$11+K46)*Assumptions!$G$21</f>
        <v>299.48244298220311</v>
      </c>
      <c r="L51" s="280">
        <f>(L29*L$11+L46)*Assumptions!$G$21</f>
        <v>302.16281084689382</v>
      </c>
      <c r="M51" s="280">
        <f>(M29*M$11+M46)*Assumptions!$G$21</f>
        <v>304.91249242560059</v>
      </c>
      <c r="N51" s="281">
        <f>(N29*N$11+N46)*Assumptions!$G$21</f>
        <v>0</v>
      </c>
      <c r="O51" s="373">
        <f t="shared" ref="O51:O53" si="11">SUM(F51:N51)</f>
        <v>2183.9804969406073</v>
      </c>
      <c r="P51" s="375">
        <f>SUM(I51:M51)</f>
        <v>1498.2203078980001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1094.8395425961533</v>
      </c>
      <c r="G52" s="282">
        <f>(G30*G$11+G47)*Assumptions!$G$21</f>
        <v>1030.7930356225138</v>
      </c>
      <c r="H52" s="282">
        <f>(H30*H$11+H47)*Assumptions!$G$21</f>
        <v>1299.0820454971779</v>
      </c>
      <c r="I52" s="407">
        <f>(I30*I$11+I47)*Assumptions!$G$21</f>
        <v>1474.0187716850137</v>
      </c>
      <c r="J52" s="282">
        <f>(J30*J$11+J47)*Assumptions!$G$21</f>
        <v>1489.3854173798297</v>
      </c>
      <c r="K52" s="282">
        <f>(K30*K$11+K47)*Assumptions!$G$21</f>
        <v>1504.3909754599317</v>
      </c>
      <c r="L52" s="282">
        <f>(L30*L$11+L47)*Assumptions!$G$21</f>
        <v>1520.788837092445</v>
      </c>
      <c r="M52" s="282">
        <f>(M30*M$11+M47)*Assumptions!$G$21</f>
        <v>1537.7456326260256</v>
      </c>
      <c r="N52" s="283">
        <f>(N30*N$11+N47)*Assumptions!$G$21</f>
        <v>0</v>
      </c>
      <c r="O52" s="374">
        <f t="shared" si="11"/>
        <v>10951.044257959091</v>
      </c>
      <c r="P52" s="376">
        <f>SUM(I52:M52)</f>
        <v>7526.329634243245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875.87163407692276</v>
      </c>
      <c r="G53" s="282">
        <f>(G31*G$11+G$44)*Assumptions!$G$21</f>
        <v>821.26723284335344</v>
      </c>
      <c r="H53" s="282">
        <f>(H31*H$11+H$44)*Assumptions!$G$21</f>
        <v>1028.2101537405738</v>
      </c>
      <c r="I53" s="407">
        <f>(I31*I$11+I$44)*Assumptions!$G$21</f>
        <v>1154.6908657674808</v>
      </c>
      <c r="J53" s="282">
        <f>(J31*J$11+J$44)*Assumptions!$G$21</f>
        <v>1154.6908657674808</v>
      </c>
      <c r="K53" s="282">
        <f>(K31*K$11+K$44)*Assumptions!$G$21</f>
        <v>1154.6908657674808</v>
      </c>
      <c r="L53" s="282">
        <f>(L31*L$11+L$44)*Assumptions!$G$21</f>
        <v>1154.6908657674808</v>
      </c>
      <c r="M53" s="282">
        <f>(M31*M$11+M$44)*Assumptions!$G$21</f>
        <v>1154.6908657674808</v>
      </c>
      <c r="N53" s="283">
        <f>(N31*N$11+N$44)*Assumptions!$G$21</f>
        <v>0</v>
      </c>
      <c r="O53" s="374">
        <f t="shared" si="11"/>
        <v>8498.8033494982556</v>
      </c>
      <c r="P53" s="376">
        <f>SUM(I53:M53)</f>
        <v>5773.4543288374043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2189.6790851923065</v>
      </c>
      <c r="G54" s="5">
        <f t="shared" si="12"/>
        <v>2058.583312924944</v>
      </c>
      <c r="H54" s="5">
        <f t="shared" si="12"/>
        <v>2587.5614353020514</v>
      </c>
      <c r="I54" s="411">
        <f t="shared" si="12"/>
        <v>2923.3476343865627</v>
      </c>
      <c r="J54" s="382">
        <f t="shared" si="12"/>
        <v>2941.1008478565445</v>
      </c>
      <c r="K54" s="382">
        <f t="shared" si="12"/>
        <v>2958.5642842096158</v>
      </c>
      <c r="L54" s="382">
        <f t="shared" si="12"/>
        <v>2977.6425137068195</v>
      </c>
      <c r="M54" s="382">
        <f t="shared" si="12"/>
        <v>2997.3489908191068</v>
      </c>
      <c r="N54" s="286">
        <f t="shared" si="12"/>
        <v>0</v>
      </c>
      <c r="O54" s="372">
        <f t="shared" si="12"/>
        <v>21633.828104397951</v>
      </c>
      <c r="P54" s="428">
        <f t="shared" si="12"/>
        <v>14798.00427097865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0</v>
      </c>
      <c r="G56" s="315">
        <f>INDEX(OHD_Summary_tbl,MATCH($D$9,Assumptions!$C$95:$C$97,0),MATCH(G$10,Assumptions!$D$94:$N$94,0))</f>
        <v>0</v>
      </c>
      <c r="H56" s="396">
        <f>INDEX(OHD_Summary_tbl,MATCH($D$9,Assumptions!$C$95:$C$97,0),MATCH(H$10,Assumptions!$D$94:$N$94,0))</f>
        <v>0</v>
      </c>
      <c r="I56" s="413">
        <f>INDEX(OHD_Summary_tbl,MATCH($D$9,Assumptions!$C$95:$C$97,0),MATCH(I$10,Assumptions!$D$94:$N$94,0))</f>
        <v>0</v>
      </c>
      <c r="J56" s="316">
        <f>INDEX(OHD_Summary_tbl,MATCH($D$9,Assumptions!$C$95:$C$97,0),MATCH(J$10,Assumptions!$D$94:$N$94,0))</f>
        <v>0</v>
      </c>
      <c r="K56" s="316">
        <f>INDEX(OHD_Summary_tbl,MATCH($D$9,Assumptions!$C$95:$C$97,0),MATCH(K$10,Assumptions!$D$94:$N$94,0))</f>
        <v>0</v>
      </c>
      <c r="L56" s="316">
        <f>INDEX(OHD_Summary_tbl,MATCH($D$9,Assumptions!$C$95:$C$97,0),MATCH(L$10,Assumptions!$D$94:$N$94,0))</f>
        <v>0</v>
      </c>
      <c r="M56" s="316">
        <f>INDEX(OHD_Summary_tbl,MATCH($D$9,Assumptions!$C$95:$C$97,0),MATCH(M$10,Assumptions!$D$94:$N$94,0))</f>
        <v>0</v>
      </c>
      <c r="N56" s="317">
        <f>INDEX(OHD_Summary_tbl,MATCH($D$9,Assumptions!$C$95:$C$97,0),MATCH(N$10,Assumptions!$D$94:$N$94,0))</f>
        <v>0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0</v>
      </c>
      <c r="H57" s="290">
        <f t="shared" si="13"/>
        <v>0</v>
      </c>
      <c r="I57" s="407">
        <f t="shared" si="13"/>
        <v>0</v>
      </c>
      <c r="J57" s="282">
        <f t="shared" si="13"/>
        <v>0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0</v>
      </c>
      <c r="P57" s="300">
        <f>SUM(I57:M57)</f>
        <v>0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2189.6790851923065</v>
      </c>
      <c r="G59" s="5">
        <f t="shared" si="14"/>
        <v>2058.583312924944</v>
      </c>
      <c r="H59" s="5">
        <f t="shared" si="14"/>
        <v>2587.5614353020514</v>
      </c>
      <c r="I59" s="411">
        <f t="shared" si="14"/>
        <v>2923.3476343865627</v>
      </c>
      <c r="J59" s="382">
        <f t="shared" si="14"/>
        <v>2941.1008478565445</v>
      </c>
      <c r="K59" s="382">
        <f t="shared" si="14"/>
        <v>2958.5642842096158</v>
      </c>
      <c r="L59" s="382">
        <f t="shared" si="14"/>
        <v>2977.6425137068195</v>
      </c>
      <c r="M59" s="382">
        <f t="shared" si="14"/>
        <v>2997.3489908191068</v>
      </c>
      <c r="N59" s="418">
        <f>N54+N57</f>
        <v>0</v>
      </c>
      <c r="O59" s="419">
        <f t="shared" ref="O59:P59" si="15">O54+O57</f>
        <v>21633.828104397951</v>
      </c>
      <c r="P59" s="429">
        <f t="shared" si="15"/>
        <v>14798.00427097865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0</v>
      </c>
      <c r="H60" s="290">
        <f t="shared" si="16"/>
        <v>0</v>
      </c>
      <c r="I60" s="290">
        <f t="shared" si="16"/>
        <v>0</v>
      </c>
      <c r="J60" s="290">
        <f t="shared" si="16"/>
        <v>0</v>
      </c>
      <c r="K60" s="290">
        <f t="shared" si="16"/>
        <v>0</v>
      </c>
      <c r="L60" s="290">
        <f t="shared" si="16"/>
        <v>0</v>
      </c>
      <c r="M60" s="290">
        <f t="shared" si="16"/>
        <v>0</v>
      </c>
      <c r="N60" s="290">
        <f t="shared" si="16"/>
        <v>0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5.32514379743139</v>
      </c>
      <c r="H61" s="252">
        <f t="shared" ref="H61:N61" si="17">H49+G61</f>
        <v>22.077785397668446</v>
      </c>
      <c r="I61" s="252">
        <f t="shared" si="17"/>
        <v>58.089042371608926</v>
      </c>
      <c r="J61" s="252">
        <f t="shared" si="17"/>
        <v>111.55817285022681</v>
      </c>
      <c r="K61" s="252">
        <f t="shared" si="17"/>
        <v>182.20022040801976</v>
      </c>
      <c r="L61" s="252">
        <f t="shared" si="17"/>
        <v>271.60311471722218</v>
      </c>
      <c r="M61" s="252">
        <f t="shared" si="17"/>
        <v>380.38465195384958</v>
      </c>
      <c r="N61" s="252">
        <f t="shared" si="17"/>
        <v>380.38465195384958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2189.6790851923065</v>
      </c>
      <c r="G71" s="282">
        <f t="shared" si="27"/>
        <v>2058.583312924944</v>
      </c>
      <c r="H71" s="282">
        <f t="shared" si="27"/>
        <v>2587.5614353020514</v>
      </c>
      <c r="I71" s="416">
        <f t="shared" si="27"/>
        <v>2923.3476343865627</v>
      </c>
      <c r="J71" s="381">
        <f t="shared" si="27"/>
        <v>2941.1008478565445</v>
      </c>
      <c r="K71" s="381">
        <f t="shared" si="27"/>
        <v>2958.5642842096158</v>
      </c>
      <c r="L71" s="381">
        <f t="shared" si="27"/>
        <v>2977.6425137068195</v>
      </c>
      <c r="M71" s="381">
        <f t="shared" si="27"/>
        <v>2997.3489908191068</v>
      </c>
      <c r="N71" s="283">
        <f t="shared" si="27"/>
        <v>0</v>
      </c>
      <c r="O71" s="374">
        <f t="shared" si="20"/>
        <v>21633.828104397951</v>
      </c>
      <c r="P71" s="431">
        <f t="shared" si="21"/>
        <v>14798.00427097865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2189.6790851923065</v>
      </c>
      <c r="G74" s="5">
        <f t="shared" ref="G74:N74" si="30">+SUM(G64:G73)</f>
        <v>2058.583312924944</v>
      </c>
      <c r="H74" s="5">
        <f t="shared" si="30"/>
        <v>2587.5614353020514</v>
      </c>
      <c r="I74" s="411">
        <f t="shared" si="30"/>
        <v>2923.3476343865627</v>
      </c>
      <c r="J74" s="382">
        <f t="shared" si="30"/>
        <v>2941.1008478565445</v>
      </c>
      <c r="K74" s="382">
        <f t="shared" si="30"/>
        <v>2958.5642842096158</v>
      </c>
      <c r="L74" s="382">
        <f t="shared" si="30"/>
        <v>2977.6425137068195</v>
      </c>
      <c r="M74" s="382">
        <f t="shared" si="30"/>
        <v>2997.3489908191068</v>
      </c>
      <c r="N74" s="286">
        <f t="shared" si="30"/>
        <v>0</v>
      </c>
      <c r="O74" s="372">
        <f>SUM(O64:O73)</f>
        <v>21633.828104397951</v>
      </c>
      <c r="P74" s="428">
        <f>SUM(P64:P73)</f>
        <v>14798.00427097865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2153.2518915384603</v>
      </c>
      <c r="G76" s="280">
        <f t="shared" si="32"/>
        <v>2019.0118663246944</v>
      </c>
      <c r="H76" s="280">
        <f t="shared" si="32"/>
        <v>2527.7624851662895</v>
      </c>
      <c r="I76" s="410">
        <f t="shared" si="32"/>
        <v>2838.7039768405721</v>
      </c>
      <c r="J76" s="280">
        <f t="shared" si="32"/>
        <v>2838.7039768405721</v>
      </c>
      <c r="K76" s="280">
        <f t="shared" si="32"/>
        <v>2838.7039768405721</v>
      </c>
      <c r="L76" s="280">
        <f t="shared" si="32"/>
        <v>2838.7039768405739</v>
      </c>
      <c r="M76" s="280">
        <f t="shared" si="32"/>
        <v>2838.7039768405739</v>
      </c>
      <c r="N76" s="281">
        <f t="shared" si="32"/>
        <v>0</v>
      </c>
      <c r="O76" s="377">
        <f>SUM(F76:N76)</f>
        <v>20893.546127232308</v>
      </c>
      <c r="P76" s="378">
        <f t="shared" ref="P76:P80" si="33">SUM(I76:M76)</f>
        <v>14193.519884202864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5.32514379743139</v>
      </c>
      <c r="H77" s="282">
        <f>IF(H$10="Prior",0,IF(AND(H76&lt;&gt;0,SUM($F76:G76)=0),H76/SUM($F$76:H76)*H61,IF(H76&lt;&gt;0,SUM($F$76:H76)/SUM($F$11:H11)*H61-G83,0)))</f>
        <v>16.752641600237055</v>
      </c>
      <c r="I77" s="407">
        <f>IF(I$10="Prior",0,IF(AND(I76&lt;&gt;0,SUM($F76:H76)=0),I76/SUM($F$76:I76)*I61,IF(I76&lt;&gt;0,SUM($F$76:I76)/SUM($F$11:I11)*I61-H83,0)))</f>
        <v>36.011256973940476</v>
      </c>
      <c r="J77" s="282">
        <f>IF(J$10="Prior",0,IF(AND(J76&lt;&gt;0,SUM($F76:I76)=0),J76/SUM($F$76:J76)*J61,IF(J76&lt;&gt;0,SUM($F$76:J76)/SUM($F$11:J11)*J61-I83,0)))</f>
        <v>53.469130478617885</v>
      </c>
      <c r="K77" s="282">
        <f>IF(K$10="Prior",0,IF(AND(K76&lt;&gt;0,SUM($F76:J76)=0),K76/SUM($F$76:K76)*K61,IF(K76&lt;&gt;0,SUM($F$76:K76)/SUM($F$11:K11)*K61-J83,0)))</f>
        <v>70.642047557792949</v>
      </c>
      <c r="L77" s="282">
        <f>IF(L$10="Prior",0,IF(AND(L76&lt;&gt;0,SUM($F76:K76)=0),L76/SUM($F$76:L76)*L61,IF(L76&lt;&gt;0,SUM($F$76:L76)/SUM($F$11:L11)*L61-K83,0)))</f>
        <v>89.402894309202424</v>
      </c>
      <c r="M77" s="282">
        <f>IF(M$10="Prior",0,IF(AND(M76&lt;&gt;0,SUM($F76:L76)=0),M76/SUM($F$76:M76)*M61,IF(M76&lt;&gt;0,SUM($F$76:M76)/SUM($F$11:M11)*M61-L83,0)))</f>
        <v>108.7815372366274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380.38465195384958</v>
      </c>
      <c r="P77" s="455">
        <f t="shared" si="33"/>
        <v>358.30686655618115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2153.2518915384603</v>
      </c>
      <c r="G78" s="457">
        <f t="shared" ref="G78:N78" si="34">SUM(G76:G77)</f>
        <v>2024.3370101221258</v>
      </c>
      <c r="H78" s="457">
        <f t="shared" si="34"/>
        <v>2544.5151267665265</v>
      </c>
      <c r="I78" s="458">
        <f t="shared" si="34"/>
        <v>2874.7152338145124</v>
      </c>
      <c r="J78" s="457">
        <f t="shared" si="34"/>
        <v>2892.17310731919</v>
      </c>
      <c r="K78" s="457">
        <f t="shared" si="34"/>
        <v>2909.346024398365</v>
      </c>
      <c r="L78" s="457">
        <f t="shared" si="34"/>
        <v>2928.1068711497765</v>
      </c>
      <c r="M78" s="457">
        <f t="shared" si="34"/>
        <v>2947.4855140772015</v>
      </c>
      <c r="N78" s="459">
        <f t="shared" si="34"/>
        <v>0</v>
      </c>
      <c r="O78" s="460">
        <f>SUM(F78:N78)</f>
        <v>21273.930779186157</v>
      </c>
      <c r="P78" s="461">
        <f t="shared" si="33"/>
        <v>14551.826750759046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2189.6790851923065</v>
      </c>
      <c r="G79" s="457">
        <f>G78*Assumptions!$G$21</f>
        <v>2058.583312924944</v>
      </c>
      <c r="H79" s="457">
        <f>H78*Assumptions!$G$21</f>
        <v>2587.5614353020505</v>
      </c>
      <c r="I79" s="458">
        <f>I78*Assumptions!$G$21</f>
        <v>2923.3476343865627</v>
      </c>
      <c r="J79" s="457">
        <f>J78*Assumptions!$G$21</f>
        <v>2941.100847856545</v>
      </c>
      <c r="K79" s="457">
        <f>K78*Assumptions!$G$21</f>
        <v>2958.5642842096158</v>
      </c>
      <c r="L79" s="457">
        <f>L78*Assumptions!$G$21</f>
        <v>2977.6425137068218</v>
      </c>
      <c r="M79" s="457">
        <f>M78*Assumptions!$G$21</f>
        <v>2997.3489908191091</v>
      </c>
      <c r="N79" s="459">
        <f>N78*Assumptions!$G$21</f>
        <v>0</v>
      </c>
      <c r="O79" s="460">
        <f>SUM(F79:N79)</f>
        <v>21633.828104397955</v>
      </c>
      <c r="P79" s="461">
        <f t="shared" si="33"/>
        <v>14798.004270978656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0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0</v>
      </c>
      <c r="P80" s="300">
        <f t="shared" si="33"/>
        <v>0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2189.6790851923065</v>
      </c>
      <c r="G81" s="307">
        <f t="shared" ref="G81:P81" si="35">SUM(G79:G80)</f>
        <v>2058.583312924944</v>
      </c>
      <c r="H81" s="307">
        <f t="shared" si="35"/>
        <v>2587.5614353020505</v>
      </c>
      <c r="I81" s="417">
        <f t="shared" si="35"/>
        <v>2923.3476343865627</v>
      </c>
      <c r="J81" s="387">
        <f t="shared" si="35"/>
        <v>2941.100847856545</v>
      </c>
      <c r="K81" s="387">
        <f t="shared" si="35"/>
        <v>2958.5642842096158</v>
      </c>
      <c r="L81" s="387">
        <f t="shared" si="35"/>
        <v>2977.6425137068218</v>
      </c>
      <c r="M81" s="387">
        <f t="shared" si="35"/>
        <v>2997.3489908191091</v>
      </c>
      <c r="N81" s="420">
        <f t="shared" si="35"/>
        <v>0</v>
      </c>
      <c r="O81" s="421">
        <f t="shared" si="35"/>
        <v>21633.828104397955</v>
      </c>
      <c r="P81" s="388">
        <f t="shared" si="35"/>
        <v>14798.004270978656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0</v>
      </c>
      <c r="J82" s="252">
        <f t="shared" si="36"/>
        <v>0</v>
      </c>
      <c r="K82" s="252">
        <f t="shared" si="36"/>
        <v>0</v>
      </c>
      <c r="L82" s="252">
        <f t="shared" si="36"/>
        <v>0</v>
      </c>
      <c r="M82" s="252">
        <f t="shared" si="36"/>
        <v>0</v>
      </c>
      <c r="N82" s="252">
        <f t="shared" si="36"/>
        <v>0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5.32514379743139</v>
      </c>
      <c r="H83" s="252">
        <f t="shared" si="37"/>
        <v>22.077785397668446</v>
      </c>
      <c r="I83" s="252">
        <f t="shared" si="37"/>
        <v>58.089042371608926</v>
      </c>
      <c r="J83" s="252">
        <f t="shared" si="37"/>
        <v>111.55817285022681</v>
      </c>
      <c r="K83" s="252">
        <f t="shared" si="37"/>
        <v>182.20022040801976</v>
      </c>
      <c r="L83" s="252">
        <f t="shared" si="37"/>
        <v>271.60311471722218</v>
      </c>
      <c r="M83" s="252">
        <f t="shared" si="37"/>
        <v>380.38465195384958</v>
      </c>
      <c r="N83" s="252">
        <f t="shared" si="37"/>
        <v>380.38465195384958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2189.679085192306</v>
      </c>
      <c r="G92" s="290">
        <f t="shared" si="47"/>
        <v>2058.5833129249436</v>
      </c>
      <c r="H92" s="290">
        <f t="shared" si="47"/>
        <v>2587.5614353020501</v>
      </c>
      <c r="I92" s="416">
        <f t="shared" si="47"/>
        <v>2923.3476343865623</v>
      </c>
      <c r="J92" s="381">
        <f t="shared" si="47"/>
        <v>2941.1008478565445</v>
      </c>
      <c r="K92" s="381">
        <f t="shared" si="47"/>
        <v>2958.5642842096154</v>
      </c>
      <c r="L92" s="381">
        <f t="shared" si="47"/>
        <v>2977.6425137068209</v>
      </c>
      <c r="M92" s="381">
        <f t="shared" si="47"/>
        <v>2997.3489908191082</v>
      </c>
      <c r="N92" s="346">
        <f t="shared" si="47"/>
        <v>0</v>
      </c>
      <c r="O92" s="374">
        <f t="shared" si="41"/>
        <v>21633.828104397948</v>
      </c>
      <c r="P92" s="431">
        <f t="shared" si="39"/>
        <v>14798.00427097865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2189.679085192306</v>
      </c>
      <c r="G95" s="5">
        <f t="shared" ref="G95" si="50">+SUM(G85:G94)</f>
        <v>2058.5833129249436</v>
      </c>
      <c r="H95" s="5">
        <f t="shared" ref="H95:N95" si="51">+SUM(H85:H94)</f>
        <v>2587.5614353020501</v>
      </c>
      <c r="I95" s="411">
        <f t="shared" si="51"/>
        <v>2923.3476343865623</v>
      </c>
      <c r="J95" s="382">
        <f t="shared" si="51"/>
        <v>2941.1008478565445</v>
      </c>
      <c r="K95" s="382">
        <f t="shared" si="51"/>
        <v>2958.5642842096154</v>
      </c>
      <c r="L95" s="382">
        <f t="shared" si="51"/>
        <v>2977.6425137068209</v>
      </c>
      <c r="M95" s="382">
        <f t="shared" si="51"/>
        <v>2997.3489908191082</v>
      </c>
      <c r="N95" s="286">
        <f t="shared" si="51"/>
        <v>0</v>
      </c>
      <c r="O95" s="372">
        <f>SUM(O85:O94)</f>
        <v>21633.828104397948</v>
      </c>
      <c r="P95" s="428">
        <f>SUM(P85:P94)</f>
        <v>14798.00427097865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>
      <c r="F98" s="191"/>
      <c r="G98" s="191"/>
      <c r="H98" s="191"/>
      <c r="I98" s="191"/>
      <c r="J98" s="191"/>
      <c r="K98" s="191"/>
      <c r="L98" s="191"/>
      <c r="M98" s="191"/>
      <c r="N98" s="191"/>
    </row>
    <row r="99" spans="3:16">
      <c r="F99" s="4"/>
      <c r="G99" s="191"/>
      <c r="H99" s="191"/>
      <c r="I99" s="191"/>
      <c r="J99" s="191"/>
      <c r="K99" s="191"/>
      <c r="L99" s="191"/>
      <c r="M99" s="191"/>
      <c r="N99" s="191"/>
    </row>
    <row r="100" spans="3:16">
      <c r="F100" s="191"/>
      <c r="G100" s="191"/>
      <c r="H100" s="191"/>
      <c r="I100" s="191"/>
      <c r="J100" s="191"/>
      <c r="K100" s="191"/>
      <c r="L100" s="191"/>
      <c r="M100" s="191"/>
      <c r="N100" s="191"/>
    </row>
    <row r="102" spans="3:16">
      <c r="F102" s="191"/>
      <c r="G102" s="191"/>
      <c r="H102" s="191"/>
      <c r="I102" s="191"/>
      <c r="J102" s="191"/>
    </row>
    <row r="103" spans="3:16">
      <c r="F103" s="191"/>
      <c r="G103" s="191"/>
      <c r="H103" s="191"/>
      <c r="I103" s="191"/>
      <c r="J103" s="191"/>
    </row>
  </sheetData>
  <mergeCells count="1">
    <mergeCell ref="C13:C14"/>
  </mergeCells>
  <phoneticPr fontId="6" type="noConversion"/>
  <conditionalFormatting sqref="R14">
    <cfRule type="cellIs" dxfId="9" priority="4" operator="equal">
      <formula>"Error"</formula>
    </cfRule>
  </conditionalFormatting>
  <conditionalFormatting sqref="R11">
    <cfRule type="cellIs" dxfId="8" priority="3" operator="equal">
      <formula>"Error"</formula>
    </cfRule>
  </conditionalFormatting>
  <conditionalFormatting sqref="R54">
    <cfRule type="cellIs" dxfId="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topLeftCell="D1" zoomScaleNormal="100" workbookViewId="0">
      <pane ySplit="10" topLeftCell="A74" activePane="bottomLeft" state="frozen"/>
      <selection activeCell="R52" sqref="R52"/>
      <selection pane="bottomLeft" activeCell="I81" sqref="I81:M81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Project_Inputs!B49</f>
        <v>0</v>
      </c>
      <c r="F3" s="249" t="s">
        <v>63</v>
      </c>
      <c r="G3" s="249">
        <f>Project_Inputs!F49</f>
        <v>0</v>
      </c>
    </row>
    <row r="4" spans="1:21" ht="18.75">
      <c r="A4" s="6"/>
      <c r="B4" s="6"/>
      <c r="C4" s="13" t="s">
        <v>15</v>
      </c>
      <c r="D4" s="339" t="str">
        <f>Project_Inputs!D49</f>
        <v>IT Strategy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Project_Inputs!H49</f>
        <v>Non 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Project_Inputs!I49</f>
        <v>Non Network - IT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Project_Inputs!J49</f>
        <v>IT_OHD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8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30117.336768053225</v>
      </c>
      <c r="G11" s="319">
        <f>IF(G$10="Prior",SUMIFS(Project_Inputs!$W$5:$W$50,Project_Inputs!$D$5:$D$50,$D$4),SUMIFS(Project_Inputs!M$5:M$50,Project_Inputs!$D$5:$D$50,$D$4))</f>
        <v>7320.8815204220027</v>
      </c>
      <c r="H11" s="389">
        <f>IF(H$10="Prior",SUMIFS(Project_Inputs!$W$5:$W$50,Project_Inputs!$D$5:$D$50,$D$4),SUMIFS(Project_Inputs!N$5:N$50,Project_Inputs!$D$5:$D$50,$D$4))</f>
        <v>17538.2019287902</v>
      </c>
      <c r="I11" s="399">
        <f>IF(I$10="Prior",SUMIFS(Project_Inputs!$W$5:$W$50,Project_Inputs!$D$5:$D$50,$D$4),SUMIFS(Project_Inputs!O$5:O$50,Project_Inputs!$D$5:$D$50,$D$4))</f>
        <v>21650.058690000002</v>
      </c>
      <c r="J11" s="320">
        <f>IF(J$10="Prior",SUMIFS(Project_Inputs!$W$5:$W$50,Project_Inputs!$D$5:$D$50,$D$4),SUMIFS(Project_Inputs!P$5:P$50,Project_Inputs!$D$5:$D$50,$D$4))</f>
        <v>19533.919019999998</v>
      </c>
      <c r="K11" s="320">
        <f>IF(K$10="Prior",SUMIFS(Project_Inputs!$W$5:$W$50,Project_Inputs!$D$5:$D$50,$D$4),SUMIFS(Project_Inputs!Q$5:Q$50,Project_Inputs!$D$5:$D$50,$D$4))</f>
        <v>11580.803610000001</v>
      </c>
      <c r="L11" s="320">
        <f>IF(L$10="Prior",SUMIFS(Project_Inputs!$W$5:$W$50,Project_Inputs!$D$5:$D$50,$D$4),SUMIFS(Project_Inputs!R$5:R$50,Project_Inputs!$D$5:$D$50,$D$4))</f>
        <v>9622.2468599999993</v>
      </c>
      <c r="M11" s="320">
        <f>IF(M$10="Prior",SUMIFS(Project_Inputs!$W$5:$W$50,Project_Inputs!$D$5:$D$50,$D$4),SUMIFS(Project_Inputs!S$5:S$50,Project_Inputs!$D$5:$D$50,$D$4))</f>
        <v>8141.3250899999985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125504.77348726543</v>
      </c>
      <c r="P11" s="300">
        <f t="shared" ref="P11" si="0">SUM(I11:M11)</f>
        <v>70528.353269999992</v>
      </c>
      <c r="R11" s="608" t="str">
        <f>IF(O11=Project_Inputs!V49,"ok","error")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v>6264.4345974906118</v>
      </c>
      <c r="G14" s="447">
        <f>IF($G$3="Yes",SUMIFS(Project_Inputs!AK$5:AK$50,Project_Inputs!$D$5:$D$50,$D$4),IF(AND(G$13="X",G$10="Prior"),G11,IF(G$13="X",SUM($F11:G11)-SUM($F14:F14),0)))</f>
        <v>31173.783690984616</v>
      </c>
      <c r="H14" s="447">
        <f>IF($G$3="Yes",SUMIFS(Project_Inputs!AL$5:AL$50,Project_Inputs!$D$5:$D$50,$D$4),IF(AND(H$13="X",H$10="Prior"),H11,IF(H$13="X",SUM($F11:H11)-SUM($F14:G14),0)))</f>
        <v>17538.2019287902</v>
      </c>
      <c r="I14" s="448">
        <f>IF($G$3="Yes",SUMIFS(Project_Inputs!AM$5:AM$50,Project_Inputs!$D$5:$D$50,$D$4),IF(AND(I$13="X",I$10="Prior"),I11,IF(I$13="X",SUM($F11:I11)-SUM($F14:H14),0)))</f>
        <v>21650.058689999998</v>
      </c>
      <c r="J14" s="447">
        <f>IF($G$3="Yes",SUMIFS(Project_Inputs!AN$5:AN$50,Project_Inputs!$D$5:$D$50,$D$4),IF(AND(J$13="X",J$10="Prior"),J11,IF(J$13="X",SUM($F11:J11)-SUM($F14:I14),0)))</f>
        <v>19533.919020000001</v>
      </c>
      <c r="K14" s="447">
        <f>IF($G$3="Yes",SUMIFS(Project_Inputs!AO$5:AO$50,Project_Inputs!$D$5:$D$50,$D$4),IF(AND(K$13="X",K$10="Prior"),K11,IF(K$13="X",SUM($F11:K11)-SUM($F14:J14),0)))</f>
        <v>11580.803610000003</v>
      </c>
      <c r="L14" s="447">
        <f>IF($G$3="Yes",SUMIFS(Project_Inputs!AP$5:AP$50,Project_Inputs!$D$5:$D$50,$D$4),IF(AND(L$13="X",L$10="Prior"),L11,IF(L$13="X",SUM($F11:L11)-SUM($F14:K14),0)))</f>
        <v>9622.2468599999993</v>
      </c>
      <c r="M14" s="447">
        <f>IF($G$3="Yes",SUMIFS(Project_Inputs!AQ$5:AQ$50,Project_Inputs!$D$5:$D$50,$D$4),IF(AND(M$13="X",M$10="Prior"),M11,IF(M$13="X",SUM($F11:M11)-SUM($F14:L14),0)))</f>
        <v>8141.3250899999985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125504.77348726543</v>
      </c>
      <c r="P14" s="451">
        <f>SUM(I14:M14)</f>
        <v>70528.353269999992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>
        <v>1</v>
      </c>
      <c r="G24" s="341">
        <v>1</v>
      </c>
      <c r="H24" s="392">
        <v>1</v>
      </c>
      <c r="I24" s="404">
        <v>1</v>
      </c>
      <c r="J24" s="341">
        <v>1</v>
      </c>
      <c r="K24" s="341">
        <v>1</v>
      </c>
      <c r="L24" s="341">
        <v>1</v>
      </c>
      <c r="M24" s="341">
        <v>1</v>
      </c>
      <c r="N24" s="342">
        <v>1</v>
      </c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4.3010178932479821</v>
      </c>
      <c r="H46" s="290">
        <f>IF(H$10="Prior",0,(H11*H29)*(Assumptions!H28-1))</f>
        <v>21.946911284144573</v>
      </c>
      <c r="I46" s="407">
        <f>IF(I$10="Prior",0,(I11*I29)*(Assumptions!I28-1))</f>
        <v>44.738787354157651</v>
      </c>
      <c r="J46" s="282">
        <f>IF(J$10="Prior",0,(J11*J29)*(Assumptions!J28-1))</f>
        <v>56.515326329728587</v>
      </c>
      <c r="K46" s="282">
        <f>IF(K$10="Prior",0,(K11*K29)*(Assumptions!K28-1))</f>
        <v>43.365830233079222</v>
      </c>
      <c r="L46" s="282">
        <f>IF(L$10="Prior",0,(L11*L29)*(Assumptions!L28-1))</f>
        <v>44.966154103441369</v>
      </c>
      <c r="M46" s="282">
        <f>IF(M$10="Prior",0,(M11*M29)*(Assumptions!M28-1))</f>
        <v>45.800412765695881</v>
      </c>
      <c r="N46" s="283">
        <f>IF(N$10="Prior",0,(N11*N29)*(Assumptions!N28-1))</f>
        <v>0</v>
      </c>
      <c r="O46" s="362">
        <f t="shared" ref="O46:O47" si="6">SUM(F46:N46)</f>
        <v>261.63443996349525</v>
      </c>
      <c r="P46" s="300">
        <f t="shared" ref="P46:P47" si="7">SUM(I46:M46)</f>
        <v>235.38651078610269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15.007807116865079</v>
      </c>
      <c r="H47" s="290">
        <f>IF(H$10="Prior",0,(H11*H30)*(Assumptions!H30-1))</f>
        <v>94.286798548082785</v>
      </c>
      <c r="I47" s="407">
        <f>IF(I$10="Prior",0,(I11*I30)*(Assumptions!I30-1))</f>
        <v>229.9097259629003</v>
      </c>
      <c r="J47" s="282">
        <f>IF(J$10="Prior",0,(J11*J30)*(Assumptions!J30-1))</f>
        <v>311.4207717489457</v>
      </c>
      <c r="K47" s="282">
        <f>IF(K$10="Prior",0,(K11*K30)*(Assumptions!K30-1))</f>
        <v>244.82613555463288</v>
      </c>
      <c r="L47" s="282">
        <f>IF(L$10="Prior",0,(L11*L30)*(Assumptions!L30-1))</f>
        <v>258.07943503159947</v>
      </c>
      <c r="M47" s="282">
        <f>IF(M$10="Prior",0,(M11*M30)*(Assumptions!M30-1))</f>
        <v>266.18205023807587</v>
      </c>
      <c r="N47" s="283">
        <f>IF(N$10="Prior",0,(N11*N30)*(Assumptions!N30-1))</f>
        <v>0</v>
      </c>
      <c r="O47" s="362">
        <f t="shared" si="6"/>
        <v>1419.712724201102</v>
      </c>
      <c r="P47" s="300">
        <f t="shared" si="7"/>
        <v>1310.4181185361542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19.308825010113061</v>
      </c>
      <c r="H48" s="253">
        <f t="shared" si="8"/>
        <v>116.23370983222736</v>
      </c>
      <c r="I48" s="408">
        <f t="shared" si="8"/>
        <v>274.64851331705796</v>
      </c>
      <c r="J48" s="5">
        <f t="shared" si="8"/>
        <v>367.93609807867426</v>
      </c>
      <c r="K48" s="5">
        <f t="shared" si="8"/>
        <v>288.19196578771209</v>
      </c>
      <c r="L48" s="5">
        <f t="shared" si="8"/>
        <v>303.04558913504081</v>
      </c>
      <c r="M48" s="5">
        <f t="shared" si="8"/>
        <v>311.98246300377173</v>
      </c>
      <c r="N48" s="286">
        <f t="shared" si="8"/>
        <v>0</v>
      </c>
      <c r="O48" s="433">
        <f>SUM(O46:O47)</f>
        <v>1681.3471641645972</v>
      </c>
      <c r="P48" s="434">
        <f>SUM(P46:P47)</f>
        <v>1545.8046293222569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19.308825010113061</v>
      </c>
      <c r="H49" s="253">
        <f t="shared" si="9"/>
        <v>116.23370983222736</v>
      </c>
      <c r="I49" s="408">
        <f t="shared" si="9"/>
        <v>274.64851331705796</v>
      </c>
      <c r="J49" s="5">
        <f t="shared" si="9"/>
        <v>367.93609807867426</v>
      </c>
      <c r="K49" s="5">
        <f t="shared" si="9"/>
        <v>288.19196578771209</v>
      </c>
      <c r="L49" s="5">
        <f t="shared" si="9"/>
        <v>303.04558913504081</v>
      </c>
      <c r="M49" s="5">
        <f t="shared" si="9"/>
        <v>311.98246300377173</v>
      </c>
      <c r="N49" s="286">
        <f t="shared" si="9"/>
        <v>0</v>
      </c>
      <c r="O49" s="370">
        <f>O44+O48</f>
        <v>1681.3471641645972</v>
      </c>
      <c r="P49" s="371">
        <f>P44+P48</f>
        <v>1545.8046293222569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3.149426464985132E-2</v>
      </c>
      <c r="M50" s="443">
        <f t="shared" si="10"/>
        <v>3.8320845753596088E-2</v>
      </c>
      <c r="N50" s="444">
        <f t="shared" si="10"/>
        <v>0</v>
      </c>
      <c r="O50" s="444">
        <f t="shared" si="10"/>
        <v>1.339667900627858E-2</v>
      </c>
      <c r="P50" s="444">
        <f t="shared" si="10"/>
        <v>2.1917492152475675E-2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3062.6840585557889</v>
      </c>
      <c r="G51" s="280">
        <f>(G29*G$11+G46)*Assumptions!$G$21</f>
        <v>748.84688145691268</v>
      </c>
      <c r="H51" s="280">
        <f>(H29*H$11+H46)*Assumptions!$G$21</f>
        <v>1805.8082769779553</v>
      </c>
      <c r="I51" s="410">
        <f>(I29*I$11+I46)*Assumptions!$G$21</f>
        <v>2247.1275546759384</v>
      </c>
      <c r="J51" s="280">
        <f>(J29*J$11+J46)*Assumptions!$G$21</f>
        <v>2043.9094182826752</v>
      </c>
      <c r="K51" s="280">
        <f>(K29*K$11+K46)*Assumptions!$G$21</f>
        <v>1221.7714087539396</v>
      </c>
      <c r="L51" s="280">
        <f>(L29*L$11+L46)*Assumptions!$G$21</f>
        <v>1024.2297828871463</v>
      </c>
      <c r="M51" s="280">
        <f>(M29*M$11+M46)*Assumptions!$G$21</f>
        <v>874.48065916398775</v>
      </c>
      <c r="N51" s="281">
        <f>(N29*N$11+N46)*Assumptions!$G$21</f>
        <v>0</v>
      </c>
      <c r="O51" s="373">
        <f t="shared" ref="O51:O53" si="11">SUM(F51:N51)</f>
        <v>13028.858040754345</v>
      </c>
      <c r="P51" s="375">
        <f>SUM(I51:M51)</f>
        <v>7411.5188237636876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15313.420292778943</v>
      </c>
      <c r="G52" s="282">
        <f>(G30*G$11+G47)*Assumptions!$G$21</f>
        <v>3737.6272085044657</v>
      </c>
      <c r="H52" s="282">
        <f>(H30*H$11+H47)*Assumptions!$G$21</f>
        <v>9013.3322927674108</v>
      </c>
      <c r="I52" s="407">
        <f>(I30*I$11+I47)*Assumptions!$G$21</f>
        <v>11241.958716900244</v>
      </c>
      <c r="J52" s="282">
        <f>(J30*J$11+J47)*Assumptions!$G$21</f>
        <v>10248.879196289812</v>
      </c>
      <c r="K52" s="282">
        <f>(K30*K$11+K47)*Assumptions!$G$21</f>
        <v>6137.3276613534899</v>
      </c>
      <c r="L52" s="282">
        <f>(L30*L$11+L47)*Assumptions!$G$21</f>
        <v>5154.9600563573213</v>
      </c>
      <c r="M52" s="282">
        <f>(M30*M$11+M47)*Assumptions!$G$21</f>
        <v>4410.2122669620276</v>
      </c>
      <c r="N52" s="283">
        <f>(N30*N$11+N47)*Assumptions!$G$21</f>
        <v>0</v>
      </c>
      <c r="O52" s="374">
        <f t="shared" si="11"/>
        <v>65257.717691913705</v>
      </c>
      <c r="P52" s="376">
        <f>SUM(I52:M52)</f>
        <v>37193.337897862897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12250.736234223155</v>
      </c>
      <c r="G53" s="282">
        <f>(G31*G$11+G$44)*Assumptions!$G$21</f>
        <v>2977.8924079310559</v>
      </c>
      <c r="H53" s="282">
        <f>(H31*H$11+H$44)*Assumptions!$G$21</f>
        <v>7133.9603334402254</v>
      </c>
      <c r="I53" s="407">
        <f>(I31*I$11+I$44)*Assumptions!$G$21</f>
        <v>8806.527632548874</v>
      </c>
      <c r="J53" s="282">
        <f>(J31*J$11+J$44)*Assumptions!$G$21</f>
        <v>7945.752022421053</v>
      </c>
      <c r="K53" s="282">
        <f>(K31*K$11+K$44)*Assumptions!$G$21</f>
        <v>4710.6877842180456</v>
      </c>
      <c r="L53" s="282">
        <f>(L31*L$11+L$44)*Assumptions!$G$21</f>
        <v>3914.0116926766923</v>
      </c>
      <c r="M53" s="282">
        <f>(M31*M$11+M$44)*Assumptions!$G$21</f>
        <v>3311.6217095413531</v>
      </c>
      <c r="N53" s="283">
        <f>(N31*N$11+N$44)*Assumptions!$G$21</f>
        <v>0</v>
      </c>
      <c r="O53" s="374">
        <f t="shared" si="11"/>
        <v>51051.189817000457</v>
      </c>
      <c r="P53" s="376">
        <f>SUM(I53:M53)</f>
        <v>28688.60084140602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30626.840585557889</v>
      </c>
      <c r="G54" s="5">
        <f t="shared" si="12"/>
        <v>7464.3664978924335</v>
      </c>
      <c r="H54" s="5">
        <f t="shared" si="12"/>
        <v>17953.100903185594</v>
      </c>
      <c r="I54" s="411">
        <f t="shared" si="12"/>
        <v>22295.613904125057</v>
      </c>
      <c r="J54" s="382">
        <f t="shared" si="12"/>
        <v>20238.540636993541</v>
      </c>
      <c r="K54" s="382">
        <f t="shared" si="12"/>
        <v>12069.786854325475</v>
      </c>
      <c r="L54" s="382">
        <f t="shared" si="12"/>
        <v>10093.20153192116</v>
      </c>
      <c r="M54" s="382">
        <f t="shared" si="12"/>
        <v>8596.3146356673678</v>
      </c>
      <c r="N54" s="286">
        <f t="shared" si="12"/>
        <v>0</v>
      </c>
      <c r="O54" s="372">
        <f t="shared" si="12"/>
        <v>129337.7655496685</v>
      </c>
      <c r="P54" s="428">
        <f t="shared" si="12"/>
        <v>73293.4575630326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4.8798349591241262E-2</v>
      </c>
      <c r="G56" s="315">
        <f>INDEX(OHD_Summary_tbl,MATCH($D$9,Assumptions!$C$95:$C$97,0),MATCH(G$10,Assumptions!$D$94:$N$94,0))</f>
        <v>7.515197112510584E-2</v>
      </c>
      <c r="H56" s="396">
        <f>INDEX(OHD_Summary_tbl,MATCH($D$9,Assumptions!$C$95:$C$97,0),MATCH(H$10,Assumptions!$D$94:$N$94,0))</f>
        <v>8.7519250759317352E-2</v>
      </c>
      <c r="I56" s="413">
        <f>INDEX(OHD_Summary_tbl,MATCH($D$9,Assumptions!$C$95:$C$97,0),MATCH(I$10,Assumptions!$D$94:$N$94,0))</f>
        <v>6.7261733502787122E-2</v>
      </c>
      <c r="J56" s="316">
        <f>INDEX(OHD_Summary_tbl,MATCH($D$9,Assumptions!$C$95:$C$97,0),MATCH(J$10,Assumptions!$D$94:$N$94,0))</f>
        <v>6.5256795654516198E-2</v>
      </c>
      <c r="K56" s="316">
        <f>INDEX(OHD_Summary_tbl,MATCH($D$9,Assumptions!$C$95:$C$97,0),MATCH(K$10,Assumptions!$D$94:$N$94,0))</f>
        <v>9.5869872452874469E-2</v>
      </c>
      <c r="L56" s="316">
        <f>INDEX(OHD_Summary_tbl,MATCH($D$9,Assumptions!$C$95:$C$97,0),MATCH(L$10,Assumptions!$D$94:$N$94,0))</f>
        <v>8.0212063808735135E-2</v>
      </c>
      <c r="M56" s="316">
        <f>INDEX(OHD_Summary_tbl,MATCH($D$9,Assumptions!$C$95:$C$97,0),MATCH(M$10,Assumptions!$D$94:$N$94,0))</f>
        <v>8.0212063808735135E-2</v>
      </c>
      <c r="N56" s="317">
        <f>INDEX(OHD_Summary_tbl,MATCH($D$9,Assumptions!$C$95:$C$97,0),MATCH(N$10,Assumptions!$D$94:$N$94,0))</f>
        <v>7.7762505845529614E-2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1494.53927376927</v>
      </c>
      <c r="G57" s="290">
        <f t="shared" ref="G57:N57" si="13">G54*G56</f>
        <v>560.96185551681958</v>
      </c>
      <c r="H57" s="290">
        <f t="shared" si="13"/>
        <v>1571.2419398532268</v>
      </c>
      <c r="I57" s="407">
        <f t="shared" si="13"/>
        <v>1499.6416407002948</v>
      </c>
      <c r="J57" s="282">
        <f t="shared" si="13"/>
        <v>1320.7023106939096</v>
      </c>
      <c r="K57" s="282">
        <f t="shared" si="13"/>
        <v>1157.1289262575642</v>
      </c>
      <c r="L57" s="282">
        <f t="shared" si="13"/>
        <v>809.59652531288339</v>
      </c>
      <c r="M57" s="282">
        <f t="shared" si="13"/>
        <v>689.5281380761146</v>
      </c>
      <c r="N57" s="283">
        <f t="shared" si="13"/>
        <v>0</v>
      </c>
      <c r="O57" s="309">
        <f>SUM(F57:N57)</f>
        <v>9103.3406101800829</v>
      </c>
      <c r="P57" s="300">
        <f>SUM(I57:M57)</f>
        <v>5476.5975410407664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32121.37985932716</v>
      </c>
      <c r="G59" s="5">
        <f t="shared" si="14"/>
        <v>8025.3283534092534</v>
      </c>
      <c r="H59" s="5">
        <f t="shared" si="14"/>
        <v>19524.342843038819</v>
      </c>
      <c r="I59" s="411">
        <f t="shared" si="14"/>
        <v>23795.255544825352</v>
      </c>
      <c r="J59" s="382">
        <f t="shared" si="14"/>
        <v>21559.242947687449</v>
      </c>
      <c r="K59" s="382">
        <f t="shared" si="14"/>
        <v>13226.91578058304</v>
      </c>
      <c r="L59" s="382">
        <f t="shared" si="14"/>
        <v>10902.798057234044</v>
      </c>
      <c r="M59" s="382">
        <f t="shared" si="14"/>
        <v>9285.8427737434831</v>
      </c>
      <c r="N59" s="418">
        <f>N54+N57</f>
        <v>0</v>
      </c>
      <c r="O59" s="419">
        <f t="shared" ref="O59:P59" si="15">O54+O57</f>
        <v>138441.1061598486</v>
      </c>
      <c r="P59" s="429">
        <f t="shared" si="15"/>
        <v>78770.05510407337</v>
      </c>
    </row>
    <row r="60" spans="1:18" outlineLevel="1">
      <c r="A60" s="6"/>
      <c r="B60" s="6"/>
      <c r="C60" s="6"/>
      <c r="D60" s="313" t="s">
        <v>263</v>
      </c>
      <c r="E60" s="313"/>
      <c r="F60" s="290">
        <f>F57</f>
        <v>1494.53927376927</v>
      </c>
      <c r="G60" s="290">
        <f t="shared" ref="G60:N60" si="16">G57+F60</f>
        <v>2055.5011292860895</v>
      </c>
      <c r="H60" s="290">
        <f t="shared" si="16"/>
        <v>3626.7430691393165</v>
      </c>
      <c r="I60" s="290">
        <f t="shared" si="16"/>
        <v>5126.3847098396109</v>
      </c>
      <c r="J60" s="290">
        <f t="shared" si="16"/>
        <v>6447.0870205335204</v>
      </c>
      <c r="K60" s="290">
        <f t="shared" si="16"/>
        <v>7604.2159467910842</v>
      </c>
      <c r="L60" s="290">
        <f t="shared" si="16"/>
        <v>8413.8124721039676</v>
      </c>
      <c r="M60" s="290">
        <f t="shared" si="16"/>
        <v>9103.3406101800829</v>
      </c>
      <c r="N60" s="290">
        <f t="shared" si="16"/>
        <v>9103.3406101800829</v>
      </c>
    </row>
    <row r="61" spans="1:18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19.308825010113061</v>
      </c>
      <c r="H61" s="252">
        <f t="shared" ref="H61:N61" si="17">H49+G61</f>
        <v>135.54253484234042</v>
      </c>
      <c r="I61" s="252">
        <f t="shared" si="17"/>
        <v>410.19104815939841</v>
      </c>
      <c r="J61" s="252">
        <f t="shared" si="17"/>
        <v>778.12714623807267</v>
      </c>
      <c r="K61" s="252">
        <f t="shared" si="17"/>
        <v>1066.3191120257848</v>
      </c>
      <c r="L61" s="252">
        <f t="shared" si="17"/>
        <v>1369.3647011608255</v>
      </c>
      <c r="M61" s="252">
        <f t="shared" si="17"/>
        <v>1681.3471641645972</v>
      </c>
      <c r="N61" s="252">
        <f t="shared" si="17"/>
        <v>1681.3471641645972</v>
      </c>
    </row>
    <row r="62" spans="1:18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32121.37985932716</v>
      </c>
      <c r="G71" s="282">
        <f t="shared" si="27"/>
        <v>8025.3283534092534</v>
      </c>
      <c r="H71" s="282">
        <f t="shared" si="27"/>
        <v>19524.342843038819</v>
      </c>
      <c r="I71" s="416">
        <f t="shared" si="27"/>
        <v>23795.255544825352</v>
      </c>
      <c r="J71" s="381">
        <f t="shared" si="27"/>
        <v>21559.242947687449</v>
      </c>
      <c r="K71" s="381">
        <f t="shared" si="27"/>
        <v>13226.91578058304</v>
      </c>
      <c r="L71" s="381">
        <f t="shared" si="27"/>
        <v>10902.798057234044</v>
      </c>
      <c r="M71" s="381">
        <f t="shared" si="27"/>
        <v>9285.8427737434831</v>
      </c>
      <c r="N71" s="283">
        <f t="shared" si="27"/>
        <v>0</v>
      </c>
      <c r="O71" s="374">
        <f t="shared" si="20"/>
        <v>138441.1061598486</v>
      </c>
      <c r="P71" s="431">
        <f t="shared" si="21"/>
        <v>78770.05510407337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32121.37985932716</v>
      </c>
      <c r="G74" s="5">
        <f t="shared" ref="G74:N74" si="30">+SUM(G64:G73)</f>
        <v>8025.3283534092534</v>
      </c>
      <c r="H74" s="5">
        <f t="shared" si="30"/>
        <v>19524.342843038819</v>
      </c>
      <c r="I74" s="411">
        <f t="shared" si="30"/>
        <v>23795.255544825352</v>
      </c>
      <c r="J74" s="382">
        <f t="shared" si="30"/>
        <v>21559.242947687449</v>
      </c>
      <c r="K74" s="382">
        <f t="shared" si="30"/>
        <v>13226.91578058304</v>
      </c>
      <c r="L74" s="382">
        <f t="shared" si="30"/>
        <v>10902.798057234044</v>
      </c>
      <c r="M74" s="382">
        <f t="shared" si="30"/>
        <v>9285.8427737434831</v>
      </c>
      <c r="N74" s="286">
        <f t="shared" si="30"/>
        <v>0</v>
      </c>
      <c r="O74" s="372">
        <f>SUM(O64:O73)</f>
        <v>138441.1061598486</v>
      </c>
      <c r="P74" s="428">
        <f>SUM(P64:P73)</f>
        <v>78770.05510407337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6264.4345974906118</v>
      </c>
      <c r="G76" s="280">
        <f t="shared" si="32"/>
        <v>31173.783690984616</v>
      </c>
      <c r="H76" s="280">
        <f t="shared" si="32"/>
        <v>17538.2019287902</v>
      </c>
      <c r="I76" s="410">
        <f t="shared" si="32"/>
        <v>21650.058689999998</v>
      </c>
      <c r="J76" s="280">
        <f t="shared" si="32"/>
        <v>19533.919020000001</v>
      </c>
      <c r="K76" s="280">
        <f t="shared" si="32"/>
        <v>11580.803610000003</v>
      </c>
      <c r="L76" s="280">
        <f t="shared" si="32"/>
        <v>9622.2468599999993</v>
      </c>
      <c r="M76" s="280">
        <f t="shared" si="32"/>
        <v>8141.3250899999985</v>
      </c>
      <c r="N76" s="281">
        <f t="shared" si="32"/>
        <v>0</v>
      </c>
      <c r="O76" s="377">
        <f>SUM(F76:N76)</f>
        <v>125504.77348726543</v>
      </c>
      <c r="P76" s="378">
        <f t="shared" ref="P76:P80" si="33">SUM(I76:M76)</f>
        <v>70528.353269999992</v>
      </c>
    </row>
    <row r="77" spans="1:16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19.308825010113061</v>
      </c>
      <c r="H77" s="282">
        <f>IF(H$10="Prior",0,IF(AND(H76&lt;&gt;0,SUM($F76:G76)=0),H76/SUM($F$76:H76)*H61,IF(H76&lt;&gt;0,SUM($F$76:H76)/SUM($F$11:H11)*H61-G83,0)))</f>
        <v>116.23370983222736</v>
      </c>
      <c r="I77" s="407">
        <f>IF(I$10="Prior",0,IF(AND(I76&lt;&gt;0,SUM($F76:H76)=0),I76/SUM($F$76:I76)*I61,IF(I76&lt;&gt;0,SUM($F$76:I76)/SUM($F$11:I11)*I61-H83,0)))</f>
        <v>274.64851331705802</v>
      </c>
      <c r="J77" s="282">
        <f>IF(J$10="Prior",0,IF(AND(J76&lt;&gt;0,SUM($F76:I76)=0),J76/SUM($F$76:J76)*J61,IF(J76&lt;&gt;0,SUM($F$76:J76)/SUM($F$11:J11)*J61-I83,0)))</f>
        <v>367.93609807867426</v>
      </c>
      <c r="K77" s="282">
        <f>IF(K$10="Prior",0,IF(AND(K76&lt;&gt;0,SUM($F76:J76)=0),K76/SUM($F$76:K76)*K61,IF(K76&lt;&gt;0,SUM($F$76:K76)/SUM($F$11:K11)*K61-J83,0)))</f>
        <v>288.19196578771209</v>
      </c>
      <c r="L77" s="282">
        <f>IF(L$10="Prior",0,IF(AND(L76&lt;&gt;0,SUM($F76:K76)=0),L76/SUM($F$76:L76)*L61,IF(L76&lt;&gt;0,SUM($F$76:L76)/SUM($F$11:L11)*L61-K83,0)))</f>
        <v>303.0455891350407</v>
      </c>
      <c r="M77" s="282">
        <f>IF(M$10="Prior",0,IF(AND(M76&lt;&gt;0,SUM($F76:L76)=0),M76/SUM($F$76:M76)*M61,IF(M76&lt;&gt;0,SUM($F$76:M76)/SUM($F$11:M11)*M61-L83,0)))</f>
        <v>311.98246300377173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1681.3471641645972</v>
      </c>
      <c r="P77" s="455">
        <f t="shared" si="33"/>
        <v>1545.8046293222567</v>
      </c>
    </row>
    <row r="78" spans="1:16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6264.4345974906118</v>
      </c>
      <c r="G78" s="457">
        <f t="shared" ref="G78:N78" si="34">SUM(G76:G77)</f>
        <v>31193.092515994729</v>
      </c>
      <c r="H78" s="457">
        <f t="shared" si="34"/>
        <v>17654.435638622428</v>
      </c>
      <c r="I78" s="458">
        <f t="shared" si="34"/>
        <v>21924.707203317055</v>
      </c>
      <c r="J78" s="457">
        <f t="shared" si="34"/>
        <v>19901.855118078674</v>
      </c>
      <c r="K78" s="457">
        <f t="shared" si="34"/>
        <v>11868.995575787714</v>
      </c>
      <c r="L78" s="457">
        <f t="shared" si="34"/>
        <v>9925.2924491350404</v>
      </c>
      <c r="M78" s="457">
        <f t="shared" si="34"/>
        <v>8453.3075530037695</v>
      </c>
      <c r="N78" s="459">
        <f t="shared" si="34"/>
        <v>0</v>
      </c>
      <c r="O78" s="460">
        <f>SUM(F78:N78)</f>
        <v>127186.12065143003</v>
      </c>
      <c r="P78" s="461">
        <f t="shared" si="33"/>
        <v>72074.157899322265</v>
      </c>
    </row>
    <row r="79" spans="1:16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6370.4118745158294</v>
      </c>
      <c r="G79" s="457">
        <f>G78*Assumptions!$G$21</f>
        <v>31720.795208934491</v>
      </c>
      <c r="H79" s="457">
        <f>H78*Assumptions!$G$21</f>
        <v>17953.10090318559</v>
      </c>
      <c r="I79" s="458">
        <f>I78*Assumptions!$G$21</f>
        <v>22295.613904125054</v>
      </c>
      <c r="J79" s="457">
        <f>J78*Assumptions!$G$21</f>
        <v>20238.540636993541</v>
      </c>
      <c r="K79" s="457">
        <f>K78*Assumptions!$G$21</f>
        <v>12069.786854325477</v>
      </c>
      <c r="L79" s="457">
        <f>L78*Assumptions!$G$21</f>
        <v>10093.20153192116</v>
      </c>
      <c r="M79" s="457">
        <f>M78*Assumptions!$G$21</f>
        <v>8596.3146356673678</v>
      </c>
      <c r="N79" s="459">
        <f>N78*Assumptions!$G$21</f>
        <v>0</v>
      </c>
      <c r="O79" s="460">
        <f>SUM(F79:N79)</f>
        <v>129337.7655496685</v>
      </c>
      <c r="P79" s="461">
        <f t="shared" si="33"/>
        <v>73293.4575630326</v>
      </c>
    </row>
    <row r="80" spans="1:16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310.865585692818</v>
      </c>
      <c r="G80" s="282">
        <f>IF(G$10="Prior",G79*G56,IF(AND(G79&lt;&gt;0,SUM($F79:F79)=0),G79/SUM($F$54:G54)*G60,IF(G79&lt;&gt;0,SUM($F$79:G79)/SUM($F$54:G54)*G60-F82,0)))</f>
        <v>1744.635543593271</v>
      </c>
      <c r="H80" s="282">
        <f>IF(H$10="Prior",H79*H56,IF(AND(H79&lt;&gt;0,SUM($F79:G79)=0),H79/SUM($F$54:H54)*H60,IF(H79&lt;&gt;0,SUM($F$79:H79)/SUM($F$54:H54)*H60-G82,0)))</f>
        <v>1571.2419398532265</v>
      </c>
      <c r="I80" s="407">
        <f>IF(I$10="Prior",I79*I56,IF(AND(I79&lt;&gt;0,SUM($F79:H79)=0),I79/SUM($F$54:I54)*I60,IF(I79&lt;&gt;0,SUM($F$79:I79)/SUM($F$54:I54)*I60-H82,0)))</f>
        <v>1499.6416407002944</v>
      </c>
      <c r="J80" s="282">
        <f>IF(J$10="Prior",J79*J56,IF(AND(J79&lt;&gt;0,SUM($F79:I79)=0),J79/SUM($F$54:J54)*J60,IF(J79&lt;&gt;0,SUM($F$79:J79)/SUM($F$54:J54)*J60-I82,0)))</f>
        <v>1320.7023106939096</v>
      </c>
      <c r="K80" s="282">
        <f>IF(K$10="Prior",K79*K56,IF(AND(K79&lt;&gt;0,SUM($F79:J79)=0),K79/SUM($F$54:K54)*K60,IF(K79&lt;&gt;0,SUM($F$79:K79)/SUM($F$54:K54)*K60-J82,0)))</f>
        <v>1157.1289262575638</v>
      </c>
      <c r="L80" s="282">
        <f>IF(L$10="Prior",L79*L56,IF(AND(L79&lt;&gt;0,SUM($F79:K79)=0),L79/SUM($F$54:L54)*L60,IF(L79&lt;&gt;0,SUM($F$79:L79)/SUM($F$54:L54)*L60-K82,0)))</f>
        <v>809.59652531288248</v>
      </c>
      <c r="M80" s="282">
        <f>IF(M$10="Prior",M79*M56,IF(AND(M79&lt;&gt;0,SUM($F79:L79)=0),M79/SUM($F$54:M54)*M60,IF(M79&lt;&gt;0,SUM($F$79:M79)/SUM($F$54:M54)*M60-L82,0)))</f>
        <v>689.52813807611528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9103.3406101800811</v>
      </c>
      <c r="P80" s="300">
        <f t="shared" si="33"/>
        <v>5476.5975410407655</v>
      </c>
    </row>
    <row r="81" spans="1:17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6681.2774602086474</v>
      </c>
      <c r="G81" s="307">
        <f t="shared" ref="G81:P81" si="35">SUM(G79:G80)</f>
        <v>33465.430752527762</v>
      </c>
      <c r="H81" s="307">
        <f t="shared" si="35"/>
        <v>19524.342843038816</v>
      </c>
      <c r="I81" s="417">
        <f t="shared" si="35"/>
        <v>23795.255544825348</v>
      </c>
      <c r="J81" s="387">
        <f t="shared" si="35"/>
        <v>21559.242947687449</v>
      </c>
      <c r="K81" s="387">
        <f t="shared" si="35"/>
        <v>13226.91578058304</v>
      </c>
      <c r="L81" s="387">
        <f t="shared" si="35"/>
        <v>10902.798057234042</v>
      </c>
      <c r="M81" s="387">
        <f t="shared" si="35"/>
        <v>9285.8427737434831</v>
      </c>
      <c r="N81" s="420">
        <f t="shared" si="35"/>
        <v>0</v>
      </c>
      <c r="O81" s="421">
        <f t="shared" si="35"/>
        <v>138441.1061598486</v>
      </c>
      <c r="P81" s="388">
        <f t="shared" si="35"/>
        <v>78770.05510407337</v>
      </c>
    </row>
    <row r="82" spans="1:17" outlineLevel="1">
      <c r="A82" s="6"/>
      <c r="B82" s="6"/>
      <c r="C82" s="6"/>
      <c r="D82" s="251" t="s">
        <v>286</v>
      </c>
      <c r="E82" s="251"/>
      <c r="F82" s="252">
        <f>F80</f>
        <v>310.865585692818</v>
      </c>
      <c r="G82" s="252">
        <f t="shared" ref="G82:N82" si="36">G80+F82</f>
        <v>2055.5011292860891</v>
      </c>
      <c r="H82" s="252">
        <f t="shared" si="36"/>
        <v>3626.7430691393156</v>
      </c>
      <c r="I82" s="252">
        <f t="shared" si="36"/>
        <v>5126.38470983961</v>
      </c>
      <c r="J82" s="252">
        <f t="shared" si="36"/>
        <v>6447.0870205335195</v>
      </c>
      <c r="K82" s="252">
        <f t="shared" si="36"/>
        <v>7604.2159467910833</v>
      </c>
      <c r="L82" s="252">
        <f t="shared" si="36"/>
        <v>8413.8124721039658</v>
      </c>
      <c r="M82" s="252">
        <f t="shared" si="36"/>
        <v>9103.3406101800811</v>
      </c>
      <c r="N82" s="252">
        <f t="shared" si="36"/>
        <v>9103.3406101800811</v>
      </c>
      <c r="O82" s="12"/>
    </row>
    <row r="83" spans="1:17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19.308825010113061</v>
      </c>
      <c r="H83" s="252">
        <f t="shared" si="37"/>
        <v>135.54253484234042</v>
      </c>
      <c r="I83" s="252">
        <f t="shared" si="37"/>
        <v>410.19104815939841</v>
      </c>
      <c r="J83" s="252">
        <f t="shared" si="37"/>
        <v>778.12714623807267</v>
      </c>
      <c r="K83" s="252">
        <f t="shared" si="37"/>
        <v>1066.3191120257848</v>
      </c>
      <c r="L83" s="252">
        <f t="shared" si="37"/>
        <v>1369.3647011608255</v>
      </c>
      <c r="M83" s="252">
        <f t="shared" si="37"/>
        <v>1681.3471641645972</v>
      </c>
      <c r="N83" s="252">
        <f t="shared" si="37"/>
        <v>1681.3471641645972</v>
      </c>
      <c r="O83" s="12"/>
    </row>
    <row r="84" spans="1:17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6681.2774602086474</v>
      </c>
      <c r="G92" s="290">
        <f t="shared" si="47"/>
        <v>33465.430752527762</v>
      </c>
      <c r="H92" s="290">
        <f t="shared" si="47"/>
        <v>19524.342843038816</v>
      </c>
      <c r="I92" s="416">
        <f t="shared" si="47"/>
        <v>23795.255544825348</v>
      </c>
      <c r="J92" s="381">
        <f t="shared" si="47"/>
        <v>21559.242947687449</v>
      </c>
      <c r="K92" s="381">
        <f t="shared" si="47"/>
        <v>13226.91578058304</v>
      </c>
      <c r="L92" s="381">
        <f t="shared" si="47"/>
        <v>10902.798057234042</v>
      </c>
      <c r="M92" s="381">
        <f t="shared" si="47"/>
        <v>9285.8427737434831</v>
      </c>
      <c r="N92" s="346">
        <f t="shared" si="47"/>
        <v>0</v>
      </c>
      <c r="O92" s="374">
        <f t="shared" si="41"/>
        <v>138441.1061598486</v>
      </c>
      <c r="P92" s="431">
        <f t="shared" si="39"/>
        <v>78770.055104073355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6681.2774602086474</v>
      </c>
      <c r="G95" s="5">
        <f t="shared" ref="G95" si="50">+SUM(G85:G94)</f>
        <v>33465.430752527762</v>
      </c>
      <c r="H95" s="5">
        <f t="shared" ref="H95:N95" si="51">+SUM(H85:H94)</f>
        <v>19524.342843038816</v>
      </c>
      <c r="I95" s="411">
        <f t="shared" si="51"/>
        <v>23795.255544825348</v>
      </c>
      <c r="J95" s="382">
        <f t="shared" si="51"/>
        <v>21559.242947687449</v>
      </c>
      <c r="K95" s="382">
        <f t="shared" si="51"/>
        <v>13226.91578058304</v>
      </c>
      <c r="L95" s="382">
        <f t="shared" si="51"/>
        <v>10902.798057234042</v>
      </c>
      <c r="M95" s="382">
        <f t="shared" si="51"/>
        <v>9285.8427737434831</v>
      </c>
      <c r="N95" s="286">
        <f t="shared" si="51"/>
        <v>0</v>
      </c>
      <c r="O95" s="372">
        <f>SUM(O85:O94)</f>
        <v>138441.1061598486</v>
      </c>
      <c r="P95" s="428">
        <f>SUM(P85:P94)</f>
        <v>78770.055104073355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>
      <c r="F98" s="191"/>
      <c r="G98" s="191"/>
      <c r="H98" s="191"/>
      <c r="I98" s="191"/>
      <c r="J98" s="191"/>
      <c r="K98" s="191"/>
      <c r="L98" s="191"/>
      <c r="M98" s="191"/>
      <c r="N98" s="191"/>
    </row>
    <row r="99" spans="3:16">
      <c r="F99" s="4"/>
      <c r="G99" s="191"/>
      <c r="H99" s="191"/>
      <c r="I99" s="191"/>
      <c r="J99" s="191"/>
      <c r="K99" s="191"/>
      <c r="L99" s="191"/>
      <c r="M99" s="191"/>
      <c r="N99" s="191"/>
    </row>
    <row r="100" spans="3:16">
      <c r="F100" s="191"/>
      <c r="G100" s="191"/>
      <c r="H100" s="191"/>
      <c r="I100" s="191"/>
      <c r="J100" s="191"/>
      <c r="K100" s="191"/>
      <c r="L100" s="191"/>
      <c r="M100" s="191"/>
      <c r="N100" s="191"/>
    </row>
    <row r="102" spans="3:16">
      <c r="F102" s="191"/>
      <c r="G102" s="191"/>
      <c r="H102" s="191"/>
      <c r="I102" s="191"/>
      <c r="J102" s="191"/>
    </row>
    <row r="103" spans="3:16">
      <c r="F103" s="191"/>
      <c r="G103" s="191"/>
      <c r="H103" s="191"/>
      <c r="I103" s="191"/>
      <c r="J103" s="191"/>
    </row>
  </sheetData>
  <mergeCells count="1">
    <mergeCell ref="C13:C14"/>
  </mergeCells>
  <phoneticPr fontId="6" type="noConversion"/>
  <conditionalFormatting sqref="R14">
    <cfRule type="cellIs" dxfId="6" priority="4" operator="equal">
      <formula>"Error"</formula>
    </cfRule>
  </conditionalFormatting>
  <conditionalFormatting sqref="R11">
    <cfRule type="cellIs" dxfId="5" priority="3" operator="equal">
      <formula>"Error"</formula>
    </cfRule>
  </conditionalFormatting>
  <conditionalFormatting sqref="R54">
    <cfRule type="cellIs" dxfId="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I48" sqref="I48"/>
    </sheetView>
  </sheetViews>
  <sheetFormatPr defaultRowHeight="15" outlineLevelRow="1"/>
  <cols>
    <col min="1" max="1" width="4" style="248" customWidth="1"/>
    <col min="2" max="2" width="6.710937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7" width="9.140625" style="248"/>
    <col min="18" max="18" width="11.140625" style="248" bestFit="1" customWidth="1"/>
    <col min="19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C2" s="572" t="s">
        <v>293</v>
      </c>
    </row>
    <row r="3" spans="1:21" ht="18.75">
      <c r="D3" s="339" t="str">
        <f>Project_Inputs!B5</f>
        <v>XC17</v>
      </c>
      <c r="F3" s="249" t="s">
        <v>63</v>
      </c>
      <c r="G3" s="249" t="str">
        <f>Project_Inputs!F5</f>
        <v>Yes</v>
      </c>
    </row>
    <row r="4" spans="1:21" ht="18.75">
      <c r="A4" s="6"/>
      <c r="B4" s="6"/>
      <c r="C4" s="13" t="s">
        <v>15</v>
      </c>
      <c r="D4" s="339" t="str">
        <f>Project_Inputs!D5</f>
        <v>FBTS Refurbishment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Project_Inputs!H5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Project_Inputs!I5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Project_Inputs!J5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147.32417667987539</v>
      </c>
      <c r="G11" s="319">
        <f>IF(G$10="Prior",SUMIFS(Project_Inputs!$W$5:$W$50,Project_Inputs!$D$5:$D$50,$D$4),SUMIFS(Project_Inputs!M$5:M$50,Project_Inputs!$D$5:$D$50,$D$4))</f>
        <v>1088.918625</v>
      </c>
      <c r="H11" s="389">
        <f>IF(H$10="Prior",SUMIFS(Project_Inputs!$W$5:$W$50,Project_Inputs!$D$5:$D$50,$D$4),SUMIFS(Project_Inputs!N$5:N$50,Project_Inputs!$D$5:$D$50,$D$4))</f>
        <v>7921.179739611317</v>
      </c>
      <c r="I11" s="399">
        <f>IF(I$10="Prior",SUMIFS(Project_Inputs!$W$5:$W$50,Project_Inputs!$D$5:$D$50,$D$4),SUMIFS(Project_Inputs!O$5:O$50,Project_Inputs!$D$5:$D$50,$D$4))</f>
        <v>3437.5540000000001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12594.976541291193</v>
      </c>
      <c r="P11" s="300">
        <f t="shared" ref="P11" si="0">SUM(I11:M11)</f>
        <v>3437.5540000000001</v>
      </c>
      <c r="R11" s="608" t="str">
        <f>IF(O11=Project_Inputs!V5,"ok","Error")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/>
      <c r="J13" s="10"/>
      <c r="K13" s="10"/>
      <c r="L13" s="10"/>
      <c r="M13" s="10"/>
      <c r="N13" s="337"/>
      <c r="O13" s="358"/>
      <c r="P13" s="255"/>
    </row>
    <row r="14" spans="1:21">
      <c r="A14" s="6"/>
      <c r="B14" s="6"/>
      <c r="C14" s="1006"/>
      <c r="D14" s="350" t="str">
        <f>"As Commissioned Capex (Direct) - "&amp;Assumptions!C7</f>
        <v>As Commissioned Capex (Direct)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8955.0283208580386</v>
      </c>
      <c r="I14" s="448">
        <f>IF($G$3="Yes",SUMIFS(Project_Inputs!AM$5:AM$50,Project_Inputs!$D$5:$D$50,$D$4),IF(AND(I$13="X",I$10="Prior"),I11,IF(I$13="X",SUM($F11:I11)-SUM($F14:H14),0)))</f>
        <v>3539.1884081028256</v>
      </c>
      <c r="J14" s="447">
        <f>IF($G$3="Yes",SUMIFS(Project_Inputs!AN$5:AN$50,Project_Inputs!$D$5:$D$50,$D$4),IF(AND(J$13="X",J$10="Prior"),J11,IF(J$13="X",SUM($F11:J11)-SUM($F14:I14),0)))</f>
        <v>100.75981233032955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12594.976541291193</v>
      </c>
      <c r="P14" s="451">
        <f>SUM(I14:M14)</f>
        <v>3639.9482204331553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0.200899635375</v>
      </c>
      <c r="G17" s="341">
        <v>0.200899635375</v>
      </c>
      <c r="H17" s="392">
        <v>0.200899635375</v>
      </c>
      <c r="I17" s="404">
        <v>0.200899635375</v>
      </c>
      <c r="J17" s="341">
        <v>0.200899635375</v>
      </c>
      <c r="K17" s="341">
        <v>0.200899635375</v>
      </c>
      <c r="L17" s="341">
        <v>0.200899635375</v>
      </c>
      <c r="M17" s="341">
        <v>0.200899635375</v>
      </c>
      <c r="N17" s="342">
        <v>0.200899635375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0.62077737287500001</v>
      </c>
      <c r="G18" s="341">
        <v>0.62077737287500001</v>
      </c>
      <c r="H18" s="392">
        <v>0.62077737287500001</v>
      </c>
      <c r="I18" s="404">
        <v>0.62077737287500001</v>
      </c>
      <c r="J18" s="341">
        <v>0.62077737287500001</v>
      </c>
      <c r="K18" s="341">
        <v>0.62077737287500001</v>
      </c>
      <c r="L18" s="341">
        <v>0.62077737287500001</v>
      </c>
      <c r="M18" s="341">
        <v>0.62077737287500001</v>
      </c>
      <c r="N18" s="342">
        <v>0.62077737287500001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</v>
      </c>
      <c r="G19" s="341">
        <v>0</v>
      </c>
      <c r="H19" s="392">
        <v>0</v>
      </c>
      <c r="I19" s="404">
        <v>0</v>
      </c>
      <c r="J19" s="341">
        <v>0</v>
      </c>
      <c r="K19" s="341">
        <v>0</v>
      </c>
      <c r="L19" s="341">
        <v>0</v>
      </c>
      <c r="M19" s="341">
        <v>0</v>
      </c>
      <c r="N19" s="342">
        <v>0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0</v>
      </c>
      <c r="G21" s="341">
        <v>0</v>
      </c>
      <c r="H21" s="392">
        <v>0</v>
      </c>
      <c r="I21" s="404">
        <v>0</v>
      </c>
      <c r="J21" s="341">
        <v>0</v>
      </c>
      <c r="K21" s="341">
        <v>0</v>
      </c>
      <c r="L21" s="341">
        <v>0</v>
      </c>
      <c r="M21" s="341">
        <v>0</v>
      </c>
      <c r="N21" s="342">
        <v>0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0.15898597775000001</v>
      </c>
      <c r="G22" s="341">
        <v>0.15898597775000001</v>
      </c>
      <c r="H22" s="392">
        <v>0.15898597775000001</v>
      </c>
      <c r="I22" s="404">
        <v>0.15898597775000001</v>
      </c>
      <c r="J22" s="341">
        <v>0.15898597775000001</v>
      </c>
      <c r="K22" s="341">
        <v>0.15898597775000001</v>
      </c>
      <c r="L22" s="341">
        <v>0.15898597775000001</v>
      </c>
      <c r="M22" s="341">
        <v>0.15898597775000001</v>
      </c>
      <c r="N22" s="342">
        <v>0.15898597775000001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1.9337014E-2</v>
      </c>
      <c r="G23" s="341">
        <v>1.9337014E-2</v>
      </c>
      <c r="H23" s="392">
        <v>1.9337014E-2</v>
      </c>
      <c r="I23" s="404">
        <v>1.9337014E-2</v>
      </c>
      <c r="J23" s="341">
        <v>1.9337014E-2</v>
      </c>
      <c r="K23" s="341">
        <v>1.9337014E-2</v>
      </c>
      <c r="L23" s="341">
        <v>1.9337014E-2</v>
      </c>
      <c r="M23" s="341">
        <v>1.9337014E-2</v>
      </c>
      <c r="N23" s="342">
        <v>1.9337014E-2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0.63973969218750815</v>
      </c>
      <c r="H46" s="290">
        <f>IF(H$10="Prior",0,(H11*H29)*(Assumptions!H28-1))</f>
        <v>9.9123860996054205</v>
      </c>
      <c r="I46" s="407">
        <f>IF(I$10="Prior",0,(I11*I29)*(Assumptions!I28-1))</f>
        <v>7.1035372063665312</v>
      </c>
      <c r="J46" s="282">
        <f>IF(J$10="Prior",0,(J11*J29)*(Assumptions!J28-1))</f>
        <v>0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17.65566299815946</v>
      </c>
      <c r="P46" s="300">
        <f t="shared" ref="P46:P47" si="7">SUM(I46:M46)</f>
        <v>7.1035372063665312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2.2322831812499961</v>
      </c>
      <c r="H47" s="290">
        <f>IF(H$10="Prior",0,(H11*H30)*(Assumptions!H30-1))</f>
        <v>42.584905876004264</v>
      </c>
      <c r="I47" s="407">
        <f>IF(I$10="Prior",0,(I11*I30)*(Assumptions!I30-1))</f>
        <v>36.504616889917159</v>
      </c>
      <c r="J47" s="282">
        <f>IF(J$10="Prior",0,(J11*J30)*(Assumptions!J30-1))</f>
        <v>0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81.321805947171413</v>
      </c>
      <c r="P47" s="300">
        <f t="shared" si="7"/>
        <v>36.504616889917159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2.8720228734375044</v>
      </c>
      <c r="H48" s="253">
        <f t="shared" si="8"/>
        <v>52.497291975609684</v>
      </c>
      <c r="I48" s="408">
        <f t="shared" si="8"/>
        <v>43.608154096283691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98.97746894533087</v>
      </c>
      <c r="P48" s="434">
        <f>SUM(P46:P47)</f>
        <v>43.608154096283691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2.8720228734375044</v>
      </c>
      <c r="H49" s="253">
        <f t="shared" si="9"/>
        <v>52.497291975609684</v>
      </c>
      <c r="I49" s="408">
        <f t="shared" si="9"/>
        <v>43.608154096283691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98.97746894533087</v>
      </c>
      <c r="P49" s="371">
        <f>P44+P48</f>
        <v>43.608154096283691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7.8584877566738251E-3</v>
      </c>
      <c r="P50" s="444">
        <f t="shared" si="10"/>
        <v>1.2685809181843744E-2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14.981650297709136</v>
      </c>
      <c r="G51" s="280">
        <f>(G29*G$11+G46)*Assumptions!$G$21</f>
        <v>111.38458042476212</v>
      </c>
      <c r="H51" s="280">
        <f>(H29*H$11+H46)*Assumptions!$G$21</f>
        <v>815.59854284371966</v>
      </c>
      <c r="I51" s="410">
        <f>(I29*I$11+I46)*Assumptions!$G$21</f>
        <v>356.79452073053443</v>
      </c>
      <c r="J51" s="280">
        <f>(J29*J$11+J46)*Assumptions!$G$21</f>
        <v>0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1298.7592942967253</v>
      </c>
      <c r="P51" s="375">
        <f>SUM(I51:M51)</f>
        <v>356.79452073053443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74.908251488545673</v>
      </c>
      <c r="G52" s="282">
        <f>(G30*G$11+G47)*Assumptions!$G$21</f>
        <v>555.94013771345158</v>
      </c>
      <c r="H52" s="282">
        <f>(H30*H$11+H47)*Assumptions!$G$21</f>
        <v>4070.8976572251495</v>
      </c>
      <c r="I52" s="407">
        <f>(I30*I$11+I47)*Assumptions!$G$21</f>
        <v>1784.9762307094836</v>
      </c>
      <c r="J52" s="282">
        <f>(J30*J$11+J47)*Assumptions!$G$21</f>
        <v>0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6486.7222771366305</v>
      </c>
      <c r="P52" s="376">
        <f>SUM(I52:M52)</f>
        <v>1784.9762307094836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59.926601190836543</v>
      </c>
      <c r="G53" s="282">
        <f>(G31*G$11+G$44)*Assumptions!$G$21</f>
        <v>442.93607227443613</v>
      </c>
      <c r="H53" s="282">
        <f>(H31*H$11+H$44)*Assumptions!$G$21</f>
        <v>3222.0738640073105</v>
      </c>
      <c r="I53" s="407">
        <f>(I31*I$11+I$44)*Assumptions!$G$21</f>
        <v>1398.2832436090227</v>
      </c>
      <c r="J53" s="282">
        <f>(J31*J$11+J$44)*Assumptions!$G$21</f>
        <v>0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5123.219781081606</v>
      </c>
      <c r="P53" s="376">
        <f>SUM(I53:M53)</f>
        <v>1398.2832436090227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149.81650297709135</v>
      </c>
      <c r="G54" s="5">
        <f t="shared" si="12"/>
        <v>1110.2607904126498</v>
      </c>
      <c r="H54" s="5">
        <f t="shared" si="12"/>
        <v>8108.5700640761797</v>
      </c>
      <c r="I54" s="411">
        <f t="shared" si="12"/>
        <v>3540.0539950490411</v>
      </c>
      <c r="J54" s="382">
        <f t="shared" si="12"/>
        <v>0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12908.701352514963</v>
      </c>
      <c r="P54" s="428">
        <f t="shared" si="12"/>
        <v>3540.0539950490411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610"/>
      <c r="G55" s="609"/>
      <c r="H55" s="611"/>
      <c r="I55" s="612"/>
      <c r="J55" s="609"/>
      <c r="K55" s="609"/>
      <c r="L55" s="609"/>
      <c r="M55" s="609"/>
      <c r="N55" s="613"/>
      <c r="O55" s="614"/>
      <c r="P55" s="61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IF($D$9=0,0,INDEX(OHD_Summary_tbl,MATCH($D$9,Assumptions!$C$95:$C$97,0),MATCH(F$10,Assumptions!$D$94:$N$94,0)))</f>
        <v>8.0081718857033676E-2</v>
      </c>
      <c r="G56" s="315">
        <f>IF($D$9=0,0,INDEX(OHD_Summary_tbl,MATCH($D$9,Assumptions!$C$95:$C$97,0),MATCH(G$10,Assumptions!$D$94:$N$94,0)))</f>
        <v>5.9444785210206755E-2</v>
      </c>
      <c r="H56" s="396">
        <f>IF($D$9=0,0,INDEX(OHD_Summary_tbl,MATCH($D$9,Assumptions!$C$95:$C$97,0),MATCH(H$10,Assumptions!$D$94:$N$94,0)))</f>
        <v>7.2593686766146664E-2</v>
      </c>
      <c r="I56" s="413">
        <f>IF($D$9=0,0,INDEX(OHD_Summary_tbl,MATCH($D$9,Assumptions!$C$95:$C$97,0),MATCH(I$10,Assumptions!$D$94:$N$94,0)))</f>
        <v>8.8186632395166858E-2</v>
      </c>
      <c r="J56" s="316">
        <f>IF($D$9=0,0,INDEX(OHD_Summary_tbl,MATCH($D$9,Assumptions!$C$95:$C$97,0),MATCH(J$10,Assumptions!$D$94:$N$94,0)))</f>
        <v>0.12029963760355783</v>
      </c>
      <c r="K56" s="316">
        <f>IF($D$9=0,0,INDEX(OHD_Summary_tbl,MATCH($D$9,Assumptions!$C$95:$C$97,0),MATCH(K$10,Assumptions!$D$94:$N$94,0)))</f>
        <v>0.13048106234511045</v>
      </c>
      <c r="L56" s="316">
        <f>IF($D$9=0,0,INDEX(OHD_Summary_tbl,MATCH($D$9,Assumptions!$C$95:$C$97,0),MATCH(L$10,Assumptions!$D$94:$N$94,0)))</f>
        <v>0.1179104066006242</v>
      </c>
      <c r="M56" s="316">
        <f>IF($D$9=0,0,INDEX(OHD_Summary_tbl,MATCH($D$9,Assumptions!$C$95:$C$97,0),MATCH(M$10,Assumptions!$D$94:$N$94,0)))</f>
        <v>0.11103780756565028</v>
      </c>
      <c r="N56" s="317">
        <f>IF($D$9=0,0,INDEX(OHD_Summary_tbl,MATCH($D$9,Assumptions!$C$95:$C$97,0),MATCH(N$10,Assumptions!$D$94:$N$94,0)))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11.997563071555378</v>
      </c>
      <c r="G57" s="290">
        <f t="shared" ref="G57:N57" si="13">G54*G56</f>
        <v>65.999214213394353</v>
      </c>
      <c r="H57" s="290">
        <f t="shared" si="13"/>
        <v>588.63099535289996</v>
      </c>
      <c r="I57" s="407">
        <f t="shared" si="13"/>
        <v>312.18544032043161</v>
      </c>
      <c r="J57" s="282">
        <f t="shared" si="13"/>
        <v>0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978.81321295828138</v>
      </c>
      <c r="P57" s="300">
        <f>SUM(I57:M57)</f>
        <v>312.18544032043161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161.81406604864674</v>
      </c>
      <c r="G59" s="5">
        <f t="shared" si="14"/>
        <v>1176.2600046260443</v>
      </c>
      <c r="H59" s="5">
        <f t="shared" si="14"/>
        <v>8697.2010594290805</v>
      </c>
      <c r="I59" s="411">
        <f t="shared" si="14"/>
        <v>3852.2394353694726</v>
      </c>
      <c r="J59" s="382">
        <f t="shared" si="14"/>
        <v>0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13887.514565473244</v>
      </c>
      <c r="P59" s="429">
        <f t="shared" si="15"/>
        <v>3852.2394353694726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11.997563071555378</v>
      </c>
      <c r="G60" s="290">
        <f t="shared" ref="G60:N60" si="16">G57+F60</f>
        <v>77.996777284949729</v>
      </c>
      <c r="H60" s="290">
        <f t="shared" si="16"/>
        <v>666.62777263784972</v>
      </c>
      <c r="I60" s="290">
        <f t="shared" si="16"/>
        <v>978.81321295828138</v>
      </c>
      <c r="J60" s="290">
        <f t="shared" si="16"/>
        <v>978.81321295828138</v>
      </c>
      <c r="K60" s="290">
        <f t="shared" si="16"/>
        <v>978.81321295828138</v>
      </c>
      <c r="L60" s="290">
        <f t="shared" si="16"/>
        <v>978.81321295828138</v>
      </c>
      <c r="M60" s="290">
        <f t="shared" si="16"/>
        <v>978.81321295828138</v>
      </c>
      <c r="N60" s="290">
        <f t="shared" si="16"/>
        <v>978.81321295828138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2.8720228734375044</v>
      </c>
      <c r="H61" s="252">
        <f t="shared" ref="H61:N61" si="17">H49+G61</f>
        <v>55.369314849047186</v>
      </c>
      <c r="I61" s="252">
        <f t="shared" si="17"/>
        <v>98.977468945330884</v>
      </c>
      <c r="J61" s="252">
        <f t="shared" si="17"/>
        <v>98.977468945330884</v>
      </c>
      <c r="K61" s="252">
        <f t="shared" si="17"/>
        <v>98.977468945330884</v>
      </c>
      <c r="L61" s="252">
        <f t="shared" si="17"/>
        <v>98.977468945330884</v>
      </c>
      <c r="M61" s="252">
        <f t="shared" si="17"/>
        <v>98.977468945330884</v>
      </c>
      <c r="N61" s="252">
        <f t="shared" si="17"/>
        <v>98.977468945330884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32.508386867719295</v>
      </c>
      <c r="G64" s="280">
        <f t="shared" si="18"/>
        <v>236.31020603556811</v>
      </c>
      <c r="H64" s="280">
        <f t="shared" si="18"/>
        <v>1747.2645216223659</v>
      </c>
      <c r="I64" s="415">
        <f t="shared" si="18"/>
        <v>773.91349794292296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2789.9966124685761</v>
      </c>
      <c r="P64" s="430">
        <f>SUM(I64:M64)</f>
        <v>773.91349794292296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100.45051081590066</v>
      </c>
      <c r="G65" s="282">
        <f t="shared" si="19"/>
        <v>730.19559548969119</v>
      </c>
      <c r="H65" s="282">
        <f t="shared" si="19"/>
        <v>5399.0256250380517</v>
      </c>
      <c r="I65" s="416">
        <f t="shared" si="19"/>
        <v>2391.3830763741348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8621.0548077177791</v>
      </c>
      <c r="P65" s="431">
        <f t="shared" ref="P65:P73" si="21">SUM(I65:M65)</f>
        <v>2391.3830763741348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25.726167504447183</v>
      </c>
      <c r="G69" s="282">
        <f t="shared" si="25"/>
        <v>187.00884692369118</v>
      </c>
      <c r="H69" s="282">
        <f t="shared" si="25"/>
        <v>1382.7330141216682</v>
      </c>
      <c r="I69" s="416">
        <f t="shared" si="25"/>
        <v>612.45205315932355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2207.92008170913</v>
      </c>
      <c r="P69" s="431">
        <f t="shared" si="21"/>
        <v>612.45205315932355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3.1290008605796067</v>
      </c>
      <c r="G70" s="282">
        <f t="shared" si="26"/>
        <v>22.745356177093882</v>
      </c>
      <c r="H70" s="282">
        <f t="shared" si="26"/>
        <v>168.17789864699495</v>
      </c>
      <c r="I70" s="416">
        <f t="shared" si="26"/>
        <v>74.490807893091585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268.54306357775999</v>
      </c>
      <c r="P70" s="431">
        <f t="shared" si="21"/>
        <v>74.490807893091585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161.81406604864674</v>
      </c>
      <c r="G74" s="5">
        <f t="shared" ref="G74" si="30">+SUM(G64:G73)</f>
        <v>1176.2600046260445</v>
      </c>
      <c r="H74" s="5">
        <f t="shared" ref="H74:N74" si="31">+SUM(H64:H73)</f>
        <v>8697.2010594290805</v>
      </c>
      <c r="I74" s="411">
        <f t="shared" si="31"/>
        <v>3852.2394353694731</v>
      </c>
      <c r="J74" s="382">
        <f t="shared" si="31"/>
        <v>0</v>
      </c>
      <c r="K74" s="382">
        <f t="shared" si="31"/>
        <v>0</v>
      </c>
      <c r="L74" s="382">
        <f t="shared" si="31"/>
        <v>0</v>
      </c>
      <c r="M74" s="382">
        <f t="shared" si="31"/>
        <v>0</v>
      </c>
      <c r="N74" s="286">
        <f t="shared" si="31"/>
        <v>0</v>
      </c>
      <c r="O74" s="372">
        <f>SUM(O64:O73)</f>
        <v>13887.514565473244</v>
      </c>
      <c r="P74" s="428">
        <f>SUM(P64:P73)</f>
        <v>3852.2394353694731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2">G74-G59</f>
        <v>0</v>
      </c>
      <c r="H75" s="423">
        <f t="shared" si="32"/>
        <v>0</v>
      </c>
      <c r="I75" s="423">
        <f t="shared" si="32"/>
        <v>0</v>
      </c>
      <c r="J75" s="423">
        <f t="shared" si="32"/>
        <v>0</v>
      </c>
      <c r="K75" s="423">
        <f t="shared" si="32"/>
        <v>0</v>
      </c>
      <c r="L75" s="423">
        <f t="shared" si="32"/>
        <v>0</v>
      </c>
      <c r="M75" s="423">
        <f t="shared" si="32"/>
        <v>0</v>
      </c>
      <c r="N75" s="423">
        <f t="shared" si="32"/>
        <v>0</v>
      </c>
      <c r="O75" s="423">
        <f t="shared" si="32"/>
        <v>0</v>
      </c>
      <c r="P75" s="423">
        <f t="shared" si="32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3">F14</f>
        <v>0</v>
      </c>
      <c r="G76" s="280">
        <f t="shared" si="33"/>
        <v>0</v>
      </c>
      <c r="H76" s="280">
        <f t="shared" si="33"/>
        <v>8955.0283208580386</v>
      </c>
      <c r="I76" s="410">
        <f t="shared" si="33"/>
        <v>3539.1884081028256</v>
      </c>
      <c r="J76" s="280">
        <f t="shared" si="33"/>
        <v>100.75981233032955</v>
      </c>
      <c r="K76" s="280">
        <f t="shared" si="33"/>
        <v>0</v>
      </c>
      <c r="L76" s="280">
        <f t="shared" si="33"/>
        <v>0</v>
      </c>
      <c r="M76" s="280">
        <f t="shared" si="33"/>
        <v>0</v>
      </c>
      <c r="N76" s="281">
        <f t="shared" si="33"/>
        <v>0</v>
      </c>
      <c r="O76" s="377">
        <f>SUM(F76:N76)</f>
        <v>12594.976541291193</v>
      </c>
      <c r="P76" s="378">
        <f t="shared" ref="P76:P80" si="34">SUM(I76:M76)</f>
        <v>3639.9482204331553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55.369314849047186</v>
      </c>
      <c r="I77" s="407">
        <f>IF(I$10="Prior",0,IF(AND(I76&lt;&gt;0,SUM($F76:H76)=0),I76/SUM($F$76:I76)*I61,IF(I76&lt;&gt;0,SUM($F$76:I76)/SUM($F$11:I11)*I61-H83,0)))</f>
        <v>42.816334344721056</v>
      </c>
      <c r="J77" s="282">
        <f>IF(J$10="Prior",0,IF(AND(J76&lt;&gt;0,SUM($F76:I76)=0),J76/SUM($F$76:J76)*J61,IF(J76&lt;&gt;0,SUM($F$76:J76)/SUM($F$11:J11)*J61-I83,0)))</f>
        <v>0.79181975156264173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98.977468945330884</v>
      </c>
      <c r="P77" s="455">
        <f t="shared" si="34"/>
        <v>43.608154096283698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5">SUM(G76:G77)</f>
        <v>0</v>
      </c>
      <c r="H78" s="457">
        <f t="shared" si="35"/>
        <v>9010.397635707086</v>
      </c>
      <c r="I78" s="458">
        <f t="shared" si="35"/>
        <v>3582.0047424475465</v>
      </c>
      <c r="J78" s="457">
        <f t="shared" si="35"/>
        <v>101.55163208189219</v>
      </c>
      <c r="K78" s="457">
        <f t="shared" si="35"/>
        <v>0</v>
      </c>
      <c r="L78" s="457">
        <f t="shared" si="35"/>
        <v>0</v>
      </c>
      <c r="M78" s="457">
        <f t="shared" si="35"/>
        <v>0</v>
      </c>
      <c r="N78" s="459">
        <f t="shared" si="35"/>
        <v>0</v>
      </c>
      <c r="O78" s="460">
        <f>SUM(F78:N78)</f>
        <v>12693.954010236524</v>
      </c>
      <c r="P78" s="461">
        <f t="shared" si="34"/>
        <v>3683.5563745294385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9162.8291746570194</v>
      </c>
      <c r="I79" s="458">
        <f>I78*Assumptions!$G$21</f>
        <v>3642.6025670378249</v>
      </c>
      <c r="J79" s="457">
        <f>J78*Assumptions!$G$21</f>
        <v>103.26961082011969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12908.701352514963</v>
      </c>
      <c r="P79" s="461">
        <f t="shared" si="34"/>
        <v>3745.8721778579447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651.98274315395849</v>
      </c>
      <c r="I80" s="407">
        <f>IF(I$10="Prior",I79*I56,IF(AND(I79&lt;&gt;0,SUM($F79:H79)=0),I79/SUM($F$54:I54)*I60,IF(I79&lt;&gt;0,SUM($F$79:I79)/SUM($F$54:I54)*I60-H82,0)))</f>
        <v>318.9999641006566</v>
      </c>
      <c r="J80" s="282">
        <f>IF(J$10="Prior",J79*J56,IF(AND(J79&lt;&gt;0,SUM($F79:I79)=0),J79/SUM($F$54:J54)*J60,IF(J79&lt;&gt;0,SUM($F$79:J79)/SUM($F$54:J54)*J60-I82,0)))</f>
        <v>7.8305057036662902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978.81321295828138</v>
      </c>
      <c r="P80" s="300">
        <f t="shared" si="34"/>
        <v>326.83046980432289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6">SUM(G79:G80)</f>
        <v>0</v>
      </c>
      <c r="H81" s="307">
        <f t="shared" si="36"/>
        <v>9814.8119178109773</v>
      </c>
      <c r="I81" s="417">
        <f t="shared" si="36"/>
        <v>3961.6025311384815</v>
      </c>
      <c r="J81" s="387">
        <f t="shared" si="36"/>
        <v>111.10011652378599</v>
      </c>
      <c r="K81" s="387">
        <f t="shared" si="36"/>
        <v>0</v>
      </c>
      <c r="L81" s="387">
        <f t="shared" si="36"/>
        <v>0</v>
      </c>
      <c r="M81" s="387">
        <f t="shared" si="36"/>
        <v>0</v>
      </c>
      <c r="N81" s="420">
        <f t="shared" si="36"/>
        <v>0</v>
      </c>
      <c r="O81" s="421">
        <f t="shared" si="36"/>
        <v>13887.514565473244</v>
      </c>
      <c r="P81" s="388">
        <f t="shared" si="36"/>
        <v>4072.7026476622677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7">G80+F82</f>
        <v>0</v>
      </c>
      <c r="H82" s="252">
        <f t="shared" si="37"/>
        <v>651.98274315395849</v>
      </c>
      <c r="I82" s="252">
        <f t="shared" si="37"/>
        <v>970.98270725461509</v>
      </c>
      <c r="J82" s="252">
        <f t="shared" si="37"/>
        <v>978.81321295828138</v>
      </c>
      <c r="K82" s="252">
        <f t="shared" si="37"/>
        <v>978.81321295828138</v>
      </c>
      <c r="L82" s="252">
        <f t="shared" si="37"/>
        <v>978.81321295828138</v>
      </c>
      <c r="M82" s="252">
        <f t="shared" si="37"/>
        <v>978.81321295828138</v>
      </c>
      <c r="N82" s="252">
        <f t="shared" si="37"/>
        <v>978.81321295828138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8">G77+F83</f>
        <v>0</v>
      </c>
      <c r="H83" s="252">
        <f t="shared" si="38"/>
        <v>55.369314849047186</v>
      </c>
      <c r="I83" s="252">
        <f t="shared" si="38"/>
        <v>98.185649193768242</v>
      </c>
      <c r="J83" s="252">
        <f t="shared" si="38"/>
        <v>98.977468945330884</v>
      </c>
      <c r="K83" s="252">
        <f t="shared" si="38"/>
        <v>98.977468945330884</v>
      </c>
      <c r="L83" s="252">
        <f t="shared" si="38"/>
        <v>98.977468945330884</v>
      </c>
      <c r="M83" s="252">
        <f t="shared" si="38"/>
        <v>98.977468945330884</v>
      </c>
      <c r="N83" s="252">
        <f t="shared" si="38"/>
        <v>98.977468945330884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9">IF($O$74=0,0,F$81/$O$81*$O$74*F17)</f>
        <v>0</v>
      </c>
      <c r="G85" s="344">
        <f t="shared" si="39"/>
        <v>0</v>
      </c>
      <c r="H85" s="344">
        <f t="shared" si="39"/>
        <v>1971.7921355624298</v>
      </c>
      <c r="I85" s="415">
        <f t="shared" si="39"/>
        <v>795.88450400639795</v>
      </c>
      <c r="J85" s="380">
        <f t="shared" si="39"/>
        <v>22.319972899748617</v>
      </c>
      <c r="K85" s="380">
        <f t="shared" si="39"/>
        <v>0</v>
      </c>
      <c r="L85" s="380">
        <f t="shared" si="39"/>
        <v>0</v>
      </c>
      <c r="M85" s="380">
        <f t="shared" si="39"/>
        <v>0</v>
      </c>
      <c r="N85" s="345">
        <f t="shared" si="39"/>
        <v>0</v>
      </c>
      <c r="O85" s="373">
        <f>SUM(F85:N85)</f>
        <v>2789.9966124685766</v>
      </c>
      <c r="P85" s="430">
        <f t="shared" ref="P85:P94" si="40">SUM(I85:M85)</f>
        <v>818.20447690614651</v>
      </c>
    </row>
    <row r="86" spans="1:17">
      <c r="C86" s="255" t="s">
        <v>24</v>
      </c>
      <c r="D86" s="348" t="s">
        <v>4</v>
      </c>
      <c r="E86" s="264"/>
      <c r="F86" s="294">
        <f t="shared" ref="F86:N86" si="41">IF($O$74=0,0,F$81/$O$81*$O$74*F18)</f>
        <v>0</v>
      </c>
      <c r="G86" s="290">
        <f t="shared" si="41"/>
        <v>0</v>
      </c>
      <c r="H86" s="290">
        <f t="shared" si="41"/>
        <v>6092.8131576009391</v>
      </c>
      <c r="I86" s="416">
        <f t="shared" si="41"/>
        <v>2459.2732116550965</v>
      </c>
      <c r="J86" s="381">
        <f t="shared" si="41"/>
        <v>68.968438461742238</v>
      </c>
      <c r="K86" s="381">
        <f t="shared" si="41"/>
        <v>0</v>
      </c>
      <c r="L86" s="381">
        <f t="shared" si="41"/>
        <v>0</v>
      </c>
      <c r="M86" s="381">
        <f t="shared" si="41"/>
        <v>0</v>
      </c>
      <c r="N86" s="346">
        <f t="shared" si="41"/>
        <v>0</v>
      </c>
      <c r="O86" s="374">
        <f t="shared" ref="O86:O94" si="42">SUM(F86:N86)</f>
        <v>8621.0548077177791</v>
      </c>
      <c r="P86" s="431">
        <f t="shared" si="40"/>
        <v>2528.2416501168386</v>
      </c>
    </row>
    <row r="87" spans="1:17">
      <c r="C87" s="255" t="s">
        <v>26</v>
      </c>
      <c r="D87" s="348" t="s">
        <v>5</v>
      </c>
      <c r="E87" s="264"/>
      <c r="F87" s="294">
        <f t="shared" ref="F87:N87" si="43">IF($O$74=0,0,F$81/$O$81*$O$74*F19)</f>
        <v>0</v>
      </c>
      <c r="G87" s="290">
        <f t="shared" si="43"/>
        <v>0</v>
      </c>
      <c r="H87" s="290">
        <f t="shared" si="43"/>
        <v>0</v>
      </c>
      <c r="I87" s="416">
        <f t="shared" si="43"/>
        <v>0</v>
      </c>
      <c r="J87" s="381">
        <f t="shared" si="43"/>
        <v>0</v>
      </c>
      <c r="K87" s="381">
        <f t="shared" si="43"/>
        <v>0</v>
      </c>
      <c r="L87" s="381">
        <f t="shared" si="43"/>
        <v>0</v>
      </c>
      <c r="M87" s="381">
        <f t="shared" si="43"/>
        <v>0</v>
      </c>
      <c r="N87" s="346">
        <f t="shared" si="43"/>
        <v>0</v>
      </c>
      <c r="O87" s="374">
        <f t="shared" si="42"/>
        <v>0</v>
      </c>
      <c r="P87" s="431">
        <f t="shared" si="40"/>
        <v>0</v>
      </c>
    </row>
    <row r="88" spans="1:17">
      <c r="C88" s="255"/>
      <c r="D88" s="348" t="s">
        <v>6</v>
      </c>
      <c r="E88" s="264"/>
      <c r="F88" s="294">
        <f t="shared" ref="F88:N88" si="44">IF($O$74=0,0,F$81/$O$81*$O$74*F20)</f>
        <v>0</v>
      </c>
      <c r="G88" s="290">
        <f t="shared" si="44"/>
        <v>0</v>
      </c>
      <c r="H88" s="290">
        <f t="shared" si="44"/>
        <v>0</v>
      </c>
      <c r="I88" s="416">
        <f t="shared" si="44"/>
        <v>0</v>
      </c>
      <c r="J88" s="381">
        <f t="shared" si="44"/>
        <v>0</v>
      </c>
      <c r="K88" s="381">
        <f t="shared" si="44"/>
        <v>0</v>
      </c>
      <c r="L88" s="381">
        <f t="shared" si="44"/>
        <v>0</v>
      </c>
      <c r="M88" s="381">
        <f t="shared" si="44"/>
        <v>0</v>
      </c>
      <c r="N88" s="346">
        <f t="shared" si="44"/>
        <v>0</v>
      </c>
      <c r="O88" s="374">
        <f t="shared" si="42"/>
        <v>0</v>
      </c>
      <c r="P88" s="431">
        <f t="shared" si="40"/>
        <v>0</v>
      </c>
    </row>
    <row r="89" spans="1:17">
      <c r="C89" s="255"/>
      <c r="D89" s="348" t="s">
        <v>7</v>
      </c>
      <c r="E89" s="264"/>
      <c r="F89" s="294">
        <f t="shared" ref="F89:N89" si="45">IF($O$74=0,0,F$81/$O$81*$O$74*F21)</f>
        <v>0</v>
      </c>
      <c r="G89" s="290">
        <f t="shared" si="45"/>
        <v>0</v>
      </c>
      <c r="H89" s="290">
        <f t="shared" si="45"/>
        <v>0</v>
      </c>
      <c r="I89" s="416">
        <f t="shared" si="45"/>
        <v>0</v>
      </c>
      <c r="J89" s="381">
        <f t="shared" si="45"/>
        <v>0</v>
      </c>
      <c r="K89" s="381">
        <f t="shared" si="45"/>
        <v>0</v>
      </c>
      <c r="L89" s="381">
        <f t="shared" si="45"/>
        <v>0</v>
      </c>
      <c r="M89" s="381">
        <f t="shared" si="45"/>
        <v>0</v>
      </c>
      <c r="N89" s="346">
        <f t="shared" si="45"/>
        <v>0</v>
      </c>
      <c r="O89" s="374">
        <f t="shared" si="42"/>
        <v>0</v>
      </c>
      <c r="P89" s="431">
        <f t="shared" si="40"/>
        <v>0</v>
      </c>
    </row>
    <row r="90" spans="1:17">
      <c r="C90" s="255"/>
      <c r="D90" s="348" t="s">
        <v>8</v>
      </c>
      <c r="E90" s="264"/>
      <c r="F90" s="294">
        <f t="shared" ref="F90:N90" si="46">IF($O$74=0,0,F$81/$O$81*$O$74*F22)</f>
        <v>0</v>
      </c>
      <c r="G90" s="290">
        <f t="shared" si="46"/>
        <v>0</v>
      </c>
      <c r="H90" s="290">
        <f t="shared" si="46"/>
        <v>1560.417469185531</v>
      </c>
      <c r="I90" s="416">
        <f t="shared" si="46"/>
        <v>629.83925186992622</v>
      </c>
      <c r="J90" s="381">
        <f t="shared" si="46"/>
        <v>17.663360653673045</v>
      </c>
      <c r="K90" s="381">
        <f t="shared" si="46"/>
        <v>0</v>
      </c>
      <c r="L90" s="381">
        <f t="shared" si="46"/>
        <v>0</v>
      </c>
      <c r="M90" s="381">
        <f t="shared" si="46"/>
        <v>0</v>
      </c>
      <c r="N90" s="346">
        <f t="shared" si="46"/>
        <v>0</v>
      </c>
      <c r="O90" s="374">
        <f t="shared" si="42"/>
        <v>2207.92008170913</v>
      </c>
      <c r="P90" s="431">
        <f t="shared" si="40"/>
        <v>647.50261252359928</v>
      </c>
    </row>
    <row r="91" spans="1:17">
      <c r="C91" s="255"/>
      <c r="D91" s="348" t="s">
        <v>9</v>
      </c>
      <c r="E91" s="264"/>
      <c r="F91" s="294">
        <f t="shared" ref="F91:N91" si="47">IF($O$74=0,0,F$81/$O$81*$O$74*F23)</f>
        <v>0</v>
      </c>
      <c r="G91" s="290">
        <f t="shared" si="47"/>
        <v>0</v>
      </c>
      <c r="H91" s="290">
        <f t="shared" si="47"/>
        <v>189.7891554620777</v>
      </c>
      <c r="I91" s="416">
        <f t="shared" si="47"/>
        <v>76.605563607060247</v>
      </c>
      <c r="J91" s="381">
        <f t="shared" si="47"/>
        <v>2.1483445086220807</v>
      </c>
      <c r="K91" s="381">
        <f t="shared" si="47"/>
        <v>0</v>
      </c>
      <c r="L91" s="381">
        <f t="shared" si="47"/>
        <v>0</v>
      </c>
      <c r="M91" s="381">
        <f t="shared" si="47"/>
        <v>0</v>
      </c>
      <c r="N91" s="346">
        <f t="shared" si="47"/>
        <v>0</v>
      </c>
      <c r="O91" s="374">
        <f t="shared" si="42"/>
        <v>268.54306357776005</v>
      </c>
      <c r="P91" s="431">
        <f t="shared" si="40"/>
        <v>78.753908115682322</v>
      </c>
    </row>
    <row r="92" spans="1:17">
      <c r="C92" s="255"/>
      <c r="D92" s="348" t="s">
        <v>10</v>
      </c>
      <c r="E92" s="264"/>
      <c r="F92" s="294">
        <f t="shared" ref="F92:N92" si="48">IF($O$74=0,0,F$81/$O$81*$O$74*F24)</f>
        <v>0</v>
      </c>
      <c r="G92" s="290">
        <f t="shared" si="48"/>
        <v>0</v>
      </c>
      <c r="H92" s="290">
        <f t="shared" si="48"/>
        <v>0</v>
      </c>
      <c r="I92" s="416">
        <f t="shared" si="48"/>
        <v>0</v>
      </c>
      <c r="J92" s="381">
        <f t="shared" si="48"/>
        <v>0</v>
      </c>
      <c r="K92" s="381">
        <f t="shared" si="48"/>
        <v>0</v>
      </c>
      <c r="L92" s="381">
        <f t="shared" si="48"/>
        <v>0</v>
      </c>
      <c r="M92" s="381">
        <f t="shared" si="48"/>
        <v>0</v>
      </c>
      <c r="N92" s="346">
        <f t="shared" si="48"/>
        <v>0</v>
      </c>
      <c r="O92" s="374">
        <f t="shared" si="42"/>
        <v>0</v>
      </c>
      <c r="P92" s="431">
        <f t="shared" si="40"/>
        <v>0</v>
      </c>
    </row>
    <row r="93" spans="1:17">
      <c r="C93" s="255"/>
      <c r="D93" s="348" t="s">
        <v>11</v>
      </c>
      <c r="E93" s="264"/>
      <c r="F93" s="294">
        <f t="shared" ref="F93:N93" si="49">IF($O$74=0,0,F$81/$O$81*$O$74*F25)</f>
        <v>0</v>
      </c>
      <c r="G93" s="290">
        <f t="shared" si="49"/>
        <v>0</v>
      </c>
      <c r="H93" s="290">
        <f t="shared" si="49"/>
        <v>0</v>
      </c>
      <c r="I93" s="416">
        <f t="shared" si="49"/>
        <v>0</v>
      </c>
      <c r="J93" s="381">
        <f t="shared" si="49"/>
        <v>0</v>
      </c>
      <c r="K93" s="381">
        <f t="shared" si="49"/>
        <v>0</v>
      </c>
      <c r="L93" s="381">
        <f t="shared" si="49"/>
        <v>0</v>
      </c>
      <c r="M93" s="381">
        <f t="shared" si="49"/>
        <v>0</v>
      </c>
      <c r="N93" s="346">
        <f t="shared" si="49"/>
        <v>0</v>
      </c>
      <c r="O93" s="374">
        <f t="shared" si="42"/>
        <v>0</v>
      </c>
      <c r="P93" s="431">
        <f t="shared" si="40"/>
        <v>0</v>
      </c>
    </row>
    <row r="94" spans="1:17">
      <c r="C94" s="255"/>
      <c r="D94" s="348" t="s">
        <v>12</v>
      </c>
      <c r="E94" s="264"/>
      <c r="F94" s="294">
        <f t="shared" ref="F94:N94" si="50">IF($O$74=0,0,F$81/$O$81*$O$74*F26)</f>
        <v>0</v>
      </c>
      <c r="G94" s="290">
        <f t="shared" si="50"/>
        <v>0</v>
      </c>
      <c r="H94" s="290">
        <f t="shared" si="50"/>
        <v>0</v>
      </c>
      <c r="I94" s="416">
        <f t="shared" si="50"/>
        <v>0</v>
      </c>
      <c r="J94" s="381">
        <f t="shared" si="50"/>
        <v>0</v>
      </c>
      <c r="K94" s="381">
        <f t="shared" si="50"/>
        <v>0</v>
      </c>
      <c r="L94" s="381">
        <f t="shared" si="50"/>
        <v>0</v>
      </c>
      <c r="M94" s="381">
        <f t="shared" si="50"/>
        <v>0</v>
      </c>
      <c r="N94" s="346">
        <f t="shared" si="50"/>
        <v>0</v>
      </c>
      <c r="O94" s="374">
        <f t="shared" si="42"/>
        <v>0</v>
      </c>
      <c r="P94" s="431">
        <f t="shared" si="40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1">+SUM(G85:G94)</f>
        <v>0</v>
      </c>
      <c r="H95" s="5">
        <f t="shared" ref="H95:N95" si="52">+SUM(H85:H94)</f>
        <v>9814.8119178109791</v>
      </c>
      <c r="I95" s="411">
        <f t="shared" si="52"/>
        <v>3961.6025311384806</v>
      </c>
      <c r="J95" s="382">
        <f t="shared" si="52"/>
        <v>111.10011652378597</v>
      </c>
      <c r="K95" s="382">
        <f t="shared" si="52"/>
        <v>0</v>
      </c>
      <c r="L95" s="382">
        <f t="shared" si="52"/>
        <v>0</v>
      </c>
      <c r="M95" s="382">
        <f t="shared" si="52"/>
        <v>0</v>
      </c>
      <c r="N95" s="286">
        <f t="shared" si="52"/>
        <v>0</v>
      </c>
      <c r="O95" s="372">
        <f>SUM(O85:O94)</f>
        <v>13887.514565473244</v>
      </c>
      <c r="P95" s="428">
        <f>SUM(P85:P94)</f>
        <v>4072.7026476622664</v>
      </c>
      <c r="Q95" s="24"/>
    </row>
    <row r="96" spans="1:17">
      <c r="E96" s="27" t="s">
        <v>50</v>
      </c>
      <c r="F96" s="452">
        <f>F95-F81</f>
        <v>0</v>
      </c>
      <c r="G96" s="452">
        <f t="shared" ref="G96:N96" si="53">G95-G81</f>
        <v>0</v>
      </c>
      <c r="H96" s="452">
        <f t="shared" si="53"/>
        <v>0</v>
      </c>
      <c r="I96" s="452">
        <f t="shared" si="53"/>
        <v>0</v>
      </c>
      <c r="J96" s="452">
        <f t="shared" si="53"/>
        <v>0</v>
      </c>
      <c r="K96" s="191">
        <f t="shared" si="53"/>
        <v>0</v>
      </c>
      <c r="L96" s="191">
        <f t="shared" si="53"/>
        <v>0</v>
      </c>
      <c r="M96" s="191">
        <f t="shared" si="53"/>
        <v>0</v>
      </c>
      <c r="N96" s="191">
        <f t="shared" si="53"/>
        <v>0</v>
      </c>
      <c r="O96" s="191">
        <f t="shared" ref="O96" si="54">O95-O81</f>
        <v>0</v>
      </c>
      <c r="P96" s="191">
        <f t="shared" ref="P96" si="55">P95-P81</f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6">0.5*H21</f>
        <v>0</v>
      </c>
      <c r="I99" s="2">
        <f t="shared" si="56"/>
        <v>0</v>
      </c>
      <c r="J99" s="2">
        <f t="shared" si="56"/>
        <v>0</v>
      </c>
      <c r="K99" s="2">
        <f t="shared" si="56"/>
        <v>0</v>
      </c>
      <c r="L99" s="2">
        <f t="shared" si="56"/>
        <v>0</v>
      </c>
      <c r="M99" s="2">
        <f t="shared" si="56"/>
        <v>0</v>
      </c>
      <c r="N99" s="2">
        <f t="shared" si="56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7">0.5*H21</f>
        <v>0</v>
      </c>
      <c r="I101" s="2">
        <f t="shared" si="57"/>
        <v>0</v>
      </c>
      <c r="J101" s="2">
        <f t="shared" si="57"/>
        <v>0</v>
      </c>
      <c r="K101" s="2">
        <f t="shared" si="57"/>
        <v>0</v>
      </c>
      <c r="L101" s="2">
        <f t="shared" si="57"/>
        <v>0</v>
      </c>
      <c r="M101" s="2">
        <f t="shared" si="57"/>
        <v>0</v>
      </c>
      <c r="N101" s="2">
        <f t="shared" si="57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0.62077737287500001</v>
      </c>
      <c r="H103" s="2">
        <f t="shared" ref="H103:N103" si="58">H18</f>
        <v>0.62077737287500001</v>
      </c>
      <c r="I103" s="2">
        <f t="shared" si="58"/>
        <v>0.62077737287500001</v>
      </c>
      <c r="J103" s="2">
        <f t="shared" si="58"/>
        <v>0.62077737287500001</v>
      </c>
      <c r="K103" s="2">
        <f t="shared" si="58"/>
        <v>0.62077737287500001</v>
      </c>
      <c r="L103" s="2">
        <f t="shared" si="58"/>
        <v>0.62077737287500001</v>
      </c>
      <c r="M103" s="2">
        <f t="shared" si="58"/>
        <v>0.62077737287500001</v>
      </c>
      <c r="N103" s="2">
        <f t="shared" si="58"/>
        <v>0.62077737287500001</v>
      </c>
    </row>
    <row r="104" spans="3:16" hidden="1" outlineLevel="1">
      <c r="D104" s="248" t="s">
        <v>384</v>
      </c>
      <c r="G104" s="2">
        <f>G19</f>
        <v>0</v>
      </c>
      <c r="H104" s="2">
        <f t="shared" ref="H104:N104" si="59">H19</f>
        <v>0</v>
      </c>
      <c r="I104" s="2">
        <f t="shared" si="59"/>
        <v>0</v>
      </c>
      <c r="J104" s="2">
        <f t="shared" si="59"/>
        <v>0</v>
      </c>
      <c r="K104" s="2">
        <f t="shared" si="59"/>
        <v>0</v>
      </c>
      <c r="L104" s="2">
        <f t="shared" si="59"/>
        <v>0</v>
      </c>
      <c r="M104" s="2">
        <f t="shared" si="59"/>
        <v>0</v>
      </c>
      <c r="N104" s="2">
        <f t="shared" si="59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ref="H105:N105" si="60">H20</f>
        <v>0</v>
      </c>
      <c r="I105" s="2">
        <f t="shared" si="60"/>
        <v>0</v>
      </c>
      <c r="J105" s="2">
        <f t="shared" si="60"/>
        <v>0</v>
      </c>
      <c r="K105" s="2">
        <f t="shared" si="60"/>
        <v>0</v>
      </c>
      <c r="L105" s="2">
        <f t="shared" si="60"/>
        <v>0</v>
      </c>
      <c r="M105" s="2">
        <f t="shared" si="60"/>
        <v>0</v>
      </c>
      <c r="N105" s="2">
        <f t="shared" si="60"/>
        <v>0</v>
      </c>
    </row>
    <row r="106" spans="3:16" hidden="1" outlineLevel="1">
      <c r="D106" s="248" t="s">
        <v>386</v>
      </c>
      <c r="G106" s="2">
        <f>G17+G23</f>
        <v>0.22023664937499998</v>
      </c>
      <c r="H106" s="2">
        <f t="shared" ref="H106:N106" si="61">H17+H23</f>
        <v>0.22023664937499998</v>
      </c>
      <c r="I106" s="2">
        <f t="shared" si="61"/>
        <v>0.22023664937499998</v>
      </c>
      <c r="J106" s="2">
        <f t="shared" si="61"/>
        <v>0.22023664937499998</v>
      </c>
      <c r="K106" s="2">
        <f t="shared" si="61"/>
        <v>0.22023664937499998</v>
      </c>
      <c r="L106" s="2">
        <f t="shared" si="61"/>
        <v>0.22023664937499998</v>
      </c>
      <c r="M106" s="2">
        <f t="shared" si="61"/>
        <v>0.22023664937499998</v>
      </c>
      <c r="N106" s="2">
        <f t="shared" si="61"/>
        <v>0.22023664937499998</v>
      </c>
    </row>
    <row r="107" spans="3:16" hidden="1" outlineLevel="1">
      <c r="D107" s="248" t="s">
        <v>387</v>
      </c>
      <c r="G107" s="2">
        <f>G22</f>
        <v>0.15898597775000001</v>
      </c>
      <c r="H107" s="2">
        <f t="shared" ref="H107:N107" si="62">H22</f>
        <v>0.15898597775000001</v>
      </c>
      <c r="I107" s="2">
        <f t="shared" si="62"/>
        <v>0.15898597775000001</v>
      </c>
      <c r="J107" s="2">
        <f t="shared" si="62"/>
        <v>0.15898597775000001</v>
      </c>
      <c r="K107" s="2">
        <f t="shared" si="62"/>
        <v>0.15898597775000001</v>
      </c>
      <c r="L107" s="2">
        <f t="shared" si="62"/>
        <v>0.15898597775000001</v>
      </c>
      <c r="M107" s="2">
        <f t="shared" si="62"/>
        <v>0.15898597775000001</v>
      </c>
      <c r="N107" s="2">
        <f t="shared" si="62"/>
        <v>0.15898597775000001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63">SUM(H99:H107)</f>
        <v>1</v>
      </c>
      <c r="I108" s="2">
        <f t="shared" si="63"/>
        <v>1</v>
      </c>
      <c r="J108" s="2">
        <f t="shared" si="63"/>
        <v>1</v>
      </c>
      <c r="K108" s="2">
        <f t="shared" si="63"/>
        <v>1</v>
      </c>
      <c r="L108" s="2">
        <f t="shared" si="63"/>
        <v>1</v>
      </c>
      <c r="M108" s="2">
        <f t="shared" si="63"/>
        <v>1</v>
      </c>
      <c r="N108" s="2">
        <f t="shared" si="63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64">H99*H$53</f>
        <v>0</v>
      </c>
      <c r="I111" s="191">
        <f t="shared" si="64"/>
        <v>0</v>
      </c>
      <c r="J111" s="191">
        <f t="shared" si="64"/>
        <v>0</v>
      </c>
      <c r="K111" s="191">
        <f t="shared" si="64"/>
        <v>0</v>
      </c>
      <c r="L111" s="191">
        <f t="shared" si="64"/>
        <v>0</v>
      </c>
      <c r="M111" s="191">
        <f t="shared" si="64"/>
        <v>0</v>
      </c>
      <c r="N111" s="191">
        <f t="shared" si="64"/>
        <v>0</v>
      </c>
      <c r="O111" s="191">
        <f t="shared" ref="O111:O119" si="65">SUM(F111:N111)</f>
        <v>0</v>
      </c>
      <c r="P111" s="191">
        <f t="shared" ref="P111:P119" si="66">SUM(I111:M111)</f>
        <v>0</v>
      </c>
    </row>
    <row r="112" spans="3:16" hidden="1" outlineLevel="1">
      <c r="D112" s="248" t="s">
        <v>380</v>
      </c>
      <c r="G112" s="191">
        <f t="shared" ref="G112:N119" si="67">G100*G$53</f>
        <v>0</v>
      </c>
      <c r="H112" s="191">
        <f t="shared" si="67"/>
        <v>0</v>
      </c>
      <c r="I112" s="191">
        <f t="shared" si="67"/>
        <v>0</v>
      </c>
      <c r="J112" s="191">
        <f t="shared" si="67"/>
        <v>0</v>
      </c>
      <c r="K112" s="191">
        <f t="shared" si="67"/>
        <v>0</v>
      </c>
      <c r="L112" s="191">
        <f t="shared" si="67"/>
        <v>0</v>
      </c>
      <c r="M112" s="191">
        <f t="shared" si="67"/>
        <v>0</v>
      </c>
      <c r="N112" s="191">
        <f t="shared" si="67"/>
        <v>0</v>
      </c>
      <c r="O112" s="191">
        <f t="shared" si="65"/>
        <v>0</v>
      </c>
      <c r="P112" s="191">
        <f t="shared" si="66"/>
        <v>0</v>
      </c>
    </row>
    <row r="113" spans="4:16" hidden="1" outlineLevel="1">
      <c r="D113" s="248" t="s">
        <v>381</v>
      </c>
      <c r="G113" s="191">
        <f t="shared" si="67"/>
        <v>0</v>
      </c>
      <c r="H113" s="191">
        <f t="shared" si="67"/>
        <v>0</v>
      </c>
      <c r="I113" s="191">
        <f t="shared" si="67"/>
        <v>0</v>
      </c>
      <c r="J113" s="191">
        <f t="shared" si="67"/>
        <v>0</v>
      </c>
      <c r="K113" s="191">
        <f t="shared" si="67"/>
        <v>0</v>
      </c>
      <c r="L113" s="191">
        <f t="shared" si="67"/>
        <v>0</v>
      </c>
      <c r="M113" s="191">
        <f t="shared" si="67"/>
        <v>0</v>
      </c>
      <c r="N113" s="191">
        <f t="shared" si="67"/>
        <v>0</v>
      </c>
      <c r="O113" s="191">
        <f t="shared" si="65"/>
        <v>0</v>
      </c>
      <c r="P113" s="191">
        <f t="shared" si="66"/>
        <v>0</v>
      </c>
    </row>
    <row r="114" spans="4:16" hidden="1" outlineLevel="1">
      <c r="D114" s="248" t="s">
        <v>382</v>
      </c>
      <c r="G114" s="191">
        <f t="shared" si="67"/>
        <v>0</v>
      </c>
      <c r="H114" s="191">
        <f t="shared" si="67"/>
        <v>0</v>
      </c>
      <c r="I114" s="191">
        <f t="shared" si="67"/>
        <v>0</v>
      </c>
      <c r="J114" s="191">
        <f t="shared" si="67"/>
        <v>0</v>
      </c>
      <c r="K114" s="191">
        <f t="shared" si="67"/>
        <v>0</v>
      </c>
      <c r="L114" s="191">
        <f t="shared" si="67"/>
        <v>0</v>
      </c>
      <c r="M114" s="191">
        <f t="shared" si="67"/>
        <v>0</v>
      </c>
      <c r="N114" s="191">
        <f t="shared" si="67"/>
        <v>0</v>
      </c>
      <c r="O114" s="191">
        <f t="shared" si="65"/>
        <v>0</v>
      </c>
      <c r="P114" s="191">
        <f t="shared" si="66"/>
        <v>0</v>
      </c>
    </row>
    <row r="115" spans="4:16" hidden="1" outlineLevel="1">
      <c r="D115" s="248" t="s">
        <v>383</v>
      </c>
      <c r="G115" s="191">
        <f t="shared" si="67"/>
        <v>274.9646912980956</v>
      </c>
      <c r="H115" s="191">
        <f t="shared" si="67"/>
        <v>2000.1905485076581</v>
      </c>
      <c r="I115" s="191">
        <f t="shared" si="67"/>
        <v>868.02259850274277</v>
      </c>
      <c r="J115" s="191">
        <f t="shared" si="67"/>
        <v>0</v>
      </c>
      <c r="K115" s="191">
        <f t="shared" si="67"/>
        <v>0</v>
      </c>
      <c r="L115" s="191">
        <f t="shared" si="67"/>
        <v>0</v>
      </c>
      <c r="M115" s="191">
        <f t="shared" si="67"/>
        <v>0</v>
      </c>
      <c r="N115" s="191">
        <f t="shared" si="67"/>
        <v>0</v>
      </c>
      <c r="O115" s="191">
        <f t="shared" si="65"/>
        <v>3143.1778383084966</v>
      </c>
      <c r="P115" s="191">
        <f t="shared" si="66"/>
        <v>868.02259850274277</v>
      </c>
    </row>
    <row r="116" spans="4:16" hidden="1" outlineLevel="1">
      <c r="D116" s="248" t="s">
        <v>384</v>
      </c>
      <c r="G116" s="191">
        <f t="shared" si="67"/>
        <v>0</v>
      </c>
      <c r="H116" s="191">
        <f t="shared" si="67"/>
        <v>0</v>
      </c>
      <c r="I116" s="191">
        <f t="shared" si="67"/>
        <v>0</v>
      </c>
      <c r="J116" s="191">
        <f t="shared" si="67"/>
        <v>0</v>
      </c>
      <c r="K116" s="191">
        <f t="shared" si="67"/>
        <v>0</v>
      </c>
      <c r="L116" s="191">
        <f t="shared" si="67"/>
        <v>0</v>
      </c>
      <c r="M116" s="191">
        <f t="shared" si="67"/>
        <v>0</v>
      </c>
      <c r="N116" s="191">
        <f t="shared" si="67"/>
        <v>0</v>
      </c>
      <c r="O116" s="191">
        <f t="shared" si="65"/>
        <v>0</v>
      </c>
      <c r="P116" s="191">
        <f t="shared" si="66"/>
        <v>0</v>
      </c>
    </row>
    <row r="117" spans="4:16" hidden="1" outlineLevel="1">
      <c r="D117" s="248" t="s">
        <v>385</v>
      </c>
      <c r="G117" s="191">
        <f t="shared" si="67"/>
        <v>0</v>
      </c>
      <c r="H117" s="191">
        <f t="shared" si="67"/>
        <v>0</v>
      </c>
      <c r="I117" s="191">
        <f t="shared" si="67"/>
        <v>0</v>
      </c>
      <c r="J117" s="191">
        <f t="shared" si="67"/>
        <v>0</v>
      </c>
      <c r="K117" s="191">
        <f t="shared" si="67"/>
        <v>0</v>
      </c>
      <c r="L117" s="191">
        <f t="shared" si="67"/>
        <v>0</v>
      </c>
      <c r="M117" s="191">
        <f t="shared" si="67"/>
        <v>0</v>
      </c>
      <c r="N117" s="191">
        <f t="shared" si="67"/>
        <v>0</v>
      </c>
      <c r="O117" s="191">
        <f t="shared" si="65"/>
        <v>0</v>
      </c>
      <c r="P117" s="191">
        <f t="shared" si="66"/>
        <v>0</v>
      </c>
    </row>
    <row r="118" spans="4:16" hidden="1" outlineLevel="1">
      <c r="D118" s="248" t="s">
        <v>386</v>
      </c>
      <c r="G118" s="191">
        <f t="shared" si="67"/>
        <v>97.550756445044641</v>
      </c>
      <c r="H118" s="191">
        <f t="shared" si="67"/>
        <v>709.61875184772941</v>
      </c>
      <c r="I118" s="191">
        <f t="shared" si="67"/>
        <v>307.95321644965804</v>
      </c>
      <c r="J118" s="191">
        <f t="shared" si="67"/>
        <v>0</v>
      </c>
      <c r="K118" s="191">
        <f t="shared" si="67"/>
        <v>0</v>
      </c>
      <c r="L118" s="191">
        <f t="shared" si="67"/>
        <v>0</v>
      </c>
      <c r="M118" s="191">
        <f t="shared" si="67"/>
        <v>0</v>
      </c>
      <c r="N118" s="191">
        <f t="shared" si="67"/>
        <v>0</v>
      </c>
      <c r="O118" s="191">
        <f t="shared" si="65"/>
        <v>1115.1227247424322</v>
      </c>
      <c r="P118" s="191">
        <f t="shared" si="66"/>
        <v>307.95321644965804</v>
      </c>
    </row>
    <row r="119" spans="4:16" hidden="1" outlineLevel="1">
      <c r="D119" s="248" t="s">
        <v>387</v>
      </c>
      <c r="G119" s="912">
        <f t="shared" si="67"/>
        <v>70.4206245312959</v>
      </c>
      <c r="H119" s="912">
        <f t="shared" si="67"/>
        <v>512.2645636519228</v>
      </c>
      <c r="I119" s="912">
        <f t="shared" si="67"/>
        <v>222.30742865662194</v>
      </c>
      <c r="J119" s="912">
        <f t="shared" si="67"/>
        <v>0</v>
      </c>
      <c r="K119" s="912">
        <f t="shared" si="67"/>
        <v>0</v>
      </c>
      <c r="L119" s="912">
        <f t="shared" si="67"/>
        <v>0</v>
      </c>
      <c r="M119" s="912">
        <f t="shared" si="67"/>
        <v>0</v>
      </c>
      <c r="N119" s="912">
        <f t="shared" si="67"/>
        <v>0</v>
      </c>
      <c r="O119" s="912">
        <f t="shared" si="65"/>
        <v>804.99261683984059</v>
      </c>
      <c r="P119" s="912">
        <f t="shared" si="66"/>
        <v>222.30742865662194</v>
      </c>
    </row>
    <row r="120" spans="4:16" hidden="1" outlineLevel="1">
      <c r="D120" s="248" t="s">
        <v>440</v>
      </c>
      <c r="G120" s="191">
        <f>SUM(G111:G119)</f>
        <v>442.93607227443619</v>
      </c>
      <c r="H120" s="191">
        <f t="shared" ref="H120:P120" si="68">SUM(H111:H119)</f>
        <v>3222.0738640073105</v>
      </c>
      <c r="I120" s="191">
        <f t="shared" si="68"/>
        <v>1398.283243609023</v>
      </c>
      <c r="J120" s="191">
        <f t="shared" si="68"/>
        <v>0</v>
      </c>
      <c r="K120" s="191">
        <f t="shared" si="68"/>
        <v>0</v>
      </c>
      <c r="L120" s="191">
        <f t="shared" si="68"/>
        <v>0</v>
      </c>
      <c r="M120" s="191">
        <f t="shared" si="68"/>
        <v>0</v>
      </c>
      <c r="N120" s="191">
        <f t="shared" si="68"/>
        <v>0</v>
      </c>
      <c r="O120" s="191">
        <f t="shared" si="68"/>
        <v>5063.2931798907694</v>
      </c>
      <c r="P120" s="191">
        <f t="shared" si="68"/>
        <v>1398.283243609023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9">H99*H$51</f>
        <v>0</v>
      </c>
      <c r="I123" s="191">
        <f t="shared" si="69"/>
        <v>0</v>
      </c>
      <c r="J123" s="191">
        <f t="shared" si="69"/>
        <v>0</v>
      </c>
      <c r="K123" s="191">
        <f t="shared" si="69"/>
        <v>0</v>
      </c>
      <c r="L123" s="191">
        <f t="shared" si="69"/>
        <v>0</v>
      </c>
      <c r="M123" s="191">
        <f t="shared" si="69"/>
        <v>0</v>
      </c>
      <c r="N123" s="191">
        <f t="shared" si="69"/>
        <v>0</v>
      </c>
      <c r="O123" s="191">
        <f t="shared" ref="O123:O131" si="70">SUM(F123:N123)</f>
        <v>0</v>
      </c>
      <c r="P123" s="191">
        <f t="shared" ref="P123:P131" si="71">SUM(I123:M123)</f>
        <v>0</v>
      </c>
    </row>
    <row r="124" spans="4:16" hidden="1" outlineLevel="1">
      <c r="D124" s="248" t="s">
        <v>380</v>
      </c>
      <c r="G124" s="191">
        <f t="shared" ref="G124:N124" si="72">G100*G$51</f>
        <v>0</v>
      </c>
      <c r="H124" s="191">
        <f t="shared" si="72"/>
        <v>0</v>
      </c>
      <c r="I124" s="191">
        <f t="shared" si="72"/>
        <v>0</v>
      </c>
      <c r="J124" s="191">
        <f t="shared" si="72"/>
        <v>0</v>
      </c>
      <c r="K124" s="191">
        <f t="shared" si="72"/>
        <v>0</v>
      </c>
      <c r="L124" s="191">
        <f t="shared" si="72"/>
        <v>0</v>
      </c>
      <c r="M124" s="191">
        <f t="shared" si="72"/>
        <v>0</v>
      </c>
      <c r="N124" s="191">
        <f t="shared" si="72"/>
        <v>0</v>
      </c>
      <c r="O124" s="191">
        <f t="shared" si="70"/>
        <v>0</v>
      </c>
      <c r="P124" s="191">
        <f t="shared" si="71"/>
        <v>0</v>
      </c>
    </row>
    <row r="125" spans="4:16" hidden="1" outlineLevel="1">
      <c r="D125" s="248" t="s">
        <v>381</v>
      </c>
      <c r="G125" s="191">
        <f t="shared" ref="G125:N125" si="73">G101*G$51</f>
        <v>0</v>
      </c>
      <c r="H125" s="191">
        <f t="shared" si="73"/>
        <v>0</v>
      </c>
      <c r="I125" s="191">
        <f t="shared" si="73"/>
        <v>0</v>
      </c>
      <c r="J125" s="191">
        <f t="shared" si="73"/>
        <v>0</v>
      </c>
      <c r="K125" s="191">
        <f t="shared" si="73"/>
        <v>0</v>
      </c>
      <c r="L125" s="191">
        <f t="shared" si="73"/>
        <v>0</v>
      </c>
      <c r="M125" s="191">
        <f t="shared" si="73"/>
        <v>0</v>
      </c>
      <c r="N125" s="191">
        <f t="shared" si="73"/>
        <v>0</v>
      </c>
      <c r="O125" s="191">
        <f t="shared" si="70"/>
        <v>0</v>
      </c>
      <c r="P125" s="191">
        <f t="shared" si="71"/>
        <v>0</v>
      </c>
    </row>
    <row r="126" spans="4:16" hidden="1" outlineLevel="1">
      <c r="D126" s="248" t="s">
        <v>382</v>
      </c>
      <c r="G126" s="191">
        <f t="shared" ref="G126:N126" si="74">G102*G$51</f>
        <v>0</v>
      </c>
      <c r="H126" s="191">
        <f t="shared" si="74"/>
        <v>0</v>
      </c>
      <c r="I126" s="191">
        <f t="shared" si="74"/>
        <v>0</v>
      </c>
      <c r="J126" s="191">
        <f t="shared" si="74"/>
        <v>0</v>
      </c>
      <c r="K126" s="191">
        <f t="shared" si="74"/>
        <v>0</v>
      </c>
      <c r="L126" s="191">
        <f t="shared" si="74"/>
        <v>0</v>
      </c>
      <c r="M126" s="191">
        <f t="shared" si="74"/>
        <v>0</v>
      </c>
      <c r="N126" s="191">
        <f t="shared" si="74"/>
        <v>0</v>
      </c>
      <c r="O126" s="191">
        <f t="shared" si="70"/>
        <v>0</v>
      </c>
      <c r="P126" s="191">
        <f t="shared" si="71"/>
        <v>0</v>
      </c>
    </row>
    <row r="127" spans="4:16" hidden="1" outlineLevel="1">
      <c r="D127" s="248" t="s">
        <v>383</v>
      </c>
      <c r="G127" s="191">
        <f t="shared" ref="G127:N127" si="75">G103*G$51</f>
        <v>69.14502721486798</v>
      </c>
      <c r="H127" s="191">
        <f t="shared" si="75"/>
        <v>506.30512074720241</v>
      </c>
      <c r="I127" s="191">
        <f t="shared" si="75"/>
        <v>221.4899652352959</v>
      </c>
      <c r="J127" s="191">
        <f t="shared" si="75"/>
        <v>0</v>
      </c>
      <c r="K127" s="191">
        <f t="shared" si="75"/>
        <v>0</v>
      </c>
      <c r="L127" s="191">
        <f t="shared" si="75"/>
        <v>0</v>
      </c>
      <c r="M127" s="191">
        <f t="shared" si="75"/>
        <v>0</v>
      </c>
      <c r="N127" s="191">
        <f t="shared" si="75"/>
        <v>0</v>
      </c>
      <c r="O127" s="191">
        <f t="shared" si="70"/>
        <v>796.94011319736626</v>
      </c>
      <c r="P127" s="191">
        <f t="shared" si="71"/>
        <v>221.4899652352959</v>
      </c>
    </row>
    <row r="128" spans="4:16" hidden="1" outlineLevel="1">
      <c r="D128" s="248" t="s">
        <v>384</v>
      </c>
      <c r="G128" s="191">
        <f t="shared" ref="G128:N128" si="76">G104*G$51</f>
        <v>0</v>
      </c>
      <c r="H128" s="191">
        <f t="shared" si="76"/>
        <v>0</v>
      </c>
      <c r="I128" s="191">
        <f t="shared" si="76"/>
        <v>0</v>
      </c>
      <c r="J128" s="191">
        <f t="shared" si="76"/>
        <v>0</v>
      </c>
      <c r="K128" s="191">
        <f t="shared" si="76"/>
        <v>0</v>
      </c>
      <c r="L128" s="191">
        <f t="shared" si="76"/>
        <v>0</v>
      </c>
      <c r="M128" s="191">
        <f t="shared" si="76"/>
        <v>0</v>
      </c>
      <c r="N128" s="191">
        <f t="shared" si="76"/>
        <v>0</v>
      </c>
      <c r="O128" s="191">
        <f t="shared" si="70"/>
        <v>0</v>
      </c>
      <c r="P128" s="191">
        <f t="shared" si="71"/>
        <v>0</v>
      </c>
    </row>
    <row r="129" spans="4:16" hidden="1" outlineLevel="1">
      <c r="D129" s="248" t="s">
        <v>385</v>
      </c>
      <c r="G129" s="191">
        <f t="shared" ref="G129:N129" si="77">G105*G$51</f>
        <v>0</v>
      </c>
      <c r="H129" s="191">
        <f t="shared" si="77"/>
        <v>0</v>
      </c>
      <c r="I129" s="191">
        <f t="shared" si="77"/>
        <v>0</v>
      </c>
      <c r="J129" s="191">
        <f t="shared" si="77"/>
        <v>0</v>
      </c>
      <c r="K129" s="191">
        <f t="shared" si="77"/>
        <v>0</v>
      </c>
      <c r="L129" s="191">
        <f t="shared" si="77"/>
        <v>0</v>
      </c>
      <c r="M129" s="191">
        <f t="shared" si="77"/>
        <v>0</v>
      </c>
      <c r="N129" s="191">
        <f t="shared" si="77"/>
        <v>0</v>
      </c>
      <c r="O129" s="191">
        <f t="shared" si="70"/>
        <v>0</v>
      </c>
      <c r="P129" s="191">
        <f t="shared" si="71"/>
        <v>0</v>
      </c>
    </row>
    <row r="130" spans="4:16" hidden="1" outlineLevel="1">
      <c r="D130" s="248" t="s">
        <v>386</v>
      </c>
      <c r="G130" s="191">
        <f t="shared" ref="G130:N130" si="78">G106*G$51</f>
        <v>24.530966784789822</v>
      </c>
      <c r="H130" s="191">
        <f t="shared" si="78"/>
        <v>179.62469031103319</v>
      </c>
      <c r="I130" s="191">
        <f t="shared" si="78"/>
        <v>78.579229761051877</v>
      </c>
      <c r="J130" s="191">
        <f t="shared" si="78"/>
        <v>0</v>
      </c>
      <c r="K130" s="191">
        <f t="shared" si="78"/>
        <v>0</v>
      </c>
      <c r="L130" s="191">
        <f t="shared" si="78"/>
        <v>0</v>
      </c>
      <c r="M130" s="191">
        <f t="shared" si="78"/>
        <v>0</v>
      </c>
      <c r="N130" s="191">
        <f t="shared" si="78"/>
        <v>0</v>
      </c>
      <c r="O130" s="191">
        <f t="shared" si="70"/>
        <v>282.73488685687488</v>
      </c>
      <c r="P130" s="191">
        <f t="shared" si="71"/>
        <v>78.579229761051877</v>
      </c>
    </row>
    <row r="131" spans="4:16" hidden="1" outlineLevel="1">
      <c r="D131" s="248" t="s">
        <v>387</v>
      </c>
      <c r="G131" s="912">
        <f t="shared" ref="G131:N131" si="79">G107*G$51</f>
        <v>17.708586425104318</v>
      </c>
      <c r="H131" s="912">
        <f t="shared" si="79"/>
        <v>129.66873178548403</v>
      </c>
      <c r="I131" s="912">
        <f t="shared" si="79"/>
        <v>56.725325734186661</v>
      </c>
      <c r="J131" s="912">
        <f t="shared" si="79"/>
        <v>0</v>
      </c>
      <c r="K131" s="912">
        <f t="shared" si="79"/>
        <v>0</v>
      </c>
      <c r="L131" s="912">
        <f t="shared" si="79"/>
        <v>0</v>
      </c>
      <c r="M131" s="912">
        <f t="shared" si="79"/>
        <v>0</v>
      </c>
      <c r="N131" s="912">
        <f t="shared" si="79"/>
        <v>0</v>
      </c>
      <c r="O131" s="912">
        <f t="shared" si="70"/>
        <v>204.10264394477502</v>
      </c>
      <c r="P131" s="912">
        <f t="shared" si="71"/>
        <v>56.725325734186661</v>
      </c>
    </row>
    <row r="132" spans="4:16" hidden="1" outlineLevel="1">
      <c r="D132" s="248" t="s">
        <v>441</v>
      </c>
      <c r="G132" s="191">
        <f>SUM(G123:G131)</f>
        <v>111.38458042476212</v>
      </c>
      <c r="H132" s="191">
        <f t="shared" ref="H132" si="80">SUM(H123:H131)</f>
        <v>815.59854284371966</v>
      </c>
      <c r="I132" s="191">
        <f t="shared" ref="I132" si="81">SUM(I123:I131)</f>
        <v>356.79452073053443</v>
      </c>
      <c r="J132" s="191">
        <f t="shared" ref="J132" si="82">SUM(J123:J131)</f>
        <v>0</v>
      </c>
      <c r="K132" s="191">
        <f t="shared" ref="K132" si="83">SUM(K123:K131)</f>
        <v>0</v>
      </c>
      <c r="L132" s="191">
        <f t="shared" ref="L132" si="84">SUM(L123:L131)</f>
        <v>0</v>
      </c>
      <c r="M132" s="191">
        <f t="shared" ref="M132" si="85">SUM(M123:M131)</f>
        <v>0</v>
      </c>
      <c r="N132" s="191">
        <f t="shared" ref="N132:P132" si="86">SUM(N123:N131)</f>
        <v>0</v>
      </c>
      <c r="O132" s="191">
        <f t="shared" si="86"/>
        <v>1283.7776439990162</v>
      </c>
      <c r="P132" s="191">
        <f t="shared" si="86"/>
        <v>356.79452073053443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87">H99*H$52</f>
        <v>0</v>
      </c>
      <c r="I135" s="191">
        <f t="shared" si="87"/>
        <v>0</v>
      </c>
      <c r="J135" s="191">
        <f t="shared" si="87"/>
        <v>0</v>
      </c>
      <c r="K135" s="191">
        <f t="shared" si="87"/>
        <v>0</v>
      </c>
      <c r="L135" s="191">
        <f t="shared" si="87"/>
        <v>0</v>
      </c>
      <c r="M135" s="191">
        <f t="shared" si="87"/>
        <v>0</v>
      </c>
      <c r="N135" s="191">
        <f t="shared" si="87"/>
        <v>0</v>
      </c>
      <c r="O135" s="191">
        <f t="shared" ref="O135:O143" si="88">SUM(F135:N135)</f>
        <v>0</v>
      </c>
      <c r="P135" s="191">
        <f t="shared" ref="P135:P143" si="89">SUM(I135:M135)</f>
        <v>0</v>
      </c>
    </row>
    <row r="136" spans="4:16" hidden="1" outlineLevel="1">
      <c r="D136" s="248" t="s">
        <v>380</v>
      </c>
      <c r="G136" s="191">
        <f t="shared" ref="G136:N136" si="90">G100*G$52</f>
        <v>0</v>
      </c>
      <c r="H136" s="191">
        <f t="shared" si="90"/>
        <v>0</v>
      </c>
      <c r="I136" s="191">
        <f t="shared" si="90"/>
        <v>0</v>
      </c>
      <c r="J136" s="191">
        <f t="shared" si="90"/>
        <v>0</v>
      </c>
      <c r="K136" s="191">
        <f t="shared" si="90"/>
        <v>0</v>
      </c>
      <c r="L136" s="191">
        <f t="shared" si="90"/>
        <v>0</v>
      </c>
      <c r="M136" s="191">
        <f t="shared" si="90"/>
        <v>0</v>
      </c>
      <c r="N136" s="191">
        <f t="shared" si="90"/>
        <v>0</v>
      </c>
      <c r="O136" s="191">
        <f t="shared" si="88"/>
        <v>0</v>
      </c>
      <c r="P136" s="191">
        <f t="shared" si="89"/>
        <v>0</v>
      </c>
    </row>
    <row r="137" spans="4:16" hidden="1" outlineLevel="1">
      <c r="D137" s="248" t="s">
        <v>381</v>
      </c>
      <c r="G137" s="191">
        <f t="shared" ref="G137:N137" si="91">G101*G$52</f>
        <v>0</v>
      </c>
      <c r="H137" s="191">
        <f t="shared" si="91"/>
        <v>0</v>
      </c>
      <c r="I137" s="191">
        <f t="shared" si="91"/>
        <v>0</v>
      </c>
      <c r="J137" s="191">
        <f t="shared" si="91"/>
        <v>0</v>
      </c>
      <c r="K137" s="191">
        <f t="shared" si="91"/>
        <v>0</v>
      </c>
      <c r="L137" s="191">
        <f t="shared" si="91"/>
        <v>0</v>
      </c>
      <c r="M137" s="191">
        <f t="shared" si="91"/>
        <v>0</v>
      </c>
      <c r="N137" s="191">
        <f t="shared" si="91"/>
        <v>0</v>
      </c>
      <c r="O137" s="191">
        <f t="shared" si="88"/>
        <v>0</v>
      </c>
      <c r="P137" s="191">
        <f t="shared" si="89"/>
        <v>0</v>
      </c>
    </row>
    <row r="138" spans="4:16" hidden="1" outlineLevel="1">
      <c r="D138" s="248" t="s">
        <v>382</v>
      </c>
      <c r="G138" s="191">
        <f t="shared" ref="G138:N138" si="92">G102*G$52</f>
        <v>0</v>
      </c>
      <c r="H138" s="191">
        <f t="shared" si="92"/>
        <v>0</v>
      </c>
      <c r="I138" s="191">
        <f t="shared" si="92"/>
        <v>0</v>
      </c>
      <c r="J138" s="191">
        <f t="shared" si="92"/>
        <v>0</v>
      </c>
      <c r="K138" s="191">
        <f t="shared" si="92"/>
        <v>0</v>
      </c>
      <c r="L138" s="191">
        <f t="shared" si="92"/>
        <v>0</v>
      </c>
      <c r="M138" s="191">
        <f t="shared" si="92"/>
        <v>0</v>
      </c>
      <c r="N138" s="191">
        <f t="shared" si="92"/>
        <v>0</v>
      </c>
      <c r="O138" s="191">
        <f t="shared" si="88"/>
        <v>0</v>
      </c>
      <c r="P138" s="191">
        <f t="shared" si="89"/>
        <v>0</v>
      </c>
    </row>
    <row r="139" spans="4:16" hidden="1" outlineLevel="1">
      <c r="D139" s="248" t="s">
        <v>383</v>
      </c>
      <c r="G139" s="191">
        <f t="shared" ref="G139:N139" si="93">G103*G$52</f>
        <v>345.11505816552216</v>
      </c>
      <c r="H139" s="191">
        <f t="shared" si="93"/>
        <v>2527.1211528952208</v>
      </c>
      <c r="I139" s="191">
        <f t="shared" si="93"/>
        <v>1108.0728551441532</v>
      </c>
      <c r="J139" s="191">
        <f t="shared" si="93"/>
        <v>0</v>
      </c>
      <c r="K139" s="191">
        <f t="shared" si="93"/>
        <v>0</v>
      </c>
      <c r="L139" s="191">
        <f t="shared" si="93"/>
        <v>0</v>
      </c>
      <c r="M139" s="191">
        <f t="shared" si="93"/>
        <v>0</v>
      </c>
      <c r="N139" s="191">
        <f t="shared" si="93"/>
        <v>0</v>
      </c>
      <c r="O139" s="191">
        <f t="shared" si="88"/>
        <v>3980.3090662048962</v>
      </c>
      <c r="P139" s="191">
        <f t="shared" si="89"/>
        <v>1108.0728551441532</v>
      </c>
    </row>
    <row r="140" spans="4:16" hidden="1" outlineLevel="1">
      <c r="D140" s="248" t="s">
        <v>384</v>
      </c>
      <c r="G140" s="191">
        <f t="shared" ref="G140:N140" si="94">G104*G$52</f>
        <v>0</v>
      </c>
      <c r="H140" s="191">
        <f t="shared" si="94"/>
        <v>0</v>
      </c>
      <c r="I140" s="191">
        <f t="shared" si="94"/>
        <v>0</v>
      </c>
      <c r="J140" s="191">
        <f t="shared" si="94"/>
        <v>0</v>
      </c>
      <c r="K140" s="191">
        <f t="shared" si="94"/>
        <v>0</v>
      </c>
      <c r="L140" s="191">
        <f t="shared" si="94"/>
        <v>0</v>
      </c>
      <c r="M140" s="191">
        <f t="shared" si="94"/>
        <v>0</v>
      </c>
      <c r="N140" s="191">
        <f t="shared" si="94"/>
        <v>0</v>
      </c>
      <c r="O140" s="191">
        <f t="shared" si="88"/>
        <v>0</v>
      </c>
      <c r="P140" s="191">
        <f t="shared" si="89"/>
        <v>0</v>
      </c>
    </row>
    <row r="141" spans="4:16" hidden="1" outlineLevel="1">
      <c r="D141" s="248" t="s">
        <v>385</v>
      </c>
      <c r="G141" s="191">
        <f t="shared" ref="G141:N141" si="95">G105*G$52</f>
        <v>0</v>
      </c>
      <c r="H141" s="191">
        <f t="shared" si="95"/>
        <v>0</v>
      </c>
      <c r="I141" s="191">
        <f t="shared" si="95"/>
        <v>0</v>
      </c>
      <c r="J141" s="191">
        <f t="shared" si="95"/>
        <v>0</v>
      </c>
      <c r="K141" s="191">
        <f t="shared" si="95"/>
        <v>0</v>
      </c>
      <c r="L141" s="191">
        <f t="shared" si="95"/>
        <v>0</v>
      </c>
      <c r="M141" s="191">
        <f t="shared" si="95"/>
        <v>0</v>
      </c>
      <c r="N141" s="191">
        <f t="shared" si="95"/>
        <v>0</v>
      </c>
      <c r="O141" s="191">
        <f t="shared" si="88"/>
        <v>0</v>
      </c>
      <c r="P141" s="191">
        <f t="shared" si="89"/>
        <v>0</v>
      </c>
    </row>
    <row r="142" spans="4:16" hidden="1" outlineLevel="1">
      <c r="D142" s="248" t="s">
        <v>386</v>
      </c>
      <c r="G142" s="191">
        <f t="shared" ref="G142:N142" si="96">G106*G$52</f>
        <v>122.43839318308665</v>
      </c>
      <c r="H142" s="191">
        <f t="shared" si="96"/>
        <v>896.56085997580408</v>
      </c>
      <c r="I142" s="191">
        <f t="shared" si="96"/>
        <v>393.11718426547361</v>
      </c>
      <c r="J142" s="191">
        <f t="shared" si="96"/>
        <v>0</v>
      </c>
      <c r="K142" s="191">
        <f t="shared" si="96"/>
        <v>0</v>
      </c>
      <c r="L142" s="191">
        <f t="shared" si="96"/>
        <v>0</v>
      </c>
      <c r="M142" s="191">
        <f t="shared" si="96"/>
        <v>0</v>
      </c>
      <c r="N142" s="191">
        <f t="shared" si="96"/>
        <v>0</v>
      </c>
      <c r="O142" s="191">
        <f t="shared" si="88"/>
        <v>1412.1164374243644</v>
      </c>
      <c r="P142" s="191">
        <f t="shared" si="89"/>
        <v>393.11718426547361</v>
      </c>
    </row>
    <row r="143" spans="4:16" hidden="1" outlineLevel="1">
      <c r="D143" s="248" t="s">
        <v>387</v>
      </c>
      <c r="G143" s="912">
        <f t="shared" ref="G143:N143" si="97">G107*G$52</f>
        <v>88.386686364842745</v>
      </c>
      <c r="H143" s="912">
        <f t="shared" si="97"/>
        <v>647.21564435412472</v>
      </c>
      <c r="I143" s="912">
        <f t="shared" si="97"/>
        <v>283.78619129985685</v>
      </c>
      <c r="J143" s="912">
        <f t="shared" si="97"/>
        <v>0</v>
      </c>
      <c r="K143" s="912">
        <f t="shared" si="97"/>
        <v>0</v>
      </c>
      <c r="L143" s="912">
        <f t="shared" si="97"/>
        <v>0</v>
      </c>
      <c r="M143" s="912">
        <f t="shared" si="97"/>
        <v>0</v>
      </c>
      <c r="N143" s="912">
        <f t="shared" si="97"/>
        <v>0</v>
      </c>
      <c r="O143" s="912">
        <f t="shared" si="88"/>
        <v>1019.3885220188242</v>
      </c>
      <c r="P143" s="912">
        <f t="shared" si="89"/>
        <v>283.78619129985685</v>
      </c>
    </row>
    <row r="144" spans="4:16" hidden="1" outlineLevel="1">
      <c r="D144" s="248" t="s">
        <v>442</v>
      </c>
      <c r="G144" s="191">
        <f>SUM(G135:G143)</f>
        <v>555.94013771345158</v>
      </c>
      <c r="H144" s="191">
        <f t="shared" ref="H144" si="98">SUM(H135:H143)</f>
        <v>4070.8976572251499</v>
      </c>
      <c r="I144" s="191">
        <f t="shared" ref="I144" si="99">SUM(I135:I143)</f>
        <v>1784.9762307094838</v>
      </c>
      <c r="J144" s="191">
        <f t="shared" ref="J144" si="100">SUM(J135:J143)</f>
        <v>0</v>
      </c>
      <c r="K144" s="191">
        <f t="shared" ref="K144" si="101">SUM(K135:K143)</f>
        <v>0</v>
      </c>
      <c r="L144" s="191">
        <f t="shared" ref="L144" si="102">SUM(L135:L143)</f>
        <v>0</v>
      </c>
      <c r="M144" s="191">
        <f t="shared" ref="M144" si="103">SUM(M135:M143)</f>
        <v>0</v>
      </c>
      <c r="N144" s="191">
        <f t="shared" ref="N144:P144" si="104">SUM(N135:N143)</f>
        <v>0</v>
      </c>
      <c r="O144" s="191">
        <f t="shared" si="104"/>
        <v>6411.8140256480847</v>
      </c>
      <c r="P144" s="191">
        <f t="shared" si="104"/>
        <v>1784.9762307094838</v>
      </c>
    </row>
    <row r="145" spans="4:16" hidden="1" outlineLevel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105">G111+G123+G135</f>
        <v>0</v>
      </c>
      <c r="H147" s="191">
        <f t="shared" si="105"/>
        <v>0</v>
      </c>
      <c r="I147" s="191">
        <f t="shared" si="105"/>
        <v>0</v>
      </c>
      <c r="J147" s="191">
        <f t="shared" si="105"/>
        <v>0</v>
      </c>
      <c r="K147" s="191">
        <f t="shared" si="105"/>
        <v>0</v>
      </c>
      <c r="L147" s="191">
        <f t="shared" si="105"/>
        <v>0</v>
      </c>
      <c r="M147" s="191">
        <f t="shared" si="105"/>
        <v>0</v>
      </c>
      <c r="N147" s="191">
        <f t="shared" si="105"/>
        <v>0</v>
      </c>
      <c r="O147" s="191">
        <f t="shared" ref="O147:O155" si="106">SUM(F147:N147)</f>
        <v>0</v>
      </c>
      <c r="P147" s="191">
        <f t="shared" ref="P147:P155" si="107">SUM(I147:M147)</f>
        <v>0</v>
      </c>
    </row>
    <row r="148" spans="4:16" hidden="1" outlineLevel="1">
      <c r="D148" s="248" t="s">
        <v>380</v>
      </c>
      <c r="G148" s="191">
        <f t="shared" si="105"/>
        <v>0</v>
      </c>
      <c r="H148" s="191">
        <f t="shared" si="105"/>
        <v>0</v>
      </c>
      <c r="I148" s="191">
        <f t="shared" si="105"/>
        <v>0</v>
      </c>
      <c r="J148" s="191">
        <f t="shared" si="105"/>
        <v>0</v>
      </c>
      <c r="K148" s="191">
        <f t="shared" si="105"/>
        <v>0</v>
      </c>
      <c r="L148" s="191">
        <f t="shared" si="105"/>
        <v>0</v>
      </c>
      <c r="M148" s="191">
        <f t="shared" si="105"/>
        <v>0</v>
      </c>
      <c r="N148" s="191">
        <f t="shared" si="105"/>
        <v>0</v>
      </c>
      <c r="O148" s="191">
        <f t="shared" si="106"/>
        <v>0</v>
      </c>
      <c r="P148" s="191">
        <f t="shared" si="107"/>
        <v>0</v>
      </c>
    </row>
    <row r="149" spans="4:16" hidden="1" outlineLevel="1">
      <c r="D149" s="248" t="s">
        <v>381</v>
      </c>
      <c r="G149" s="191">
        <f t="shared" si="105"/>
        <v>0</v>
      </c>
      <c r="H149" s="191">
        <f t="shared" si="105"/>
        <v>0</v>
      </c>
      <c r="I149" s="191">
        <f t="shared" si="105"/>
        <v>0</v>
      </c>
      <c r="J149" s="191">
        <f t="shared" si="105"/>
        <v>0</v>
      </c>
      <c r="K149" s="191">
        <f t="shared" si="105"/>
        <v>0</v>
      </c>
      <c r="L149" s="191">
        <f t="shared" si="105"/>
        <v>0</v>
      </c>
      <c r="M149" s="191">
        <f t="shared" si="105"/>
        <v>0</v>
      </c>
      <c r="N149" s="191">
        <f t="shared" si="105"/>
        <v>0</v>
      </c>
      <c r="O149" s="191">
        <f t="shared" si="106"/>
        <v>0</v>
      </c>
      <c r="P149" s="191">
        <f t="shared" si="107"/>
        <v>0</v>
      </c>
    </row>
    <row r="150" spans="4:16" hidden="1" outlineLevel="1">
      <c r="D150" s="248" t="s">
        <v>382</v>
      </c>
      <c r="G150" s="191">
        <f t="shared" si="105"/>
        <v>0</v>
      </c>
      <c r="H150" s="191">
        <f t="shared" si="105"/>
        <v>0</v>
      </c>
      <c r="I150" s="191">
        <f t="shared" si="105"/>
        <v>0</v>
      </c>
      <c r="J150" s="191">
        <f t="shared" si="105"/>
        <v>0</v>
      </c>
      <c r="K150" s="191">
        <f t="shared" si="105"/>
        <v>0</v>
      </c>
      <c r="L150" s="191">
        <f t="shared" si="105"/>
        <v>0</v>
      </c>
      <c r="M150" s="191">
        <f t="shared" si="105"/>
        <v>0</v>
      </c>
      <c r="N150" s="191">
        <f t="shared" si="105"/>
        <v>0</v>
      </c>
      <c r="O150" s="191">
        <f t="shared" si="106"/>
        <v>0</v>
      </c>
      <c r="P150" s="191">
        <f t="shared" si="107"/>
        <v>0</v>
      </c>
    </row>
    <row r="151" spans="4:16" hidden="1" outlineLevel="1">
      <c r="D151" s="248" t="s">
        <v>383</v>
      </c>
      <c r="G151" s="191">
        <f t="shared" si="105"/>
        <v>689.2247766784858</v>
      </c>
      <c r="H151" s="191">
        <f t="shared" si="105"/>
        <v>5033.6168221500811</v>
      </c>
      <c r="I151" s="191">
        <f t="shared" si="105"/>
        <v>2197.5854188821918</v>
      </c>
      <c r="J151" s="191">
        <f t="shared" si="105"/>
        <v>0</v>
      </c>
      <c r="K151" s="191">
        <f t="shared" si="105"/>
        <v>0</v>
      </c>
      <c r="L151" s="191">
        <f t="shared" si="105"/>
        <v>0</v>
      </c>
      <c r="M151" s="191">
        <f t="shared" si="105"/>
        <v>0</v>
      </c>
      <c r="N151" s="191">
        <f t="shared" si="105"/>
        <v>0</v>
      </c>
      <c r="O151" s="191">
        <f t="shared" si="106"/>
        <v>7920.4270177107592</v>
      </c>
      <c r="P151" s="191">
        <f t="shared" si="107"/>
        <v>2197.5854188821918</v>
      </c>
    </row>
    <row r="152" spans="4:16" hidden="1" outlineLevel="1">
      <c r="D152" s="248" t="s">
        <v>384</v>
      </c>
      <c r="G152" s="191">
        <f t="shared" si="105"/>
        <v>0</v>
      </c>
      <c r="H152" s="191">
        <f t="shared" si="105"/>
        <v>0</v>
      </c>
      <c r="I152" s="191">
        <f t="shared" si="105"/>
        <v>0</v>
      </c>
      <c r="J152" s="191">
        <f t="shared" si="105"/>
        <v>0</v>
      </c>
      <c r="K152" s="191">
        <f t="shared" si="105"/>
        <v>0</v>
      </c>
      <c r="L152" s="191">
        <f t="shared" si="105"/>
        <v>0</v>
      </c>
      <c r="M152" s="191">
        <f t="shared" si="105"/>
        <v>0</v>
      </c>
      <c r="N152" s="191">
        <f t="shared" si="105"/>
        <v>0</v>
      </c>
      <c r="O152" s="191">
        <f t="shared" si="106"/>
        <v>0</v>
      </c>
      <c r="P152" s="191">
        <f t="shared" si="107"/>
        <v>0</v>
      </c>
    </row>
    <row r="153" spans="4:16" hidden="1" outlineLevel="1">
      <c r="D153" s="248" t="s">
        <v>385</v>
      </c>
      <c r="G153" s="191">
        <f t="shared" si="105"/>
        <v>0</v>
      </c>
      <c r="H153" s="191">
        <f t="shared" si="105"/>
        <v>0</v>
      </c>
      <c r="I153" s="191">
        <f t="shared" si="105"/>
        <v>0</v>
      </c>
      <c r="J153" s="191">
        <f t="shared" si="105"/>
        <v>0</v>
      </c>
      <c r="K153" s="191">
        <f t="shared" si="105"/>
        <v>0</v>
      </c>
      <c r="L153" s="191">
        <f t="shared" si="105"/>
        <v>0</v>
      </c>
      <c r="M153" s="191">
        <f t="shared" si="105"/>
        <v>0</v>
      </c>
      <c r="N153" s="191">
        <f t="shared" si="105"/>
        <v>0</v>
      </c>
      <c r="O153" s="191">
        <f t="shared" si="106"/>
        <v>0</v>
      </c>
      <c r="P153" s="191">
        <f t="shared" si="107"/>
        <v>0</v>
      </c>
    </row>
    <row r="154" spans="4:16" hidden="1" outlineLevel="1">
      <c r="D154" s="248" t="s">
        <v>386</v>
      </c>
      <c r="G154" s="191">
        <f t="shared" si="105"/>
        <v>244.52011641292111</v>
      </c>
      <c r="H154" s="191">
        <f t="shared" si="105"/>
        <v>1785.8043021345666</v>
      </c>
      <c r="I154" s="191">
        <f t="shared" si="105"/>
        <v>779.64963047618357</v>
      </c>
      <c r="J154" s="191">
        <f t="shared" si="105"/>
        <v>0</v>
      </c>
      <c r="K154" s="191">
        <f t="shared" si="105"/>
        <v>0</v>
      </c>
      <c r="L154" s="191">
        <f t="shared" si="105"/>
        <v>0</v>
      </c>
      <c r="M154" s="191">
        <f t="shared" si="105"/>
        <v>0</v>
      </c>
      <c r="N154" s="191">
        <f t="shared" si="105"/>
        <v>0</v>
      </c>
      <c r="O154" s="191">
        <f t="shared" si="106"/>
        <v>2809.9740490236713</v>
      </c>
      <c r="P154" s="191">
        <f t="shared" si="107"/>
        <v>779.64963047618357</v>
      </c>
    </row>
    <row r="155" spans="4:16" hidden="1" outlineLevel="1">
      <c r="D155" s="248" t="s">
        <v>387</v>
      </c>
      <c r="G155" s="912">
        <f t="shared" si="105"/>
        <v>176.51589732124296</v>
      </c>
      <c r="H155" s="912">
        <f t="shared" si="105"/>
        <v>1289.1489397915316</v>
      </c>
      <c r="I155" s="912">
        <f t="shared" si="105"/>
        <v>562.81894569066549</v>
      </c>
      <c r="J155" s="912">
        <f t="shared" si="105"/>
        <v>0</v>
      </c>
      <c r="K155" s="912">
        <f t="shared" si="105"/>
        <v>0</v>
      </c>
      <c r="L155" s="912">
        <f t="shared" si="105"/>
        <v>0</v>
      </c>
      <c r="M155" s="912">
        <f t="shared" si="105"/>
        <v>0</v>
      </c>
      <c r="N155" s="912">
        <f t="shared" si="105"/>
        <v>0</v>
      </c>
      <c r="O155" s="912">
        <f t="shared" si="106"/>
        <v>2028.4837828034399</v>
      </c>
      <c r="P155" s="912">
        <f t="shared" si="107"/>
        <v>562.81894569066549</v>
      </c>
    </row>
    <row r="156" spans="4:16" hidden="1" outlineLevel="1">
      <c r="D156" s="248" t="s">
        <v>454</v>
      </c>
      <c r="G156" s="191">
        <f>SUM(G147:G155)</f>
        <v>1110.2607904126498</v>
      </c>
      <c r="H156" s="191">
        <f t="shared" ref="H156:N156" si="108">SUM(H147:H155)</f>
        <v>8108.5700640761788</v>
      </c>
      <c r="I156" s="191">
        <f t="shared" si="108"/>
        <v>3540.0539950490411</v>
      </c>
      <c r="J156" s="191">
        <f t="shared" si="108"/>
        <v>0</v>
      </c>
      <c r="K156" s="191">
        <f t="shared" si="108"/>
        <v>0</v>
      </c>
      <c r="L156" s="191">
        <f t="shared" si="108"/>
        <v>0</v>
      </c>
      <c r="M156" s="191">
        <f t="shared" si="108"/>
        <v>0</v>
      </c>
      <c r="N156" s="191">
        <f t="shared" si="108"/>
        <v>0</v>
      </c>
      <c r="O156" s="191">
        <f t="shared" ref="O156:P156" si="109">SUM(O147:O155)</f>
        <v>12758.88484953787</v>
      </c>
      <c r="P156" s="191">
        <f t="shared" si="109"/>
        <v>3540.0539950490411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8" priority="4" operator="equal">
      <formula>"Error"</formula>
    </cfRule>
  </conditionalFormatting>
  <conditionalFormatting sqref="R11">
    <cfRule type="cellIs" dxfId="137" priority="3" operator="equal">
      <formula>"Error"</formula>
    </cfRule>
  </conditionalFormatting>
  <conditionalFormatting sqref="R54">
    <cfRule type="cellIs" dxfId="13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ignoredErrors>
    <ignoredError sqref="G106:N106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Normal="100" workbookViewId="0">
      <pane ySplit="10" topLeftCell="A73" activePane="bottomLeft" state="frozen"/>
      <selection activeCell="R52" sqref="R52"/>
      <selection pane="bottomLeft" activeCell="G80" sqref="G80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>
        <f>Project_Inputs!B50</f>
        <v>0</v>
      </c>
      <c r="F3" s="249" t="s">
        <v>63</v>
      </c>
      <c r="G3" s="249">
        <f>Project_Inputs!F50</f>
        <v>0</v>
      </c>
    </row>
    <row r="4" spans="1:21" ht="18.75">
      <c r="A4" s="6"/>
      <c r="B4" s="6"/>
      <c r="C4" s="13" t="s">
        <v>15</v>
      </c>
      <c r="D4" s="339" t="str">
        <f>Project_Inputs!D50</f>
        <v>Motor Vehicles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Project_Inputs!H50</f>
        <v>Non 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Project_Inputs!I50</f>
        <v>Non Network - Vehicles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Project_Inputs!J50</f>
        <v>Non_IT_OHD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8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792.95987292307677</v>
      </c>
      <c r="G11" s="319">
        <f>IF(G$10="Prior",SUMIFS(Project_Inputs!$W$5:$W$50,Project_Inputs!$D$5:$D$50,$D$4),SUMIFS(Project_Inputs!M$5:M$50,Project_Inputs!$D$5:$D$50,$D$4))</f>
        <v>1371.1526717557249</v>
      </c>
      <c r="H11" s="389">
        <f>IF(H$10="Prior",SUMIFS(Project_Inputs!$W$5:$W$50,Project_Inputs!$D$5:$D$50,$D$4),SUMIFS(Project_Inputs!N$5:N$50,Project_Inputs!$D$5:$D$50,$D$4))</f>
        <v>872.81063003344377</v>
      </c>
      <c r="I11" s="399">
        <f>IF(I$10="Prior",SUMIFS(Project_Inputs!$W$5:$W$50,Project_Inputs!$D$5:$D$50,$D$4),SUMIFS(Project_Inputs!O$5:O$50,Project_Inputs!$D$5:$D$50,$D$4))</f>
        <v>1867.8901445283207</v>
      </c>
      <c r="J11" s="320">
        <f>IF(J$10="Prior",SUMIFS(Project_Inputs!$W$5:$W$50,Project_Inputs!$D$5:$D$50,$D$4),SUMIFS(Project_Inputs!P$5:P$50,Project_Inputs!$D$5:$D$50,$D$4))</f>
        <v>1465.7381587375207</v>
      </c>
      <c r="K11" s="320">
        <f>IF(K$10="Prior",SUMIFS(Project_Inputs!$W$5:$W$50,Project_Inputs!$D$5:$D$50,$D$4),SUMIFS(Project_Inputs!Q$5:Q$50,Project_Inputs!$D$5:$D$50,$D$4))</f>
        <v>2021.3428759484943</v>
      </c>
      <c r="L11" s="320">
        <f>IF(L$10="Prior",SUMIFS(Project_Inputs!$W$5:$W$50,Project_Inputs!$D$5:$D$50,$D$4),SUMIFS(Project_Inputs!R$5:R$50,Project_Inputs!$D$5:$D$50,$D$4))</f>
        <v>1697.5046979169554</v>
      </c>
      <c r="M11" s="320">
        <f>IF(M$10="Prior",SUMIFS(Project_Inputs!$W$5:$W$50,Project_Inputs!$D$5:$D$50,$D$4),SUMIFS(Project_Inputs!S$5:S$50,Project_Inputs!$D$5:$D$50,$D$4))</f>
        <v>1697.5046979169554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11786.903749760491</v>
      </c>
      <c r="P11" s="300">
        <f t="shared" ref="P11" si="0">SUM(I11:M11)</f>
        <v>8749.9805750482465</v>
      </c>
      <c r="R11" s="608" t="str">
        <f>IF(O11=Project_Inputs!V50,"ok","error")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 t="s">
        <v>132</v>
      </c>
      <c r="G13" s="10" t="s">
        <v>132</v>
      </c>
      <c r="H13" s="391" t="s">
        <v>132</v>
      </c>
      <c r="I13" s="401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37" t="s">
        <v>132</v>
      </c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792.95987292307677</v>
      </c>
      <c r="G14" s="447">
        <f>IF($G$3="Yes",SUMIFS(Project_Inputs!AK$5:AK$50,Project_Inputs!$D$5:$D$50,$D$4),IF(AND(G$13="X",G$10="Prior"),G11,IF(G$13="X",SUM($F11:G11)-SUM(F14:$F14),0)))</f>
        <v>1371.1526717557251</v>
      </c>
      <c r="H14" s="447">
        <f>IF($G$3="Yes",SUMIFS(Project_Inputs!AL$5:AL$50,Project_Inputs!$D$5:$D$50,$D$4),IF(AND(H$13="X",H$10="Prior"),H11,IF(H$13="X",SUM($F11:H11)-SUM($F14:G14),0)))</f>
        <v>872.81063003344389</v>
      </c>
      <c r="I14" s="448">
        <f>IF($G$3="Yes",SUMIFS(Project_Inputs!AM$5:AM$50,Project_Inputs!$D$5:$D$50,$D$4),IF(AND(I$13="X",I$10="Prior"),I11,IF(I$13="X",SUM($F11:I11)-SUM($F14:H14),0)))</f>
        <v>1867.8901445283209</v>
      </c>
      <c r="J14" s="447">
        <f>IF($G$3="Yes",SUMIFS(Project_Inputs!AN$5:AN$50,Project_Inputs!$D$5:$D$50,$D$4),IF(AND(J$13="X",J$10="Prior"),J11,IF(J$13="X",SUM($F11:J11)-SUM($F14:I14),0)))</f>
        <v>1465.7381587375212</v>
      </c>
      <c r="K14" s="447">
        <f>IF($G$3="Yes",SUMIFS(Project_Inputs!AO$5:AO$50,Project_Inputs!$D$5:$D$50,$D$4),IF(AND(K$13="X",K$10="Prior"),K11,IF(K$13="X",SUM($F11:K11)-SUM($F14:J14),0)))</f>
        <v>2021.3428759484941</v>
      </c>
      <c r="L14" s="447">
        <f>IF($G$3="Yes",SUMIFS(Project_Inputs!AP$5:AP$50,Project_Inputs!$D$5:$D$50,$D$4),IF(AND(L$13="X",L$10="Prior"),L11,IF(L$13="X",SUM($F11:L11)-SUM($F14:K14),0)))</f>
        <v>1697.5046979169547</v>
      </c>
      <c r="M14" s="447">
        <f>IF($G$3="Yes",SUMIFS(Project_Inputs!AQ$5:AQ$50,Project_Inputs!$D$5:$D$50,$D$4),IF(AND(M$13="X",M$10="Prior"),M11,IF(M$13="X",SUM($F11:M11)-SUM($F14:L14),0)))</f>
        <v>1697.5046979169547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11786.903749760491</v>
      </c>
      <c r="P14" s="451">
        <f>SUM(I14:M14)</f>
        <v>8749.9805750482446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/>
      <c r="G17" s="341"/>
      <c r="H17" s="392"/>
      <c r="I17" s="404"/>
      <c r="J17" s="341"/>
      <c r="K17" s="341"/>
      <c r="L17" s="341"/>
      <c r="M17" s="341"/>
      <c r="N17" s="342"/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/>
      <c r="G18" s="341"/>
      <c r="H18" s="392"/>
      <c r="I18" s="404"/>
      <c r="J18" s="341"/>
      <c r="K18" s="341"/>
      <c r="L18" s="341"/>
      <c r="M18" s="341"/>
      <c r="N18" s="342"/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/>
      <c r="G22" s="341"/>
      <c r="H22" s="392"/>
      <c r="I22" s="404"/>
      <c r="J22" s="341"/>
      <c r="K22" s="341"/>
      <c r="L22" s="341"/>
      <c r="M22" s="341"/>
      <c r="N22" s="342"/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>
        <v>1</v>
      </c>
      <c r="G24" s="341">
        <v>1</v>
      </c>
      <c r="H24" s="392">
        <v>1</v>
      </c>
      <c r="I24" s="404">
        <v>1</v>
      </c>
      <c r="J24" s="341">
        <v>1</v>
      </c>
      <c r="K24" s="341">
        <v>1</v>
      </c>
      <c r="L24" s="341">
        <v>1</v>
      </c>
      <c r="M24" s="341">
        <v>1</v>
      </c>
      <c r="N24" s="342">
        <v>1</v>
      </c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0.80555219465649852</v>
      </c>
      <c r="H46" s="290">
        <f>IF(H$10="Prior",0,(H11*H29)*(Assumptions!H28-1))</f>
        <v>1.0922155841846715</v>
      </c>
      <c r="I46" s="407">
        <f>IF(I$10="Prior",0,(I11*I29)*(Assumptions!I28-1))</f>
        <v>3.8599036230593859</v>
      </c>
      <c r="J46" s="282">
        <f>IF(J$10="Prior",0,(J11*J29)*(Assumptions!J28-1))</f>
        <v>4.2406580200405939</v>
      </c>
      <c r="K46" s="282">
        <f>IF(K$10="Prior",0,(K11*K29)*(Assumptions!K28-1))</f>
        <v>7.5691821529150793</v>
      </c>
      <c r="L46" s="282">
        <f>IF(L$10="Prior",0,(L11*L29)*(Assumptions!L28-1))</f>
        <v>7.9326854682098134</v>
      </c>
      <c r="M46" s="282">
        <f>IF(M$10="Prior",0,(M11*M29)*(Assumptions!M28-1))</f>
        <v>9.5496021810749809</v>
      </c>
      <c r="N46" s="283">
        <f>IF(N$10="Prior",0,(N11*N29)*(Assumptions!N28-1))</f>
        <v>0</v>
      </c>
      <c r="O46" s="362">
        <f t="shared" ref="O46:O47" si="6">SUM(F46:N46)</f>
        <v>35.049799224141026</v>
      </c>
      <c r="P46" s="300">
        <f t="shared" ref="P46:P47" si="7">SUM(I46:M46)</f>
        <v>33.152031445299855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2.8108629770992311</v>
      </c>
      <c r="H47" s="290">
        <f>IF(H$10="Prior",0,(H11*H30)*(Assumptions!H30-1))</f>
        <v>4.6923008629234824</v>
      </c>
      <c r="I47" s="407">
        <f>IF(I$10="Prior",0,(I11*I30)*(Assumptions!I30-1))</f>
        <v>19.835794323073422</v>
      </c>
      <c r="J47" s="282">
        <f>IF(J$10="Prior",0,(J11*J30)*(Assumptions!J30-1))</f>
        <v>23.367625723674031</v>
      </c>
      <c r="K47" s="282">
        <f>IF(K$10="Prior",0,(K11*K30)*(Assumptions!K30-1))</f>
        <v>42.732575528871912</v>
      </c>
      <c r="L47" s="282">
        <f>IF(L$10="Prior",0,(L11*L30)*(Assumptions!L30-1))</f>
        <v>45.528976732352703</v>
      </c>
      <c r="M47" s="282">
        <f>IF(M$10="Prior",0,(M11*M30)*(Assumptions!M30-1))</f>
        <v>55.500213513805392</v>
      </c>
      <c r="N47" s="283">
        <f>IF(N$10="Prior",0,(N11*N30)*(Assumptions!N30-1))</f>
        <v>0</v>
      </c>
      <c r="O47" s="362">
        <f t="shared" si="6"/>
        <v>194.46834966180018</v>
      </c>
      <c r="P47" s="300">
        <f t="shared" si="7"/>
        <v>186.96518582177745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3.6164151717557296</v>
      </c>
      <c r="H48" s="253">
        <f t="shared" si="8"/>
        <v>5.784516447108154</v>
      </c>
      <c r="I48" s="408">
        <f t="shared" si="8"/>
        <v>23.695697946132807</v>
      </c>
      <c r="J48" s="5">
        <f t="shared" si="8"/>
        <v>27.608283743714626</v>
      </c>
      <c r="K48" s="5">
        <f t="shared" si="8"/>
        <v>50.301757681786995</v>
      </c>
      <c r="L48" s="5">
        <f t="shared" si="8"/>
        <v>53.461662200562515</v>
      </c>
      <c r="M48" s="5">
        <f t="shared" si="8"/>
        <v>65.04981569488038</v>
      </c>
      <c r="N48" s="286">
        <f t="shared" si="8"/>
        <v>0</v>
      </c>
      <c r="O48" s="433">
        <f>SUM(O46:O47)</f>
        <v>229.5181488859412</v>
      </c>
      <c r="P48" s="434">
        <f>SUM(P46:P47)</f>
        <v>220.11721726707731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3.6164151717557296</v>
      </c>
      <c r="H49" s="253">
        <f t="shared" si="9"/>
        <v>5.784516447108154</v>
      </c>
      <c r="I49" s="408">
        <f t="shared" si="9"/>
        <v>23.695697946132807</v>
      </c>
      <c r="J49" s="5">
        <f t="shared" si="9"/>
        <v>27.608283743714626</v>
      </c>
      <c r="K49" s="5">
        <f t="shared" si="9"/>
        <v>50.301757681786995</v>
      </c>
      <c r="L49" s="5">
        <f t="shared" si="9"/>
        <v>53.461662200562515</v>
      </c>
      <c r="M49" s="5">
        <f t="shared" si="9"/>
        <v>65.04981569488038</v>
      </c>
      <c r="N49" s="286">
        <f t="shared" si="9"/>
        <v>0</v>
      </c>
      <c r="O49" s="370">
        <f>O44+O48</f>
        <v>229.5181488859412</v>
      </c>
      <c r="P49" s="371">
        <f>P44+P48</f>
        <v>220.11721726707731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6.6274587499999937E-3</v>
      </c>
      <c r="I50" s="442">
        <f t="shared" si="10"/>
        <v>1.2685809181843742E-2</v>
      </c>
      <c r="J50" s="443">
        <f t="shared" si="10"/>
        <v>1.8835754243782789E-2</v>
      </c>
      <c r="K50" s="443">
        <f t="shared" si="10"/>
        <v>2.4885316726972119E-2</v>
      </c>
      <c r="L50" s="443">
        <f t="shared" si="10"/>
        <v>3.149426464985132E-2</v>
      </c>
      <c r="M50" s="443">
        <f t="shared" si="10"/>
        <v>3.8320845753596094E-2</v>
      </c>
      <c r="N50" s="444">
        <f t="shared" si="10"/>
        <v>0</v>
      </c>
      <c r="O50" s="444">
        <f t="shared" si="10"/>
        <v>1.9472301951274099E-2</v>
      </c>
      <c r="P50" s="444">
        <f t="shared" si="10"/>
        <v>2.5156309248819515E-2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80.637460761538463</v>
      </c>
      <c r="G51" s="280">
        <f>(G29*G$11+G46)*Assumptions!$G$21</f>
        <v>140.25406631446216</v>
      </c>
      <c r="H51" s="280">
        <f>(H29*H$11+H46)*Assumptions!$G$21</f>
        <v>89.8683152553632</v>
      </c>
      <c r="I51" s="410">
        <f>(I29*I$11+I46)*Assumptions!$G$21</f>
        <v>193.8741817275513</v>
      </c>
      <c r="J51" s="280">
        <f>(J29*J$11+J46)*Assumptions!$G$21</f>
        <v>153.36584657244705</v>
      </c>
      <c r="K51" s="280">
        <f>(K29*K$11+K46)*Assumptions!$G$21</f>
        <v>213.25108483748235</v>
      </c>
      <c r="L51" s="280">
        <f>(L29*L$11+L46)*Assumptions!$G$21</f>
        <v>180.68907330001656</v>
      </c>
      <c r="M51" s="280">
        <f>(M29*M$11+M46)*Assumptions!$G$21</f>
        <v>182.33334386704672</v>
      </c>
      <c r="N51" s="281">
        <f>(N29*N$11+N46)*Assumptions!$G$21</f>
        <v>0</v>
      </c>
      <c r="O51" s="373">
        <f t="shared" ref="O51:O53" si="11">SUM(F51:N51)</f>
        <v>1234.2733726359079</v>
      </c>
      <c r="P51" s="375">
        <f>SUM(I51:M51)</f>
        <v>923.51353030454402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403.18730380769227</v>
      </c>
      <c r="G52" s="282">
        <f>(G30*G$11+G47)*Assumptions!$G$21</f>
        <v>700.0328469558915</v>
      </c>
      <c r="H52" s="282">
        <f>(H30*H$11+H47)*Assumptions!$G$21</f>
        <v>448.55979359189507</v>
      </c>
      <c r="I52" s="407">
        <f>(I30*I$11+I47)*Assumptions!$G$21</f>
        <v>969.91625718739374</v>
      </c>
      <c r="J52" s="282">
        <f>(J30*J$11+J47)*Assumptions!$G$21</f>
        <v>769.03018318610339</v>
      </c>
      <c r="K52" s="282">
        <f>(K30*K$11+K47)*Assumptions!$G$21</f>
        <v>1071.2247580924577</v>
      </c>
      <c r="L52" s="282">
        <f>(L30*L$11+L47)*Assumptions!$G$21</f>
        <v>909.41014511041215</v>
      </c>
      <c r="M52" s="282">
        <f>(M30*M$11+M47)*Assumptions!$G$21</f>
        <v>919.55006822839323</v>
      </c>
      <c r="N52" s="283">
        <f>(N30*N$11+N47)*Assumptions!$G$21</f>
        <v>0</v>
      </c>
      <c r="O52" s="374">
        <f t="shared" si="11"/>
        <v>6190.9113561602389</v>
      </c>
      <c r="P52" s="376">
        <f>SUM(I52:M52)</f>
        <v>4639.1314118047603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322.54984304615385</v>
      </c>
      <c r="G53" s="282">
        <f>(G31*G$11+G$44)*Assumptions!$G$21</f>
        <v>557.73954542845649</v>
      </c>
      <c r="H53" s="282">
        <f>(H31*H$11+H$44)*Assumptions!$G$21</f>
        <v>355.03048935946856</v>
      </c>
      <c r="I53" s="407">
        <f>(I31*I$11+I$44)*Assumptions!$G$21</f>
        <v>759.79591593219675</v>
      </c>
      <c r="J53" s="282">
        <f>(J31*J$11+J$44)*Assumptions!$G$21</f>
        <v>596.21379238872089</v>
      </c>
      <c r="K53" s="282">
        <f>(K31*K$11+K$44)*Assumptions!$G$21</f>
        <v>822.21541044220714</v>
      </c>
      <c r="L53" s="282">
        <f>(L31*L$11+L$44)*Assumptions!$G$21</f>
        <v>690.48875306246089</v>
      </c>
      <c r="M53" s="282">
        <f>(M31*M$11+M$44)*Assumptions!$G$21</f>
        <v>690.48875306246089</v>
      </c>
      <c r="N53" s="283">
        <f>(N31*N$11+N$44)*Assumptions!$G$21</f>
        <v>0</v>
      </c>
      <c r="O53" s="374">
        <f t="shared" si="11"/>
        <v>4794.522502722125</v>
      </c>
      <c r="P53" s="376">
        <f>SUM(I53:M53)</f>
        <v>3559.2026248880466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806.37460761538455</v>
      </c>
      <c r="G54" s="5">
        <f t="shared" si="12"/>
        <v>1398.0264586988101</v>
      </c>
      <c r="H54" s="5">
        <f t="shared" si="12"/>
        <v>893.45859820672683</v>
      </c>
      <c r="I54" s="411">
        <f t="shared" si="12"/>
        <v>1923.5863548471418</v>
      </c>
      <c r="J54" s="382">
        <f t="shared" si="12"/>
        <v>1518.6098221472712</v>
      </c>
      <c r="K54" s="382">
        <f t="shared" si="12"/>
        <v>2106.691253372147</v>
      </c>
      <c r="L54" s="382">
        <f t="shared" si="12"/>
        <v>1780.5879714728894</v>
      </c>
      <c r="M54" s="382">
        <f t="shared" si="12"/>
        <v>1792.3721651579008</v>
      </c>
      <c r="N54" s="286">
        <f t="shared" si="12"/>
        <v>0</v>
      </c>
      <c r="O54" s="372">
        <f t="shared" si="12"/>
        <v>12219.70723151827</v>
      </c>
      <c r="P54" s="428">
        <f t="shared" si="12"/>
        <v>9121.8475669973504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0</v>
      </c>
      <c r="G56" s="315">
        <f>INDEX(OHD_Summary_tbl,MATCH($D$9,Assumptions!$C$95:$C$97,0),MATCH(G$10,Assumptions!$D$94:$N$94,0))</f>
        <v>0</v>
      </c>
      <c r="H56" s="396">
        <f>INDEX(OHD_Summary_tbl,MATCH($D$9,Assumptions!$C$95:$C$97,0),MATCH(H$10,Assumptions!$D$94:$N$94,0))</f>
        <v>0</v>
      </c>
      <c r="I56" s="413">
        <f>INDEX(OHD_Summary_tbl,MATCH($D$9,Assumptions!$C$95:$C$97,0),MATCH(I$10,Assumptions!$D$94:$N$94,0))</f>
        <v>0</v>
      </c>
      <c r="J56" s="316">
        <f>INDEX(OHD_Summary_tbl,MATCH($D$9,Assumptions!$C$95:$C$97,0),MATCH(J$10,Assumptions!$D$94:$N$94,0))</f>
        <v>0</v>
      </c>
      <c r="K56" s="316">
        <f>INDEX(OHD_Summary_tbl,MATCH($D$9,Assumptions!$C$95:$C$97,0),MATCH(K$10,Assumptions!$D$94:$N$94,0))</f>
        <v>0</v>
      </c>
      <c r="L56" s="316">
        <f>INDEX(OHD_Summary_tbl,MATCH($D$9,Assumptions!$C$95:$C$97,0),MATCH(L$10,Assumptions!$D$94:$N$94,0))</f>
        <v>0</v>
      </c>
      <c r="M56" s="316">
        <f>INDEX(OHD_Summary_tbl,MATCH($D$9,Assumptions!$C$95:$C$97,0),MATCH(M$10,Assumptions!$D$94:$N$94,0))</f>
        <v>0</v>
      </c>
      <c r="N56" s="317">
        <f>INDEX(OHD_Summary_tbl,MATCH($D$9,Assumptions!$C$95:$C$97,0),MATCH(N$10,Assumptions!$D$94:$N$94,0))</f>
        <v>0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0</v>
      </c>
      <c r="G57" s="290">
        <f t="shared" ref="G57:N57" si="13">G54*G56</f>
        <v>0</v>
      </c>
      <c r="H57" s="290">
        <f t="shared" si="13"/>
        <v>0</v>
      </c>
      <c r="I57" s="407">
        <f t="shared" si="13"/>
        <v>0</v>
      </c>
      <c r="J57" s="282">
        <f t="shared" si="13"/>
        <v>0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0</v>
      </c>
      <c r="P57" s="300">
        <f>SUM(I57:M57)</f>
        <v>0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806.37460761538455</v>
      </c>
      <c r="G59" s="5">
        <f t="shared" si="14"/>
        <v>1398.0264586988101</v>
      </c>
      <c r="H59" s="5">
        <f t="shared" si="14"/>
        <v>893.45859820672683</v>
      </c>
      <c r="I59" s="411">
        <f t="shared" si="14"/>
        <v>1923.5863548471418</v>
      </c>
      <c r="J59" s="382">
        <f t="shared" si="14"/>
        <v>1518.6098221472712</v>
      </c>
      <c r="K59" s="382">
        <f t="shared" si="14"/>
        <v>2106.691253372147</v>
      </c>
      <c r="L59" s="382">
        <f t="shared" si="14"/>
        <v>1780.5879714728894</v>
      </c>
      <c r="M59" s="382">
        <f t="shared" si="14"/>
        <v>1792.3721651579008</v>
      </c>
      <c r="N59" s="418">
        <f>N54+N57</f>
        <v>0</v>
      </c>
      <c r="O59" s="419">
        <f t="shared" ref="O59:P59" si="15">O54+O57</f>
        <v>12219.70723151827</v>
      </c>
      <c r="P59" s="429">
        <f t="shared" si="15"/>
        <v>9121.8475669973504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0</v>
      </c>
      <c r="G60" s="290">
        <f t="shared" ref="G60:N60" si="16">G57+F60</f>
        <v>0</v>
      </c>
      <c r="H60" s="290">
        <f t="shared" si="16"/>
        <v>0</v>
      </c>
      <c r="I60" s="290">
        <f t="shared" si="16"/>
        <v>0</v>
      </c>
      <c r="J60" s="290">
        <f t="shared" si="16"/>
        <v>0</v>
      </c>
      <c r="K60" s="290">
        <f t="shared" si="16"/>
        <v>0</v>
      </c>
      <c r="L60" s="290">
        <f t="shared" si="16"/>
        <v>0</v>
      </c>
      <c r="M60" s="290">
        <f t="shared" si="16"/>
        <v>0</v>
      </c>
      <c r="N60" s="290">
        <f t="shared" si="16"/>
        <v>0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3.6164151717557296</v>
      </c>
      <c r="H61" s="252">
        <f t="shared" ref="H61:N61" si="17">H49+G61</f>
        <v>9.4009316188638827</v>
      </c>
      <c r="I61" s="252">
        <f t="shared" si="17"/>
        <v>33.09662956499669</v>
      </c>
      <c r="J61" s="252">
        <f t="shared" si="17"/>
        <v>60.704913308711312</v>
      </c>
      <c r="K61" s="252">
        <f t="shared" si="17"/>
        <v>111.00667099049831</v>
      </c>
      <c r="L61" s="252">
        <f t="shared" si="17"/>
        <v>164.46833319106082</v>
      </c>
      <c r="M61" s="252">
        <f t="shared" si="17"/>
        <v>229.5181488859412</v>
      </c>
      <c r="N61" s="252">
        <f t="shared" si="17"/>
        <v>229.5181488859412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0</v>
      </c>
      <c r="G64" s="280">
        <f t="shared" si="18"/>
        <v>0</v>
      </c>
      <c r="H64" s="280">
        <f t="shared" si="18"/>
        <v>0</v>
      </c>
      <c r="I64" s="415">
        <f t="shared" si="18"/>
        <v>0</v>
      </c>
      <c r="J64" s="380">
        <f t="shared" si="18"/>
        <v>0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0</v>
      </c>
      <c r="P64" s="430">
        <f>SUM(I64:M64)</f>
        <v>0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0</v>
      </c>
      <c r="G65" s="282">
        <f t="shared" si="19"/>
        <v>0</v>
      </c>
      <c r="H65" s="282">
        <f t="shared" si="19"/>
        <v>0</v>
      </c>
      <c r="I65" s="416">
        <f t="shared" si="19"/>
        <v>0</v>
      </c>
      <c r="J65" s="381">
        <f t="shared" si="19"/>
        <v>0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0</v>
      </c>
      <c r="P65" s="431">
        <f t="shared" ref="P65:P73" si="21">SUM(I65:M65)</f>
        <v>0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0</v>
      </c>
      <c r="G69" s="282">
        <f t="shared" si="25"/>
        <v>0</v>
      </c>
      <c r="H69" s="282">
        <f t="shared" si="25"/>
        <v>0</v>
      </c>
      <c r="I69" s="416">
        <f t="shared" si="25"/>
        <v>0</v>
      </c>
      <c r="J69" s="381">
        <f t="shared" si="25"/>
        <v>0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0</v>
      </c>
      <c r="P69" s="431">
        <f t="shared" si="21"/>
        <v>0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806.37460761538455</v>
      </c>
      <c r="G71" s="282">
        <f t="shared" si="27"/>
        <v>1398.0264586988101</v>
      </c>
      <c r="H71" s="282">
        <f t="shared" si="27"/>
        <v>893.45859820672683</v>
      </c>
      <c r="I71" s="416">
        <f t="shared" si="27"/>
        <v>1923.5863548471418</v>
      </c>
      <c r="J71" s="381">
        <f t="shared" si="27"/>
        <v>1518.6098221472712</v>
      </c>
      <c r="K71" s="381">
        <f t="shared" si="27"/>
        <v>2106.691253372147</v>
      </c>
      <c r="L71" s="381">
        <f t="shared" si="27"/>
        <v>1780.5879714728894</v>
      </c>
      <c r="M71" s="381">
        <f t="shared" si="27"/>
        <v>1792.3721651579008</v>
      </c>
      <c r="N71" s="283">
        <f t="shared" si="27"/>
        <v>0</v>
      </c>
      <c r="O71" s="374">
        <f t="shared" si="20"/>
        <v>12219.70723151827</v>
      </c>
      <c r="P71" s="431">
        <f t="shared" si="21"/>
        <v>9121.8475669973486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806.37460761538455</v>
      </c>
      <c r="G74" s="5">
        <f t="shared" ref="G74:N74" si="30">+SUM(G64:G73)</f>
        <v>1398.0264586988101</v>
      </c>
      <c r="H74" s="5">
        <f t="shared" si="30"/>
        <v>893.45859820672683</v>
      </c>
      <c r="I74" s="411">
        <f t="shared" si="30"/>
        <v>1923.5863548471418</v>
      </c>
      <c r="J74" s="382">
        <f t="shared" si="30"/>
        <v>1518.6098221472712</v>
      </c>
      <c r="K74" s="382">
        <f t="shared" si="30"/>
        <v>2106.691253372147</v>
      </c>
      <c r="L74" s="382">
        <f t="shared" si="30"/>
        <v>1780.5879714728894</v>
      </c>
      <c r="M74" s="382">
        <f t="shared" si="30"/>
        <v>1792.3721651579008</v>
      </c>
      <c r="N74" s="286">
        <f t="shared" si="30"/>
        <v>0</v>
      </c>
      <c r="O74" s="372">
        <f>SUM(O64:O73)</f>
        <v>12219.70723151827</v>
      </c>
      <c r="P74" s="428">
        <f>SUM(P64:P73)</f>
        <v>9121.8475669973486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792.95987292307677</v>
      </c>
      <c r="G76" s="280">
        <f t="shared" si="32"/>
        <v>1371.1526717557251</v>
      </c>
      <c r="H76" s="280">
        <f t="shared" si="32"/>
        <v>872.81063003344389</v>
      </c>
      <c r="I76" s="410">
        <f t="shared" si="32"/>
        <v>1867.8901445283209</v>
      </c>
      <c r="J76" s="280">
        <f t="shared" si="32"/>
        <v>1465.7381587375212</v>
      </c>
      <c r="K76" s="280">
        <f t="shared" si="32"/>
        <v>2021.3428759484941</v>
      </c>
      <c r="L76" s="280">
        <f t="shared" si="32"/>
        <v>1697.5046979169547</v>
      </c>
      <c r="M76" s="280">
        <f t="shared" si="32"/>
        <v>1697.5046979169547</v>
      </c>
      <c r="N76" s="281">
        <f t="shared" si="32"/>
        <v>0</v>
      </c>
      <c r="O76" s="377">
        <f>SUM(F76:N76)</f>
        <v>11786.903749760491</v>
      </c>
      <c r="P76" s="378">
        <f t="shared" ref="P76:P80" si="33">SUM(I76:M76)</f>
        <v>8749.9805750482446</v>
      </c>
    </row>
    <row r="77" spans="1:16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3.6164151717557296</v>
      </c>
      <c r="H77" s="282">
        <f>IF(H$10="Prior",0,IF(AND(H76&lt;&gt;0,SUM($F76:G76)=0),H76/SUM($F$76:H76)*H61,IF(H76&lt;&gt;0,SUM($F$76:H76)/SUM($F$11:H11)*H61-G83,0)))</f>
        <v>5.7845164471081532</v>
      </c>
      <c r="I77" s="407">
        <f>IF(I$10="Prior",0,IF(AND(I76&lt;&gt;0,SUM($F76:H76)=0),I76/SUM($F$76:I76)*I61,IF(I76&lt;&gt;0,SUM($F$76:I76)/SUM($F$11:I11)*I61-H83,0)))</f>
        <v>23.695697946132807</v>
      </c>
      <c r="J77" s="282">
        <f>IF(J$10="Prior",0,IF(AND(J76&lt;&gt;0,SUM($F76:I76)=0),J76/SUM($F$76:J76)*J61,IF(J76&lt;&gt;0,SUM($F$76:J76)/SUM($F$11:J11)*J61-I83,0)))</f>
        <v>27.608283743714622</v>
      </c>
      <c r="K77" s="282">
        <f>IF(K$10="Prior",0,IF(AND(K76&lt;&gt;0,SUM($F76:J76)=0),K76/SUM($F$76:K76)*K61,IF(K76&lt;&gt;0,SUM($F$76:K76)/SUM($F$11:K11)*K61-J83,0)))</f>
        <v>50.301757681786995</v>
      </c>
      <c r="L77" s="282">
        <f>IF(L$10="Prior",0,IF(AND(L76&lt;&gt;0,SUM($F76:K76)=0),L76/SUM($F$76:L76)*L61,IF(L76&lt;&gt;0,SUM($F$76:L76)/SUM($F$11:L11)*L61-K83,0)))</f>
        <v>53.461662200562515</v>
      </c>
      <c r="M77" s="282">
        <f>IF(M$10="Prior",0,IF(AND(M76&lt;&gt;0,SUM($F76:L76)=0),M76/SUM($F$76:M76)*M61,IF(M76&lt;&gt;0,SUM($F$76:M76)/SUM($F$11:M11)*M61-L83,0)))</f>
        <v>65.04981569488038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229.5181488859412</v>
      </c>
      <c r="P77" s="455">
        <f t="shared" si="33"/>
        <v>220.11721726707734</v>
      </c>
    </row>
    <row r="78" spans="1:16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792.95987292307677</v>
      </c>
      <c r="G78" s="457">
        <f t="shared" ref="G78:N78" si="34">SUM(G76:G77)</f>
        <v>1374.7690869274809</v>
      </c>
      <c r="H78" s="457">
        <f t="shared" si="34"/>
        <v>878.59514648055199</v>
      </c>
      <c r="I78" s="458">
        <f t="shared" si="34"/>
        <v>1891.5858424744538</v>
      </c>
      <c r="J78" s="457">
        <f t="shared" si="34"/>
        <v>1493.3464424812357</v>
      </c>
      <c r="K78" s="457">
        <f t="shared" si="34"/>
        <v>2071.6446336302811</v>
      </c>
      <c r="L78" s="457">
        <f t="shared" si="34"/>
        <v>1750.9663601175173</v>
      </c>
      <c r="M78" s="457">
        <f t="shared" si="34"/>
        <v>1762.5545136118351</v>
      </c>
      <c r="N78" s="459">
        <f t="shared" si="34"/>
        <v>0</v>
      </c>
      <c r="O78" s="460">
        <f>SUM(F78:N78)</f>
        <v>12016.421898646433</v>
      </c>
      <c r="P78" s="461">
        <f t="shared" si="33"/>
        <v>8970.0977923153223</v>
      </c>
    </row>
    <row r="79" spans="1:16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806.37460761538455</v>
      </c>
      <c r="G79" s="457">
        <f>G78*Assumptions!$G$21</f>
        <v>1398.0264586988105</v>
      </c>
      <c r="H79" s="457">
        <f>H78*Assumptions!$G$21</f>
        <v>893.45859820672683</v>
      </c>
      <c r="I79" s="458">
        <f>I78*Assumptions!$G$21</f>
        <v>1923.586354847142</v>
      </c>
      <c r="J79" s="457">
        <f>J78*Assumptions!$G$21</f>
        <v>1518.6098221472719</v>
      </c>
      <c r="K79" s="457">
        <f>K78*Assumptions!$G$21</f>
        <v>2106.691253372147</v>
      </c>
      <c r="L79" s="457">
        <f>L78*Assumptions!$G$21</f>
        <v>1780.587971472889</v>
      </c>
      <c r="M79" s="457">
        <f>M78*Assumptions!$G$21</f>
        <v>1792.3721651579001</v>
      </c>
      <c r="N79" s="459">
        <f>N78*Assumptions!$G$21</f>
        <v>0</v>
      </c>
      <c r="O79" s="460">
        <f>SUM(F79:N79)</f>
        <v>12219.707231518272</v>
      </c>
      <c r="P79" s="461">
        <f t="shared" si="33"/>
        <v>9121.8475669973504</v>
      </c>
    </row>
    <row r="80" spans="1:16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0</v>
      </c>
      <c r="I80" s="407">
        <f>IF(I$10="Prior",I79*I56,IF(AND(I79&lt;&gt;0,SUM($F79:H79)=0),I79/SUM($F$54:I54)*I60,IF(I79&lt;&gt;0,SUM($F$79:I79)/SUM($F$54:I54)*I60-H82,0)))</f>
        <v>0</v>
      </c>
      <c r="J80" s="282">
        <f>IF(J$10="Prior",J79*J56,IF(AND(J79&lt;&gt;0,SUM($F79:I79)=0),J79/SUM($F$54:J54)*J60,IF(J79&lt;&gt;0,SUM($F$79:J79)/SUM($F$54:J54)*J60-I82,0)))</f>
        <v>0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0</v>
      </c>
      <c r="P80" s="300">
        <f t="shared" si="33"/>
        <v>0</v>
      </c>
    </row>
    <row r="81" spans="1:17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806.37460761538455</v>
      </c>
      <c r="G81" s="307">
        <f t="shared" ref="G81:P81" si="35">SUM(G79:G80)</f>
        <v>1398.0264586988105</v>
      </c>
      <c r="H81" s="307">
        <f t="shared" si="35"/>
        <v>893.45859820672683</v>
      </c>
      <c r="I81" s="417">
        <f t="shared" si="35"/>
        <v>1923.586354847142</v>
      </c>
      <c r="J81" s="387">
        <f t="shared" si="35"/>
        <v>1518.6098221472719</v>
      </c>
      <c r="K81" s="387">
        <f t="shared" si="35"/>
        <v>2106.691253372147</v>
      </c>
      <c r="L81" s="387">
        <f t="shared" si="35"/>
        <v>1780.587971472889</v>
      </c>
      <c r="M81" s="387">
        <f t="shared" si="35"/>
        <v>1792.3721651579001</v>
      </c>
      <c r="N81" s="420">
        <f t="shared" si="35"/>
        <v>0</v>
      </c>
      <c r="O81" s="421">
        <f t="shared" si="35"/>
        <v>12219.707231518272</v>
      </c>
      <c r="P81" s="388">
        <f t="shared" si="35"/>
        <v>9121.8475669973504</v>
      </c>
    </row>
    <row r="82" spans="1:17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0</v>
      </c>
      <c r="I82" s="252">
        <f t="shared" si="36"/>
        <v>0</v>
      </c>
      <c r="J82" s="252">
        <f t="shared" si="36"/>
        <v>0</v>
      </c>
      <c r="K82" s="252">
        <f t="shared" si="36"/>
        <v>0</v>
      </c>
      <c r="L82" s="252">
        <f t="shared" si="36"/>
        <v>0</v>
      </c>
      <c r="M82" s="252">
        <f t="shared" si="36"/>
        <v>0</v>
      </c>
      <c r="N82" s="252">
        <f t="shared" si="36"/>
        <v>0</v>
      </c>
      <c r="O82" s="12"/>
    </row>
    <row r="83" spans="1:17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3.6164151717557296</v>
      </c>
      <c r="H83" s="252">
        <f t="shared" si="37"/>
        <v>9.4009316188638827</v>
      </c>
      <c r="I83" s="252">
        <f t="shared" si="37"/>
        <v>33.09662956499669</v>
      </c>
      <c r="J83" s="252">
        <f t="shared" si="37"/>
        <v>60.704913308711312</v>
      </c>
      <c r="K83" s="252">
        <f t="shared" si="37"/>
        <v>111.00667099049831</v>
      </c>
      <c r="L83" s="252">
        <f t="shared" si="37"/>
        <v>164.46833319106082</v>
      </c>
      <c r="M83" s="252">
        <f t="shared" si="37"/>
        <v>229.5181488859412</v>
      </c>
      <c r="N83" s="252">
        <f t="shared" si="37"/>
        <v>229.5181488859412</v>
      </c>
      <c r="O83" s="12"/>
    </row>
    <row r="84" spans="1:17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0</v>
      </c>
      <c r="I85" s="415">
        <f t="shared" si="38"/>
        <v>0</v>
      </c>
      <c r="J85" s="380">
        <f t="shared" si="38"/>
        <v>0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0</v>
      </c>
      <c r="P85" s="430">
        <f t="shared" ref="P85:P94" si="39">SUM(I85:M85)</f>
        <v>0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0</v>
      </c>
      <c r="I86" s="416">
        <f t="shared" si="40"/>
        <v>0</v>
      </c>
      <c r="J86" s="381">
        <f t="shared" si="40"/>
        <v>0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0</v>
      </c>
      <c r="P86" s="431">
        <f t="shared" si="39"/>
        <v>0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0</v>
      </c>
      <c r="I90" s="416">
        <f t="shared" si="45"/>
        <v>0</v>
      </c>
      <c r="J90" s="381">
        <f t="shared" si="45"/>
        <v>0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0</v>
      </c>
      <c r="P90" s="431">
        <f t="shared" si="39"/>
        <v>0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806.37460761538432</v>
      </c>
      <c r="G92" s="290">
        <f t="shared" si="47"/>
        <v>1398.0264586988103</v>
      </c>
      <c r="H92" s="290">
        <f t="shared" si="47"/>
        <v>893.45859820672661</v>
      </c>
      <c r="I92" s="416">
        <f t="shared" si="47"/>
        <v>1923.5863548471418</v>
      </c>
      <c r="J92" s="381">
        <f t="shared" si="47"/>
        <v>1518.6098221472716</v>
      </c>
      <c r="K92" s="381">
        <f t="shared" si="47"/>
        <v>2106.6912533721465</v>
      </c>
      <c r="L92" s="381">
        <f t="shared" si="47"/>
        <v>1780.5879714728887</v>
      </c>
      <c r="M92" s="381">
        <f t="shared" si="47"/>
        <v>1792.3721651578999</v>
      </c>
      <c r="N92" s="346">
        <f t="shared" si="47"/>
        <v>0</v>
      </c>
      <c r="O92" s="374">
        <f t="shared" si="41"/>
        <v>12219.707231518269</v>
      </c>
      <c r="P92" s="431">
        <f t="shared" si="39"/>
        <v>9121.8475669973486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806.37460761538432</v>
      </c>
      <c r="G95" s="5">
        <f t="shared" ref="G95" si="50">+SUM(G85:G94)</f>
        <v>1398.0264586988103</v>
      </c>
      <c r="H95" s="5">
        <f t="shared" ref="H95:N95" si="51">+SUM(H85:H94)</f>
        <v>893.45859820672661</v>
      </c>
      <c r="I95" s="411">
        <f t="shared" si="51"/>
        <v>1923.5863548471418</v>
      </c>
      <c r="J95" s="382">
        <f t="shared" si="51"/>
        <v>1518.6098221472716</v>
      </c>
      <c r="K95" s="382">
        <f t="shared" si="51"/>
        <v>2106.6912533721465</v>
      </c>
      <c r="L95" s="382">
        <f t="shared" si="51"/>
        <v>1780.5879714728887</v>
      </c>
      <c r="M95" s="382">
        <f t="shared" si="51"/>
        <v>1792.3721651578999</v>
      </c>
      <c r="N95" s="286">
        <f t="shared" si="51"/>
        <v>0</v>
      </c>
      <c r="O95" s="372">
        <f>SUM(O85:O94)</f>
        <v>12219.707231518269</v>
      </c>
      <c r="P95" s="428">
        <f>SUM(P85:P94)</f>
        <v>9121.8475669973486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>
      <c r="F98" s="191"/>
      <c r="G98" s="191"/>
      <c r="H98" s="191"/>
      <c r="I98" s="191"/>
      <c r="J98" s="191"/>
      <c r="K98" s="191"/>
      <c r="L98" s="191"/>
      <c r="M98" s="191"/>
      <c r="N98" s="191"/>
    </row>
    <row r="99" spans="3:16">
      <c r="F99" s="4"/>
      <c r="G99" s="191"/>
      <c r="H99" s="191"/>
      <c r="I99" s="191"/>
      <c r="J99" s="191"/>
      <c r="K99" s="191"/>
      <c r="L99" s="191"/>
      <c r="M99" s="191"/>
      <c r="N99" s="191"/>
    </row>
    <row r="100" spans="3:16">
      <c r="F100" s="191"/>
      <c r="G100" s="191"/>
      <c r="H100" s="191"/>
      <c r="I100" s="191"/>
      <c r="J100" s="191"/>
      <c r="K100" s="191"/>
      <c r="L100" s="191"/>
      <c r="M100" s="191"/>
      <c r="N100" s="191"/>
    </row>
    <row r="102" spans="3:16">
      <c r="F102" s="191"/>
      <c r="G102" s="191"/>
      <c r="H102" s="191"/>
      <c r="I102" s="191"/>
      <c r="J102" s="191"/>
    </row>
    <row r="103" spans="3:16">
      <c r="F103" s="191"/>
      <c r="G103" s="191"/>
      <c r="H103" s="191"/>
      <c r="I103" s="191"/>
      <c r="J103" s="191"/>
    </row>
  </sheetData>
  <mergeCells count="1">
    <mergeCell ref="C13:C14"/>
  </mergeCells>
  <phoneticPr fontId="6" type="noConversion"/>
  <conditionalFormatting sqref="R14">
    <cfRule type="cellIs" dxfId="3" priority="4" operator="equal">
      <formula>"Error"</formula>
    </cfRule>
  </conditionalFormatting>
  <conditionalFormatting sqref="R11">
    <cfRule type="cellIs" dxfId="2" priority="3" operator="equal">
      <formula>"Error"</formula>
    </cfRule>
  </conditionalFormatting>
  <conditionalFormatting sqref="R54">
    <cfRule type="cellIs" dxfId="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C1:C3"/>
  <sheetViews>
    <sheetView workbookViewId="0">
      <selection activeCell="C1" sqref="C1"/>
    </sheetView>
  </sheetViews>
  <sheetFormatPr defaultRowHeight="15"/>
  <cols>
    <col min="1" max="16384" width="9.140625" style="154"/>
  </cols>
  <sheetData>
    <row r="1" spans="3:3">
      <c r="C1" s="914" t="s">
        <v>290</v>
      </c>
    </row>
    <row r="3" spans="3:3" ht="21">
      <c r="C3" s="915" t="s">
        <v>195</v>
      </c>
    </row>
  </sheetData>
  <hyperlinks>
    <hyperlink ref="C1" location="Contents!A1" display="Table of Contents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9"/>
  <sheetViews>
    <sheetView zoomScaleNormal="100" workbookViewId="0">
      <selection activeCell="P4" sqref="P4"/>
    </sheetView>
  </sheetViews>
  <sheetFormatPr defaultRowHeight="15"/>
  <cols>
    <col min="1" max="1" width="6.7109375" customWidth="1"/>
    <col min="2" max="2" width="27.5703125" customWidth="1"/>
    <col min="3" max="9" width="9.85546875" customWidth="1"/>
    <col min="10" max="10" width="10.85546875" customWidth="1"/>
    <col min="12" max="12" width="30.7109375" customWidth="1"/>
    <col min="13" max="16" width="10.5703125" bestFit="1" customWidth="1"/>
    <col min="17" max="17" width="11.5703125" bestFit="1" customWidth="1"/>
  </cols>
  <sheetData>
    <row r="1" spans="2:20" s="248" customFormat="1">
      <c r="B1" s="483" t="s">
        <v>290</v>
      </c>
    </row>
    <row r="3" spans="2:20" ht="15.75">
      <c r="B3" s="938" t="s">
        <v>474</v>
      </c>
      <c r="L3" s="35"/>
      <c r="M3" s="248"/>
      <c r="N3" s="248"/>
      <c r="O3" s="248"/>
      <c r="P3" s="248"/>
      <c r="Q3" s="248"/>
      <c r="R3" s="248"/>
      <c r="S3" s="248"/>
      <c r="T3" s="248"/>
    </row>
    <row r="4" spans="2:20" s="248" customFormat="1" ht="15.75">
      <c r="B4" s="938"/>
      <c r="L4" s="35"/>
      <c r="M4" s="147" t="s">
        <v>194</v>
      </c>
      <c r="N4" s="47"/>
      <c r="O4" s="941">
        <f>E_factor</f>
        <v>0</v>
      </c>
      <c r="P4" s="47"/>
    </row>
    <row r="5" spans="2:20" s="248" customFormat="1">
      <c r="B5" s="143" t="s">
        <v>224</v>
      </c>
      <c r="L5" s="143" t="s">
        <v>224</v>
      </c>
    </row>
    <row r="6" spans="2:20">
      <c r="B6" s="910" t="s">
        <v>472</v>
      </c>
      <c r="C6" s="921"/>
      <c r="D6" s="921"/>
      <c r="E6" s="921"/>
      <c r="L6" s="893" t="s">
        <v>473</v>
      </c>
      <c r="M6" s="922"/>
      <c r="N6" s="922"/>
      <c r="O6" s="248"/>
      <c r="P6" s="248"/>
      <c r="Q6" s="248"/>
      <c r="R6" s="248"/>
      <c r="S6" s="248"/>
      <c r="T6" s="248"/>
    </row>
    <row r="7" spans="2:20" ht="7.5" customHeight="1">
      <c r="L7" s="248"/>
      <c r="M7" s="248"/>
      <c r="N7" s="248"/>
      <c r="O7" s="248"/>
      <c r="P7" s="248"/>
      <c r="Q7" s="248"/>
      <c r="R7" s="248"/>
      <c r="S7" s="248"/>
      <c r="T7" s="248"/>
    </row>
    <row r="8" spans="2:20">
      <c r="B8" s="219" t="s">
        <v>230</v>
      </c>
      <c r="C8" s="202" t="s">
        <v>72</v>
      </c>
      <c r="D8" s="202" t="s">
        <v>73</v>
      </c>
      <c r="E8" s="202" t="s">
        <v>74</v>
      </c>
      <c r="F8" s="202" t="s">
        <v>75</v>
      </c>
      <c r="G8" s="202" t="s">
        <v>76</v>
      </c>
      <c r="H8" s="202" t="s">
        <v>77</v>
      </c>
      <c r="I8" s="202" t="s">
        <v>78</v>
      </c>
      <c r="J8" s="202" t="s">
        <v>16</v>
      </c>
      <c r="L8" s="219" t="s">
        <v>230</v>
      </c>
      <c r="M8" s="202" t="s">
        <v>72</v>
      </c>
      <c r="N8" s="202" t="s">
        <v>73</v>
      </c>
      <c r="O8" s="202" t="s">
        <v>74</v>
      </c>
      <c r="P8" s="202" t="s">
        <v>75</v>
      </c>
      <c r="Q8" s="202" t="s">
        <v>76</v>
      </c>
      <c r="R8" s="202" t="s">
        <v>77</v>
      </c>
      <c r="S8" s="202" t="s">
        <v>78</v>
      </c>
      <c r="T8" s="202" t="s">
        <v>16</v>
      </c>
    </row>
    <row r="9" spans="2:20">
      <c r="E9" s="202" t="s">
        <v>246</v>
      </c>
      <c r="F9" s="202" t="s">
        <v>247</v>
      </c>
      <c r="G9" s="202" t="s">
        <v>248</v>
      </c>
      <c r="H9" s="202" t="s">
        <v>249</v>
      </c>
      <c r="I9" s="202" t="s">
        <v>250</v>
      </c>
      <c r="J9" s="202" t="s">
        <v>231</v>
      </c>
      <c r="L9" s="248"/>
      <c r="M9" s="248"/>
      <c r="N9" s="248"/>
      <c r="O9" s="202" t="s">
        <v>246</v>
      </c>
      <c r="P9" s="202" t="s">
        <v>247</v>
      </c>
      <c r="Q9" s="202" t="s">
        <v>248</v>
      </c>
      <c r="R9" s="202" t="s">
        <v>249</v>
      </c>
      <c r="S9" s="202" t="s">
        <v>250</v>
      </c>
      <c r="T9" s="202" t="s">
        <v>231</v>
      </c>
    </row>
    <row r="10" spans="2:20">
      <c r="B10" t="s">
        <v>17</v>
      </c>
      <c r="C10" s="200">
        <f>Proj_1!G51+Proj_2!G51+Proj_3!G51+Proj_4!G51+Proj_5!G51+Proj_6!G51+Proj_7!G51+Proj_8!G51+Proj_9!G51+Proj_10!G51+Proj_11!G51+Proj_12!G51+Proj_13!G51+Proj_14!G51+Proj_15!G51+Proj_16!G51+Proj_17!G51+Proj_18!G51+Proj_19!G51+Proj_20!G51+Proj_21!G51+Proj_22!G51+Proj_23!G51+Proj_24!G51+Proj_25!G51+Proj_26!G51+Proj_27!G51+Proj_28!G51+Proj_29!G51+Proj_30!G51+Proj_31!G51+Proj_32!G51+Proj_33!G51+Proj_34!G51+Proj_35!G51+Proj_36!G51+Proj_37!G51+Proj_38!G51+Proj_39!G51+Proj_40!G51+Proj_41!G51+Proj_42!G51+Proj_43!G51+Proj_44!G51+Proj_45!G51+Proj_46!G51</f>
        <v>13992.311075762662</v>
      </c>
      <c r="D10" s="200">
        <f>Proj_1!H51+Proj_2!H51+Proj_3!H51+Proj_4!H51+Proj_5!H51+Proj_6!H51+Proj_7!H51+Proj_8!H51+Proj_9!H51+Proj_10!H51+Proj_11!H51+Proj_12!H51+Proj_13!H51+Proj_14!H51+Proj_15!H51+Proj_16!H51+Proj_17!H51+Proj_18!H51+Proj_19!H51+Proj_20!H51+Proj_21!H51+Proj_22!H51+Proj_23!H51+Proj_24!H51+Proj_25!H51+Proj_26!H51+Proj_27!H51+Proj_28!H51+Proj_29!H51+Proj_30!H51+Proj_31!H51+Proj_32!H51+Proj_33!H51+Proj_34!H51+Proj_35!H51+Proj_36!H51+Proj_37!H51+Proj_38!H51+Proj_39!H51+Proj_40!H51+Proj_41!H51+Proj_42!H51+Proj_43!H51+Proj_44!H51+Proj_45!H51+Proj_46!H51</f>
        <v>16496.144660334565</v>
      </c>
      <c r="E10" s="215">
        <f>Proj_1!I51+Proj_2!I51+Proj_3!I51+Proj_4!I51+Proj_5!I51+Proj_6!I51+Proj_7!I51+Proj_8!I51+Proj_9!I51+Proj_10!I51+Proj_11!I51+Proj_12!I51+Proj_13!I51+Proj_14!I51+Proj_15!I51+Proj_16!I51+Proj_17!I51+Proj_18!I51+Proj_19!I51+Proj_20!I51+Proj_21!I51+Proj_22!I51+Proj_23!I51+Proj_24!I51+Proj_25!I51+Proj_26!I51+Proj_27!I51+Proj_28!I51+Proj_29!I51+Proj_30!I51+Proj_31!I51+Proj_32!I51+Proj_33!I51+Proj_34!I51+Proj_35!I51+Proj_36!I51+Proj_37!I51+Proj_38!I51+Proj_39!I51+Proj_40!I51+Proj_41!I51+Proj_42!I51+Proj_43!I51+Proj_44!I51+Proj_45!I51+Proj_46!I51</f>
        <v>14581.036447251421</v>
      </c>
      <c r="F10" s="215">
        <f>Proj_1!J51+Proj_2!J51+Proj_3!J51+Proj_4!J51+Proj_5!J51+Proj_6!J51+Proj_7!J51+Proj_8!J51+Proj_9!J51+Proj_10!J51+Proj_11!J51+Proj_12!J51+Proj_13!J51+Proj_14!J51+Proj_15!J51+Proj_16!J51+Proj_17!J51+Proj_18!J51+Proj_19!J51+Proj_20!J51+Proj_21!J51+Proj_22!J51+Proj_23!J51+Proj_24!J51+Proj_25!J51+Proj_26!J51+Proj_27!J51+Proj_28!J51+Proj_29!J51+Proj_30!J51+Proj_31!J51+Proj_32!J51+Proj_33!J51+Proj_34!J51+Proj_35!J51+Proj_36!J51+Proj_37!J51+Proj_38!J51+Proj_39!J51+Proj_40!J51+Proj_41!J51+Proj_42!J51+Proj_43!J51+Proj_44!J51+Proj_45!J51+Proj_46!J51</f>
        <v>11140.992138412073</v>
      </c>
      <c r="G10" s="215">
        <f>Proj_1!K51+Proj_2!K51+Proj_3!K51+Proj_4!K51+Proj_5!K51+Proj_6!K51+Proj_7!K51+Proj_8!K51+Proj_9!K51+Proj_10!K51+Proj_11!K51+Proj_12!K51+Proj_13!K51+Proj_14!K51+Proj_15!K51+Proj_16!K51+Proj_17!K51+Proj_18!K51+Proj_19!K51+Proj_20!K51+Proj_21!K51+Proj_22!K51+Proj_23!K51+Proj_24!K51+Proj_25!K51+Proj_26!K51+Proj_27!K51+Proj_28!K51+Proj_29!K51+Proj_30!K51+Proj_31!K51+Proj_32!K51+Proj_33!K51+Proj_34!K51+Proj_35!K51+Proj_36!K51+Proj_37!K51+Proj_38!K51+Proj_39!K51+Proj_40!K51+Proj_41!K51+Proj_42!K51+Proj_43!K51+Proj_44!K51+Proj_45!K51+Proj_46!K51</f>
        <v>9616.4389596985202</v>
      </c>
      <c r="H10" s="215">
        <f>Proj_1!L51+Proj_2!L51+Proj_3!L51+Proj_4!L51+Proj_5!L51+Proj_6!L51+Proj_7!L51+Proj_8!L51+Proj_9!L51+Proj_10!L51+Proj_11!L51+Proj_12!L51+Proj_13!L51+Proj_14!L51+Proj_15!L51+Proj_16!L51+Proj_17!L51+Proj_18!L51+Proj_19!L51+Proj_20!L51+Proj_21!L51+Proj_22!L51+Proj_23!L51+Proj_24!L51+Proj_25!L51+Proj_26!L51+Proj_27!L51+Proj_28!L51+Proj_29!L51+Proj_30!L51+Proj_31!L51+Proj_32!L51+Proj_33!L51+Proj_34!L51+Proj_35!L51+Proj_36!L51+Proj_37!L51+Proj_38!L51+Proj_39!L51+Proj_40!L51+Proj_41!L51+Proj_42!L51+Proj_43!L51+Proj_44!L51+Proj_45!L51+Proj_46!L51</f>
        <v>9073.564949941765</v>
      </c>
      <c r="I10" s="215">
        <f>Proj_1!M51+Proj_2!M51+Proj_3!M51+Proj_4!M51+Proj_5!M51+Proj_6!M51+Proj_7!M51+Proj_8!M51+Proj_9!M51+Proj_10!M51+Proj_11!M51+Proj_12!M51+Proj_13!M51+Proj_14!M51+Proj_15!M51+Proj_16!M51+Proj_17!M51+Proj_18!M51+Proj_19!M51+Proj_20!M51+Proj_21!M51+Proj_22!M51+Proj_23!M51+Proj_24!M51+Proj_25!M51+Proj_26!M51+Proj_27!M51+Proj_28!M51+Proj_29!M51+Proj_30!M51+Proj_31!M51+Proj_32!M51+Proj_33!M51+Proj_34!M51+Proj_35!M51+Proj_36!M51+Proj_37!M51+Proj_38!M51+Proj_39!M51+Proj_40!M51+Proj_41!M51+Proj_42!M51+Proj_43!M51+Proj_44!M51+Proj_45!M51+Proj_46!M51</f>
        <v>8271.1849347700208</v>
      </c>
      <c r="J10" s="218">
        <f>SUM(E10:I10)</f>
        <v>52683.217430073797</v>
      </c>
      <c r="L10" s="248" t="s">
        <v>17</v>
      </c>
      <c r="M10" s="894">
        <f>M18+M26</f>
        <v>13992.311075762662</v>
      </c>
      <c r="N10" s="894">
        <f t="shared" ref="N10:S10" si="0">N18+N26</f>
        <v>16496.144660334565</v>
      </c>
      <c r="O10" s="895">
        <f t="shared" si="0"/>
        <v>14581.036447251423</v>
      </c>
      <c r="P10" s="895">
        <f t="shared" si="0"/>
        <v>11140.992138412073</v>
      </c>
      <c r="Q10" s="895">
        <f t="shared" si="0"/>
        <v>9616.4389596985202</v>
      </c>
      <c r="R10" s="895">
        <f t="shared" si="0"/>
        <v>9073.564949941765</v>
      </c>
      <c r="S10" s="895">
        <f t="shared" si="0"/>
        <v>8271.1849347700208</v>
      </c>
      <c r="T10" s="218">
        <f>SUM(O10:S10)</f>
        <v>52683.217430073797</v>
      </c>
    </row>
    <row r="11" spans="2:20">
      <c r="B11" t="s">
        <v>19</v>
      </c>
      <c r="C11" s="200">
        <f>Proj_1!G52+Proj_2!G52+Proj_3!G52+Proj_4!G52+Proj_5!G52+Proj_6!G52+Proj_7!G52+Proj_8!G52+Proj_9!G52+Proj_10!G52+Proj_11!G52+Proj_12!G52+Proj_13!G52+Proj_14!G52+Proj_15!G52+Proj_16!G52+Proj_17!G52+Proj_18!G52+Proj_19!G52+Proj_20!G52+Proj_21!G52+Proj_22!G52+Proj_23!G52+Proj_24!G52+Proj_25!G52+Proj_26!G52+Proj_27!G52+Proj_28!G52+Proj_29!G52+Proj_30!G52+Proj_31!G52+Proj_32!G52+Proj_33!G52+Proj_34!G52+Proj_35!G52+Proj_36!G52+Proj_37!G52+Proj_38!G52+Proj_39!G52+Proj_40!G52+Proj_41!G52+Proj_42!G52+Proj_43!G52+Proj_44!G52+Proj_45!G52+Proj_46!G52</f>
        <v>69838.098924683902</v>
      </c>
      <c r="D11" s="200">
        <f>Proj_1!H52+Proj_2!H52+Proj_3!H52+Proj_4!H52+Proj_5!H52+Proj_6!H52+Proj_7!H52+Proj_8!H52+Proj_9!H52+Proj_10!H52+Proj_11!H52+Proj_12!H52+Proj_13!H52+Proj_14!H52+Proj_15!H52+Proj_16!H52+Proj_17!H52+Proj_18!H52+Proj_19!H52+Proj_20!H52+Proj_21!H52+Proj_22!H52+Proj_23!H52+Proj_24!H52+Proj_25!H52+Proj_26!H52+Proj_27!H52+Proj_28!H52+Proj_29!H52+Proj_30!H52+Proj_31!H52+Proj_32!H52+Proj_33!H52+Proj_34!H52+Proj_35!H52+Proj_36!H52+Proj_37!H52+Proj_38!H52+Proj_39!H52+Proj_40!H52+Proj_41!H52+Proj_42!H52+Proj_43!H52+Proj_44!H52+Proj_45!H52+Proj_46!H52</f>
        <v>82337.219996567423</v>
      </c>
      <c r="E11" s="215">
        <f>Proj_1!I52+Proj_2!I52+Proj_3!I52+Proj_4!I52+Proj_5!I52+Proj_6!I52+Proj_7!I52+Proj_8!I52+Proj_9!I52+Proj_10!I52+Proj_11!I52+Proj_12!I52+Proj_13!I52+Proj_14!I52+Proj_15!I52+Proj_16!I52+Proj_17!I52+Proj_18!I52+Proj_19!I52+Proj_20!I52+Proj_21!I52+Proj_22!I52+Proj_23!I52+Proj_24!I52+Proj_25!I52+Proj_26!I52+Proj_27!I52+Proj_28!I52+Proj_29!I52+Proj_30!I52+Proj_31!I52+Proj_32!I52+Proj_33!I52+Proj_34!I52+Proj_35!I52+Proj_36!I52+Proj_37!I52+Proj_38!I52+Proj_39!I52+Proj_40!I52+Proj_41!I52+Proj_42!I52+Proj_43!I52+Proj_44!I52+Proj_45!I52+Proj_46!I52</f>
        <v>72946.197223440351</v>
      </c>
      <c r="F11" s="215">
        <f>Proj_1!J52+Proj_2!J52+Proj_3!J52+Proj_4!J52+Proj_5!J52+Proj_6!J52+Proj_7!J52+Proj_8!J52+Proj_9!J52+Proj_10!J52+Proj_11!J52+Proj_12!J52+Proj_13!J52+Proj_14!J52+Proj_15!J52+Proj_16!J52+Proj_17!J52+Proj_18!J52+Proj_19!J52+Proj_20!J52+Proj_21!J52+Proj_22!J52+Proj_23!J52+Proj_24!J52+Proj_25!J52+Proj_26!J52+Proj_27!J52+Proj_28!J52+Proj_29!J52+Proj_30!J52+Proj_31!J52+Proj_32!J52+Proj_33!J52+Proj_34!J52+Proj_35!J52+Proj_36!J52+Proj_37!J52+Proj_38!J52+Proj_39!J52+Proj_40!J52+Proj_41!J52+Proj_42!J52+Proj_43!J52+Proj_44!J52+Proj_45!J52+Proj_46!J52</f>
        <v>55864.844856646305</v>
      </c>
      <c r="G11" s="215">
        <f>Proj_1!K52+Proj_2!K52+Proj_3!K52+Proj_4!K52+Proj_5!K52+Proj_6!K52+Proj_7!K52+Proj_8!K52+Proj_9!K52+Proj_10!K52+Proj_11!K52+Proj_12!K52+Proj_13!K52+Proj_14!K52+Proj_15!K52+Proj_16!K52+Proj_17!K52+Proj_18!K52+Proj_19!K52+Proj_20!K52+Proj_21!K52+Proj_22!K52+Proj_23!K52+Proj_24!K52+Proj_25!K52+Proj_26!K52+Proj_27!K52+Proj_28!K52+Proj_29!K52+Proj_30!K52+Proj_31!K52+Proj_32!K52+Proj_33!K52+Proj_34!K52+Proj_35!K52+Proj_36!K52+Proj_37!K52+Proj_38!K52+Proj_39!K52+Proj_40!K52+Proj_41!K52+Proj_42!K52+Proj_43!K52+Proj_44!K52+Proj_45!K52+Proj_46!K52</f>
        <v>48306.284144648358</v>
      </c>
      <c r="H11" s="215">
        <f>Proj_1!L52+Proj_2!L52+Proj_3!L52+Proj_4!L52+Proj_5!L52+Proj_6!L52+Proj_7!L52+Proj_8!L52+Proj_9!L52+Proj_10!L52+Proj_11!L52+Proj_12!L52+Proj_13!L52+Proj_14!L52+Proj_15!L52+Proj_16!L52+Proj_17!L52+Proj_18!L52+Proj_19!L52+Proj_20!L52+Proj_21!L52+Proj_22!L52+Proj_23!L52+Proj_24!L52+Proj_25!L52+Proj_26!L52+Proj_27!L52+Proj_28!L52+Proj_29!L52+Proj_30!L52+Proj_31!L52+Proj_32!L52+Proj_33!L52+Proj_34!L52+Proj_35!L52+Proj_36!L52+Proj_37!L52+Proj_38!L52+Proj_39!L52+Proj_40!L52+Proj_41!L52+Proj_42!L52+Proj_43!L52+Proj_44!L52+Proj_45!L52+Proj_46!L52</f>
        <v>45667.354794024126</v>
      </c>
      <c r="I11" s="215">
        <f>Proj_1!M52+Proj_2!M52+Proj_3!M52+Proj_4!M52+Proj_5!M52+Proj_6!M52+Proj_7!M52+Proj_8!M52+Proj_9!M52+Proj_10!M52+Proj_11!M52+Proj_12!M52+Proj_13!M52+Proj_14!M52+Proj_15!M52+Proj_16!M52+Proj_17!M52+Proj_18!M52+Proj_19!M52+Proj_20!M52+Proj_21!M52+Proj_22!M52+Proj_23!M52+Proj_24!M52+Proj_25!M52+Proj_26!M52+Proj_27!M52+Proj_28!M52+Proj_29!M52+Proj_30!M52+Proj_31!M52+Proj_32!M52+Proj_33!M52+Proj_34!M52+Proj_35!M52+Proj_36!M52+Proj_37!M52+Proj_38!M52+Proj_39!M52+Proj_40!M52+Proj_41!M52+Proj_42!M52+Proj_43!M52+Proj_44!M52+Proj_45!M52+Proj_46!M52</f>
        <v>41713.536919738515</v>
      </c>
      <c r="J11" s="218">
        <f t="shared" ref="J11:J12" si="1">SUM(E11:I11)</f>
        <v>264498.21793849766</v>
      </c>
      <c r="L11" s="248" t="s">
        <v>19</v>
      </c>
      <c r="M11" s="894">
        <f t="shared" ref="M11:S12" si="2">M19+M27</f>
        <v>69838.098924683902</v>
      </c>
      <c r="N11" s="894">
        <f t="shared" si="2"/>
        <v>82337.219996567423</v>
      </c>
      <c r="O11" s="895">
        <f t="shared" si="2"/>
        <v>72946.197223440351</v>
      </c>
      <c r="P11" s="895">
        <f t="shared" si="2"/>
        <v>55864.844856646305</v>
      </c>
      <c r="Q11" s="895">
        <f t="shared" si="2"/>
        <v>48306.284144648365</v>
      </c>
      <c r="R11" s="895">
        <f t="shared" si="2"/>
        <v>45667.354794024126</v>
      </c>
      <c r="S11" s="895">
        <f t="shared" si="2"/>
        <v>41713.536919738515</v>
      </c>
      <c r="T11" s="218">
        <f t="shared" ref="T11:T12" si="3">SUM(O11:S11)</f>
        <v>264498.21793849766</v>
      </c>
    </row>
    <row r="12" spans="2:20">
      <c r="B12" t="s">
        <v>18</v>
      </c>
      <c r="C12" s="200">
        <f>Proj_1!G53+Proj_2!G53+Proj_3!G53+Proj_4!G53+Proj_5!G53+Proj_6!G53+Proj_7!G53+Proj_8!G53+Proj_9!G53+Proj_10!G53+Proj_11!G53+Proj_12!G53+Proj_13!G53+Proj_14!G53+Proj_15!G53+Proj_16!G53+Proj_17!G53+Proj_18!G53+Proj_19!G53+Proj_20!G53+Proj_21!G53+Proj_22!G53+Proj_23!G53+Proj_24!G53+Proj_25!G53+Proj_26!G53+Proj_27!G53+Proj_28!G53+Proj_29!G53+Proj_30!G53+Proj_31!G53+Proj_32!G53+Proj_33!G53+Proj_34!G53+Proj_35!G53+Proj_36!G53+Proj_37!G53+Proj_38!G53+Proj_39!G53+Proj_40!G53+Proj_41!G53+Proj_42!G53+Proj_43!G53+Proj_44!G53+Proj_45!G53+Proj_46!G53</f>
        <v>55642.345523102405</v>
      </c>
      <c r="D12" s="200">
        <f>Proj_1!H53+Proj_2!H53+Proj_3!H53+Proj_4!H53+Proj_5!H53+Proj_6!H53+Proj_7!H53+Proj_8!H53+Proj_9!H53+Proj_10!H53+Proj_11!H53+Proj_12!H53+Proj_13!H53+Proj_14!H53+Proj_15!H53+Proj_16!H53+Proj_17!H53+Proj_18!H53+Proj_19!H53+Proj_20!H53+Proj_21!H53+Proj_22!H53+Proj_23!H53+Proj_24!H53+Proj_25!H53+Proj_26!H53+Proj_27!H53+Proj_28!H53+Proj_29!H53+Proj_30!H53+Proj_31!H53+Proj_32!H53+Proj_33!H53+Proj_34!H53+Proj_35!H53+Proj_36!H53+Proj_37!H53+Proj_38!H53+Proj_39!H53+Proj_40!H53+Proj_41!H53+Proj_42!H53+Proj_43!H53+Proj_44!H53+Proj_45!H53+Proj_46!H53</f>
        <v>65169.067592525615</v>
      </c>
      <c r="E12" s="215">
        <f>Proj_1!I53+Proj_2!I53+Proj_3!I53+Proj_4!I53+Proj_5!I53+Proj_6!I53+Proj_7!I53+Proj_8!I53+Proj_9!I53+Proj_10!I53+Proj_11!I53+Proj_12!I53+Proj_13!I53+Proj_14!I53+Proj_15!I53+Proj_16!I53+Proj_17!I53+Proj_18!I53+Proj_19!I53+Proj_20!I53+Proj_21!I53+Proj_22!I53+Proj_23!I53+Proj_24!I53+Proj_25!I53+Proj_26!I53+Proj_27!I53+Proj_28!I53+Proj_29!I53+Proj_30!I53+Proj_31!I53+Proj_32!I53+Proj_33!I53+Proj_34!I53+Proj_35!I53+Proj_36!I53+Proj_37!I53+Proj_38!I53+Proj_39!I53+Proj_40!I53+Proj_41!I53+Proj_42!I53+Proj_43!I53+Proj_44!I53+Proj_45!I53+Proj_46!I53</f>
        <v>57143.307293225655</v>
      </c>
      <c r="F12" s="215">
        <f>Proj_1!J53+Proj_2!J53+Proj_3!J53+Proj_4!J53+Proj_5!J53+Proj_6!J53+Proj_7!J53+Proj_8!J53+Proj_9!J53+Proj_10!J53+Proj_11!J53+Proj_12!J53+Proj_13!J53+Proj_14!J53+Proj_15!J53+Proj_16!J53+Proj_17!J53+Proj_18!J53+Proj_19!J53+Proj_20!J53+Proj_21!J53+Proj_22!J53+Proj_23!J53+Proj_24!J53+Proj_25!J53+Proj_26!J53+Proj_27!J53+Proj_28!J53+Proj_29!J53+Proj_30!J53+Proj_31!J53+Proj_32!J53+Proj_33!J53+Proj_34!J53+Proj_35!J53+Proj_36!J53+Proj_37!J53+Proj_38!J53+Proj_39!J53+Proj_40!J53+Proj_41!J53+Proj_42!J53+Proj_43!J53+Proj_44!J53+Proj_45!J53+Proj_46!J53</f>
        <v>43310.902148463938</v>
      </c>
      <c r="G12" s="215">
        <f>Proj_1!K53+Proj_2!K53+Proj_3!K53+Proj_4!K53+Proj_5!K53+Proj_6!K53+Proj_7!K53+Proj_8!K53+Proj_9!K53+Proj_10!K53+Proj_11!K53+Proj_12!K53+Proj_13!K53+Proj_14!K53+Proj_15!K53+Proj_16!K53+Proj_17!K53+Proj_18!K53+Proj_19!K53+Proj_20!K53+Proj_21!K53+Proj_22!K53+Proj_23!K53+Proj_24!K53+Proj_25!K53+Proj_26!K53+Proj_27!K53+Proj_28!K53+Proj_29!K53+Proj_30!K53+Proj_31!K53+Proj_32!K53+Proj_33!K53+Proj_34!K53+Proj_35!K53+Proj_36!K53+Proj_37!K53+Proj_38!K53+Proj_39!K53+Proj_40!K53+Proj_41!K53+Proj_42!K53+Proj_43!K53+Proj_44!K53+Proj_45!K53+Proj_46!K53</f>
        <v>37077.346229055169</v>
      </c>
      <c r="H12" s="215">
        <f>Proj_1!L53+Proj_2!L53+Proj_3!L53+Proj_4!L53+Proj_5!L53+Proj_6!L53+Proj_7!L53+Proj_8!L53+Proj_9!L53+Proj_10!L53+Proj_11!L53+Proj_12!L53+Proj_13!L53+Proj_14!L53+Proj_15!L53+Proj_16!L53+Proj_17!L53+Proj_18!L53+Proj_19!L53+Proj_20!L53+Proj_21!L53+Proj_22!L53+Proj_23!L53+Proj_24!L53+Proj_25!L53+Proj_26!L53+Proj_27!L53+Proj_28!L53+Proj_29!L53+Proj_30!L53+Proj_31!L53+Proj_32!L53+Proj_33!L53+Proj_34!L53+Proj_35!L53+Proj_36!L53+Proj_37!L53+Proj_38!L53+Proj_39!L53+Proj_40!L53+Proj_41!L53+Proj_42!L53+Proj_43!L53+Proj_44!L53+Proj_45!L53+Proj_46!L53</f>
        <v>34673.898281130671</v>
      </c>
      <c r="I12" s="215">
        <f>Proj_1!M53+Proj_2!M53+Proj_3!M53+Proj_4!M53+Proj_5!M53+Proj_6!M53+Proj_7!M53+Proj_8!M53+Proj_9!M53+Proj_10!M53+Proj_11!M53+Proj_12!M53+Proj_13!M53+Proj_14!M53+Proj_15!M53+Proj_16!M53+Proj_17!M53+Proj_18!M53+Proj_19!M53+Proj_20!M53+Proj_21!M53+Proj_22!M53+Proj_23!M53+Proj_24!M53+Proj_25!M53+Proj_26!M53+Proj_27!M53+Proj_28!M53+Proj_29!M53+Proj_30!M53+Proj_31!M53+Proj_32!M53+Proj_33!M53+Proj_34!M53+Proj_35!M53+Proj_36!M53+Proj_37!M53+Proj_38!M53+Proj_39!M53+Proj_40!M53+Proj_41!M53+Proj_42!M53+Proj_43!M53+Proj_44!M53+Proj_45!M53+Proj_46!M53</f>
        <v>31322.631674669497</v>
      </c>
      <c r="J12" s="218">
        <f t="shared" si="1"/>
        <v>203528.08562654495</v>
      </c>
      <c r="L12" s="248" t="s">
        <v>18</v>
      </c>
      <c r="M12" s="894">
        <f t="shared" si="2"/>
        <v>55642.345523102405</v>
      </c>
      <c r="N12" s="894">
        <f t="shared" si="2"/>
        <v>65169.067592525615</v>
      </c>
      <c r="O12" s="895">
        <f t="shared" si="2"/>
        <v>57143.307293225655</v>
      </c>
      <c r="P12" s="895">
        <f t="shared" si="2"/>
        <v>43310.902148463938</v>
      </c>
      <c r="Q12" s="895">
        <f t="shared" si="2"/>
        <v>37077.346229055169</v>
      </c>
      <c r="R12" s="895">
        <f t="shared" si="2"/>
        <v>34673.898281130671</v>
      </c>
      <c r="S12" s="895">
        <f t="shared" si="2"/>
        <v>31322.631674669497</v>
      </c>
      <c r="T12" s="218">
        <f t="shared" si="3"/>
        <v>203528.08562654495</v>
      </c>
    </row>
    <row r="13" spans="2:20">
      <c r="B13" s="35" t="s">
        <v>229</v>
      </c>
      <c r="C13" s="214">
        <f>SUM(C10:C12)</f>
        <v>139472.75552354896</v>
      </c>
      <c r="D13" s="214">
        <f t="shared" ref="D13:I13" si="4">SUM(D10:D12)</f>
        <v>164002.4322494276</v>
      </c>
      <c r="E13" s="216">
        <f t="shared" si="4"/>
        <v>144670.54096391742</v>
      </c>
      <c r="F13" s="216">
        <f t="shared" si="4"/>
        <v>110316.73914352231</v>
      </c>
      <c r="G13" s="216">
        <f t="shared" si="4"/>
        <v>95000.069333402047</v>
      </c>
      <c r="H13" s="216">
        <f t="shared" si="4"/>
        <v>89414.818025096552</v>
      </c>
      <c r="I13" s="216">
        <f t="shared" si="4"/>
        <v>81307.353529178028</v>
      </c>
      <c r="J13" s="216">
        <f t="shared" ref="J13" si="5">SUM(J10:J12)</f>
        <v>520709.52099511639</v>
      </c>
      <c r="L13" s="35" t="s">
        <v>229</v>
      </c>
      <c r="M13" s="896">
        <f>SUM(M10:M12)</f>
        <v>139472.75552354896</v>
      </c>
      <c r="N13" s="896">
        <f t="shared" ref="N13:T13" si="6">SUM(N10:N12)</f>
        <v>164002.4322494276</v>
      </c>
      <c r="O13" s="897">
        <f t="shared" si="6"/>
        <v>144670.54096391742</v>
      </c>
      <c r="P13" s="897">
        <f t="shared" si="6"/>
        <v>110316.73914352231</v>
      </c>
      <c r="Q13" s="897">
        <f t="shared" si="6"/>
        <v>95000.069333402062</v>
      </c>
      <c r="R13" s="897">
        <f t="shared" si="6"/>
        <v>89414.818025096552</v>
      </c>
      <c r="S13" s="897">
        <f t="shared" si="6"/>
        <v>81307.353529178028</v>
      </c>
      <c r="T13" s="897">
        <f t="shared" si="6"/>
        <v>520709.52099511639</v>
      </c>
    </row>
    <row r="14" spans="2:20">
      <c r="C14" s="203"/>
      <c r="D14" s="203"/>
      <c r="E14" s="203"/>
      <c r="F14" s="203"/>
      <c r="G14" s="203"/>
      <c r="H14" s="203"/>
      <c r="I14" s="203"/>
      <c r="L14" s="248"/>
      <c r="M14" s="898"/>
      <c r="N14" s="898"/>
      <c r="O14" s="898"/>
      <c r="P14" s="898"/>
      <c r="Q14" s="898"/>
      <c r="R14" s="898"/>
      <c r="S14" s="898"/>
      <c r="T14" s="248"/>
    </row>
    <row r="15" spans="2:20">
      <c r="C15" s="203"/>
      <c r="D15" s="203"/>
      <c r="E15" s="203"/>
      <c r="F15" s="203"/>
      <c r="G15" s="203"/>
      <c r="H15" s="203"/>
      <c r="I15" s="203"/>
      <c r="L15" s="248"/>
      <c r="M15" s="898"/>
      <c r="N15" s="898"/>
      <c r="O15" s="898"/>
      <c r="P15" s="898"/>
      <c r="Q15" s="898"/>
      <c r="R15" s="898"/>
      <c r="S15" s="898"/>
      <c r="T15" s="248"/>
    </row>
    <row r="16" spans="2:20">
      <c r="B16" s="219" t="s">
        <v>232</v>
      </c>
      <c r="C16" s="202" t="s">
        <v>72</v>
      </c>
      <c r="D16" s="202" t="s">
        <v>73</v>
      </c>
      <c r="E16" s="202" t="s">
        <v>74</v>
      </c>
      <c r="F16" s="202" t="s">
        <v>75</v>
      </c>
      <c r="G16" s="202" t="s">
        <v>76</v>
      </c>
      <c r="H16" s="202" t="s">
        <v>77</v>
      </c>
      <c r="I16" s="202" t="s">
        <v>78</v>
      </c>
      <c r="J16" s="202" t="s">
        <v>16</v>
      </c>
      <c r="L16" s="219" t="s">
        <v>232</v>
      </c>
      <c r="M16" s="202" t="s">
        <v>72</v>
      </c>
      <c r="N16" s="202" t="s">
        <v>73</v>
      </c>
      <c r="O16" s="202" t="s">
        <v>74</v>
      </c>
      <c r="P16" s="202" t="s">
        <v>75</v>
      </c>
      <c r="Q16" s="202" t="s">
        <v>76</v>
      </c>
      <c r="R16" s="202" t="s">
        <v>77</v>
      </c>
      <c r="S16" s="202" t="s">
        <v>78</v>
      </c>
      <c r="T16" s="202" t="s">
        <v>16</v>
      </c>
    </row>
    <row r="17" spans="2:20">
      <c r="C17" s="203"/>
      <c r="D17" s="203"/>
      <c r="E17" s="202" t="s">
        <v>246</v>
      </c>
      <c r="F17" s="202" t="s">
        <v>247</v>
      </c>
      <c r="G17" s="202" t="s">
        <v>248</v>
      </c>
      <c r="H17" s="202" t="s">
        <v>249</v>
      </c>
      <c r="I17" s="202" t="s">
        <v>250</v>
      </c>
      <c r="J17" s="202" t="s">
        <v>231</v>
      </c>
      <c r="L17" s="248"/>
      <c r="M17" s="898"/>
      <c r="N17" s="898"/>
      <c r="O17" s="202" t="s">
        <v>246</v>
      </c>
      <c r="P17" s="202" t="s">
        <v>247</v>
      </c>
      <c r="Q17" s="202" t="s">
        <v>248</v>
      </c>
      <c r="R17" s="202" t="s">
        <v>249</v>
      </c>
      <c r="S17" s="202" t="s">
        <v>250</v>
      </c>
      <c r="T17" s="202" t="s">
        <v>231</v>
      </c>
    </row>
    <row r="18" spans="2:20">
      <c r="B18" t="s">
        <v>17</v>
      </c>
      <c r="C18" s="203">
        <f>Proj_43!G51+Proj_44!G51+Proj_45!G51+Proj_46!G51</f>
        <v>1373.1147896048365</v>
      </c>
      <c r="D18" s="203">
        <f>Proj_43!H51+Proj_44!H51+Proj_45!H51+Proj_46!H51</f>
        <v>2209.2593160190399</v>
      </c>
      <c r="E18" s="217">
        <f>Proj_43!I51+Proj_44!I51+Proj_45!I51+Proj_46!I51</f>
        <v>2757.7476719810247</v>
      </c>
      <c r="F18" s="217">
        <f>Proj_43!J51+Proj_44!J51+Proj_45!J51+Proj_46!J51</f>
        <v>2554.4538377471295</v>
      </c>
      <c r="G18" s="217">
        <f>Proj_43!K51+Proj_44!K51+Proj_45!K51+Proj_46!K51</f>
        <v>1744.1845348578388</v>
      </c>
      <c r="H18" s="217">
        <f>Proj_43!L51+Proj_44!L51+Proj_45!L51+Proj_46!L51</f>
        <v>1528.5333124915551</v>
      </c>
      <c r="I18" s="217">
        <f>Proj_43!M51+Proj_44!M51+Proj_45!M51+Proj_46!M51</f>
        <v>1466.9188486020698</v>
      </c>
      <c r="J18" s="218">
        <f t="shared" ref="J18:J20" si="7">SUM(E18:I18)</f>
        <v>10051.83820567962</v>
      </c>
      <c r="L18" s="248" t="s">
        <v>17</v>
      </c>
      <c r="M18" s="898">
        <f>C18</f>
        <v>1373.1147896048365</v>
      </c>
      <c r="N18" s="898">
        <f t="shared" ref="N18:N20" si="8">D18</f>
        <v>2209.2593160190399</v>
      </c>
      <c r="O18" s="899">
        <f>E18*(1-$O$4)</f>
        <v>2757.7476719810247</v>
      </c>
      <c r="P18" s="899">
        <f t="shared" ref="P18:P20" si="9">F18*(1-$O$4)</f>
        <v>2554.4538377471295</v>
      </c>
      <c r="Q18" s="899">
        <f t="shared" ref="Q18:Q20" si="10">G18*(1-$O$4)</f>
        <v>1744.1845348578388</v>
      </c>
      <c r="R18" s="899">
        <f t="shared" ref="R18:R20" si="11">H18*(1-$O$4)</f>
        <v>1528.5333124915551</v>
      </c>
      <c r="S18" s="899">
        <f t="shared" ref="S18:S20" si="12">I18*(1-$O$4)</f>
        <v>1466.9188486020698</v>
      </c>
      <c r="T18" s="218">
        <f t="shared" ref="T18:T20" si="13">SUM(O18:S18)</f>
        <v>10051.83820567962</v>
      </c>
    </row>
    <row r="19" spans="2:20">
      <c r="B19" t="s">
        <v>19</v>
      </c>
      <c r="C19" s="203">
        <f>Proj_43!G52+Proj_44!G52+Proj_45!G52+Proj_46!G52</f>
        <v>6853.4587311654841</v>
      </c>
      <c r="D19" s="203">
        <f>Proj_43!H52+Proj_44!H52+Proj_45!H52+Proj_46!H52</f>
        <v>11027.077785630698</v>
      </c>
      <c r="E19" s="217">
        <f>Proj_43!I52+Proj_44!I52+Proj_45!I52+Proj_46!I52</f>
        <v>13796.49562639507</v>
      </c>
      <c r="F19" s="217">
        <f>Proj_43!J52+Proj_44!J52+Proj_45!J52+Proj_46!J52</f>
        <v>12808.928106787784</v>
      </c>
      <c r="G19" s="217">
        <f>Proj_43!K52+Proj_44!K52+Proj_45!K52+Proj_46!K52</f>
        <v>8761.566947458221</v>
      </c>
      <c r="H19" s="217">
        <f>Proj_43!L52+Proj_44!L52+Proj_45!L52+Proj_46!L52</f>
        <v>7693.1254122432674</v>
      </c>
      <c r="I19" s="217">
        <f>Proj_43!M52+Proj_44!M52+Proj_45!M52+Proj_46!M52</f>
        <v>7398.017821145977</v>
      </c>
      <c r="J19" s="218">
        <f t="shared" si="7"/>
        <v>50458.133914030317</v>
      </c>
      <c r="L19" s="248" t="s">
        <v>19</v>
      </c>
      <c r="M19" s="898">
        <f t="shared" ref="M19:M20" si="14">C19</f>
        <v>6853.4587311654841</v>
      </c>
      <c r="N19" s="898">
        <f t="shared" si="8"/>
        <v>11027.077785630698</v>
      </c>
      <c r="O19" s="899">
        <f t="shared" ref="O19:O20" si="15">E19*(1-$O$4)</f>
        <v>13796.49562639507</v>
      </c>
      <c r="P19" s="899">
        <f t="shared" si="9"/>
        <v>12808.928106787784</v>
      </c>
      <c r="Q19" s="899">
        <f t="shared" si="10"/>
        <v>8761.566947458221</v>
      </c>
      <c r="R19" s="899">
        <f t="shared" si="11"/>
        <v>7693.1254122432674</v>
      </c>
      <c r="S19" s="899">
        <f t="shared" si="12"/>
        <v>7398.017821145977</v>
      </c>
      <c r="T19" s="218">
        <f t="shared" si="13"/>
        <v>50458.133914030317</v>
      </c>
    </row>
    <row r="20" spans="2:20">
      <c r="B20" t="s">
        <v>18</v>
      </c>
      <c r="C20" s="203">
        <f>Proj_43!G53+Proj_44!G53+Proj_45!G53+Proj_46!G53</f>
        <v>5460.3794292723705</v>
      </c>
      <c r="D20" s="203">
        <f>Proj_43!H53+Proj_44!H53+Proj_45!H53+Proj_46!H53</f>
        <v>8727.8192971509561</v>
      </c>
      <c r="E20" s="217">
        <f>Proj_43!I53+Proj_44!I53+Proj_45!I53+Proj_46!I53</f>
        <v>10807.65576763201</v>
      </c>
      <c r="F20" s="217">
        <f>Proj_43!J53+Proj_44!J53+Proj_45!J53+Proj_46!J53</f>
        <v>9930.5069813291339</v>
      </c>
      <c r="G20" s="217">
        <f>Proj_43!K53+Proj_44!K53+Proj_45!K53+Proj_46!K53</f>
        <v>6724.9149250893879</v>
      </c>
      <c r="H20" s="217">
        <f>Proj_43!L53+Proj_44!L53+Proj_45!L53+Proj_46!L53</f>
        <v>5841.1670483487396</v>
      </c>
      <c r="I20" s="217">
        <f>Proj_43!M53+Proj_44!M53+Proj_45!M53+Proj_46!M53</f>
        <v>5555.1603734840764</v>
      </c>
      <c r="J20" s="218">
        <f t="shared" si="7"/>
        <v>38859.405095883347</v>
      </c>
      <c r="L20" s="248" t="s">
        <v>18</v>
      </c>
      <c r="M20" s="898">
        <f t="shared" si="14"/>
        <v>5460.3794292723705</v>
      </c>
      <c r="N20" s="898">
        <f t="shared" si="8"/>
        <v>8727.8192971509561</v>
      </c>
      <c r="O20" s="899">
        <f t="shared" si="15"/>
        <v>10807.65576763201</v>
      </c>
      <c r="P20" s="899">
        <f t="shared" si="9"/>
        <v>9930.5069813291339</v>
      </c>
      <c r="Q20" s="899">
        <f t="shared" si="10"/>
        <v>6724.9149250893879</v>
      </c>
      <c r="R20" s="899">
        <f t="shared" si="11"/>
        <v>5841.1670483487396</v>
      </c>
      <c r="S20" s="899">
        <f t="shared" si="12"/>
        <v>5555.1603734840764</v>
      </c>
      <c r="T20" s="218">
        <f t="shared" si="13"/>
        <v>38859.405095883347</v>
      </c>
    </row>
    <row r="21" spans="2:20">
      <c r="B21" s="35" t="s">
        <v>229</v>
      </c>
      <c r="C21" s="214">
        <f>SUM(C18:C20)</f>
        <v>13686.952950042691</v>
      </c>
      <c r="D21" s="214">
        <f t="shared" ref="D21" si="16">SUM(D18:D20)</f>
        <v>21964.156398800693</v>
      </c>
      <c r="E21" s="216">
        <f t="shared" ref="E21" si="17">SUM(E18:E20)</f>
        <v>27361.899066008104</v>
      </c>
      <c r="F21" s="216">
        <f t="shared" ref="F21" si="18">SUM(F18:F20)</f>
        <v>25293.888925864048</v>
      </c>
      <c r="G21" s="216">
        <f t="shared" ref="G21" si="19">SUM(G18:G20)</f>
        <v>17230.66640740545</v>
      </c>
      <c r="H21" s="216">
        <f t="shared" ref="H21" si="20">SUM(H18:H20)</f>
        <v>15062.825773083561</v>
      </c>
      <c r="I21" s="216">
        <f t="shared" ref="I21:J21" si="21">SUM(I18:I20)</f>
        <v>14420.097043232123</v>
      </c>
      <c r="J21" s="216">
        <f t="shared" si="21"/>
        <v>99369.377215593282</v>
      </c>
      <c r="L21" s="35" t="s">
        <v>229</v>
      </c>
      <c r="M21" s="896">
        <f>SUM(M18:M20)</f>
        <v>13686.952950042691</v>
      </c>
      <c r="N21" s="896">
        <f t="shared" ref="N21:T21" si="22">SUM(N18:N20)</f>
        <v>21964.156398800693</v>
      </c>
      <c r="O21" s="897">
        <f t="shared" si="22"/>
        <v>27361.899066008104</v>
      </c>
      <c r="P21" s="897">
        <f t="shared" si="22"/>
        <v>25293.888925864048</v>
      </c>
      <c r="Q21" s="897">
        <f t="shared" si="22"/>
        <v>17230.66640740545</v>
      </c>
      <c r="R21" s="897">
        <f t="shared" si="22"/>
        <v>15062.825773083561</v>
      </c>
      <c r="S21" s="897">
        <f t="shared" si="22"/>
        <v>14420.097043232123</v>
      </c>
      <c r="T21" s="897">
        <f t="shared" si="22"/>
        <v>99369.377215593282</v>
      </c>
    </row>
    <row r="22" spans="2:20">
      <c r="C22" s="203"/>
      <c r="D22" s="203"/>
      <c r="E22" s="203"/>
      <c r="F22" s="203"/>
      <c r="G22" s="203"/>
      <c r="H22" s="203"/>
      <c r="I22" s="203"/>
      <c r="L22" s="248"/>
      <c r="M22" s="898"/>
      <c r="N22" s="898"/>
      <c r="O22" s="898"/>
      <c r="P22" s="898"/>
      <c r="Q22" s="898"/>
      <c r="R22" s="898"/>
      <c r="S22" s="898"/>
      <c r="T22" s="248"/>
    </row>
    <row r="23" spans="2:20">
      <c r="C23" s="203"/>
      <c r="D23" s="203"/>
      <c r="E23" s="203"/>
      <c r="F23" s="203"/>
      <c r="G23" s="203"/>
      <c r="H23" s="203"/>
      <c r="I23" s="203"/>
      <c r="J23" s="202"/>
      <c r="L23" s="248"/>
      <c r="M23" s="898"/>
      <c r="N23" s="898"/>
      <c r="O23" s="898"/>
      <c r="P23" s="898"/>
      <c r="Q23" s="898"/>
      <c r="R23" s="898"/>
      <c r="S23" s="898"/>
      <c r="T23" s="202"/>
    </row>
    <row r="24" spans="2:20">
      <c r="B24" s="219" t="s">
        <v>244</v>
      </c>
      <c r="C24" s="202" t="s">
        <v>72</v>
      </c>
      <c r="D24" s="202" t="s">
        <v>73</v>
      </c>
      <c r="E24" s="202" t="s">
        <v>74</v>
      </c>
      <c r="F24" s="202" t="s">
        <v>75</v>
      </c>
      <c r="G24" s="202" t="s">
        <v>76</v>
      </c>
      <c r="H24" s="202" t="s">
        <v>77</v>
      </c>
      <c r="I24" s="202" t="s">
        <v>78</v>
      </c>
      <c r="J24" s="202" t="s">
        <v>16</v>
      </c>
      <c r="L24" s="219" t="s">
        <v>244</v>
      </c>
      <c r="M24" s="202" t="s">
        <v>72</v>
      </c>
      <c r="N24" s="202" t="s">
        <v>73</v>
      </c>
      <c r="O24" s="202" t="s">
        <v>74</v>
      </c>
      <c r="P24" s="202" t="s">
        <v>75</v>
      </c>
      <c r="Q24" s="202" t="s">
        <v>76</v>
      </c>
      <c r="R24" s="202" t="s">
        <v>77</v>
      </c>
      <c r="S24" s="202" t="s">
        <v>78</v>
      </c>
      <c r="T24" s="202" t="s">
        <v>16</v>
      </c>
    </row>
    <row r="25" spans="2:20">
      <c r="B25" s="213"/>
      <c r="C25" s="34"/>
      <c r="D25" s="34"/>
      <c r="E25" s="202" t="s">
        <v>246</v>
      </c>
      <c r="F25" s="202" t="s">
        <v>247</v>
      </c>
      <c r="G25" s="202" t="s">
        <v>248</v>
      </c>
      <c r="H25" s="202" t="s">
        <v>249</v>
      </c>
      <c r="I25" s="202" t="s">
        <v>250</v>
      </c>
      <c r="J25" s="202" t="s">
        <v>231</v>
      </c>
      <c r="L25" s="213"/>
      <c r="M25" s="34"/>
      <c r="N25" s="34"/>
      <c r="O25" s="202" t="s">
        <v>246</v>
      </c>
      <c r="P25" s="202" t="s">
        <v>247</v>
      </c>
      <c r="Q25" s="202" t="s">
        <v>248</v>
      </c>
      <c r="R25" s="202" t="s">
        <v>249</v>
      </c>
      <c r="S25" s="202" t="s">
        <v>250</v>
      </c>
      <c r="T25" s="202" t="s">
        <v>231</v>
      </c>
    </row>
    <row r="26" spans="2:20">
      <c r="B26" t="s">
        <v>17</v>
      </c>
      <c r="C26" s="203">
        <f>C10-C18</f>
        <v>12619.196286157825</v>
      </c>
      <c r="D26" s="203">
        <f t="shared" ref="D26:I26" si="23">D10-D18</f>
        <v>14286.885344315524</v>
      </c>
      <c r="E26" s="217">
        <f t="shared" si="23"/>
        <v>11823.288775270397</v>
      </c>
      <c r="F26" s="217">
        <f t="shared" si="23"/>
        <v>8586.5383006649445</v>
      </c>
      <c r="G26" s="217">
        <f t="shared" si="23"/>
        <v>7872.2544248406812</v>
      </c>
      <c r="H26" s="217">
        <f t="shared" si="23"/>
        <v>7545.0316374502099</v>
      </c>
      <c r="I26" s="217">
        <f t="shared" si="23"/>
        <v>6804.2660861679506</v>
      </c>
      <c r="J26" s="218">
        <f t="shared" ref="J26:J28" si="24">SUM(E26:I26)</f>
        <v>42631.379224394186</v>
      </c>
      <c r="L26" s="248" t="s">
        <v>17</v>
      </c>
      <c r="M26" s="898">
        <f t="shared" ref="M26:N28" si="25">C26</f>
        <v>12619.196286157825</v>
      </c>
      <c r="N26" s="898">
        <f t="shared" si="25"/>
        <v>14286.885344315524</v>
      </c>
      <c r="O26" s="899">
        <f t="shared" ref="O26:O28" si="26">E26*(1-$O$4)</f>
        <v>11823.288775270397</v>
      </c>
      <c r="P26" s="899">
        <f t="shared" ref="P26:P28" si="27">F26*(1-$O$4)</f>
        <v>8586.5383006649445</v>
      </c>
      <c r="Q26" s="899">
        <f t="shared" ref="Q26:Q28" si="28">G26*(1-$O$4)</f>
        <v>7872.2544248406812</v>
      </c>
      <c r="R26" s="899">
        <f t="shared" ref="R26:R28" si="29">H26*(1-$O$4)</f>
        <v>7545.0316374502099</v>
      </c>
      <c r="S26" s="899">
        <f t="shared" ref="S26:S28" si="30">I26*(1-$O$4)</f>
        <v>6804.2660861679506</v>
      </c>
      <c r="T26" s="218">
        <f t="shared" ref="T26:T28" si="31">SUM(O26:S26)</f>
        <v>42631.379224394186</v>
      </c>
    </row>
    <row r="27" spans="2:20">
      <c r="B27" t="s">
        <v>19</v>
      </c>
      <c r="C27" s="203">
        <f t="shared" ref="C27:I27" si="32">C11-C19</f>
        <v>62984.640193518419</v>
      </c>
      <c r="D27" s="203">
        <f t="shared" si="32"/>
        <v>71310.142210936727</v>
      </c>
      <c r="E27" s="217">
        <f t="shared" si="32"/>
        <v>59149.701597045278</v>
      </c>
      <c r="F27" s="217">
        <f t="shared" si="32"/>
        <v>43055.916749858523</v>
      </c>
      <c r="G27" s="217">
        <f t="shared" si="32"/>
        <v>39544.717197190141</v>
      </c>
      <c r="H27" s="217">
        <f t="shared" si="32"/>
        <v>37974.22938178086</v>
      </c>
      <c r="I27" s="217">
        <f t="shared" si="32"/>
        <v>34315.519098592536</v>
      </c>
      <c r="J27" s="218">
        <f t="shared" si="24"/>
        <v>214040.08402446733</v>
      </c>
      <c r="L27" s="248" t="s">
        <v>19</v>
      </c>
      <c r="M27" s="898">
        <f t="shared" si="25"/>
        <v>62984.640193518419</v>
      </c>
      <c r="N27" s="898">
        <f t="shared" si="25"/>
        <v>71310.142210936727</v>
      </c>
      <c r="O27" s="899">
        <f t="shared" si="26"/>
        <v>59149.701597045278</v>
      </c>
      <c r="P27" s="899">
        <f t="shared" si="27"/>
        <v>43055.916749858523</v>
      </c>
      <c r="Q27" s="899">
        <f t="shared" si="28"/>
        <v>39544.717197190141</v>
      </c>
      <c r="R27" s="899">
        <f t="shared" si="29"/>
        <v>37974.22938178086</v>
      </c>
      <c r="S27" s="899">
        <f t="shared" si="30"/>
        <v>34315.519098592536</v>
      </c>
      <c r="T27" s="218">
        <f t="shared" si="31"/>
        <v>214040.08402446733</v>
      </c>
    </row>
    <row r="28" spans="2:20">
      <c r="B28" t="s">
        <v>18</v>
      </c>
      <c r="C28" s="203">
        <f t="shared" ref="C28:I28" si="33">C12-C20</f>
        <v>50181.966093830037</v>
      </c>
      <c r="D28" s="203">
        <f t="shared" si="33"/>
        <v>56441.248295374658</v>
      </c>
      <c r="E28" s="217">
        <f t="shared" si="33"/>
        <v>46335.651525593647</v>
      </c>
      <c r="F28" s="217">
        <f t="shared" si="33"/>
        <v>33380.395167134804</v>
      </c>
      <c r="G28" s="217">
        <f t="shared" si="33"/>
        <v>30352.431303965779</v>
      </c>
      <c r="H28" s="217">
        <f t="shared" si="33"/>
        <v>28832.731232781931</v>
      </c>
      <c r="I28" s="217">
        <f t="shared" si="33"/>
        <v>25767.471301185422</v>
      </c>
      <c r="J28" s="218">
        <f t="shared" si="24"/>
        <v>164668.68053066157</v>
      </c>
      <c r="L28" s="248" t="s">
        <v>18</v>
      </c>
      <c r="M28" s="898">
        <f t="shared" si="25"/>
        <v>50181.966093830037</v>
      </c>
      <c r="N28" s="898">
        <f t="shared" si="25"/>
        <v>56441.248295374658</v>
      </c>
      <c r="O28" s="899">
        <f t="shared" si="26"/>
        <v>46335.651525593647</v>
      </c>
      <c r="P28" s="899">
        <f t="shared" si="27"/>
        <v>33380.395167134804</v>
      </c>
      <c r="Q28" s="899">
        <f t="shared" si="28"/>
        <v>30352.431303965779</v>
      </c>
      <c r="R28" s="899">
        <f t="shared" si="29"/>
        <v>28832.731232781931</v>
      </c>
      <c r="S28" s="899">
        <f t="shared" si="30"/>
        <v>25767.471301185422</v>
      </c>
      <c r="T28" s="218">
        <f t="shared" si="31"/>
        <v>164668.68053066157</v>
      </c>
    </row>
    <row r="29" spans="2:20">
      <c r="B29" s="35" t="s">
        <v>229</v>
      </c>
      <c r="C29" s="214">
        <f>SUM(C26:C28)</f>
        <v>125785.80257350628</v>
      </c>
      <c r="D29" s="214">
        <f t="shared" ref="D29" si="34">SUM(D26:D28)</f>
        <v>142038.2758506269</v>
      </c>
      <c r="E29" s="216">
        <f t="shared" ref="E29" si="35">SUM(E26:E28)</f>
        <v>117308.64189790931</v>
      </c>
      <c r="F29" s="216">
        <f t="shared" ref="F29" si="36">SUM(F26:F28)</f>
        <v>85022.85021765827</v>
      </c>
      <c r="G29" s="216">
        <f t="shared" ref="G29" si="37">SUM(G26:G28)</f>
        <v>77769.402925996605</v>
      </c>
      <c r="H29" s="216">
        <f t="shared" ref="H29" si="38">SUM(H26:H28)</f>
        <v>74351.992252013006</v>
      </c>
      <c r="I29" s="216">
        <f t="shared" ref="I29:J29" si="39">SUM(I26:I28)</f>
        <v>66887.256485945909</v>
      </c>
      <c r="J29" s="216">
        <f t="shared" si="39"/>
        <v>421340.14377952309</v>
      </c>
      <c r="L29" s="35" t="s">
        <v>229</v>
      </c>
      <c r="M29" s="896">
        <f>SUM(M26:M28)</f>
        <v>125785.80257350628</v>
      </c>
      <c r="N29" s="896">
        <f t="shared" ref="N29:T29" si="40">SUM(N26:N28)</f>
        <v>142038.2758506269</v>
      </c>
      <c r="O29" s="897">
        <f t="shared" si="40"/>
        <v>117308.64189790931</v>
      </c>
      <c r="P29" s="897">
        <f t="shared" si="40"/>
        <v>85022.85021765827</v>
      </c>
      <c r="Q29" s="897">
        <f t="shared" si="40"/>
        <v>77769.402925996605</v>
      </c>
      <c r="R29" s="897">
        <f t="shared" si="40"/>
        <v>74351.992252013006</v>
      </c>
      <c r="S29" s="897">
        <f t="shared" si="40"/>
        <v>66887.256485945909</v>
      </c>
      <c r="T29" s="897">
        <f t="shared" si="40"/>
        <v>421340.14377952309</v>
      </c>
    </row>
    <row r="30" spans="2:20">
      <c r="C30" s="203"/>
      <c r="D30" s="203"/>
      <c r="E30" s="203"/>
      <c r="F30" s="203"/>
      <c r="G30" s="203"/>
      <c r="H30" s="203"/>
      <c r="I30" s="203"/>
    </row>
    <row r="31" spans="2:20">
      <c r="B31" t="s">
        <v>450</v>
      </c>
      <c r="C31" s="200">
        <f>C29/Assumptions!$G$21</f>
        <v>123693.24763235738</v>
      </c>
      <c r="D31" s="200">
        <f>D29/Assumptions!$G$21</f>
        <v>139675.34704719688</v>
      </c>
      <c r="E31" s="200">
        <f>E29/Assumptions!$G$21</f>
        <v>115357.11181088309</v>
      </c>
      <c r="F31" s="200">
        <f>F29/Assumptions!$G$21</f>
        <v>83608.422025497595</v>
      </c>
      <c r="G31" s="200">
        <f>G29/Assumptions!$G$21</f>
        <v>76475.642064011437</v>
      </c>
      <c r="H31" s="200">
        <f>H29/Assumptions!$G$21</f>
        <v>73115.08295392037</v>
      </c>
      <c r="I31" s="200">
        <f>I29/Assumptions!$G$21</f>
        <v>65774.529483407066</v>
      </c>
      <c r="J31" s="33">
        <f>SUM(E31:I31)</f>
        <v>414330.78833771951</v>
      </c>
    </row>
    <row r="32" spans="2:20">
      <c r="C32" s="200"/>
      <c r="D32" s="200"/>
      <c r="E32" s="200"/>
      <c r="F32" s="200"/>
      <c r="G32" s="200"/>
      <c r="H32" s="200"/>
      <c r="I32" s="200"/>
      <c r="J32" s="200"/>
    </row>
    <row r="37" spans="5:10">
      <c r="E37" s="33"/>
      <c r="F37" s="33"/>
      <c r="G37" s="33"/>
      <c r="H37" s="33"/>
      <c r="I37" s="33"/>
      <c r="J37" s="33"/>
    </row>
    <row r="38" spans="5:10">
      <c r="E38" s="33"/>
      <c r="F38" s="33"/>
      <c r="G38" s="33"/>
      <c r="H38" s="33"/>
      <c r="I38" s="33"/>
      <c r="J38" s="33"/>
    </row>
    <row r="39" spans="5:10">
      <c r="E39" s="33"/>
      <c r="F39" s="33"/>
      <c r="G39" s="33"/>
      <c r="H39" s="33"/>
      <c r="I39" s="33"/>
      <c r="J39" s="33"/>
    </row>
  </sheetData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V45"/>
  <sheetViews>
    <sheetView topLeftCell="C1" zoomScaleNormal="100" workbookViewId="0">
      <selection activeCell="E17" sqref="E17"/>
    </sheetView>
  </sheetViews>
  <sheetFormatPr defaultRowHeight="15" outlineLevelCol="1"/>
  <cols>
    <col min="1" max="1" width="9.140625" style="47"/>
    <col min="2" max="2" width="33.42578125" style="47" customWidth="1"/>
    <col min="3" max="9" width="9" style="47" bestFit="1" customWidth="1"/>
    <col min="10" max="10" width="9.85546875" style="47" hidden="1" customWidth="1" outlineLevel="1"/>
    <col min="11" max="11" width="9" style="47" bestFit="1" customWidth="1" collapsed="1"/>
    <col min="12" max="12" width="9.140625" style="47"/>
    <col min="13" max="13" width="29" style="47" bestFit="1" customWidth="1"/>
    <col min="14" max="17" width="9" style="47" bestFit="1" customWidth="1"/>
    <col min="18" max="20" width="9.140625" style="47"/>
    <col min="21" max="21" width="9.140625" style="47" hidden="1" customWidth="1" outlineLevel="1"/>
    <col min="22" max="22" width="9.140625" style="47" collapsed="1"/>
    <col min="23" max="16384" width="9.140625" style="47"/>
  </cols>
  <sheetData>
    <row r="1" spans="2:22">
      <c r="B1" s="483" t="s">
        <v>290</v>
      </c>
    </row>
    <row r="2" spans="2:22">
      <c r="B2" s="483"/>
    </row>
    <row r="3" spans="2:22" ht="15.75">
      <c r="B3" s="939" t="s">
        <v>475</v>
      </c>
    </row>
    <row r="4" spans="2:22">
      <c r="H4" s="122"/>
      <c r="J4" s="125"/>
      <c r="K4" s="125"/>
      <c r="M4" s="909" t="s">
        <v>192</v>
      </c>
      <c r="N4" s="147" t="s">
        <v>194</v>
      </c>
      <c r="P4" s="941">
        <f>E_factor</f>
        <v>0</v>
      </c>
    </row>
    <row r="5" spans="2:22">
      <c r="B5" s="143" t="s">
        <v>224</v>
      </c>
      <c r="C5" s="263"/>
      <c r="D5" s="127"/>
      <c r="E5" s="127"/>
      <c r="F5" s="127"/>
      <c r="G5" s="127"/>
      <c r="H5" s="127"/>
      <c r="I5" s="127"/>
      <c r="J5" s="127"/>
      <c r="K5" s="127"/>
      <c r="M5" s="143" t="s">
        <v>223</v>
      </c>
    </row>
    <row r="6" spans="2:22">
      <c r="B6" s="908" t="s">
        <v>245</v>
      </c>
      <c r="E6" s="1010" t="s">
        <v>482</v>
      </c>
      <c r="F6" s="1011"/>
      <c r="G6" s="1011"/>
      <c r="H6" s="1011"/>
      <c r="I6" s="1012"/>
      <c r="K6" s="139"/>
      <c r="M6" s="903" t="s">
        <v>438</v>
      </c>
      <c r="N6" s="128"/>
      <c r="O6" s="128"/>
      <c r="P6" s="1007" t="s">
        <v>482</v>
      </c>
      <c r="Q6" s="1008"/>
      <c r="R6" s="1008"/>
      <c r="S6" s="1008"/>
      <c r="T6" s="1009"/>
      <c r="U6" s="128"/>
      <c r="V6" s="127"/>
    </row>
    <row r="7" spans="2:22">
      <c r="B7" s="900"/>
      <c r="C7" s="141" t="s">
        <v>72</v>
      </c>
      <c r="D7" s="141" t="s">
        <v>73</v>
      </c>
      <c r="E7" s="141" t="s">
        <v>74</v>
      </c>
      <c r="F7" s="141" t="s">
        <v>75</v>
      </c>
      <c r="G7" s="141" t="s">
        <v>76</v>
      </c>
      <c r="H7" s="141" t="s">
        <v>77</v>
      </c>
      <c r="I7" s="141" t="s">
        <v>78</v>
      </c>
      <c r="J7" s="141" t="s">
        <v>79</v>
      </c>
      <c r="K7" s="140" t="s">
        <v>35</v>
      </c>
      <c r="M7" s="902"/>
      <c r="N7" s="141" t="s">
        <v>72</v>
      </c>
      <c r="O7" s="141" t="s">
        <v>73</v>
      </c>
      <c r="P7" s="141" t="s">
        <v>74</v>
      </c>
      <c r="Q7" s="141" t="s">
        <v>75</v>
      </c>
      <c r="R7" s="141" t="s">
        <v>76</v>
      </c>
      <c r="S7" s="141" t="s">
        <v>77</v>
      </c>
      <c r="T7" s="141" t="s">
        <v>78</v>
      </c>
      <c r="U7" s="141" t="s">
        <v>79</v>
      </c>
      <c r="V7" s="140" t="s">
        <v>35</v>
      </c>
    </row>
    <row r="8" spans="2:22">
      <c r="B8" s="901" t="s">
        <v>2</v>
      </c>
      <c r="C8" s="142" t="s">
        <v>56</v>
      </c>
      <c r="D8" s="142" t="s">
        <v>55</v>
      </c>
      <c r="E8" s="142" t="s">
        <v>38</v>
      </c>
      <c r="F8" s="142" t="s">
        <v>39</v>
      </c>
      <c r="G8" s="142" t="s">
        <v>40</v>
      </c>
      <c r="H8" s="142" t="s">
        <v>123</v>
      </c>
      <c r="I8" s="142" t="s">
        <v>124</v>
      </c>
      <c r="J8" s="142" t="s">
        <v>125</v>
      </c>
      <c r="K8" s="129"/>
      <c r="M8" s="901" t="s">
        <v>2</v>
      </c>
      <c r="N8" s="142" t="s">
        <v>56</v>
      </c>
      <c r="O8" s="142" t="s">
        <v>55</v>
      </c>
      <c r="P8" s="142" t="s">
        <v>38</v>
      </c>
      <c r="Q8" s="142" t="s">
        <v>39</v>
      </c>
      <c r="R8" s="142" t="s">
        <v>40</v>
      </c>
      <c r="S8" s="142" t="s">
        <v>123</v>
      </c>
      <c r="T8" s="142" t="s">
        <v>124</v>
      </c>
      <c r="U8" s="142" t="s">
        <v>125</v>
      </c>
      <c r="V8" s="129"/>
    </row>
    <row r="9" spans="2:22">
      <c r="B9" s="130" t="s">
        <v>3</v>
      </c>
      <c r="C9" s="131">
        <f>Proj_1!G64+Proj_2!G64+Proj_3!G64+Proj_4!G64+Proj_5!G64+Proj_6!G64+Proj_7!G64+Proj_8!G64+Proj_9!G64+Proj_10!G64+Proj_11!G64+Proj_12!G64+Proj_13!G64+Proj_14!G64+Proj_15!G64+Proj_16!G64+Proj_17!G64+Proj_18!G64+Proj_19!G64+Proj_20!G64+Proj_21!G64+Proj_22!G64+Proj_23!G64+Proj_24!G64+Proj_25!G64+Proj_26!G64+Proj_27!G64+Proj_28!G64+Proj_29!G64+Proj_30!G64+Proj_31!G64+Proj_32!G64+Proj_33!G64+Proj_34!G64+Proj_35!G64+Proj_36!G64+Proj_37!G64+Proj_38!G64+Proj_39!G64+Proj_40!G64+Proj_41!G64+Proj_42!G64+Proj_43!G64+Proj_44!G64+Proj_45!G64+Proj_46!G64</f>
        <v>30382.202251294788</v>
      </c>
      <c r="D9" s="131">
        <f>Proj_1!H64+Proj_2!H64+Proj_3!H64+Proj_4!H64+Proj_5!H64+Proj_6!H64+Proj_7!H64+Proj_8!H64+Proj_9!H64+Proj_10!H64+Proj_11!H64+Proj_12!H64+Proj_13!H64+Proj_14!H64+Proj_15!H64+Proj_16!H64+Proj_17!H64+Proj_18!H64+Proj_19!H64+Proj_20!H64+Proj_21!H64+Proj_22!H64+Proj_23!H64+Proj_24!H64+Proj_25!H64+Proj_26!H64+Proj_27!H64+Proj_28!H64+Proj_29!H64+Proj_30!H64+Proj_31!H64+Proj_32!H64+Proj_33!H64+Proj_34!H64+Proj_35!H64+Proj_36!H64+Proj_37!H64+Proj_38!H64+Proj_39!H64+Proj_40!H64+Proj_41!H64+Proj_42!H64+Proj_43!H64+Proj_44!H64+Proj_45!H64+Proj_46!H64</f>
        <v>23662.120326057975</v>
      </c>
      <c r="E9" s="193">
        <f>Proj_1!I64+Proj_2!I64+Proj_3!I64+Proj_4!I64+Proj_5!I64+Proj_6!I64+Proj_7!I64+Proj_8!I64+Proj_9!I64+Proj_10!I64+Proj_11!I64+Proj_12!I64+Proj_13!I64+Proj_14!I64+Proj_15!I64+Proj_16!I64+Proj_17!I64+Proj_18!I64+Proj_19!I64+Proj_20!I64+Proj_21!I64+Proj_22!I64+Proj_23!I64+Proj_24!I64+Proj_25!I64+Proj_26!I64+Proj_27!I64+Proj_28!I64+Proj_29!I64+Proj_30!I64+Proj_31!I64+Proj_32!I64+Proj_33!I64+Proj_34!I64+Proj_35!I64+Proj_36!I64+Proj_37!I64+Proj_38!I64+Proj_39!I64+Proj_40!I64+Proj_41!I64+Proj_42!I64+Proj_43!I64+Proj_44!I64+Proj_45!I64+Proj_46!I64</f>
        <v>27897.71217563449</v>
      </c>
      <c r="F9" s="193">
        <f>Proj_1!J64+Proj_2!J64+Proj_3!J64+Proj_4!J64+Proj_5!J64+Proj_6!J64+Proj_7!J64+Proj_8!J64+Proj_9!J64+Proj_10!J64+Proj_11!J64+Proj_12!J64+Proj_13!J64+Proj_14!J64+Proj_15!J64+Proj_16!J64+Proj_17!J64+Proj_18!J64+Proj_19!J64+Proj_20!J64+Proj_21!J64+Proj_22!J64+Proj_23!J64+Proj_24!J64+Proj_25!J64+Proj_26!J64+Proj_27!J64+Proj_28!J64+Proj_29!J64+Proj_30!J64+Proj_31!J64+Proj_32!J64+Proj_33!J64+Proj_34!J64+Proj_35!J64+Proj_36!J64+Proj_37!J64+Proj_38!J64+Proj_39!J64+Proj_40!J64+Proj_41!J64+Proj_42!J64+Proj_43!J64+Proj_44!J64+Proj_45!J64+Proj_46!J64</f>
        <v>21197.014459414229</v>
      </c>
      <c r="G9" s="193">
        <f>Proj_1!K64+Proj_2!K64+Proj_3!K64+Proj_4!K64+Proj_5!K64+Proj_6!K64+Proj_7!K64+Proj_8!K64+Proj_9!K64+Proj_10!K64+Proj_11!K64+Proj_12!K64+Proj_13!K64+Proj_14!K64+Proj_15!K64+Proj_16!K64+Proj_17!K64+Proj_18!K64+Proj_19!K64+Proj_20!K64+Proj_21!K64+Proj_22!K64+Proj_23!K64+Proj_24!K64+Proj_25!K64+Proj_26!K64+Proj_27!K64+Proj_28!K64+Proj_29!K64+Proj_30!K64+Proj_31!K64+Proj_32!K64+Proj_33!K64+Proj_34!K64+Proj_35!K64+Proj_36!K64+Proj_37!K64+Proj_38!K64+Proj_39!K64+Proj_40!K64+Proj_41!K64+Proj_42!K64+Proj_43!K64+Proj_44!K64+Proj_45!K64+Proj_46!K64</f>
        <v>18449.203711981889</v>
      </c>
      <c r="H9" s="193">
        <f>Proj_1!L64+Proj_2!L64+Proj_3!L64+Proj_4!L64+Proj_5!L64+Proj_6!L64+Proj_7!L64+Proj_8!L64+Proj_9!L64+Proj_10!L64+Proj_11!L64+Proj_12!L64+Proj_13!L64+Proj_14!L64+Proj_15!L64+Proj_16!L64+Proj_17!L64+Proj_18!L64+Proj_19!L64+Proj_20!L64+Proj_21!L64+Proj_22!L64+Proj_23!L64+Proj_24!L64+Proj_25!L64+Proj_26!L64+Proj_27!L64+Proj_28!L64+Proj_29!L64+Proj_30!L64+Proj_31!L64+Proj_32!L64+Proj_33!L64+Proj_34!L64+Proj_35!L64+Proj_36!L64+Proj_37!L64+Proj_38!L64+Proj_39!L64+Proj_40!L64+Proj_41!L64+Proj_42!L64+Proj_43!L64+Proj_44!L64+Proj_45!L64+Proj_46!L64</f>
        <v>17745.630773531178</v>
      </c>
      <c r="I9" s="193">
        <f>Proj_1!M64+Proj_2!M64+Proj_3!M64+Proj_4!M64+Proj_5!M64+Proj_6!M64+Proj_7!M64+Proj_8!M64+Proj_9!M64+Proj_10!M64+Proj_11!M64+Proj_12!M64+Proj_13!M64+Proj_14!M64+Proj_15!M64+Proj_16!M64+Proj_17!M64+Proj_18!M64+Proj_19!M64+Proj_20!M64+Proj_21!M64+Proj_22!M64+Proj_23!M64+Proj_24!M64+Proj_25!M64+Proj_26!M64+Proj_27!M64+Proj_28!M64+Proj_29!M64+Proj_30!M64+Proj_31!M64+Proj_32!M64+Proj_33!M64+Proj_34!M64+Proj_35!M64+Proj_36!M64+Proj_37!M64+Proj_38!M64+Proj_39!M64+Proj_40!M64+Proj_41!M64+Proj_42!M64+Proj_43!M64+Proj_44!M64+Proj_45!M64+Proj_46!M64</f>
        <v>18083.69230009284</v>
      </c>
      <c r="J9" s="131">
        <f>Proj_1!N64+Proj_2!N64+Proj_3!N64+Proj_4!N64+Proj_5!N64+Proj_6!N64+Proj_7!N64+Proj_8!N64+Proj_9!N64+Proj_10!N64+Proj_11!N64+Proj_12!N64+Proj_13!N64+Proj_14!N64+Proj_15!N64+Proj_16!N64+Proj_17!N64+Proj_18!N64+Proj_19!N64+Proj_20!N64+Proj_21!N64+Proj_22!N64+Proj_23!N64+Proj_24!N64+Proj_25!N64+Proj_26!N64+Proj_27!N64+Proj_28!N64+Proj_29!N64+Proj_30!N64+Proj_31!N64+Proj_32!N64+Proj_33!N64+Proj_34!N64+Proj_35!N64+Proj_36!N64+Proj_37!N64+Proj_38!N64+Proj_39!N64+Proj_40!N64+Proj_41!N64+Proj_42!N64+Proj_43!N64+Proj_44!N64+Proj_45!N64+Proj_46!N64</f>
        <v>0</v>
      </c>
      <c r="K9" s="193">
        <f>SUM(E9:J9)</f>
        <v>103373.25342065463</v>
      </c>
      <c r="M9" s="130" t="s">
        <v>3</v>
      </c>
      <c r="N9" s="138">
        <f>C9/1000</f>
        <v>30.382202251294789</v>
      </c>
      <c r="O9" s="138">
        <f t="shared" ref="O9:O22" si="0">D9/1000</f>
        <v>23.662120326057973</v>
      </c>
      <c r="P9" s="157">
        <f>E9/1000*(1-$P$4)</f>
        <v>27.897712175634489</v>
      </c>
      <c r="Q9" s="157">
        <f t="shared" ref="Q9:Q22" si="1">F9/1000*(1-$P$4)</f>
        <v>21.19701445941423</v>
      </c>
      <c r="R9" s="157">
        <f t="shared" ref="R9:R22" si="2">G9/1000*(1-$P$4)</f>
        <v>18.449203711981887</v>
      </c>
      <c r="S9" s="157">
        <f t="shared" ref="S9:S22" si="3">H9/1000*(1-$P$4)</f>
        <v>17.745630773531179</v>
      </c>
      <c r="T9" s="157">
        <f t="shared" ref="T9:T22" si="4">I9/1000*(1-$P$4)</f>
        <v>18.083692300092839</v>
      </c>
      <c r="U9" s="138">
        <f>J9/1000</f>
        <v>0</v>
      </c>
      <c r="V9" s="157">
        <f>SUM(P9:T9)</f>
        <v>103.37325342065461</v>
      </c>
    </row>
    <row r="10" spans="2:22">
      <c r="B10" s="130" t="s">
        <v>4</v>
      </c>
      <c r="C10" s="131">
        <f>Proj_1!G65+Proj_2!G65+Proj_3!G65+Proj_4!G65+Proj_5!G65+Proj_6!G65+Proj_7!G65+Proj_8!G65+Proj_9!G65+Proj_10!G65+Proj_11!G65+Proj_12!G65+Proj_13!G65+Proj_14!G65+Proj_15!G65+Proj_16!G65+Proj_17!G65+Proj_18!G65+Proj_19!G65+Proj_20!G65+Proj_21!G65+Proj_22!G65+Proj_23!G65+Proj_24!G65+Proj_25!G65+Proj_26!G65+Proj_27!G65+Proj_28!G65+Proj_29!G65+Proj_30!G65+Proj_31!G65+Proj_32!G65+Proj_33!G65+Proj_34!G65+Proj_35!G65+Proj_36!G65+Proj_37!G65+Proj_38!G65+Proj_39!G65+Proj_40!G65+Proj_41!G65+Proj_42!G65+Proj_43!G65+Proj_44!G65+Proj_45!G65+Proj_46!G65</f>
        <v>36714.092239211641</v>
      </c>
      <c r="D10" s="131">
        <f>Proj_1!H65+Proj_2!H65+Proj_3!H65+Proj_4!H65+Proj_5!H65+Proj_6!H65+Proj_7!H65+Proj_8!H65+Proj_9!H65+Proj_10!H65+Proj_11!H65+Proj_12!H65+Proj_13!H65+Proj_14!H65+Proj_15!H65+Proj_16!H65+Proj_17!H65+Proj_18!H65+Proj_19!H65+Proj_20!H65+Proj_21!H65+Proj_22!H65+Proj_23!H65+Proj_24!H65+Proj_25!H65+Proj_26!H65+Proj_27!H65+Proj_28!H65+Proj_29!H65+Proj_30!H65+Proj_31!H65+Proj_32!H65+Proj_33!H65+Proj_34!H65+Proj_35!H65+Proj_36!H65+Proj_37!H65+Proj_38!H65+Proj_39!H65+Proj_40!H65+Proj_41!H65+Proj_42!H65+Proj_43!H65+Proj_44!H65+Proj_45!H65+Proj_46!H65</f>
        <v>49908.703343075758</v>
      </c>
      <c r="E10" s="193">
        <f>Proj_1!I65+Proj_2!I65+Proj_3!I65+Proj_4!I65+Proj_5!I65+Proj_6!I65+Proj_7!I65+Proj_8!I65+Proj_9!I65+Proj_10!I65+Proj_11!I65+Proj_12!I65+Proj_13!I65+Proj_14!I65+Proj_15!I65+Proj_16!I65+Proj_17!I65+Proj_18!I65+Proj_19!I65+Proj_20!I65+Proj_21!I65+Proj_22!I65+Proj_23!I65+Proj_24!I65+Proj_25!I65+Proj_26!I65+Proj_27!I65+Proj_28!I65+Proj_29!I65+Proj_30!I65+Proj_31!I65+Proj_32!I65+Proj_33!I65+Proj_34!I65+Proj_35!I65+Proj_36!I65+Proj_37!I65+Proj_38!I65+Proj_39!I65+Proj_40!I65+Proj_41!I65+Proj_42!I65+Proj_43!I65+Proj_44!I65+Proj_45!I65+Proj_46!I65</f>
        <v>41737.372667865631</v>
      </c>
      <c r="F10" s="193">
        <f>Proj_1!J65+Proj_2!J65+Proj_3!J65+Proj_4!J65+Proj_5!J65+Proj_6!J65+Proj_7!J65+Proj_8!J65+Proj_9!J65+Proj_10!J65+Proj_11!J65+Proj_12!J65+Proj_13!J65+Proj_14!J65+Proj_15!J65+Proj_16!J65+Proj_17!J65+Proj_18!J65+Proj_19!J65+Proj_20!J65+Proj_21!J65+Proj_22!J65+Proj_23!J65+Proj_24!J65+Proj_25!J65+Proj_26!J65+Proj_27!J65+Proj_28!J65+Proj_29!J65+Proj_30!J65+Proj_31!J65+Proj_32!J65+Proj_33!J65+Proj_34!J65+Proj_35!J65+Proj_36!J65+Proj_37!J65+Proj_38!J65+Proj_39!J65+Proj_40!J65+Proj_41!J65+Proj_42!J65+Proj_43!J65+Proj_44!J65+Proj_45!J65+Proj_46!J65</f>
        <v>26106.618514082595</v>
      </c>
      <c r="G10" s="193">
        <f>Proj_1!K65+Proj_2!K65+Proj_3!K65+Proj_4!K65+Proj_5!K65+Proj_6!K65+Proj_7!K65+Proj_8!K65+Proj_9!K65+Proj_10!K65+Proj_11!K65+Proj_12!K65+Proj_13!K65+Proj_14!K65+Proj_15!K65+Proj_16!K65+Proj_17!K65+Proj_18!K65+Proj_19!K65+Proj_20!K65+Proj_21!K65+Proj_22!K65+Proj_23!K65+Proj_24!K65+Proj_25!K65+Proj_26!K65+Proj_27!K65+Proj_28!K65+Proj_29!K65+Proj_30!K65+Proj_31!K65+Proj_32!K65+Proj_33!K65+Proj_34!K65+Proj_35!K65+Proj_36!K65+Proj_37!K65+Proj_38!K65+Proj_39!K65+Proj_40!K65+Proj_41!K65+Proj_42!K65+Proj_43!K65+Proj_44!K65+Proj_45!K65+Proj_46!K65</f>
        <v>24007.27110227901</v>
      </c>
      <c r="H10" s="193">
        <f>Proj_1!L65+Proj_2!L65+Proj_3!L65+Proj_4!L65+Proj_5!L65+Proj_6!L65+Proj_7!L65+Proj_8!L65+Proj_9!L65+Proj_10!L65+Proj_11!L65+Proj_12!L65+Proj_13!L65+Proj_14!L65+Proj_15!L65+Proj_16!L65+Proj_17!L65+Proj_18!L65+Proj_19!L65+Proj_20!L65+Proj_21!L65+Proj_22!L65+Proj_23!L65+Proj_24!L65+Proj_25!L65+Proj_26!L65+Proj_27!L65+Proj_28!L65+Proj_29!L65+Proj_30!L65+Proj_31!L65+Proj_32!L65+Proj_33!L65+Proj_34!L65+Proj_35!L65+Proj_36!L65+Proj_37!L65+Proj_38!L65+Proj_39!L65+Proj_40!L65+Proj_41!L65+Proj_42!L65+Proj_43!L65+Proj_44!L65+Proj_45!L65+Proj_46!L65</f>
        <v>22274.127741844437</v>
      </c>
      <c r="I10" s="193">
        <f>Proj_1!M65+Proj_2!M65+Proj_3!M65+Proj_4!M65+Proj_5!M65+Proj_6!M65+Proj_7!M65+Proj_8!M65+Proj_9!M65+Proj_10!M65+Proj_11!M65+Proj_12!M65+Proj_13!M65+Proj_14!M65+Proj_15!M65+Proj_16!M65+Proj_17!M65+Proj_18!M65+Proj_19!M65+Proj_20!M65+Proj_21!M65+Proj_22!M65+Proj_23!M65+Proj_24!M65+Proj_25!M65+Proj_26!M65+Proj_27!M65+Proj_28!M65+Proj_29!M65+Proj_30!M65+Proj_31!M65+Proj_32!M65+Proj_33!M65+Proj_34!M65+Proj_35!M65+Proj_36!M65+Proj_37!M65+Proj_38!M65+Proj_39!M65+Proj_40!M65+Proj_41!M65+Proj_42!M65+Proj_43!M65+Proj_44!M65+Proj_45!M65+Proj_46!M65</f>
        <v>19332.432845566425</v>
      </c>
      <c r="J10" s="131">
        <f>Proj_1!N65+Proj_2!N65+Proj_3!N65+Proj_4!N65+Proj_5!N65+Proj_6!N65+Proj_7!N65+Proj_8!N65+Proj_9!N65+Proj_10!N65+Proj_11!N65+Proj_12!N65+Proj_13!N65+Proj_14!N65+Proj_15!N65+Proj_16!N65+Proj_17!N65+Proj_18!N65+Proj_19!N65+Proj_20!N65+Proj_21!N65+Proj_22!N65+Proj_23!N65+Proj_24!N65+Proj_25!N65+Proj_26!N65+Proj_27!N65+Proj_28!N65+Proj_29!N65+Proj_30!N65+Proj_31!N65+Proj_32!N65+Proj_33!N65+Proj_34!N65+Proj_35!N65+Proj_36!N65+Proj_37!N65+Proj_38!N65+Proj_39!N65+Proj_40!N65+Proj_41!N65+Proj_42!N65+Proj_43!N65+Proj_44!N65+Proj_45!N65+Proj_46!N65</f>
        <v>0</v>
      </c>
      <c r="K10" s="193">
        <f t="shared" ref="K10:K20" si="5">SUM(E10:J10)</f>
        <v>133457.82287163811</v>
      </c>
      <c r="M10" s="130" t="s">
        <v>4</v>
      </c>
      <c r="N10" s="138">
        <f t="shared" ref="N10:N22" si="6">C10/1000</f>
        <v>36.714092239211638</v>
      </c>
      <c r="O10" s="138">
        <f t="shared" si="0"/>
        <v>49.908703343075757</v>
      </c>
      <c r="P10" s="157">
        <f t="shared" ref="P10:P22" si="7">E10/1000*(1-$P$4)</f>
        <v>41.737372667865628</v>
      </c>
      <c r="Q10" s="157">
        <f t="shared" si="1"/>
        <v>26.106618514082594</v>
      </c>
      <c r="R10" s="157">
        <f t="shared" si="2"/>
        <v>24.00727110227901</v>
      </c>
      <c r="S10" s="157">
        <f t="shared" si="3"/>
        <v>22.274127741844438</v>
      </c>
      <c r="T10" s="157">
        <f t="shared" si="4"/>
        <v>19.332432845566426</v>
      </c>
      <c r="U10" s="138">
        <f t="shared" ref="U10:U22" si="8">J10/1000</f>
        <v>0</v>
      </c>
      <c r="V10" s="157">
        <f t="shared" ref="V10:V22" si="9">SUM(P10:T10)</f>
        <v>133.45782287163809</v>
      </c>
    </row>
    <row r="11" spans="2:22">
      <c r="B11" s="130" t="s">
        <v>5</v>
      </c>
      <c r="C11" s="131">
        <f>Proj_1!G66+Proj_2!G66+Proj_3!G66+Proj_4!G66+Proj_5!G66+Proj_6!G66+Proj_7!G66+Proj_8!G66+Proj_9!G66+Proj_10!G66+Proj_11!G66+Proj_12!G66+Proj_13!G66+Proj_14!G66+Proj_15!G66+Proj_16!G66+Proj_17!G66+Proj_18!G66+Proj_19!G66+Proj_20!G66+Proj_21!G66+Proj_22!G66+Proj_23!G66+Proj_24!G66+Proj_25!G66+Proj_26!G66+Proj_27!G66+Proj_28!G66+Proj_29!G66+Proj_30!G66+Proj_31!G66+Proj_32!G66+Proj_33!G66+Proj_34!G66+Proj_35!G66+Proj_36!G66+Proj_37!G66+Proj_38!G66+Proj_39!G66+Proj_40!G66+Proj_41!G66+Proj_42!G66+Proj_43!G66+Proj_44!G66+Proj_45!G66+Proj_46!G66</f>
        <v>24826.800350921345</v>
      </c>
      <c r="D11" s="131">
        <f>Proj_1!H66+Proj_2!H66+Proj_3!H66+Proj_4!H66+Proj_5!H66+Proj_6!H66+Proj_7!H66+Proj_8!H66+Proj_9!H66+Proj_10!H66+Proj_11!H66+Proj_12!H66+Proj_13!H66+Proj_14!H66+Proj_15!H66+Proj_16!H66+Proj_17!H66+Proj_18!H66+Proj_19!H66+Proj_20!H66+Proj_21!H66+Proj_22!H66+Proj_23!H66+Proj_24!H66+Proj_25!H66+Proj_26!H66+Proj_27!H66+Proj_28!H66+Proj_29!H66+Proj_30!H66+Proj_31!H66+Proj_32!H66+Proj_33!H66+Proj_34!H66+Proj_35!H66+Proj_36!H66+Proj_37!H66+Proj_38!H66+Proj_39!H66+Proj_40!H66+Proj_41!H66+Proj_42!H66+Proj_43!H66+Proj_44!H66+Proj_45!H66+Proj_46!H66</f>
        <v>26688.200151897341</v>
      </c>
      <c r="E11" s="193">
        <f>Proj_1!I66+Proj_2!I66+Proj_3!I66+Proj_4!I66+Proj_5!I66+Proj_6!I66+Proj_7!I66+Proj_8!I66+Proj_9!I66+Proj_10!I66+Proj_11!I66+Proj_12!I66+Proj_13!I66+Proj_14!I66+Proj_15!I66+Proj_16!I66+Proj_17!I66+Proj_18!I66+Proj_19!I66+Proj_20!I66+Proj_21!I66+Proj_22!I66+Proj_23!I66+Proj_24!I66+Proj_25!I66+Proj_26!I66+Proj_27!I66+Proj_28!I66+Proj_29!I66+Proj_30!I66+Proj_31!I66+Proj_32!I66+Proj_33!I66+Proj_34!I66+Proj_35!I66+Proj_36!I66+Proj_37!I66+Proj_38!I66+Proj_39!I66+Proj_40!I66+Proj_41!I66+Proj_42!I66+Proj_43!I66+Proj_44!I66+Proj_45!I66+Proj_46!I66</f>
        <v>19899.877961613511</v>
      </c>
      <c r="F11" s="193">
        <f>Proj_1!J66+Proj_2!J66+Proj_3!J66+Proj_4!J66+Proj_5!J66+Proj_6!J66+Proj_7!J66+Proj_8!J66+Proj_9!J66+Proj_10!J66+Proj_11!J66+Proj_12!J66+Proj_13!J66+Proj_14!J66+Proj_15!J66+Proj_16!J66+Proj_17!J66+Proj_18!J66+Proj_19!J66+Proj_20!J66+Proj_21!J66+Proj_22!J66+Proj_23!J66+Proj_24!J66+Proj_25!J66+Proj_26!J66+Proj_27!J66+Proj_28!J66+Proj_29!J66+Proj_30!J66+Proj_31!J66+Proj_32!J66+Proj_33!J66+Proj_34!J66+Proj_35!J66+Proj_36!J66+Proj_37!J66+Proj_38!J66+Proj_39!J66+Proj_40!J66+Proj_41!J66+Proj_42!J66+Proj_43!J66+Proj_44!J66+Proj_45!J66+Proj_46!J66</f>
        <v>9644.6793766526062</v>
      </c>
      <c r="G11" s="193">
        <f>Proj_1!K66+Proj_2!K66+Proj_3!K66+Proj_4!K66+Proj_5!K66+Proj_6!K66+Proj_7!K66+Proj_8!K66+Proj_9!K66+Proj_10!K66+Proj_11!K66+Proj_12!K66+Proj_13!K66+Proj_14!K66+Proj_15!K66+Proj_16!K66+Proj_17!K66+Proj_18!K66+Proj_19!K66+Proj_20!K66+Proj_21!K66+Proj_22!K66+Proj_23!K66+Proj_24!K66+Proj_25!K66+Proj_26!K66+Proj_27!K66+Proj_28!K66+Proj_29!K66+Proj_30!K66+Proj_31!K66+Proj_32!K66+Proj_33!K66+Proj_34!K66+Proj_35!K66+Proj_36!K66+Proj_37!K66+Proj_38!K66+Proj_39!K66+Proj_40!K66+Proj_41!K66+Proj_42!K66+Proj_43!K66+Proj_44!K66+Proj_45!K66+Proj_46!K66</f>
        <v>9235.3695395358754</v>
      </c>
      <c r="H11" s="193">
        <f>Proj_1!L66+Proj_2!L66+Proj_3!L66+Proj_4!L66+Proj_5!L66+Proj_6!L66+Proj_7!L66+Proj_8!L66+Proj_9!L66+Proj_10!L66+Proj_11!L66+Proj_12!L66+Proj_13!L66+Proj_14!L66+Proj_15!L66+Proj_16!L66+Proj_17!L66+Proj_18!L66+Proj_19!L66+Proj_20!L66+Proj_21!L66+Proj_22!L66+Proj_23!L66+Proj_24!L66+Proj_25!L66+Proj_26!L66+Proj_27!L66+Proj_28!L66+Proj_29!L66+Proj_30!L66+Proj_31!L66+Proj_32!L66+Proj_33!L66+Proj_34!L66+Proj_35!L66+Proj_36!L66+Proj_37!L66+Proj_38!L66+Proj_39!L66+Proj_40!L66+Proj_41!L66+Proj_42!L66+Proj_43!L66+Proj_44!L66+Proj_45!L66+Proj_46!L66</f>
        <v>9851.8663957564659</v>
      </c>
      <c r="I11" s="193">
        <f>Proj_1!M66+Proj_2!M66+Proj_3!M66+Proj_4!M66+Proj_5!M66+Proj_6!M66+Proj_7!M66+Proj_8!M66+Proj_9!M66+Proj_10!M66+Proj_11!M66+Proj_12!M66+Proj_13!M66+Proj_14!M66+Proj_15!M66+Proj_16!M66+Proj_17!M66+Proj_18!M66+Proj_19!M66+Proj_20!M66+Proj_21!M66+Proj_22!M66+Proj_23!M66+Proj_24!M66+Proj_25!M66+Proj_26!M66+Proj_27!M66+Proj_28!M66+Proj_29!M66+Proj_30!M66+Proj_31!M66+Proj_32!M66+Proj_33!M66+Proj_34!M66+Proj_35!M66+Proj_36!M66+Proj_37!M66+Proj_38!M66+Proj_39!M66+Proj_40!M66+Proj_41!M66+Proj_42!M66+Proj_43!M66+Proj_44!M66+Proj_45!M66+Proj_46!M66</f>
        <v>8838.3610329636485</v>
      </c>
      <c r="J11" s="131">
        <f>Proj_1!N66+Proj_2!N66+Proj_3!N66+Proj_4!N66+Proj_5!N66+Proj_6!N66+Proj_7!N66+Proj_8!N66+Proj_9!N66+Proj_10!N66+Proj_11!N66+Proj_12!N66+Proj_13!N66+Proj_14!N66+Proj_15!N66+Proj_16!N66+Proj_17!N66+Proj_18!N66+Proj_19!N66+Proj_20!N66+Proj_21!N66+Proj_22!N66+Proj_23!N66+Proj_24!N66+Proj_25!N66+Proj_26!N66+Proj_27!N66+Proj_28!N66+Proj_29!N66+Proj_30!N66+Proj_31!N66+Proj_32!N66+Proj_33!N66+Proj_34!N66+Proj_35!N66+Proj_36!N66+Proj_37!N66+Proj_38!N66+Proj_39!N66+Proj_40!N66+Proj_41!N66+Proj_42!N66+Proj_43!N66+Proj_44!N66+Proj_45!N66+Proj_46!N66</f>
        <v>0</v>
      </c>
      <c r="K11" s="193">
        <f t="shared" si="5"/>
        <v>57470.154306522105</v>
      </c>
      <c r="M11" s="130" t="s">
        <v>5</v>
      </c>
      <c r="N11" s="138">
        <f t="shared" si="6"/>
        <v>24.826800350921346</v>
      </c>
      <c r="O11" s="138">
        <f t="shared" si="0"/>
        <v>26.688200151897341</v>
      </c>
      <c r="P11" s="157">
        <f t="shared" si="7"/>
        <v>19.899877961613512</v>
      </c>
      <c r="Q11" s="157">
        <f t="shared" si="1"/>
        <v>9.644679376652606</v>
      </c>
      <c r="R11" s="157">
        <f t="shared" si="2"/>
        <v>9.2353695395358759</v>
      </c>
      <c r="S11" s="157">
        <f t="shared" si="3"/>
        <v>9.8518663957564652</v>
      </c>
      <c r="T11" s="157">
        <f t="shared" si="4"/>
        <v>8.8383610329636486</v>
      </c>
      <c r="U11" s="138">
        <f t="shared" si="8"/>
        <v>0</v>
      </c>
      <c r="V11" s="157">
        <f t="shared" si="9"/>
        <v>57.470154306522105</v>
      </c>
    </row>
    <row r="12" spans="2:22">
      <c r="B12" s="130" t="s">
        <v>6</v>
      </c>
      <c r="C12" s="131">
        <f>Proj_1!G67+Proj_2!G67+Proj_3!G67+Proj_4!G67+Proj_5!G67+Proj_6!G67+Proj_7!G67+Proj_8!G67+Proj_9!G67+Proj_10!G67+Proj_11!G67+Proj_12!G67+Proj_13!G67+Proj_14!G67+Proj_15!G67+Proj_16!G67+Proj_17!G67+Proj_18!G67+Proj_19!G67+Proj_20!G67+Proj_21!G67+Proj_22!G67+Proj_23!G67+Proj_24!G67+Proj_25!G67+Proj_26!G67+Proj_27!G67+Proj_28!G67+Proj_29!G67+Proj_30!G67+Proj_31!G67+Proj_32!G67+Proj_33!G67+Proj_34!G67+Proj_35!G67+Proj_36!G67+Proj_37!G67+Proj_38!G67+Proj_39!G67+Proj_40!G67+Proj_41!G67+Proj_42!G67+Proj_43!G67+Proj_44!G67+Proj_45!G67+Proj_46!G67</f>
        <v>3213.3516719195809</v>
      </c>
      <c r="D12" s="131">
        <f>Proj_1!H67+Proj_2!H67+Proj_3!H67+Proj_4!H67+Proj_5!H67+Proj_6!H67+Proj_7!H67+Proj_8!H67+Proj_9!H67+Proj_10!H67+Proj_11!H67+Proj_12!H67+Proj_13!H67+Proj_14!H67+Proj_15!H67+Proj_16!H67+Proj_17!H67+Proj_18!H67+Proj_19!H67+Proj_20!H67+Proj_21!H67+Proj_22!H67+Proj_23!H67+Proj_24!H67+Proj_25!H67+Proj_26!H67+Proj_27!H67+Proj_28!H67+Proj_29!H67+Proj_30!H67+Proj_31!H67+Proj_32!H67+Proj_33!H67+Proj_34!H67+Proj_35!H67+Proj_36!H67+Proj_37!H67+Proj_38!H67+Proj_39!H67+Proj_40!H67+Proj_41!H67+Proj_42!H67+Proj_43!H67+Proj_44!H67+Proj_45!H67+Proj_46!H67</f>
        <v>10633.583179876077</v>
      </c>
      <c r="E12" s="193">
        <f>Proj_1!I67+Proj_2!I67+Proj_3!I67+Proj_4!I67+Proj_5!I67+Proj_6!I67+Proj_7!I67+Proj_8!I67+Proj_9!I67+Proj_10!I67+Proj_11!I67+Proj_12!I67+Proj_13!I67+Proj_14!I67+Proj_15!I67+Proj_16!I67+Proj_17!I67+Proj_18!I67+Proj_19!I67+Proj_20!I67+Proj_21!I67+Proj_22!I67+Proj_23!I67+Proj_24!I67+Proj_25!I67+Proj_26!I67+Proj_27!I67+Proj_28!I67+Proj_29!I67+Proj_30!I67+Proj_31!I67+Proj_32!I67+Proj_33!I67+Proj_34!I67+Proj_35!I67+Proj_36!I67+Proj_37!I67+Proj_38!I67+Proj_39!I67+Proj_40!I67+Proj_41!I67+Proj_42!I67+Proj_43!I67+Proj_44!I67+Proj_45!I67+Proj_46!I67</f>
        <v>160.25960819039281</v>
      </c>
      <c r="F12" s="193">
        <f>Proj_1!J67+Proj_2!J67+Proj_3!J67+Proj_4!J67+Proj_5!J67+Proj_6!J67+Proj_7!J67+Proj_8!J67+Proj_9!J67+Proj_10!J67+Proj_11!J67+Proj_12!J67+Proj_13!J67+Proj_14!J67+Proj_15!J67+Proj_16!J67+Proj_17!J67+Proj_18!J67+Proj_19!J67+Proj_20!J67+Proj_21!J67+Proj_22!J67+Proj_23!J67+Proj_24!J67+Proj_25!J67+Proj_26!J67+Proj_27!J67+Proj_28!J67+Proj_29!J67+Proj_30!J67+Proj_31!J67+Proj_32!J67+Proj_33!J67+Proj_34!J67+Proj_35!J67+Proj_36!J67+Proj_37!J67+Proj_38!J67+Proj_39!J67+Proj_40!J67+Proj_41!J67+Proj_42!J67+Proj_43!J67+Proj_44!J67+Proj_45!J67+Proj_46!J67</f>
        <v>165.99092253411524</v>
      </c>
      <c r="G12" s="193">
        <f>Proj_1!K67+Proj_2!K67+Proj_3!K67+Proj_4!K67+Proj_5!K67+Proj_6!K67+Proj_7!K67+Proj_8!K67+Proj_9!K67+Proj_10!K67+Proj_11!K67+Proj_12!K67+Proj_13!K67+Proj_14!K67+Proj_15!K67+Proj_16!K67+Proj_17!K67+Proj_18!K67+Proj_19!K67+Proj_20!K67+Proj_21!K67+Proj_22!K67+Proj_23!K67+Proj_24!K67+Proj_25!K67+Proj_26!K67+Proj_27!K67+Proj_28!K67+Proj_29!K67+Proj_30!K67+Proj_31!K67+Proj_32!K67+Proj_33!K67+Proj_34!K67+Proj_35!K67+Proj_36!K67+Proj_37!K67+Proj_38!K67+Proj_39!K67+Proj_40!K67+Proj_41!K67+Proj_42!K67+Proj_43!K67+Proj_44!K67+Proj_45!K67+Proj_46!K67</f>
        <v>168.49403414326284</v>
      </c>
      <c r="H12" s="193">
        <f>Proj_1!L67+Proj_2!L67+Proj_3!L67+Proj_4!L67+Proj_5!L67+Proj_6!L67+Proj_7!L67+Proj_8!L67+Proj_9!L67+Proj_10!L67+Proj_11!L67+Proj_12!L67+Proj_13!L67+Proj_14!L67+Proj_15!L67+Proj_16!L67+Proj_17!L67+Proj_18!L67+Proj_19!L67+Proj_20!L67+Proj_21!L67+Proj_22!L67+Proj_23!L67+Proj_24!L67+Proj_25!L67+Proj_26!L67+Proj_27!L67+Proj_28!L67+Proj_29!L67+Proj_30!L67+Proj_31!L67+Proj_32!L67+Proj_33!L67+Proj_34!L67+Proj_35!L67+Proj_36!L67+Proj_37!L67+Proj_38!L67+Proj_39!L67+Proj_40!L67+Proj_41!L67+Proj_42!L67+Proj_43!L67+Proj_44!L67+Proj_45!L67+Proj_46!L67</f>
        <v>167.6948719884399</v>
      </c>
      <c r="I12" s="193">
        <f>Proj_1!M67+Proj_2!M67+Proj_3!M67+Proj_4!M67+Proj_5!M67+Proj_6!M67+Proj_7!M67+Proj_8!M67+Proj_9!M67+Proj_10!M67+Proj_11!M67+Proj_12!M67+Proj_13!M67+Proj_14!M67+Proj_15!M67+Proj_16!M67+Proj_17!M67+Proj_18!M67+Proj_19!M67+Proj_20!M67+Proj_21!M67+Proj_22!M67+Proj_23!M67+Proj_24!M67+Proj_25!M67+Proj_26!M67+Proj_27!M67+Proj_28!M67+Proj_29!M67+Proj_30!M67+Proj_31!M67+Proj_32!M67+Proj_33!M67+Proj_34!M67+Proj_35!M67+Proj_36!M67+Proj_37!M67+Proj_38!M67+Proj_39!M67+Proj_40!M67+Proj_41!M67+Proj_42!M67+Proj_43!M67+Proj_44!M67+Proj_45!M67+Proj_46!M67</f>
        <v>167.76693750430877</v>
      </c>
      <c r="J12" s="131">
        <f>Proj_1!N67+Proj_2!N67+Proj_3!N67+Proj_4!N67+Proj_5!N67+Proj_6!N67+Proj_7!N67+Proj_8!N67+Proj_9!N67+Proj_10!N67+Proj_11!N67+Proj_12!N67+Proj_13!N67+Proj_14!N67+Proj_15!N67+Proj_16!N67+Proj_17!N67+Proj_18!N67+Proj_19!N67+Proj_20!N67+Proj_21!N67+Proj_22!N67+Proj_23!N67+Proj_24!N67+Proj_25!N67+Proj_26!N67+Proj_27!N67+Proj_28!N67+Proj_29!N67+Proj_30!N67+Proj_31!N67+Proj_32!N67+Proj_33!N67+Proj_34!N67+Proj_35!N67+Proj_36!N67+Proj_37!N67+Proj_38!N67+Proj_39!N67+Proj_40!N67+Proj_41!N67+Proj_42!N67+Proj_43!N67+Proj_44!N67+Proj_45!N67+Proj_46!N67</f>
        <v>0</v>
      </c>
      <c r="K12" s="193">
        <f t="shared" si="5"/>
        <v>830.20637436051959</v>
      </c>
      <c r="M12" s="130" t="s">
        <v>6</v>
      </c>
      <c r="N12" s="138">
        <f t="shared" si="6"/>
        <v>3.2133516719195807</v>
      </c>
      <c r="O12" s="138">
        <f t="shared" si="0"/>
        <v>10.633583179876076</v>
      </c>
      <c r="P12" s="157">
        <f t="shared" si="7"/>
        <v>0.16025960819039281</v>
      </c>
      <c r="Q12" s="157">
        <f t="shared" si="1"/>
        <v>0.16599092253411524</v>
      </c>
      <c r="R12" s="157">
        <f t="shared" si="2"/>
        <v>0.16849403414326283</v>
      </c>
      <c r="S12" s="157">
        <f t="shared" si="3"/>
        <v>0.16769487198843991</v>
      </c>
      <c r="T12" s="157">
        <f t="shared" si="4"/>
        <v>0.16776693750430877</v>
      </c>
      <c r="U12" s="138">
        <f t="shared" si="8"/>
        <v>0</v>
      </c>
      <c r="V12" s="157">
        <f t="shared" si="9"/>
        <v>0.83020637436051947</v>
      </c>
    </row>
    <row r="13" spans="2:22">
      <c r="B13" s="130" t="s">
        <v>7</v>
      </c>
      <c r="C13" s="131">
        <f>Proj_1!G68+Proj_2!G68+Proj_3!G68+Proj_4!G68+Proj_5!G68+Proj_6!G68+Proj_7!G68+Proj_8!G68+Proj_9!G68+Proj_10!G68+Proj_11!G68+Proj_12!G68+Proj_13!G68+Proj_14!G68+Proj_15!G68+Proj_16!G68+Proj_17!G68+Proj_18!G68+Proj_19!G68+Proj_20!G68+Proj_21!G68+Proj_22!G68+Proj_23!G68+Proj_24!G68+Proj_25!G68+Proj_26!G68+Proj_27!G68+Proj_28!G68+Proj_29!G68+Proj_30!G68+Proj_31!G68+Proj_32!G68+Proj_33!G68+Proj_34!G68+Proj_35!G68+Proj_36!G68+Proj_37!G68+Proj_38!G68+Proj_39!G68+Proj_40!G68+Proj_41!G68+Proj_42!G68+Proj_43!G68+Proj_44!G68+Proj_45!G68+Proj_46!G68</f>
        <v>22983.957841359934</v>
      </c>
      <c r="D13" s="131">
        <f>Proj_1!H68+Proj_2!H68+Proj_3!H68+Proj_4!H68+Proj_5!H68+Proj_6!H68+Proj_7!H68+Proj_8!H68+Proj_9!H68+Proj_10!H68+Proj_11!H68+Proj_12!H68+Proj_13!H68+Proj_14!H68+Proj_15!H68+Proj_16!H68+Proj_17!H68+Proj_18!H68+Proj_19!H68+Proj_20!H68+Proj_21!H68+Proj_22!H68+Proj_23!H68+Proj_24!H68+Proj_25!H68+Proj_26!H68+Proj_27!H68+Proj_28!H68+Proj_29!H68+Proj_30!H68+Proj_31!H68+Proj_32!H68+Proj_33!H68+Proj_34!H68+Proj_35!H68+Proj_36!H68+Proj_37!H68+Proj_38!H68+Proj_39!H68+Proj_40!H68+Proj_41!H68+Proj_42!H68+Proj_43!H68+Proj_44!H68+Proj_45!H68+Proj_46!H68</f>
        <v>9683.3391441245876</v>
      </c>
      <c r="E13" s="193">
        <f>Proj_1!I68+Proj_2!I68+Proj_3!I68+Proj_4!I68+Proj_5!I68+Proj_6!I68+Proj_7!I68+Proj_8!I68+Proj_9!I68+Proj_10!I68+Proj_11!I68+Proj_12!I68+Proj_13!I68+Proj_14!I68+Proj_15!I68+Proj_16!I68+Proj_17!I68+Proj_18!I68+Proj_19!I68+Proj_20!I68+Proj_21!I68+Proj_22!I68+Proj_23!I68+Proj_24!I68+Proj_25!I68+Proj_26!I68+Proj_27!I68+Proj_28!I68+Proj_29!I68+Proj_30!I68+Proj_31!I68+Proj_32!I68+Proj_33!I68+Proj_34!I68+Proj_35!I68+Proj_36!I68+Proj_37!I68+Proj_38!I68+Proj_39!I68+Proj_40!I68+Proj_41!I68+Proj_42!I68+Proj_43!I68+Proj_44!I68+Proj_45!I68+Proj_46!I68</f>
        <v>10811.22303040382</v>
      </c>
      <c r="F13" s="193">
        <f>Proj_1!J68+Proj_2!J68+Proj_3!J68+Proj_4!J68+Proj_5!J68+Proj_6!J68+Proj_7!J68+Proj_8!J68+Proj_9!J68+Proj_10!J68+Proj_11!J68+Proj_12!J68+Proj_13!J68+Proj_14!J68+Proj_15!J68+Proj_16!J68+Proj_17!J68+Proj_18!J68+Proj_19!J68+Proj_20!J68+Proj_21!J68+Proj_22!J68+Proj_23!J68+Proj_24!J68+Proj_25!J68+Proj_26!J68+Proj_27!J68+Proj_28!J68+Proj_29!J68+Proj_30!J68+Proj_31!J68+Proj_32!J68+Proj_33!J68+Proj_34!J68+Proj_35!J68+Proj_36!J68+Proj_37!J68+Proj_38!J68+Proj_39!J68+Proj_40!J68+Proj_41!J68+Proj_42!J68+Proj_43!J68+Proj_44!J68+Proj_45!J68+Proj_46!J68</f>
        <v>13179.741105566201</v>
      </c>
      <c r="G13" s="193">
        <f>Proj_1!K68+Proj_2!K68+Proj_3!K68+Proj_4!K68+Proj_5!K68+Proj_6!K68+Proj_7!K68+Proj_8!K68+Proj_9!K68+Proj_10!K68+Proj_11!K68+Proj_12!K68+Proj_13!K68+Proj_14!K68+Proj_15!K68+Proj_16!K68+Proj_17!K68+Proj_18!K68+Proj_19!K68+Proj_20!K68+Proj_21!K68+Proj_22!K68+Proj_23!K68+Proj_24!K68+Proj_25!K68+Proj_26!K68+Proj_27!K68+Proj_28!K68+Proj_29!K68+Proj_30!K68+Proj_31!K68+Proj_32!K68+Proj_33!K68+Proj_34!K68+Proj_35!K68+Proj_36!K68+Proj_37!K68+Proj_38!K68+Proj_39!K68+Proj_40!K68+Proj_41!K68+Proj_42!K68+Proj_43!K68+Proj_44!K68+Proj_45!K68+Proj_46!K68</f>
        <v>9612.1635703943321</v>
      </c>
      <c r="H13" s="193">
        <f>Proj_1!L68+Proj_2!L68+Proj_3!L68+Proj_4!L68+Proj_5!L68+Proj_6!L68+Proj_7!L68+Proj_8!L68+Proj_9!L68+Proj_10!L68+Proj_11!L68+Proj_12!L68+Proj_13!L68+Proj_14!L68+Proj_15!L68+Proj_16!L68+Proj_17!L68+Proj_18!L68+Proj_19!L68+Proj_20!L68+Proj_21!L68+Proj_22!L68+Proj_23!L68+Proj_24!L68+Proj_25!L68+Proj_26!L68+Proj_27!L68+Proj_28!L68+Proj_29!L68+Proj_30!L68+Proj_31!L68+Proj_32!L68+Proj_33!L68+Proj_34!L68+Proj_35!L68+Proj_36!L68+Proj_37!L68+Proj_38!L68+Proj_39!L68+Proj_40!L68+Proj_41!L68+Proj_42!L68+Proj_43!L68+Proj_44!L68+Proj_45!L68+Proj_46!L68</f>
        <v>9639.2399639391479</v>
      </c>
      <c r="I13" s="193">
        <f>Proj_1!M68+Proj_2!M68+Proj_3!M68+Proj_4!M68+Proj_5!M68+Proj_6!M68+Proj_7!M68+Proj_8!M68+Proj_9!M68+Proj_10!M68+Proj_11!M68+Proj_12!M68+Proj_13!M68+Proj_14!M68+Proj_15!M68+Proj_16!M68+Proj_17!M68+Proj_18!M68+Proj_19!M68+Proj_20!M68+Proj_21!M68+Proj_22!M68+Proj_23!M68+Proj_24!M68+Proj_25!M68+Proj_26!M68+Proj_27!M68+Proj_28!M68+Proj_29!M68+Proj_30!M68+Proj_31!M68+Proj_32!M68+Proj_33!M68+Proj_34!M68+Proj_35!M68+Proj_36!M68+Proj_37!M68+Proj_38!M68+Proj_39!M68+Proj_40!M68+Proj_41!M68+Proj_42!M68+Proj_43!M68+Proj_44!M68+Proj_45!M68+Proj_46!M68</f>
        <v>9451.4604788665056</v>
      </c>
      <c r="J13" s="131">
        <f>Proj_1!N68+Proj_2!N68+Proj_3!N68+Proj_4!N68+Proj_5!N68+Proj_6!N68+Proj_7!N68+Proj_8!N68+Proj_9!N68+Proj_10!N68+Proj_11!N68+Proj_12!N68+Proj_13!N68+Proj_14!N68+Proj_15!N68+Proj_16!N68+Proj_17!N68+Proj_18!N68+Proj_19!N68+Proj_20!N68+Proj_21!N68+Proj_22!N68+Proj_23!N68+Proj_24!N68+Proj_25!N68+Proj_26!N68+Proj_27!N68+Proj_28!N68+Proj_29!N68+Proj_30!N68+Proj_31!N68+Proj_32!N68+Proj_33!N68+Proj_34!N68+Proj_35!N68+Proj_36!N68+Proj_37!N68+Proj_38!N68+Proj_39!N68+Proj_40!N68+Proj_41!N68+Proj_42!N68+Proj_43!N68+Proj_44!N68+Proj_45!N68+Proj_46!N68</f>
        <v>0</v>
      </c>
      <c r="K13" s="193">
        <f t="shared" si="5"/>
        <v>52693.828149170004</v>
      </c>
      <c r="M13" s="130" t="s">
        <v>7</v>
      </c>
      <c r="N13" s="138">
        <f t="shared" si="6"/>
        <v>22.983957841359935</v>
      </c>
      <c r="O13" s="138">
        <f t="shared" si="0"/>
        <v>9.683339144124588</v>
      </c>
      <c r="P13" s="157">
        <f t="shared" si="7"/>
        <v>10.81122303040382</v>
      </c>
      <c r="Q13" s="157">
        <f t="shared" si="1"/>
        <v>13.179741105566201</v>
      </c>
      <c r="R13" s="157">
        <f t="shared" si="2"/>
        <v>9.6121635703943316</v>
      </c>
      <c r="S13" s="157">
        <f t="shared" si="3"/>
        <v>9.6392399639391471</v>
      </c>
      <c r="T13" s="157">
        <f t="shared" si="4"/>
        <v>9.4514604788665064</v>
      </c>
      <c r="U13" s="138">
        <f t="shared" si="8"/>
        <v>0</v>
      </c>
      <c r="V13" s="157">
        <f t="shared" si="9"/>
        <v>52.69382814917001</v>
      </c>
    </row>
    <row r="14" spans="2:22">
      <c r="B14" s="130" t="s">
        <v>8</v>
      </c>
      <c r="C14" s="131">
        <f>Proj_1!G69+Proj_2!G69+Proj_3!G69+Proj_4!G69+Proj_5!G69+Proj_6!G69+Proj_7!G69+Proj_8!G69+Proj_9!G69+Proj_10!G69+Proj_11!G69+Proj_12!G69+Proj_13!G69+Proj_14!G69+Proj_15!G69+Proj_16!G69+Proj_17!G69+Proj_18!G69+Proj_19!G69+Proj_20!G69+Proj_21!G69+Proj_22!G69+Proj_23!G69+Proj_24!G69+Proj_25!G69+Proj_26!G69+Proj_27!G69+Proj_28!G69+Proj_29!G69+Proj_30!G69+Proj_31!G69+Proj_32!G69+Proj_33!G69+Proj_34!G69+Proj_35!G69+Proj_36!G69+Proj_37!G69+Proj_38!G69+Proj_39!G69+Proj_40!G69+Proj_41!G69+Proj_42!G69+Proj_43!G69+Proj_44!G69+Proj_45!G69+Proj_46!G69</f>
        <v>7385.4342340053245</v>
      </c>
      <c r="D14" s="131">
        <f>Proj_1!H69+Proj_2!H69+Proj_3!H69+Proj_4!H69+Proj_5!H69+Proj_6!H69+Proj_7!H69+Proj_8!H69+Proj_9!H69+Proj_10!H69+Proj_11!H69+Proj_12!H69+Proj_13!H69+Proj_14!H69+Proj_15!H69+Proj_16!H69+Proj_17!H69+Proj_18!H69+Proj_19!H69+Proj_20!H69+Proj_21!H69+Proj_22!H69+Proj_23!H69+Proj_24!H69+Proj_25!H69+Proj_26!H69+Proj_27!H69+Proj_28!H69+Proj_29!H69+Proj_30!H69+Proj_31!H69+Proj_32!H69+Proj_33!H69+Proj_34!H69+Proj_35!H69+Proj_36!H69+Proj_37!H69+Proj_38!H69+Proj_39!H69+Proj_40!H69+Proj_41!H69+Proj_42!H69+Proj_43!H69+Proj_44!H69+Proj_45!H69+Proj_46!H69</f>
        <v>16387.047238287836</v>
      </c>
      <c r="E14" s="193">
        <f>Proj_1!I69+Proj_2!I69+Proj_3!I69+Proj_4!I69+Proj_5!I69+Proj_6!I69+Proj_7!I69+Proj_8!I69+Proj_9!I69+Proj_10!I69+Proj_11!I69+Proj_12!I69+Proj_13!I69+Proj_14!I69+Proj_15!I69+Proj_16!I69+Proj_17!I69+Proj_18!I69+Proj_19!I69+Proj_20!I69+Proj_21!I69+Proj_22!I69+Proj_23!I69+Proj_24!I69+Proj_25!I69+Proj_26!I69+Proj_27!I69+Proj_28!I69+Proj_29!I69+Proj_30!I69+Proj_31!I69+Proj_32!I69+Proj_33!I69+Proj_34!I69+Proj_35!I69+Proj_36!I69+Proj_37!I69+Proj_38!I69+Proj_39!I69+Proj_40!I69+Proj_41!I69+Proj_42!I69+Proj_43!I69+Proj_44!I69+Proj_45!I69+Proj_46!I69</f>
        <v>17162.837582664099</v>
      </c>
      <c r="F14" s="193">
        <f>Proj_1!J69+Proj_2!J69+Proj_3!J69+Proj_4!J69+Proj_5!J69+Proj_6!J69+Proj_7!J69+Proj_8!J69+Proj_9!J69+Proj_10!J69+Proj_11!J69+Proj_12!J69+Proj_13!J69+Proj_14!J69+Proj_15!J69+Proj_16!J69+Proj_17!J69+Proj_18!J69+Proj_19!J69+Proj_20!J69+Proj_21!J69+Proj_22!J69+Proj_23!J69+Proj_24!J69+Proj_25!J69+Proj_26!J69+Proj_27!J69+Proj_28!J69+Proj_29!J69+Proj_30!J69+Proj_31!J69+Proj_32!J69+Proj_33!J69+Proj_34!J69+Proj_35!J69+Proj_36!J69+Proj_37!J69+Proj_38!J69+Proj_39!J69+Proj_40!J69+Proj_41!J69+Proj_42!J69+Proj_43!J69+Proj_44!J69+Proj_45!J69+Proj_46!J69</f>
        <v>12741.824226668972</v>
      </c>
      <c r="G14" s="193">
        <f>Proj_1!K69+Proj_2!K69+Proj_3!K69+Proj_4!K69+Proj_5!K69+Proj_6!K69+Proj_7!K69+Proj_8!K69+Proj_9!K69+Proj_10!K69+Proj_11!K69+Proj_12!K69+Proj_13!K69+Proj_14!K69+Proj_15!K69+Proj_16!K69+Proj_17!K69+Proj_18!K69+Proj_19!K69+Proj_20!K69+Proj_21!K69+Proj_22!K69+Proj_23!K69+Proj_24!K69+Proj_25!K69+Proj_26!K69+Proj_27!K69+Proj_28!K69+Proj_29!K69+Proj_30!K69+Proj_31!K69+Proj_32!K69+Proj_33!K69+Proj_34!K69+Proj_35!K69+Proj_36!K69+Proj_37!K69+Proj_38!K69+Proj_39!K69+Proj_40!K69+Proj_41!K69+Proj_42!K69+Proj_43!K69+Proj_44!K69+Proj_45!K69+Proj_46!K69</f>
        <v>11941.815623550519</v>
      </c>
      <c r="H14" s="193">
        <f>Proj_1!L69+Proj_2!L69+Proj_3!L69+Proj_4!L69+Proj_5!L69+Proj_6!L69+Proj_7!L69+Proj_8!L69+Proj_9!L69+Proj_10!L69+Proj_11!L69+Proj_12!L69+Proj_13!L69+Proj_14!L69+Proj_15!L69+Proj_16!L69+Proj_17!L69+Proj_18!L69+Proj_19!L69+Proj_20!L69+Proj_21!L69+Proj_22!L69+Proj_23!L69+Proj_24!L69+Proj_25!L69+Proj_26!L69+Proj_27!L69+Proj_28!L69+Proj_29!L69+Proj_30!L69+Proj_31!L69+Proj_32!L69+Proj_33!L69+Proj_34!L69+Proj_35!L69+Proj_36!L69+Proj_37!L69+Proj_38!L69+Proj_39!L69+Proj_40!L69+Proj_41!L69+Proj_42!L69+Proj_43!L69+Proj_44!L69+Proj_45!L69+Proj_46!L69</f>
        <v>10841.1203529636</v>
      </c>
      <c r="I14" s="193">
        <f>Proj_1!M69+Proj_2!M69+Proj_3!M69+Proj_4!M69+Proj_5!M69+Proj_6!M69+Proj_7!M69+Proj_8!M69+Proj_9!M69+Proj_10!M69+Proj_11!M69+Proj_12!M69+Proj_13!M69+Proj_14!M69+Proj_15!M69+Proj_16!M69+Proj_17!M69+Proj_18!M69+Proj_19!M69+Proj_20!M69+Proj_21!M69+Proj_22!M69+Proj_23!M69+Proj_24!M69+Proj_25!M69+Proj_26!M69+Proj_27!M69+Proj_28!M69+Proj_29!M69+Proj_30!M69+Proj_31!M69+Proj_32!M69+Proj_33!M69+Proj_34!M69+Proj_35!M69+Proj_36!M69+Proj_37!M69+Proj_38!M69+Proj_39!M69+Proj_40!M69+Proj_41!M69+Proj_42!M69+Proj_43!M69+Proj_44!M69+Proj_45!M69+Proj_46!M69</f>
        <v>9367.2684379123366</v>
      </c>
      <c r="J14" s="131">
        <f>Proj_1!N69+Proj_2!N69+Proj_3!N69+Proj_4!N69+Proj_5!N69+Proj_6!N69+Proj_7!N69+Proj_8!N69+Proj_9!N69+Proj_10!N69+Proj_11!N69+Proj_12!N69+Proj_13!N69+Proj_14!N69+Proj_15!N69+Proj_16!N69+Proj_17!N69+Proj_18!N69+Proj_19!N69+Proj_20!N69+Proj_21!N69+Proj_22!N69+Proj_23!N69+Proj_24!N69+Proj_25!N69+Proj_26!N69+Proj_27!N69+Proj_28!N69+Proj_29!N69+Proj_30!N69+Proj_31!N69+Proj_32!N69+Proj_33!N69+Proj_34!N69+Proj_35!N69+Proj_36!N69+Proj_37!N69+Proj_38!N69+Proj_39!N69+Proj_40!N69+Proj_41!N69+Proj_42!N69+Proj_43!N69+Proj_44!N69+Proj_45!N69+Proj_46!N69</f>
        <v>0</v>
      </c>
      <c r="K14" s="193">
        <f t="shared" si="5"/>
        <v>62054.866223759527</v>
      </c>
      <c r="M14" s="130" t="s">
        <v>8</v>
      </c>
      <c r="N14" s="138">
        <f t="shared" si="6"/>
        <v>7.3854342340053245</v>
      </c>
      <c r="O14" s="138">
        <f t="shared" si="0"/>
        <v>16.387047238287835</v>
      </c>
      <c r="P14" s="157">
        <f t="shared" si="7"/>
        <v>17.1628375826641</v>
      </c>
      <c r="Q14" s="157">
        <f t="shared" si="1"/>
        <v>12.741824226668973</v>
      </c>
      <c r="R14" s="157">
        <f t="shared" si="2"/>
        <v>11.94181562355052</v>
      </c>
      <c r="S14" s="157">
        <f t="shared" si="3"/>
        <v>10.8411203529636</v>
      </c>
      <c r="T14" s="157">
        <f t="shared" si="4"/>
        <v>9.3672684379123368</v>
      </c>
      <c r="U14" s="138">
        <f t="shared" si="8"/>
        <v>0</v>
      </c>
      <c r="V14" s="157">
        <f t="shared" si="9"/>
        <v>62.054866223759525</v>
      </c>
    </row>
    <row r="15" spans="2:22">
      <c r="B15" s="130" t="s">
        <v>9</v>
      </c>
      <c r="C15" s="131">
        <f>Proj_1!G70+Proj_2!G70+Proj_3!G70+Proj_4!G70+Proj_5!G70+Proj_6!G70+Proj_7!G70+Proj_8!G70+Proj_9!G70+Proj_10!G70+Proj_11!G70+Proj_12!G70+Proj_13!G70+Proj_14!G70+Proj_15!G70+Proj_16!G70+Proj_17!G70+Proj_18!G70+Proj_19!G70+Proj_20!G70+Proj_21!G70+Proj_22!G70+Proj_23!G70+Proj_24!G70+Proj_25!G70+Proj_26!G70+Proj_27!G70+Proj_28!G70+Proj_29!G70+Proj_30!G70+Proj_31!G70+Proj_32!G70+Proj_33!G70+Proj_34!G70+Proj_35!G70+Proj_36!G70+Proj_37!G70+Proj_38!G70+Proj_39!G70+Proj_40!G70+Proj_41!G70+Proj_42!G70+Proj_43!G70+Proj_44!G70+Proj_45!G70+Proj_46!G70</f>
        <v>7757.2740027981563</v>
      </c>
      <c r="D15" s="131">
        <f>Proj_1!H70+Proj_2!H70+Proj_3!H70+Proj_4!H70+Proj_5!H70+Proj_6!H70+Proj_7!H70+Proj_8!H70+Proj_9!H70+Proj_10!H70+Proj_11!H70+Proj_12!H70+Proj_13!H70+Proj_14!H70+Proj_15!H70+Proj_16!H70+Proj_17!H70+Proj_18!H70+Proj_19!H70+Proj_20!H70+Proj_21!H70+Proj_22!H70+Proj_23!H70+Proj_24!H70+Proj_25!H70+Proj_26!H70+Proj_27!H70+Proj_28!H70+Proj_29!H70+Proj_30!H70+Proj_31!H70+Proj_32!H70+Proj_33!H70+Proj_34!H70+Proj_35!H70+Proj_36!H70+Proj_37!H70+Proj_38!H70+Proj_39!H70+Proj_40!H70+Proj_41!H70+Proj_42!H70+Proj_43!H70+Proj_44!H70+Proj_45!H70+Proj_46!H70</f>
        <v>15386.364581210526</v>
      </c>
      <c r="E15" s="193">
        <f>Proj_1!I70+Proj_2!I70+Proj_3!I70+Proj_4!I70+Proj_5!I70+Proj_6!I70+Proj_7!I70+Proj_8!I70+Proj_9!I70+Proj_10!I70+Proj_11!I70+Proj_12!I70+Proj_13!I70+Proj_14!I70+Proj_15!I70+Proj_16!I70+Proj_17!I70+Proj_18!I70+Proj_19!I70+Proj_20!I70+Proj_21!I70+Proj_22!I70+Proj_23!I70+Proj_24!I70+Proj_25!I70+Proj_26!I70+Proj_27!I70+Proj_28!I70+Proj_29!I70+Proj_30!I70+Proj_31!I70+Proj_32!I70+Proj_33!I70+Proj_34!I70+Proj_35!I70+Proj_36!I70+Proj_37!I70+Proj_38!I70+Proj_39!I70+Proj_40!I70+Proj_41!I70+Proj_42!I70+Proj_43!I70+Proj_44!I70+Proj_45!I70+Proj_46!I70</f>
        <v>9984.4129640966112</v>
      </c>
      <c r="F15" s="193">
        <f>Proj_1!J70+Proj_2!J70+Proj_3!J70+Proj_4!J70+Proj_5!J70+Proj_6!J70+Proj_7!J70+Proj_8!J70+Proj_9!J70+Proj_10!J70+Proj_11!J70+Proj_12!J70+Proj_13!J70+Proj_14!J70+Proj_15!J70+Proj_16!J70+Proj_17!J70+Proj_18!J70+Proj_19!J70+Proj_20!J70+Proj_21!J70+Proj_22!J70+Proj_23!J70+Proj_24!J70+Proj_25!J70+Proj_26!J70+Proj_27!J70+Proj_28!J70+Proj_29!J70+Proj_30!J70+Proj_31!J70+Proj_32!J70+Proj_33!J70+Proj_34!J70+Proj_35!J70+Proj_36!J70+Proj_37!J70+Proj_38!J70+Proj_39!J70+Proj_40!J70+Proj_41!J70+Proj_42!J70+Proj_43!J70+Proj_44!J70+Proj_45!J70+Proj_46!J70</f>
        <v>12215.199695771133</v>
      </c>
      <c r="G15" s="193">
        <f>Proj_1!K70+Proj_2!K70+Proj_3!K70+Proj_4!K70+Proj_5!K70+Proj_6!K70+Proj_7!K70+Proj_8!K70+Proj_9!K70+Proj_10!K70+Proj_11!K70+Proj_12!K70+Proj_13!K70+Proj_14!K70+Proj_15!K70+Proj_16!K70+Proj_17!K70+Proj_18!K70+Proj_19!K70+Proj_20!K70+Proj_21!K70+Proj_22!K70+Proj_23!K70+Proj_24!K70+Proj_25!K70+Proj_26!K70+Proj_27!K70+Proj_28!K70+Proj_29!K70+Proj_30!K70+Proj_31!K70+Proj_32!K70+Proj_33!K70+Proj_34!K70+Proj_35!K70+Proj_36!K70+Proj_37!K70+Proj_38!K70+Proj_39!K70+Proj_40!K70+Proj_41!K70+Proj_42!K70+Proj_43!K70+Proj_44!K70+Proj_45!K70+Proj_46!K70</f>
        <v>14502.519672502136</v>
      </c>
      <c r="H15" s="193">
        <f>Proj_1!L70+Proj_2!L70+Proj_3!L70+Proj_4!L70+Proj_5!L70+Proj_6!L70+Proj_7!L70+Proj_8!L70+Proj_9!L70+Proj_10!L70+Proj_11!L70+Proj_12!L70+Proj_13!L70+Proj_14!L70+Proj_15!L70+Proj_16!L70+Proj_17!L70+Proj_18!L70+Proj_19!L70+Proj_20!L70+Proj_21!L70+Proj_22!L70+Proj_23!L70+Proj_24!L70+Proj_25!L70+Proj_26!L70+Proj_27!L70+Proj_28!L70+Proj_29!L70+Proj_30!L70+Proj_31!L70+Proj_32!L70+Proj_33!L70+Proj_34!L70+Proj_35!L70+Proj_36!L70+Proj_37!L70+Proj_38!L70+Proj_39!L70+Proj_40!L70+Proj_41!L70+Proj_42!L70+Proj_43!L70+Proj_44!L70+Proj_45!L70+Proj_46!L70</f>
        <v>12599.185800197583</v>
      </c>
      <c r="I15" s="193">
        <f>Proj_1!M70+Proj_2!M70+Proj_3!M70+Proj_4!M70+Proj_5!M70+Proj_6!M70+Proj_7!M70+Proj_8!M70+Proj_9!M70+Proj_10!M70+Proj_11!M70+Proj_12!M70+Proj_13!M70+Proj_14!M70+Proj_15!M70+Proj_16!M70+Proj_17!M70+Proj_18!M70+Proj_19!M70+Proj_20!M70+Proj_21!M70+Proj_22!M70+Proj_23!M70+Proj_24!M70+Proj_25!M70+Proj_26!M70+Proj_27!M70+Proj_28!M70+Proj_29!M70+Proj_30!M70+Proj_31!M70+Proj_32!M70+Proj_33!M70+Proj_34!M70+Proj_35!M70+Proj_36!M70+Proj_37!M70+Proj_38!M70+Proj_39!M70+Proj_40!M70+Proj_41!M70+Proj_42!M70+Proj_43!M70+Proj_44!M70+Proj_45!M70+Proj_46!M70</f>
        <v>9073.2887718823295</v>
      </c>
      <c r="J15" s="131">
        <f>Proj_1!N70+Proj_2!N70+Proj_3!N70+Proj_4!N70+Proj_5!N70+Proj_6!N70+Proj_7!N70+Proj_8!N70+Proj_9!N70+Proj_10!N70+Proj_11!N70+Proj_12!N70+Proj_13!N70+Proj_14!N70+Proj_15!N70+Proj_16!N70+Proj_17!N70+Proj_18!N70+Proj_19!N70+Proj_20!N70+Proj_21!N70+Proj_22!N70+Proj_23!N70+Proj_24!N70+Proj_25!N70+Proj_26!N70+Proj_27!N70+Proj_28!N70+Proj_29!N70+Proj_30!N70+Proj_31!N70+Proj_32!N70+Proj_33!N70+Proj_34!N70+Proj_35!N70+Proj_36!N70+Proj_37!N70+Proj_38!N70+Proj_39!N70+Proj_40!N70+Proj_41!N70+Proj_42!N70+Proj_43!N70+Proj_44!N70+Proj_45!N70+Proj_46!N70</f>
        <v>0</v>
      </c>
      <c r="K15" s="193">
        <f t="shared" si="5"/>
        <v>58374.6069044498</v>
      </c>
      <c r="M15" s="130" t="s">
        <v>9</v>
      </c>
      <c r="N15" s="138">
        <f t="shared" si="6"/>
        <v>7.7572740027981562</v>
      </c>
      <c r="O15" s="138">
        <f t="shared" si="0"/>
        <v>15.386364581210525</v>
      </c>
      <c r="P15" s="157">
        <f t="shared" si="7"/>
        <v>9.9844129640966113</v>
      </c>
      <c r="Q15" s="157">
        <f t="shared" si="1"/>
        <v>12.215199695771133</v>
      </c>
      <c r="R15" s="157">
        <f t="shared" si="2"/>
        <v>14.502519672502135</v>
      </c>
      <c r="S15" s="157">
        <f t="shared" si="3"/>
        <v>12.599185800197583</v>
      </c>
      <c r="T15" s="157">
        <f t="shared" si="4"/>
        <v>9.0732887718823303</v>
      </c>
      <c r="U15" s="138">
        <f t="shared" si="8"/>
        <v>0</v>
      </c>
      <c r="V15" s="157">
        <f t="shared" si="9"/>
        <v>58.374606904449799</v>
      </c>
    </row>
    <row r="16" spans="2:22">
      <c r="B16" s="130" t="s">
        <v>147</v>
      </c>
      <c r="C16" s="131"/>
      <c r="D16" s="131"/>
      <c r="E16" s="193"/>
      <c r="F16" s="193"/>
      <c r="G16" s="193"/>
      <c r="H16" s="193"/>
      <c r="I16" s="193"/>
      <c r="J16" s="131"/>
      <c r="K16" s="193"/>
      <c r="M16" s="130" t="s">
        <v>147</v>
      </c>
      <c r="N16" s="138">
        <f t="shared" si="6"/>
        <v>0</v>
      </c>
      <c r="O16" s="138">
        <f t="shared" si="0"/>
        <v>0</v>
      </c>
      <c r="P16" s="157">
        <f t="shared" si="7"/>
        <v>0</v>
      </c>
      <c r="Q16" s="157">
        <f t="shared" si="1"/>
        <v>0</v>
      </c>
      <c r="R16" s="157">
        <f t="shared" si="2"/>
        <v>0</v>
      </c>
      <c r="S16" s="157">
        <f t="shared" si="3"/>
        <v>0</v>
      </c>
      <c r="T16" s="157">
        <f t="shared" si="4"/>
        <v>0</v>
      </c>
      <c r="U16" s="138">
        <f t="shared" si="8"/>
        <v>0</v>
      </c>
      <c r="V16" s="157"/>
    </row>
    <row r="17" spans="2:22">
      <c r="B17" s="132" t="s">
        <v>36</v>
      </c>
      <c r="C17" s="131">
        <f>Proj_45!G74</f>
        <v>8025.3283534092534</v>
      </c>
      <c r="D17" s="131">
        <f>Proj_45!H74</f>
        <v>19524.342843038819</v>
      </c>
      <c r="E17" s="193">
        <f>Proj_45!I74</f>
        <v>23795.255544825352</v>
      </c>
      <c r="F17" s="193">
        <f>Proj_45!J74</f>
        <v>21559.242947687449</v>
      </c>
      <c r="G17" s="193">
        <f>Proj_45!K74</f>
        <v>13226.91578058304</v>
      </c>
      <c r="H17" s="193">
        <f>Proj_45!L74</f>
        <v>10902.798057234044</v>
      </c>
      <c r="I17" s="193">
        <f>Proj_45!M74</f>
        <v>9285.8427737434831</v>
      </c>
      <c r="J17" s="131">
        <f>Proj_45!N74+Proj_42!N74</f>
        <v>0</v>
      </c>
      <c r="K17" s="193">
        <f>SUM(E17:J17)</f>
        <v>78770.05510407337</v>
      </c>
      <c r="M17" s="130" t="s">
        <v>36</v>
      </c>
      <c r="N17" s="138">
        <f t="shared" si="6"/>
        <v>8.0253283534092539</v>
      </c>
      <c r="O17" s="138">
        <f t="shared" si="0"/>
        <v>19.52434284303882</v>
      </c>
      <c r="P17" s="157">
        <f t="shared" si="7"/>
        <v>23.795255544825352</v>
      </c>
      <c r="Q17" s="157">
        <f t="shared" si="1"/>
        <v>21.559242947687448</v>
      </c>
      <c r="R17" s="157">
        <f t="shared" si="2"/>
        <v>13.22691578058304</v>
      </c>
      <c r="S17" s="157">
        <f t="shared" si="3"/>
        <v>10.902798057234044</v>
      </c>
      <c r="T17" s="157">
        <f t="shared" si="4"/>
        <v>9.2858427737434823</v>
      </c>
      <c r="U17" s="138">
        <f t="shared" si="8"/>
        <v>0</v>
      </c>
      <c r="V17" s="157">
        <f t="shared" si="9"/>
        <v>78.770055104073364</v>
      </c>
    </row>
    <row r="18" spans="2:22">
      <c r="B18" s="132" t="s">
        <v>52</v>
      </c>
      <c r="C18" s="131">
        <f>Proj_46!G74</f>
        <v>1398.0264586988101</v>
      </c>
      <c r="D18" s="131">
        <f>Proj_46!H74</f>
        <v>893.45859820672683</v>
      </c>
      <c r="E18" s="193">
        <f>Proj_46!I74</f>
        <v>1923.5863548471418</v>
      </c>
      <c r="F18" s="193">
        <f>Proj_46!J74</f>
        <v>1518.6098221472712</v>
      </c>
      <c r="G18" s="193">
        <f>Proj_46!K74</f>
        <v>2106.691253372147</v>
      </c>
      <c r="H18" s="193">
        <f>Proj_46!L74</f>
        <v>1780.5879714728894</v>
      </c>
      <c r="I18" s="193">
        <f>Proj_46!M74</f>
        <v>1792.3721651579008</v>
      </c>
      <c r="J18" s="131">
        <f>Proj_46!N74</f>
        <v>0</v>
      </c>
      <c r="K18" s="193">
        <f>SUM(E18:J18)</f>
        <v>9121.8475669973486</v>
      </c>
      <c r="M18" s="130" t="s">
        <v>52</v>
      </c>
      <c r="N18" s="138">
        <f t="shared" si="6"/>
        <v>1.39802645869881</v>
      </c>
      <c r="O18" s="138">
        <f t="shared" si="0"/>
        <v>0.8934585982067268</v>
      </c>
      <c r="P18" s="157">
        <f t="shared" si="7"/>
        <v>1.9235863548471419</v>
      </c>
      <c r="Q18" s="157">
        <f t="shared" si="1"/>
        <v>1.5186098221472712</v>
      </c>
      <c r="R18" s="157">
        <f t="shared" si="2"/>
        <v>2.1066912533721469</v>
      </c>
      <c r="S18" s="157">
        <f t="shared" si="3"/>
        <v>1.7805879714728894</v>
      </c>
      <c r="T18" s="157">
        <f t="shared" si="4"/>
        <v>1.7923721651579008</v>
      </c>
      <c r="U18" s="138">
        <f t="shared" si="8"/>
        <v>0</v>
      </c>
      <c r="V18" s="157">
        <f t="shared" si="9"/>
        <v>9.1218475669973493</v>
      </c>
    </row>
    <row r="19" spans="2:22">
      <c r="B19" s="130" t="s">
        <v>320</v>
      </c>
      <c r="C19" s="131">
        <f>Proj_44!G71</f>
        <v>2058.583312924944</v>
      </c>
      <c r="D19" s="131">
        <f>Proj_44!H71</f>
        <v>2587.5614353020514</v>
      </c>
      <c r="E19" s="193">
        <f>Proj_44!I71</f>
        <v>2923.3476343865627</v>
      </c>
      <c r="F19" s="193">
        <f>Proj_44!J71</f>
        <v>2941.1008478565445</v>
      </c>
      <c r="G19" s="193">
        <f>Proj_44!K71</f>
        <v>2958.5642842096158</v>
      </c>
      <c r="H19" s="193">
        <f>Proj_44!L71</f>
        <v>2977.6425137068195</v>
      </c>
      <c r="I19" s="193">
        <f>Proj_44!M71</f>
        <v>2997.3489908191068</v>
      </c>
      <c r="J19" s="131">
        <f>Proj_44!N71</f>
        <v>0</v>
      </c>
      <c r="K19" s="193">
        <f t="shared" si="5"/>
        <v>14798.00427097865</v>
      </c>
      <c r="M19" s="130" t="s">
        <v>320</v>
      </c>
      <c r="N19" s="138">
        <f t="shared" si="6"/>
        <v>2.0585833129249442</v>
      </c>
      <c r="O19" s="138">
        <f t="shared" si="0"/>
        <v>2.5875614353020513</v>
      </c>
      <c r="P19" s="157">
        <f t="shared" si="7"/>
        <v>2.9233476343865625</v>
      </c>
      <c r="Q19" s="157">
        <f t="shared" si="1"/>
        <v>2.9411008478565446</v>
      </c>
      <c r="R19" s="157">
        <f t="shared" si="2"/>
        <v>2.9585642842096158</v>
      </c>
      <c r="S19" s="157">
        <f t="shared" si="3"/>
        <v>2.9776425137068196</v>
      </c>
      <c r="T19" s="157">
        <f t="shared" si="4"/>
        <v>2.9973489908191069</v>
      </c>
      <c r="U19" s="138">
        <f t="shared" si="8"/>
        <v>0</v>
      </c>
      <c r="V19" s="157">
        <f t="shared" si="9"/>
        <v>14.79800427097865</v>
      </c>
    </row>
    <row r="20" spans="2:22">
      <c r="B20" s="132" t="s">
        <v>53</v>
      </c>
      <c r="C20" s="131">
        <f>Proj_43!G74</f>
        <v>2765.9766805265031</v>
      </c>
      <c r="D20" s="131">
        <f>Proj_43!H74</f>
        <v>530.03546210632169</v>
      </c>
      <c r="E20" s="193">
        <f>Proj_43!I74</f>
        <v>219.35117264934473</v>
      </c>
      <c r="F20" s="193">
        <f>Proj_43!J74</f>
        <v>595.63761886669204</v>
      </c>
      <c r="G20" s="193">
        <f>Proj_43!K74</f>
        <v>95.624015498209658</v>
      </c>
      <c r="H20" s="193">
        <f>Proj_43!L74</f>
        <v>211.39375598269277</v>
      </c>
      <c r="I20" s="193">
        <f>Proj_43!M74</f>
        <v>1034.0612515877467</v>
      </c>
      <c r="J20" s="131">
        <f>Proj_43!N74</f>
        <v>0</v>
      </c>
      <c r="K20" s="193">
        <f t="shared" si="5"/>
        <v>2156.0678145846859</v>
      </c>
      <c r="M20" s="132" t="s">
        <v>53</v>
      </c>
      <c r="N20" s="138">
        <f t="shared" si="6"/>
        <v>2.7659766805265029</v>
      </c>
      <c r="O20" s="138">
        <f t="shared" si="0"/>
        <v>0.53003546210632169</v>
      </c>
      <c r="P20" s="157">
        <f t="shared" si="7"/>
        <v>0.21935117264934473</v>
      </c>
      <c r="Q20" s="157">
        <f t="shared" si="1"/>
        <v>0.59563761886669209</v>
      </c>
      <c r="R20" s="157">
        <f t="shared" si="2"/>
        <v>9.5624015498209661E-2</v>
      </c>
      <c r="S20" s="157">
        <f t="shared" si="3"/>
        <v>0.21139375598269278</v>
      </c>
      <c r="T20" s="157">
        <f t="shared" si="4"/>
        <v>1.0340612515877468</v>
      </c>
      <c r="U20" s="138">
        <f t="shared" si="8"/>
        <v>0</v>
      </c>
      <c r="V20" s="157">
        <f t="shared" si="9"/>
        <v>2.1560678145846861</v>
      </c>
    </row>
    <row r="21" spans="2:22">
      <c r="B21" s="130" t="s">
        <v>11</v>
      </c>
      <c r="C21" s="131">
        <f>Proj_1!G72+Proj_2!G72+Proj_3!G72+Proj_4!G72+Proj_5!G72+Proj_6!G72+Proj_7!G72+Proj_8!G72+Proj_9!G72+Proj_10!G72+Proj_11!G72+Proj_12!G72+Proj_13!G72+Proj_14!G72+Proj_15!G72+Proj_16!G72+Proj_17!G72+Proj_18!G72+Proj_19!G72+Proj_20!G72+Proj_21!G72+Proj_22!G72+Proj_23!G72+Proj_24!G72+Proj_25!G72+Proj_26!G72+Proj_27!G72+Proj_28!G72+Proj_29!G72+Proj_30!G72+Proj_31!G72+Proj_32!G72+Proj_33!G72+Proj_34!G72+Proj_35!G72+Proj_36!G72+Proj_37!G72+Proj_38!G72+Proj_39!G72+Proj_40!G72+Proj_41!G72+Proj_42!G72+Proj_43!G72+Proj_44!G72+Proj_45!G72+Proj_46!G72</f>
        <v>0</v>
      </c>
      <c r="D21" s="131">
        <f>Proj_1!H72+Proj_2!H72+Proj_3!H72+Proj_4!H72+Proj_5!H72+Proj_6!H72+Proj_7!H72+Proj_8!H72+Proj_9!H72+Proj_10!H72+Proj_11!H72+Proj_12!H72+Proj_13!H72+Proj_14!H72+Proj_15!H72+Proj_16!H72+Proj_17!H72+Proj_18!H72+Proj_19!H72+Proj_20!H72+Proj_21!H72+Proj_22!H72+Proj_23!H72+Proj_24!H72+Proj_25!H72+Proj_26!H72+Proj_27!H72+Proj_28!H72+Proj_29!H72+Proj_30!H72+Proj_31!H72+Proj_32!H72+Proj_33!H72+Proj_34!H72+Proj_35!H72+Proj_36!H72+Proj_37!H72+Proj_38!H72+Proj_39!H72+Proj_40!H72+Proj_41!H72+Proj_42!H72+Proj_43!H72+Proj_44!H72+Proj_45!H72+Proj_46!H72</f>
        <v>0</v>
      </c>
      <c r="E21" s="193">
        <f>Proj_1!I72+Proj_2!I72+Proj_3!I72+Proj_4!I72+Proj_5!I72+Proj_6!I72+Proj_7!I72+Proj_8!I72+Proj_9!I72+Proj_10!I72+Proj_11!I72+Proj_12!I72+Proj_13!I72+Proj_14!I72+Proj_15!I72+Proj_16!I72+Proj_17!I72+Proj_18!I72+Proj_19!I72+Proj_20!I72+Proj_21!I72+Proj_22!I72+Proj_23!I72+Proj_24!I72+Proj_25!I72+Proj_26!I72+Proj_27!I72+Proj_28!I72+Proj_29!I72+Proj_30!I72+Proj_31!I72+Proj_32!I72+Proj_33!I72+Proj_34!I72+Proj_35!I72+Proj_36!I72+Proj_37!I72+Proj_38!I72+Proj_39!I72+Proj_40!I72+Proj_41!I72+Proj_42!I72+Proj_43!I72+Proj_44!I72+Proj_45!I72+Proj_46!I72</f>
        <v>0</v>
      </c>
      <c r="F21" s="193">
        <f>Proj_1!J72+Proj_2!J72+Proj_3!J72+Proj_4!J72+Proj_5!J72+Proj_6!J72+Proj_7!J72+Proj_8!J72+Proj_9!J72+Proj_10!J72+Proj_11!J72+Proj_12!J72+Proj_13!J72+Proj_14!J72+Proj_15!J72+Proj_16!J72+Proj_17!J72+Proj_18!J72+Proj_19!J72+Proj_20!J72+Proj_21!J72+Proj_22!J72+Proj_23!J72+Proj_24!J72+Proj_25!J72+Proj_26!J72+Proj_27!J72+Proj_28!J72+Proj_29!J72+Proj_30!J72+Proj_31!J72+Proj_32!J72+Proj_33!J72+Proj_34!J72+Proj_35!J72+Proj_36!J72+Proj_37!J72+Proj_38!J72+Proj_39!J72+Proj_40!J72+Proj_41!J72+Proj_42!J72+Proj_43!J72+Proj_44!J72+Proj_45!J72+Proj_46!J72</f>
        <v>0</v>
      </c>
      <c r="G21" s="193">
        <f>Proj_1!K72+Proj_2!K72+Proj_3!K72+Proj_4!K72+Proj_5!K72+Proj_6!K72+Proj_7!K72+Proj_8!K72+Proj_9!K72+Proj_10!K72+Proj_11!K72+Proj_12!K72+Proj_13!K72+Proj_14!K72+Proj_15!K72+Proj_16!K72+Proj_17!K72+Proj_18!K72+Proj_19!K72+Proj_20!K72+Proj_21!K72+Proj_22!K72+Proj_23!K72+Proj_24!K72+Proj_25!K72+Proj_26!K72+Proj_27!K72+Proj_28!K72+Proj_29!K72+Proj_30!K72+Proj_31!K72+Proj_32!K72+Proj_33!K72+Proj_34!K72+Proj_35!K72+Proj_36!K72+Proj_37!K72+Proj_38!K72+Proj_39!K72+Proj_40!K72+Proj_41!K72+Proj_42!K72+Proj_43!K72+Proj_44!K72+Proj_45!K72+Proj_46!K72</f>
        <v>0</v>
      </c>
      <c r="H21" s="193">
        <f>Proj_1!L72+Proj_2!L72+Proj_3!L72+Proj_4!L72+Proj_5!L72+Proj_6!L72+Proj_7!L72+Proj_8!L72+Proj_9!L72+Proj_10!L72+Proj_11!L72+Proj_12!L72+Proj_13!L72+Proj_14!L72+Proj_15!L72+Proj_16!L72+Proj_17!L72+Proj_18!L72+Proj_19!L72+Proj_20!L72+Proj_21!L72+Proj_22!L72+Proj_23!L72+Proj_24!L72+Proj_25!L72+Proj_26!L72+Proj_27!L72+Proj_28!L72+Proj_29!L72+Proj_30!L72+Proj_31!L72+Proj_32!L72+Proj_33!L72+Proj_34!L72+Proj_35!L72+Proj_36!L72+Proj_37!L72+Proj_38!L72+Proj_39!L72+Proj_40!L72+Proj_41!L72+Proj_42!L72+Proj_43!L72+Proj_44!L72+Proj_45!L72+Proj_46!L72</f>
        <v>0</v>
      </c>
      <c r="I21" s="193">
        <f>Proj_1!M72+Proj_2!M72+Proj_3!M72+Proj_4!M72+Proj_5!M72+Proj_6!M72+Proj_7!M72+Proj_8!M72+Proj_9!M72+Proj_10!M72+Proj_11!M72+Proj_12!M72+Proj_13!M72+Proj_14!M72+Proj_15!M72+Proj_16!M72+Proj_17!M72+Proj_18!M72+Proj_19!M72+Proj_20!M72+Proj_21!M72+Proj_22!M72+Proj_23!M72+Proj_24!M72+Proj_25!M72+Proj_26!M72+Proj_27!M72+Proj_28!M72+Proj_29!M72+Proj_30!M72+Proj_31!M72+Proj_32!M72+Proj_33!M72+Proj_34!M72+Proj_35!M72+Proj_36!M72+Proj_37!M72+Proj_38!M72+Proj_39!M72+Proj_40!M72+Proj_41!M72+Proj_42!M72+Proj_43!M72+Proj_44!M72+Proj_45!M72+Proj_46!M72</f>
        <v>0</v>
      </c>
      <c r="J21" s="131">
        <f>Proj_1!N72+Proj_2!N72+Proj_3!N72+Proj_4!N72+Proj_5!N72+Proj_6!N72+Proj_7!N72+Proj_8!N72+Proj_9!N72+Proj_10!N72+Proj_11!N72+Proj_12!N72+Proj_13!N72+Proj_14!N72+Proj_15!N72+Proj_16!N72+Proj_17!N72+Proj_18!N72+Proj_19!N72+Proj_20!N72+Proj_21!N72+Proj_22!N72+Proj_23!N72+Proj_24!N72+Proj_25!N72+Proj_26!N72+Proj_27!N72+Proj_28!N72+Proj_29!N72+Proj_30!N72+Proj_31!N72+Proj_32!N72+Proj_33!N72+Proj_34!N72+Proj_35!N72+Proj_36!N72+Proj_37!N72+Proj_38!N72+Proj_39!N72+Proj_40!N72+Proj_41!N72+Proj_42!N72+Proj_43!N72+Proj_44!N72+Proj_45!N72+Proj_46!N72</f>
        <v>0</v>
      </c>
      <c r="K21" s="193">
        <f>SUM(E21:J21)</f>
        <v>0</v>
      </c>
      <c r="M21" s="132" t="s">
        <v>11</v>
      </c>
      <c r="N21" s="138">
        <f t="shared" si="6"/>
        <v>0</v>
      </c>
      <c r="O21" s="138">
        <f t="shared" si="0"/>
        <v>0</v>
      </c>
      <c r="P21" s="157">
        <f t="shared" si="7"/>
        <v>0</v>
      </c>
      <c r="Q21" s="157">
        <f t="shared" si="1"/>
        <v>0</v>
      </c>
      <c r="R21" s="157">
        <f t="shared" si="2"/>
        <v>0</v>
      </c>
      <c r="S21" s="157">
        <f t="shared" si="3"/>
        <v>0</v>
      </c>
      <c r="T21" s="157">
        <f t="shared" si="4"/>
        <v>0</v>
      </c>
      <c r="U21" s="138">
        <f t="shared" si="8"/>
        <v>0</v>
      </c>
      <c r="V21" s="157">
        <f t="shared" si="9"/>
        <v>0</v>
      </c>
    </row>
    <row r="22" spans="2:22">
      <c r="B22" s="130" t="s">
        <v>12</v>
      </c>
      <c r="C22" s="131">
        <f>Proj_1!G73+Proj_2!G73+Proj_3!G73+Proj_4!G73+Proj_5!G73+Proj_6!G73+Proj_7!G73+Proj_8!G73+Proj_9!G73+Proj_10!G73+Proj_11!G73+Proj_12!G73+Proj_13!G73+Proj_14!G73+Proj_15!G73+Proj_16!G73+Proj_17!G73+Proj_18!G73+Proj_19!G73+Proj_20!G73+Proj_21!G73+Proj_22!G73+Proj_23!G73+Proj_24!G73+Proj_25!G73+Proj_26!G73+Proj_27!G73+Proj_28!G73+Proj_29!G73+Proj_30!G73+Proj_31!G73+Proj_32!G73+Proj_33!G73+Proj_34!G73+Proj_35!G73+Proj_36!G73+Proj_37!G73+Proj_38!G73+Proj_39!G73+Proj_40!G73+Proj_41!G73+Proj_42!G73+Proj_43!G73+Proj_44!G73+Proj_45!G73+Proj_46!G73</f>
        <v>0</v>
      </c>
      <c r="D22" s="131">
        <f>Proj_1!H73+Proj_2!H73+Proj_3!H73+Proj_4!H73+Proj_5!H73+Proj_6!H73+Proj_7!H73+Proj_8!H73+Proj_9!H73+Proj_10!H73+Proj_11!H73+Proj_12!H73+Proj_13!H73+Proj_14!H73+Proj_15!H73+Proj_16!H73+Proj_17!H73+Proj_18!H73+Proj_19!H73+Proj_20!H73+Proj_21!H73+Proj_22!H73+Proj_23!H73+Proj_24!H73+Proj_25!H73+Proj_26!H73+Proj_27!H73+Proj_28!H73+Proj_29!H73+Proj_30!H73+Proj_31!H73+Proj_32!H73+Proj_33!H73+Proj_34!H73+Proj_35!H73+Proj_36!H73+Proj_37!H73+Proj_38!H73+Proj_39!H73+Proj_40!H73+Proj_41!H73+Proj_42!H73+Proj_43!H73+Proj_44!H73+Proj_45!H73+Proj_46!H73</f>
        <v>0</v>
      </c>
      <c r="E22" s="193">
        <f>Proj_1!I73+Proj_2!I73+Proj_3!I73+Proj_4!I73+Proj_5!I73+Proj_6!I73+Proj_7!I73+Proj_8!I73+Proj_9!I73+Proj_10!I73+Proj_11!I73+Proj_12!I73+Proj_13!I73+Proj_14!I73+Proj_15!I73+Proj_16!I73+Proj_17!I73+Proj_18!I73+Proj_19!I73+Proj_20!I73+Proj_21!I73+Proj_22!I73+Proj_23!I73+Proj_24!I73+Proj_25!I73+Proj_26!I73+Proj_27!I73+Proj_28!I73+Proj_29!I73+Proj_30!I73+Proj_31!I73+Proj_32!I73+Proj_33!I73+Proj_34!I73+Proj_35!I73+Proj_36!I73+Proj_37!I73+Proj_38!I73+Proj_39!I73+Proj_40!I73+Proj_41!I73+Proj_42!I73+Proj_43!I73+Proj_44!I73+Proj_45!I73+Proj_46!I73</f>
        <v>0</v>
      </c>
      <c r="F22" s="193">
        <f>Proj_1!J73+Proj_2!J73+Proj_3!J73+Proj_4!J73+Proj_5!J73+Proj_6!J73+Proj_7!J73+Proj_8!J73+Proj_9!J73+Proj_10!J73+Proj_11!J73+Proj_12!J73+Proj_13!J73+Proj_14!J73+Proj_15!J73+Proj_16!J73+Proj_17!J73+Proj_18!J73+Proj_19!J73+Proj_20!J73+Proj_21!J73+Proj_22!J73+Proj_23!J73+Proj_24!J73+Proj_25!J73+Proj_26!J73+Proj_27!J73+Proj_28!J73+Proj_29!J73+Proj_30!J73+Proj_31!J73+Proj_32!J73+Proj_33!J73+Proj_34!J73+Proj_35!J73+Proj_36!J73+Proj_37!J73+Proj_38!J73+Proj_39!J73+Proj_40!J73+Proj_41!J73+Proj_42!J73+Proj_43!J73+Proj_44!J73+Proj_45!J73+Proj_46!J73</f>
        <v>0</v>
      </c>
      <c r="G22" s="193">
        <f>Proj_1!K73+Proj_2!K73+Proj_3!K73+Proj_4!K73+Proj_5!K73+Proj_6!K73+Proj_7!K73+Proj_8!K73+Proj_9!K73+Proj_10!K73+Proj_11!K73+Proj_12!K73+Proj_13!K73+Proj_14!K73+Proj_15!K73+Proj_16!K73+Proj_17!K73+Proj_18!K73+Proj_19!K73+Proj_20!K73+Proj_21!K73+Proj_22!K73+Proj_23!K73+Proj_24!K73+Proj_25!K73+Proj_26!K73+Proj_27!K73+Proj_28!K73+Proj_29!K73+Proj_30!K73+Proj_31!K73+Proj_32!K73+Proj_33!K73+Proj_34!K73+Proj_35!K73+Proj_36!K73+Proj_37!K73+Proj_38!K73+Proj_39!K73+Proj_40!K73+Proj_41!K73+Proj_42!K73+Proj_43!K73+Proj_44!K73+Proj_45!K73+Proj_46!K73</f>
        <v>0</v>
      </c>
      <c r="H22" s="193">
        <f>Proj_1!L73+Proj_2!L73+Proj_3!L73+Proj_4!L73+Proj_5!L73+Proj_6!L73+Proj_7!L73+Proj_8!L73+Proj_9!L73+Proj_10!L73+Proj_11!L73+Proj_12!L73+Proj_13!L73+Proj_14!L73+Proj_15!L73+Proj_16!L73+Proj_17!L73+Proj_18!L73+Proj_19!L73+Proj_20!L73+Proj_21!L73+Proj_22!L73+Proj_23!L73+Proj_24!L73+Proj_25!L73+Proj_26!L73+Proj_27!L73+Proj_28!L73+Proj_29!L73+Proj_30!L73+Proj_31!L73+Proj_32!L73+Proj_33!L73+Proj_34!L73+Proj_35!L73+Proj_36!L73+Proj_37!L73+Proj_38!L73+Proj_39!L73+Proj_40!L73+Proj_41!L73+Proj_42!L73+Proj_43!L73+Proj_44!L73+Proj_45!L73+Proj_46!L73</f>
        <v>0</v>
      </c>
      <c r="I22" s="193">
        <f>Proj_1!M73+Proj_2!M73+Proj_3!M73+Proj_4!M73+Proj_5!M73+Proj_6!M73+Proj_7!M73+Proj_8!M73+Proj_9!M73+Proj_10!M73+Proj_11!M73+Proj_12!M73+Proj_13!M73+Proj_14!M73+Proj_15!M73+Proj_16!M73+Proj_17!M73+Proj_18!M73+Proj_19!M73+Proj_20!M73+Proj_21!M73+Proj_22!M73+Proj_23!M73+Proj_24!M73+Proj_25!M73+Proj_26!M73+Proj_27!M73+Proj_28!M73+Proj_29!M73+Proj_30!M73+Proj_31!M73+Proj_32!M73+Proj_33!M73+Proj_34!M73+Proj_35!M73+Proj_36!M73+Proj_37!M73+Proj_38!M73+Proj_39!M73+Proj_40!M73+Proj_41!M73+Proj_42!M73+Proj_43!M73+Proj_44!M73+Proj_45!M73+Proj_46!M73</f>
        <v>0</v>
      </c>
      <c r="J22" s="131">
        <f>Proj_1!N73+Proj_2!N73+Proj_3!N73+Proj_4!N73+Proj_5!N73+Proj_6!N73+Proj_7!N73+Proj_8!N73+Proj_9!N73+Proj_10!N73+Proj_11!N73+Proj_12!N73+Proj_13!N73+Proj_14!N73+Proj_15!N73+Proj_16!N73+Proj_17!N73+Proj_18!N73+Proj_19!N73+Proj_20!N73+Proj_21!N73+Proj_22!N73+Proj_23!N73+Proj_24!N73+Proj_25!N73+Proj_26!N73+Proj_27!N73+Proj_28!N73+Proj_29!N73+Proj_30!N73+Proj_31!N73+Proj_32!N73+Proj_33!N73+Proj_34!N73+Proj_35!N73+Proj_36!N73+Proj_37!N73+Proj_38!N73+Proj_39!N73+Proj_40!N73+Proj_41!N73+Proj_42!N73+Proj_43!N73+Proj_44!N73+Proj_45!N73+Proj_46!N73</f>
        <v>0</v>
      </c>
      <c r="K22" s="193">
        <f>SUM(E22:J22)</f>
        <v>0</v>
      </c>
      <c r="M22" s="132" t="s">
        <v>12</v>
      </c>
      <c r="N22" s="144">
        <f t="shared" si="6"/>
        <v>0</v>
      </c>
      <c r="O22" s="144">
        <f t="shared" si="0"/>
        <v>0</v>
      </c>
      <c r="P22" s="158">
        <f t="shared" si="7"/>
        <v>0</v>
      </c>
      <c r="Q22" s="158">
        <f t="shared" si="1"/>
        <v>0</v>
      </c>
      <c r="R22" s="158">
        <f t="shared" si="2"/>
        <v>0</v>
      </c>
      <c r="S22" s="158">
        <f t="shared" si="3"/>
        <v>0</v>
      </c>
      <c r="T22" s="158">
        <f t="shared" si="4"/>
        <v>0</v>
      </c>
      <c r="U22" s="144">
        <f t="shared" si="8"/>
        <v>0</v>
      </c>
      <c r="V22" s="158">
        <f t="shared" si="9"/>
        <v>0</v>
      </c>
    </row>
    <row r="23" spans="2:22">
      <c r="B23" s="155" t="s">
        <v>37</v>
      </c>
      <c r="C23" s="145">
        <f>SUM(C9:C22)</f>
        <v>147511.02739707031</v>
      </c>
      <c r="D23" s="145">
        <f t="shared" ref="D23:K23" si="10">SUM(D9:D22)</f>
        <v>175884.75630318403</v>
      </c>
      <c r="E23" s="194">
        <f t="shared" si="10"/>
        <v>156515.23669717697</v>
      </c>
      <c r="F23" s="194">
        <f t="shared" si="10"/>
        <v>121865.65953724782</v>
      </c>
      <c r="G23" s="194">
        <f t="shared" si="10"/>
        <v>106304.63258805002</v>
      </c>
      <c r="H23" s="194">
        <f t="shared" si="10"/>
        <v>98991.288198617287</v>
      </c>
      <c r="I23" s="194">
        <f t="shared" si="10"/>
        <v>89423.895986096642</v>
      </c>
      <c r="J23" s="145">
        <f t="shared" si="10"/>
        <v>0</v>
      </c>
      <c r="K23" s="194">
        <f t="shared" si="10"/>
        <v>573100.71300718887</v>
      </c>
      <c r="M23" s="155" t="s">
        <v>37</v>
      </c>
      <c r="N23" s="146">
        <f t="shared" ref="N23:V23" si="11">SUM(N9:N22)</f>
        <v>147.51102739707031</v>
      </c>
      <c r="O23" s="146">
        <f t="shared" si="11"/>
        <v>175.88475630318402</v>
      </c>
      <c r="P23" s="161">
        <f t="shared" si="11"/>
        <v>156.51523669717696</v>
      </c>
      <c r="Q23" s="161">
        <f t="shared" si="11"/>
        <v>121.86565953724779</v>
      </c>
      <c r="R23" s="161">
        <f t="shared" si="11"/>
        <v>106.30463258805003</v>
      </c>
      <c r="S23" s="161">
        <f t="shared" si="11"/>
        <v>98.991288198617312</v>
      </c>
      <c r="T23" s="161">
        <f t="shared" si="11"/>
        <v>89.423895986096625</v>
      </c>
      <c r="U23" s="146">
        <f t="shared" si="11"/>
        <v>0</v>
      </c>
      <c r="V23" s="161">
        <f t="shared" si="11"/>
        <v>573.10071300718869</v>
      </c>
    </row>
    <row r="24" spans="2:22">
      <c r="B24" s="135" t="s">
        <v>50</v>
      </c>
      <c r="C24" s="124">
        <f>C23-'5.1(c)_Total_Fcast'!C17</f>
        <v>1.5289406292140484E-6</v>
      </c>
      <c r="D24" s="124">
        <f>D23-'5.1(c)_Total_Fcast'!D17</f>
        <v>7.9993042163550854E-6</v>
      </c>
      <c r="E24" s="198">
        <f>E23-'5.1(c)_Total_Fcast'!E17</f>
        <v>1.2732052709907293E-5</v>
      </c>
      <c r="F24" s="198">
        <f>F23-'5.1(c)_Total_Fcast'!F17</f>
        <v>1.3825716450810432E-5</v>
      </c>
      <c r="G24" s="198">
        <f>G23-'5.1(c)_Total_Fcast'!G17</f>
        <v>1.6661433619447052E-5</v>
      </c>
      <c r="H24" s="198">
        <f>H23-'5.1(c)_Total_Fcast'!H17</f>
        <v>1.0206538718193769E-5</v>
      </c>
      <c r="I24" s="198">
        <f>I23-'5.1(c)_Total_Fcast'!I17</f>
        <v>4.5617489377036691E-6</v>
      </c>
      <c r="J24" s="124">
        <f>J23-'5.1(c)_Total_Fcast'!J17</f>
        <v>0</v>
      </c>
      <c r="K24" s="133"/>
    </row>
    <row r="26" spans="2:22">
      <c r="M26" s="909" t="s">
        <v>319</v>
      </c>
    </row>
    <row r="27" spans="2:22">
      <c r="M27" s="143" t="s">
        <v>318</v>
      </c>
      <c r="P27" s="149"/>
      <c r="Q27" s="149"/>
      <c r="R27" s="149"/>
      <c r="S27" s="149"/>
      <c r="T27" s="149"/>
      <c r="U27" s="149"/>
      <c r="V27" s="149"/>
    </row>
    <row r="28" spans="2:22">
      <c r="M28" s="903" t="s">
        <v>438</v>
      </c>
      <c r="N28" s="128"/>
      <c r="O28" s="128"/>
      <c r="P28" s="1010" t="s">
        <v>481</v>
      </c>
      <c r="Q28" s="1011"/>
      <c r="R28" s="1011"/>
      <c r="S28" s="1011"/>
      <c r="T28" s="1012"/>
      <c r="U28" s="128"/>
      <c r="V28" s="127"/>
    </row>
    <row r="29" spans="2:22">
      <c r="M29" s="902"/>
      <c r="N29" s="141" t="s">
        <v>72</v>
      </c>
      <c r="O29" s="141" t="s">
        <v>73</v>
      </c>
      <c r="P29" s="141" t="s">
        <v>74</v>
      </c>
      <c r="Q29" s="141" t="s">
        <v>75</v>
      </c>
      <c r="R29" s="141" t="s">
        <v>76</v>
      </c>
      <c r="S29" s="141" t="s">
        <v>77</v>
      </c>
      <c r="T29" s="141" t="s">
        <v>78</v>
      </c>
      <c r="U29" s="141" t="s">
        <v>79</v>
      </c>
      <c r="V29" s="140" t="s">
        <v>35</v>
      </c>
    </row>
    <row r="30" spans="2:22">
      <c r="M30" s="901" t="s">
        <v>2</v>
      </c>
      <c r="N30" s="142" t="s">
        <v>56</v>
      </c>
      <c r="O30" s="142" t="s">
        <v>55</v>
      </c>
      <c r="P30" s="142" t="s">
        <v>38</v>
      </c>
      <c r="Q30" s="142" t="s">
        <v>39</v>
      </c>
      <c r="R30" s="142" t="s">
        <v>40</v>
      </c>
      <c r="S30" s="142" t="s">
        <v>123</v>
      </c>
      <c r="T30" s="142" t="s">
        <v>124</v>
      </c>
      <c r="U30" s="142" t="s">
        <v>125</v>
      </c>
      <c r="V30" s="129"/>
    </row>
    <row r="31" spans="2:22">
      <c r="M31" s="130" t="s">
        <v>3</v>
      </c>
      <c r="N31" s="138">
        <f>N9/Assumptions!G$21</f>
        <v>29.87676820275199</v>
      </c>
      <c r="O31" s="138">
        <f>O9/Assumptions!H$21</f>
        <v>23.618382580538459</v>
      </c>
      <c r="P31" s="157">
        <f>P9/Assumptions!J$21</f>
        <v>28.500529653144966</v>
      </c>
      <c r="Q31" s="157">
        <f>Q9/Assumptions!K$21</f>
        <v>22.163935864566792</v>
      </c>
      <c r="R31" s="157">
        <f>R9/Assumptions!L$21</f>
        <v>19.744114548296626</v>
      </c>
      <c r="S31" s="157">
        <f>S9/Assumptions!M$21</f>
        <v>19.437451547543098</v>
      </c>
      <c r="T31" s="157">
        <f>T9/Assumptions!N$21</f>
        <v>20.273224911402348</v>
      </c>
      <c r="U31" s="138"/>
      <c r="V31" s="157">
        <f>SUM(P31:T31)</f>
        <v>110.11925652495383</v>
      </c>
    </row>
    <row r="32" spans="2:22">
      <c r="M32" s="130" t="s">
        <v>4</v>
      </c>
      <c r="N32" s="138">
        <f>N10/Assumptions!G$21</f>
        <v>36.103321758337508</v>
      </c>
      <c r="O32" s="138">
        <f>O10/Assumptions!H$21</f>
        <v>49.816450656674512</v>
      </c>
      <c r="P32" s="157">
        <f>P10/Assumptions!J$21</f>
        <v>42.639239371169424</v>
      </c>
      <c r="Q32" s="157">
        <f>Q10/Assumptions!K$21</f>
        <v>27.297496045715704</v>
      </c>
      <c r="R32" s="157">
        <f>R10/Assumptions!L$21</f>
        <v>25.692291008070228</v>
      </c>
      <c r="S32" s="157">
        <f>S10/Assumptions!M$21</f>
        <v>24.397683253483709</v>
      </c>
      <c r="T32" s="157">
        <f>T10/Assumptions!N$21</f>
        <v>21.673160141125503</v>
      </c>
      <c r="U32" s="138"/>
      <c r="V32" s="157">
        <f t="shared" ref="V32:V44" si="12">SUM(P32:T32)</f>
        <v>141.69986981956455</v>
      </c>
    </row>
    <row r="33" spans="13:22">
      <c r="M33" s="130" t="s">
        <v>5</v>
      </c>
      <c r="N33" s="138">
        <f>N11/Assumptions!G$21</f>
        <v>24.413785187967015</v>
      </c>
      <c r="O33" s="138">
        <f>O11/Assumptions!H$21</f>
        <v>26.638868913169251</v>
      </c>
      <c r="P33" s="157">
        <f>P11/Assumptions!J$21</f>
        <v>20.329877173020652</v>
      </c>
      <c r="Q33" s="157">
        <f>Q11/Assumptions!K$21</f>
        <v>10.084630340170351</v>
      </c>
      <c r="R33" s="157">
        <f>R11/Assumptions!L$21</f>
        <v>9.8835807187722597</v>
      </c>
      <c r="S33" s="157">
        <f>S11/Assumptions!M$21</f>
        <v>10.79111687627427</v>
      </c>
      <c r="T33" s="157">
        <f>T11/Assumptions!N$21</f>
        <v>9.9084898203298089</v>
      </c>
      <c r="U33" s="138"/>
      <c r="V33" s="157">
        <f t="shared" si="12"/>
        <v>60.997694928567341</v>
      </c>
    </row>
    <row r="34" spans="13:22">
      <c r="M34" s="130" t="s">
        <v>6</v>
      </c>
      <c r="N34" s="138">
        <f>N12/Assumptions!G$21</f>
        <v>3.15989480491907</v>
      </c>
      <c r="O34" s="138">
        <f>O12/Assumptions!H$21</f>
        <v>10.613927758101815</v>
      </c>
      <c r="P34" s="157">
        <f>P12/Assumptions!J$21</f>
        <v>0.16372251913262145</v>
      </c>
      <c r="Q34" s="157">
        <f>Q12/Assumptions!K$21</f>
        <v>0.17356275187671275</v>
      </c>
      <c r="R34" s="157">
        <f>R12/Assumptions!L$21</f>
        <v>0.18032027629835357</v>
      </c>
      <c r="S34" s="157">
        <f>S12/Assumptions!M$21</f>
        <v>0.18368245066321343</v>
      </c>
      <c r="T34" s="157">
        <f>T12/Assumptions!N$21</f>
        <v>0.18807977929952793</v>
      </c>
      <c r="U34" s="138"/>
      <c r="V34" s="157">
        <f t="shared" si="12"/>
        <v>0.88936777727042904</v>
      </c>
    </row>
    <row r="35" spans="13:22">
      <c r="M35" s="130" t="s">
        <v>7</v>
      </c>
      <c r="N35" s="138">
        <f>N13/Assumptions!G$21</f>
        <v>22.601599947511062</v>
      </c>
      <c r="O35" s="138">
        <f>O13/Assumptions!H$21</f>
        <v>9.6654401808267618</v>
      </c>
      <c r="P35" s="157">
        <f>P13/Assumptions!J$21</f>
        <v>11.044833376476687</v>
      </c>
      <c r="Q35" s="157">
        <f>Q13/Assumptions!K$21</f>
        <v>13.780947177003357</v>
      </c>
      <c r="R35" s="157">
        <f>R13/Assumptions!L$21</f>
        <v>10.286821130798941</v>
      </c>
      <c r="S35" s="157">
        <f>S13/Assumptions!M$21</f>
        <v>10.558219211552167</v>
      </c>
      <c r="T35" s="157">
        <f>T13/Assumptions!N$21</f>
        <v>10.595821962106021</v>
      </c>
      <c r="U35" s="138"/>
      <c r="V35" s="157">
        <f t="shared" si="12"/>
        <v>56.266642857937178</v>
      </c>
    </row>
    <row r="36" spans="13:22">
      <c r="M36" s="130" t="s">
        <v>8</v>
      </c>
      <c r="N36" s="138">
        <f>N14/Assumptions!G$21</f>
        <v>7.2625711875985814</v>
      </c>
      <c r="O36" s="138">
        <f>O14/Assumptions!H$21</f>
        <v>16.356756947644051</v>
      </c>
      <c r="P36" s="157">
        <f>P14/Assumptions!J$21</f>
        <v>17.533694461298747</v>
      </c>
      <c r="Q36" s="157">
        <f>Q14/Assumptions!K$21</f>
        <v>13.323054314946139</v>
      </c>
      <c r="R36" s="157">
        <f>R14/Assumptions!L$21</f>
        <v>12.77998656564735</v>
      </c>
      <c r="S36" s="157">
        <f>S14/Assumptions!M$21</f>
        <v>11.874683648671546</v>
      </c>
      <c r="T36" s="157">
        <f>T14/Assumptions!N$21</f>
        <v>10.501436139029108</v>
      </c>
      <c r="U36" s="138"/>
      <c r="V36" s="157">
        <f t="shared" si="12"/>
        <v>66.012855129592893</v>
      </c>
    </row>
    <row r="37" spans="13:22">
      <c r="M37" s="130" t="s">
        <v>9</v>
      </c>
      <c r="N37" s="138">
        <f>N15/Assumptions!G$21</f>
        <v>7.6282250822340458</v>
      </c>
      <c r="O37" s="138">
        <f>O15/Assumptions!H$21</f>
        <v>15.357923981245257</v>
      </c>
      <c r="P37" s="157">
        <f>P15/Assumptions!J$21</f>
        <v>10.200157488219144</v>
      </c>
      <c r="Q37" s="157">
        <f>Q15/Assumptions!K$21</f>
        <v>12.772407319357409</v>
      </c>
      <c r="R37" s="157">
        <f>R15/Assumptions!L$21</f>
        <v>15.520421050304924</v>
      </c>
      <c r="S37" s="157">
        <f>S15/Assumptions!M$21</f>
        <v>13.800358333563027</v>
      </c>
      <c r="T37" s="157">
        <f>T15/Assumptions!N$21</f>
        <v>10.171862079157792</v>
      </c>
      <c r="U37" s="138"/>
      <c r="V37" s="157">
        <f t="shared" si="12"/>
        <v>62.465206270602295</v>
      </c>
    </row>
    <row r="38" spans="13:22">
      <c r="M38" s="130" t="s">
        <v>147</v>
      </c>
      <c r="N38" s="138">
        <f>N16/Assumptions!G$21</f>
        <v>0</v>
      </c>
      <c r="O38" s="138">
        <f>O16/Assumptions!H$21</f>
        <v>0</v>
      </c>
      <c r="P38" s="157">
        <f>P16/Assumptions!J$21</f>
        <v>0</v>
      </c>
      <c r="Q38" s="157">
        <f>Q16/Assumptions!K$21</f>
        <v>0</v>
      </c>
      <c r="R38" s="157">
        <f>R16/Assumptions!L$21</f>
        <v>0</v>
      </c>
      <c r="S38" s="157">
        <f>S16/Assumptions!M$21</f>
        <v>0</v>
      </c>
      <c r="T38" s="157">
        <f>T16/Assumptions!N$21</f>
        <v>0</v>
      </c>
      <c r="U38" s="138"/>
      <c r="V38" s="157"/>
    </row>
    <row r="39" spans="13:22">
      <c r="M39" s="130" t="s">
        <v>36</v>
      </c>
      <c r="N39" s="138">
        <f>N17/Assumptions!G$21</f>
        <v>7.8918201183248113</v>
      </c>
      <c r="O39" s="138">
        <f>O17/Assumptions!H$21</f>
        <v>19.488253484733757</v>
      </c>
      <c r="P39" s="157">
        <f>P17/Assumptions!J$21</f>
        <v>24.309426593474168</v>
      </c>
      <c r="Q39" s="157">
        <f>Q17/Assumptions!K$21</f>
        <v>22.542687740109383</v>
      </c>
      <c r="R39" s="157">
        <f>R17/Assumptions!L$21</f>
        <v>14.155285201978488</v>
      </c>
      <c r="S39" s="157">
        <f>S17/Assumptions!M$21</f>
        <v>11.942241539603698</v>
      </c>
      <c r="T39" s="157">
        <f>T17/Assumptions!N$21</f>
        <v>10.41015163938923</v>
      </c>
      <c r="U39" s="138"/>
      <c r="V39" s="157">
        <f t="shared" si="12"/>
        <v>83.359792714554956</v>
      </c>
    </row>
    <row r="40" spans="13:22">
      <c r="M40" s="130" t="s">
        <v>52</v>
      </c>
      <c r="N40" s="138">
        <f>N18/Assumptions!G$21</f>
        <v>1.3747690869274805</v>
      </c>
      <c r="O40" s="138">
        <f>O18/Assumptions!H$21</f>
        <v>0.8918071035704852</v>
      </c>
      <c r="P40" s="157">
        <f>P18/Assumptions!J$21</f>
        <v>1.9651514648067783</v>
      </c>
      <c r="Q40" s="157">
        <f>Q18/Assumptions!K$21</f>
        <v>1.5878826127056118</v>
      </c>
      <c r="R40" s="157">
        <f>R18/Assumptions!L$21</f>
        <v>2.2545554850944827</v>
      </c>
      <c r="S40" s="157">
        <f>S18/Assumptions!M$21</f>
        <v>1.9503444460968757</v>
      </c>
      <c r="T40" s="157">
        <f>T18/Assumptions!N$21</f>
        <v>2.0093885378151879</v>
      </c>
      <c r="U40" s="138"/>
      <c r="V40" s="157">
        <f t="shared" si="12"/>
        <v>9.7673225465189368</v>
      </c>
    </row>
    <row r="41" spans="13:22">
      <c r="M41" s="130" t="s">
        <v>320</v>
      </c>
      <c r="N41" s="138">
        <f>N19/Assumptions!G$21</f>
        <v>2.0243370101221263</v>
      </c>
      <c r="O41" s="138">
        <f>O19/Assumptions!H$21</f>
        <v>2.5827785121314379</v>
      </c>
      <c r="P41" s="157">
        <f>P19/Assumptions!J$21</f>
        <v>2.9865157191295921</v>
      </c>
      <c r="Q41" s="157">
        <f>Q19/Assumptions!K$21</f>
        <v>3.0752618812393289</v>
      </c>
      <c r="R41" s="157">
        <f>R19/Assumptions!L$21</f>
        <v>3.1662196936985727</v>
      </c>
      <c r="S41" s="157">
        <f>S19/Assumptions!M$21</f>
        <v>3.261522953154723</v>
      </c>
      <c r="T41" s="157">
        <f>T19/Assumptions!N$21</f>
        <v>3.3602612353965262</v>
      </c>
      <c r="U41" s="138"/>
      <c r="V41" s="157">
        <f t="shared" si="12"/>
        <v>15.849781482618743</v>
      </c>
    </row>
    <row r="42" spans="13:22">
      <c r="M42" s="132" t="s">
        <v>53</v>
      </c>
      <c r="N42" s="138">
        <f>N20/Assumptions!G$21</f>
        <v>2.7199622810353041</v>
      </c>
      <c r="O42" s="138">
        <f>O20/Assumptions!H$21</f>
        <v>0.5290557292743322</v>
      </c>
      <c r="P42" s="157">
        <f>P20/Assumptions!J$21</f>
        <v>0.22409094198071414</v>
      </c>
      <c r="Q42" s="157">
        <f>Q20/Assumptions!K$21</f>
        <v>0.62280817934817145</v>
      </c>
      <c r="R42" s="157">
        <f>R20/Assumptions!L$21</f>
        <v>0.10233566418579729</v>
      </c>
      <c r="S42" s="157">
        <f>S20/Assumptions!M$21</f>
        <v>0.23154746888431421</v>
      </c>
      <c r="T42" s="157">
        <f>T20/Assumptions!N$21</f>
        <v>1.1592630519098677</v>
      </c>
      <c r="U42" s="138"/>
      <c r="V42" s="157">
        <f t="shared" si="12"/>
        <v>2.3400453063088649</v>
      </c>
    </row>
    <row r="43" spans="13:22">
      <c r="M43" s="132" t="s">
        <v>11</v>
      </c>
      <c r="N43" s="138">
        <f>N21/Assumptions!G$21</f>
        <v>0</v>
      </c>
      <c r="O43" s="138">
        <f>O21/Assumptions!H$21</f>
        <v>0</v>
      </c>
      <c r="P43" s="157">
        <f>P21/Assumptions!J$21</f>
        <v>0</v>
      </c>
      <c r="Q43" s="157">
        <f>Q21/Assumptions!K$21</f>
        <v>0</v>
      </c>
      <c r="R43" s="157">
        <f>R21/Assumptions!L$21</f>
        <v>0</v>
      </c>
      <c r="S43" s="157">
        <f>S21/Assumptions!M$21</f>
        <v>0</v>
      </c>
      <c r="T43" s="157">
        <f>T21/Assumptions!N$21</f>
        <v>0</v>
      </c>
      <c r="U43" s="138"/>
      <c r="V43" s="157">
        <f t="shared" si="12"/>
        <v>0</v>
      </c>
    </row>
    <row r="44" spans="13:22">
      <c r="M44" s="132" t="s">
        <v>12</v>
      </c>
      <c r="N44" s="144">
        <f>N22/Assumptions!G$21</f>
        <v>0</v>
      </c>
      <c r="O44" s="144">
        <f>O22/Assumptions!H$21</f>
        <v>0</v>
      </c>
      <c r="P44" s="158">
        <f>P22/Assumptions!J$21</f>
        <v>0</v>
      </c>
      <c r="Q44" s="158">
        <f>Q22/Assumptions!K$21</f>
        <v>0</v>
      </c>
      <c r="R44" s="158">
        <f>R22/Assumptions!L$21</f>
        <v>0</v>
      </c>
      <c r="S44" s="158">
        <f>S22/Assumptions!M$21</f>
        <v>0</v>
      </c>
      <c r="T44" s="158">
        <f>T22/Assumptions!N$21</f>
        <v>0</v>
      </c>
      <c r="U44" s="144"/>
      <c r="V44" s="158">
        <f t="shared" si="12"/>
        <v>0</v>
      </c>
    </row>
    <row r="45" spans="13:22">
      <c r="M45" s="155" t="s">
        <v>37</v>
      </c>
      <c r="N45" s="146">
        <f t="shared" ref="N45:V45" si="13">SUM(N31:N44)</f>
        <v>145.05705466772901</v>
      </c>
      <c r="O45" s="146">
        <f t="shared" si="13"/>
        <v>175.55964584791005</v>
      </c>
      <c r="P45" s="161">
        <f t="shared" si="13"/>
        <v>159.89723876185349</v>
      </c>
      <c r="Q45" s="161">
        <f t="shared" si="13"/>
        <v>127.42467422703896</v>
      </c>
      <c r="R45" s="161">
        <f t="shared" si="13"/>
        <v>113.76593134314602</v>
      </c>
      <c r="S45" s="161">
        <f t="shared" si="13"/>
        <v>108.42885172949066</v>
      </c>
      <c r="T45" s="161">
        <f t="shared" si="13"/>
        <v>100.2511392969609</v>
      </c>
      <c r="U45" s="146">
        <f t="shared" si="13"/>
        <v>0</v>
      </c>
      <c r="V45" s="161">
        <f t="shared" si="13"/>
        <v>609.76783535848995</v>
      </c>
    </row>
  </sheetData>
  <mergeCells count="3">
    <mergeCell ref="P6:T6"/>
    <mergeCell ref="E6:I6"/>
    <mergeCell ref="P28:T28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&amp;L&amp;D&amp;R&amp;F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V73"/>
  <sheetViews>
    <sheetView zoomScaleNormal="100" workbookViewId="0">
      <selection activeCell="E9" sqref="E9"/>
    </sheetView>
  </sheetViews>
  <sheetFormatPr defaultRowHeight="15" outlineLevelCol="1"/>
  <cols>
    <col min="1" max="1" width="9.140625" style="47"/>
    <col min="2" max="2" width="35.140625" style="47" customWidth="1"/>
    <col min="3" max="4" width="9.7109375" style="47" customWidth="1"/>
    <col min="5" max="9" width="9" style="47" bestFit="1" customWidth="1"/>
    <col min="10" max="10" width="9.7109375" style="47" hidden="1" customWidth="1" outlineLevel="1"/>
    <col min="11" max="11" width="10.140625" style="47" customWidth="1" collapsed="1"/>
    <col min="12" max="12" width="8.85546875" style="43" customWidth="1"/>
    <col min="13" max="13" width="30.85546875" style="47" bestFit="1" customWidth="1"/>
    <col min="14" max="20" width="9.140625" style="47"/>
    <col min="21" max="21" width="0" style="47" hidden="1" customWidth="1" outlineLevel="1"/>
    <col min="22" max="22" width="9.140625" style="47" collapsed="1"/>
    <col min="23" max="16384" width="9.140625" style="47"/>
  </cols>
  <sheetData>
    <row r="1" spans="2:22">
      <c r="B1" s="483" t="s">
        <v>290</v>
      </c>
    </row>
    <row r="2" spans="2:22">
      <c r="B2" s="483"/>
    </row>
    <row r="3" spans="2:22" ht="15.75">
      <c r="B3" s="939" t="s">
        <v>476</v>
      </c>
    </row>
    <row r="4" spans="2:22">
      <c r="B4" s="126"/>
      <c r="E4" s="179"/>
      <c r="F4" s="180"/>
      <c r="H4" s="192"/>
      <c r="N4" s="136" t="s">
        <v>194</v>
      </c>
      <c r="P4" s="571">
        <f>E_factor</f>
        <v>0</v>
      </c>
    </row>
    <row r="5" spans="2:22" ht="15" customHeight="1">
      <c r="B5" s="143" t="s">
        <v>224</v>
      </c>
      <c r="E5" s="179"/>
      <c r="F5" s="180"/>
      <c r="H5" s="199"/>
      <c r="M5" s="143" t="s">
        <v>223</v>
      </c>
    </row>
    <row r="6" spans="2:22">
      <c r="B6" s="908" t="s">
        <v>245</v>
      </c>
      <c r="E6" s="1013" t="s">
        <v>482</v>
      </c>
      <c r="F6" s="1014"/>
      <c r="G6" s="1014"/>
      <c r="H6" s="1014"/>
      <c r="I6" s="1015"/>
      <c r="K6" s="127"/>
      <c r="M6" s="903" t="s">
        <v>438</v>
      </c>
      <c r="P6" s="1013" t="s">
        <v>482</v>
      </c>
      <c r="Q6" s="1014"/>
      <c r="R6" s="1014"/>
      <c r="S6" s="1014"/>
      <c r="T6" s="1015"/>
      <c r="V6" s="139"/>
    </row>
    <row r="7" spans="2:22">
      <c r="B7" s="900"/>
      <c r="C7" s="184" t="s">
        <v>72</v>
      </c>
      <c r="D7" s="184" t="s">
        <v>73</v>
      </c>
      <c r="E7" s="184" t="s">
        <v>74</v>
      </c>
      <c r="F7" s="184" t="s">
        <v>75</v>
      </c>
      <c r="G7" s="184" t="s">
        <v>76</v>
      </c>
      <c r="H7" s="184" t="s">
        <v>77</v>
      </c>
      <c r="I7" s="184" t="s">
        <v>78</v>
      </c>
      <c r="J7" s="184" t="s">
        <v>79</v>
      </c>
      <c r="K7" s="140" t="s">
        <v>35</v>
      </c>
      <c r="M7" s="900"/>
      <c r="N7" s="184" t="s">
        <v>72</v>
      </c>
      <c r="O7" s="184" t="s">
        <v>73</v>
      </c>
      <c r="P7" s="184" t="s">
        <v>74</v>
      </c>
      <c r="Q7" s="184" t="s">
        <v>75</v>
      </c>
      <c r="R7" s="184" t="s">
        <v>76</v>
      </c>
      <c r="S7" s="184" t="s">
        <v>77</v>
      </c>
      <c r="T7" s="184" t="s">
        <v>78</v>
      </c>
      <c r="U7" s="184" t="s">
        <v>79</v>
      </c>
      <c r="V7" s="140" t="s">
        <v>35</v>
      </c>
    </row>
    <row r="8" spans="2:22">
      <c r="B8" s="901" t="s">
        <v>202</v>
      </c>
      <c r="C8" s="142" t="s">
        <v>56</v>
      </c>
      <c r="D8" s="142" t="s">
        <v>55</v>
      </c>
      <c r="E8" s="142" t="s">
        <v>38</v>
      </c>
      <c r="F8" s="142" t="s">
        <v>39</v>
      </c>
      <c r="G8" s="142" t="s">
        <v>40</v>
      </c>
      <c r="H8" s="142" t="s">
        <v>123</v>
      </c>
      <c r="I8" s="142" t="s">
        <v>124</v>
      </c>
      <c r="J8" s="142" t="s">
        <v>125</v>
      </c>
      <c r="K8" s="185"/>
      <c r="L8" s="181"/>
      <c r="M8" s="901" t="s">
        <v>202</v>
      </c>
      <c r="N8" s="142" t="s">
        <v>56</v>
      </c>
      <c r="O8" s="142" t="s">
        <v>55</v>
      </c>
      <c r="P8" s="142" t="s">
        <v>38</v>
      </c>
      <c r="Q8" s="142" t="s">
        <v>39</v>
      </c>
      <c r="R8" s="142" t="s">
        <v>40</v>
      </c>
      <c r="S8" s="142" t="s">
        <v>123</v>
      </c>
      <c r="T8" s="142" t="s">
        <v>124</v>
      </c>
      <c r="U8" s="142" t="s">
        <v>125</v>
      </c>
      <c r="V8" s="185"/>
    </row>
    <row r="9" spans="2:22">
      <c r="B9" s="80" t="s">
        <v>292</v>
      </c>
      <c r="C9" s="131">
        <f>((Proj_1!$D$7=$B9)*Proj_1!G$59)+((Proj_2!$D$7=$B9)*Proj_2!G$59)+((Proj_3!$D$7=$B9)*Proj_3!G$59)+((Proj_4!$D$7=$B9)*Proj_4!G$59)+((Proj_5!$D$7=$B9)*Proj_5!G$59)+((Proj_6!$D$7=$B9)*Proj_6!G$59)+((Proj_7!$D$7=$B9)*Proj_7!G$59)+((Proj_8!$D$7=$B9)*Proj_8!G$59)+((Proj_9!$D$7=$B9)*Proj_9!G$59)+((Proj_10!$D$7=$B9)*Proj_10!G$59)+((Proj_11!$D$7=$B9)*Proj_11!G$59)+((Proj_12!$D$7=$B9)*Proj_12!G$59)+((Proj_13!$D$7=$B9)*Proj_13!G$59)+((Proj_14!$D$7=$B9)*Proj_14!G$59)+((Proj_15!$D$7=$B9)*Proj_15!G$59)+((Proj_16!$D$7=$B9)*Proj_16!G$59)+((Proj_17!$D$7=$B9)*Proj_17!G$59)+((Proj_18!$D$7=$B9)*Proj_18!G$59)+((Proj_19!$D$7=$B9)*Proj_19!G$59)+((Proj_20!$D$7=$B9)*Proj_20!G$59)+((Proj_21!$D$7=$B9)*Proj_21!G$59)+((Proj_22!$D$7=$B9)*Proj_22!G$59)+((Proj_23!$D$7=$B9)*Proj_23!G$59)+((Proj_24!$D$7=$B9)*Proj_24!G$59)+((Proj_25!$D$7=$B9)*Proj_25!G$59)+((Proj_26!$D$7=$B9)*Proj_26!G$59)+((Proj_27!$D$7=$B9)*Proj_27!G$59)+((Proj_28!$D$7=$B9)*Proj_28!G$59)+((Proj_29!$D$7=$B9)*Proj_29!G$59)+((Proj_30!$D$7=$B9)*Proj_30!G$59)+((Proj_31!$D$7=$B9)*Proj_31!G$59)+((Proj_32!$D$7=$B9)*Proj_32!G$59)+((Proj_33!$D$7=$B9)*Proj_33!G$59)+((Proj_34!$D$7=$B9)*Proj_34!G$59)+((Proj_35!$D$7=$B9)*Proj_35!G$59)+((Proj_36!$D$7=$B9)*Proj_36!G$59)+((Proj_37!$D$7=$B9)*Proj_37!G$59)+((Proj_38!$D$7=$B9)*Proj_38!G$59)+((Proj_39!$D$7=$B9)*Proj_39!G$59)+((Proj_40!$D$7=$B9)*Proj_40!G$59)+((Proj_41!$D$7=$B9)*Proj_41!G$59)+((Proj_42!$D$7=$B9)*Proj_42!G$59)+((Proj_43!$D$7=$B9)*Proj_43!G$59)+((Proj_44!$D$7=$B9)*Proj_44!G$59)+((Proj_45!$D$7=$B9)*Proj_45!G$59)+((Proj_46!$D$7=$B9)*Proj_46!G$59)</f>
        <v>31427.759116482637</v>
      </c>
      <c r="D9" s="131">
        <f>((Proj_1!$D$7=$B9)*Proj_1!H$59)+((Proj_2!$D$7=$B9)*Proj_2!H$59)+((Proj_3!$D$7=$B9)*Proj_3!H$59)+((Proj_4!$D$7=$B9)*Proj_4!H$59)+((Proj_5!$D$7=$B9)*Proj_5!H$59)+((Proj_6!$D$7=$B9)*Proj_6!H$59)+((Proj_7!$D$7=$B9)*Proj_7!H$59)+((Proj_8!$D$7=$B9)*Proj_8!H$59)+((Proj_9!$D$7=$B9)*Proj_9!H$59)+((Proj_10!$D$7=$B9)*Proj_10!H$59)+((Proj_11!$D$7=$B9)*Proj_11!H$59)+((Proj_12!$D$7=$B9)*Proj_12!H$59)+((Proj_13!$D$7=$B9)*Proj_13!H$59)+((Proj_14!$D$7=$B9)*Proj_14!H$59)+((Proj_15!$D$7=$B9)*Proj_15!H$59)+((Proj_16!$D$7=$B9)*Proj_16!H$59)+((Proj_17!$D$7=$B9)*Proj_17!H$59)+((Proj_18!$D$7=$B9)*Proj_18!H$59)+((Proj_19!$D$7=$B9)*Proj_19!H$59)+((Proj_20!$D$7=$B9)*Proj_20!H$59)+((Proj_21!$D$7=$B9)*Proj_21!H$59)+((Proj_22!$D$7=$B9)*Proj_22!H$59)+((Proj_23!$D$7=$B9)*Proj_23!H$59)+((Proj_24!$D$7=$B9)*Proj_24!H$59)+((Proj_25!$D$7=$B9)*Proj_25!H$59)+((Proj_26!$D$7=$B9)*Proj_26!H$59)+((Proj_27!$D$7=$B9)*Proj_27!H$59)+((Proj_28!$D$7=$B9)*Proj_28!H$59)+((Proj_29!$D$7=$B9)*Proj_29!H$59)+((Proj_30!$D$7=$B9)*Proj_30!H$59)+((Proj_31!$D$7=$B9)*Proj_31!H$59)+((Proj_32!$D$7=$B9)*Proj_32!H$59)+((Proj_33!$D$7=$B9)*Proj_33!H$59)+((Proj_34!$D$7=$B9)*Proj_34!H$59)+((Proj_35!$D$7=$B9)*Proj_35!H$59)+((Proj_36!$D$7=$B9)*Proj_36!H$59)+((Proj_37!$D$7=$B9)*Proj_37!H$59)+((Proj_38!$D$7=$B9)*Proj_38!H$59)+((Proj_39!$D$7=$B9)*Proj_39!H$59)+((Proj_40!$D$7=$B9)*Proj_40!H$59)+((Proj_41!$D$7=$B9)*Proj_41!H$59)+((Proj_42!$D$7=$B9)*Proj_42!H$59)+((Proj_43!$D$7=$B9)*Proj_43!H$59)+((Proj_44!$D$7=$B9)*Proj_44!H$59)+((Proj_45!$D$7=$B9)*Proj_45!H$59)+((Proj_46!$D$7=$B9)*Proj_46!H$59)</f>
        <v>32306.903659578449</v>
      </c>
      <c r="E9" s="193">
        <f>((Proj_1!$D$7=$B9)*Proj_1!I$59)+((Proj_2!$D$7=$B9)*Proj_2!I$59)+((Proj_3!$D$7=$B9)*Proj_3!I$59)+((Proj_4!$D$7=$B9)*Proj_4!I$59)+((Proj_5!$D$7=$B9)*Proj_5!I$59)+((Proj_6!$D$7=$B9)*Proj_6!I$59)+((Proj_7!$D$7=$B9)*Proj_7!I$59)+((Proj_8!$D$7=$B9)*Proj_8!I$59)+((Proj_9!$D$7=$B9)*Proj_9!I$59)+((Proj_10!$D$7=$B9)*Proj_10!I$59)+((Proj_11!$D$7=$B9)*Proj_11!I$59)+((Proj_12!$D$7=$B9)*Proj_12!I$59)+((Proj_13!$D$7=$B9)*Proj_13!I$59)+((Proj_14!$D$7=$B9)*Proj_14!I$59)+((Proj_15!$D$7=$B9)*Proj_15!I$59)+((Proj_16!$D$7=$B9)*Proj_16!I$59)+((Proj_17!$D$7=$B9)*Proj_17!I$59)+((Proj_18!$D$7=$B9)*Proj_18!I$59)+((Proj_19!$D$7=$B9)*Proj_19!I$59)+((Proj_20!$D$7=$B9)*Proj_20!I$59)+((Proj_21!$D$7=$B9)*Proj_21!I$59)+((Proj_22!$D$7=$B9)*Proj_22!I$59)+((Proj_23!$D$7=$B9)*Proj_23!I$59)+((Proj_24!$D$7=$B9)*Proj_24!I$59)+((Proj_25!$D$7=$B9)*Proj_25!I$59)+((Proj_26!$D$7=$B9)*Proj_26!I$59)+((Proj_27!$D$7=$B9)*Proj_27!I$59)+((Proj_28!$D$7=$B9)*Proj_28!I$59)+((Proj_29!$D$7=$B9)*Proj_29!I$59)+((Proj_30!$D$7=$B9)*Proj_30!I$59)+((Proj_31!$D$7=$B9)*Proj_31!I$59)+((Proj_32!$D$7=$B9)*Proj_32!I$59)+((Proj_33!$D$7=$B9)*Proj_33!I$59)+((Proj_34!$D$7=$B9)*Proj_34!I$59)+((Proj_35!$D$7=$B9)*Proj_35!I$59)+((Proj_36!$D$7=$B9)*Proj_36!I$59)+((Proj_37!$D$7=$B9)*Proj_37!I$59)+((Proj_38!$D$7=$B9)*Proj_38!I$59)+((Proj_39!$D$7=$B9)*Proj_39!I$59)+((Proj_40!$D$7=$B9)*Proj_40!I$59)+((Proj_41!$D$7=$B9)*Proj_41!I$59)+((Proj_42!$D$7=$B9)*Proj_42!I$59)+((Proj_43!$D$7=$B9)*Proj_43!I$59)+((Proj_44!$D$7=$B9)*Proj_44!I$59)+((Proj_45!$D$7=$B9)*Proj_45!I$59)+((Proj_46!$D$7=$B9)*Proj_46!I$59)</f>
        <v>25548.57176604394</v>
      </c>
      <c r="F9" s="193">
        <f>((Proj_1!$D$7=$B9)*Proj_1!J$59)+((Proj_2!$D$7=$B9)*Proj_2!J$59)+((Proj_3!$D$7=$B9)*Proj_3!J$59)+((Proj_4!$D$7=$B9)*Proj_4!J$59)+((Proj_5!$D$7=$B9)*Proj_5!J$59)+((Proj_6!$D$7=$B9)*Proj_6!J$59)+((Proj_7!$D$7=$B9)*Proj_7!J$59)+((Proj_8!$D$7=$B9)*Proj_8!J$59)+((Proj_9!$D$7=$B9)*Proj_9!J$59)+((Proj_10!$D$7=$B9)*Proj_10!J$59)+((Proj_11!$D$7=$B9)*Proj_11!J$59)+((Proj_12!$D$7=$B9)*Proj_12!J$59)+((Proj_13!$D$7=$B9)*Proj_13!J$59)+((Proj_14!$D$7=$B9)*Proj_14!J$59)+((Proj_15!$D$7=$B9)*Proj_15!J$59)+((Proj_16!$D$7=$B9)*Proj_16!J$59)+((Proj_17!$D$7=$B9)*Proj_17!J$59)+((Proj_18!$D$7=$B9)*Proj_18!J$59)+((Proj_19!$D$7=$B9)*Proj_19!J$59)+((Proj_20!$D$7=$B9)*Proj_20!J$59)+((Proj_21!$D$7=$B9)*Proj_21!J$59)+((Proj_22!$D$7=$B9)*Proj_22!J$59)+((Proj_23!$D$7=$B9)*Proj_23!J$59)+((Proj_24!$D$7=$B9)*Proj_24!J$59)+((Proj_25!$D$7=$B9)*Proj_25!J$59)+((Proj_26!$D$7=$B9)*Proj_26!J$59)+((Proj_27!$D$7=$B9)*Proj_27!J$59)+((Proj_28!$D$7=$B9)*Proj_28!J$59)+((Proj_29!$D$7=$B9)*Proj_29!J$59)+((Proj_30!$D$7=$B9)*Proj_30!J$59)+((Proj_31!$D$7=$B9)*Proj_31!J$59)+((Proj_32!$D$7=$B9)*Proj_32!J$59)+((Proj_33!$D$7=$B9)*Proj_33!J$59)+((Proj_34!$D$7=$B9)*Proj_34!J$59)+((Proj_35!$D$7=$B9)*Proj_35!J$59)+((Proj_36!$D$7=$B9)*Proj_36!J$59)+((Proj_37!$D$7=$B9)*Proj_37!J$59)+((Proj_38!$D$7=$B9)*Proj_38!J$59)+((Proj_39!$D$7=$B9)*Proj_39!J$59)+((Proj_40!$D$7=$B9)*Proj_40!J$59)+((Proj_41!$D$7=$B9)*Proj_41!J$59)+((Proj_42!$D$7=$B9)*Proj_42!J$59)+((Proj_43!$D$7=$B9)*Proj_43!J$59)+((Proj_44!$D$7=$B9)*Proj_44!J$59)+((Proj_45!$D$7=$B9)*Proj_45!J$59)+((Proj_46!$D$7=$B9)*Proj_46!J$59)</f>
        <v>15095.602729783162</v>
      </c>
      <c r="G9" s="193">
        <f>((Proj_1!$D$7=$B9)*Proj_1!K$59)+((Proj_2!$D$7=$B9)*Proj_2!K$59)+((Proj_3!$D$7=$B9)*Proj_3!K$59)+((Proj_4!$D$7=$B9)*Proj_4!K$59)+((Proj_5!$D$7=$B9)*Proj_5!K$59)+((Proj_6!$D$7=$B9)*Proj_6!K$59)+((Proj_7!$D$7=$B9)*Proj_7!K$59)+((Proj_8!$D$7=$B9)*Proj_8!K$59)+((Proj_9!$D$7=$B9)*Proj_9!K$59)+((Proj_10!$D$7=$B9)*Proj_10!K$59)+((Proj_11!$D$7=$B9)*Proj_11!K$59)+((Proj_12!$D$7=$B9)*Proj_12!K$59)+((Proj_13!$D$7=$B9)*Proj_13!K$59)+((Proj_14!$D$7=$B9)*Proj_14!K$59)+((Proj_15!$D$7=$B9)*Proj_15!K$59)+((Proj_16!$D$7=$B9)*Proj_16!K$59)+((Proj_17!$D$7=$B9)*Proj_17!K$59)+((Proj_18!$D$7=$B9)*Proj_18!K$59)+((Proj_19!$D$7=$B9)*Proj_19!K$59)+((Proj_20!$D$7=$B9)*Proj_20!K$59)+((Proj_21!$D$7=$B9)*Proj_21!K$59)+((Proj_22!$D$7=$B9)*Proj_22!K$59)+((Proj_23!$D$7=$B9)*Proj_23!K$59)+((Proj_24!$D$7=$B9)*Proj_24!K$59)+((Proj_25!$D$7=$B9)*Proj_25!K$59)+((Proj_26!$D$7=$B9)*Proj_26!K$59)+((Proj_27!$D$7=$B9)*Proj_27!K$59)+((Proj_28!$D$7=$B9)*Proj_28!K$59)+((Proj_29!$D$7=$B9)*Proj_29!K$59)+((Proj_30!$D$7=$B9)*Proj_30!K$59)+((Proj_31!$D$7=$B9)*Proj_31!K$59)+((Proj_32!$D$7=$B9)*Proj_32!K$59)+((Proj_33!$D$7=$B9)*Proj_33!K$59)+((Proj_34!$D$7=$B9)*Proj_34!K$59)+((Proj_35!$D$7=$B9)*Proj_35!K$59)+((Proj_36!$D$7=$B9)*Proj_36!K$59)+((Proj_37!$D$7=$B9)*Proj_37!K$59)+((Proj_38!$D$7=$B9)*Proj_38!K$59)+((Proj_39!$D$7=$B9)*Proj_39!K$59)+((Proj_40!$D$7=$B9)*Proj_40!K$59)+((Proj_41!$D$7=$B9)*Proj_41!K$59)+((Proj_42!$D$7=$B9)*Proj_42!K$59)+((Proj_43!$D$7=$B9)*Proj_43!K$59)+((Proj_44!$D$7=$B9)*Proj_44!K$59)+((Proj_45!$D$7=$B9)*Proj_45!K$59)+((Proj_46!$D$7=$B9)*Proj_46!K$59)</f>
        <v>16661.454709872451</v>
      </c>
      <c r="H9" s="193">
        <f>((Proj_1!$D$7=$B9)*Proj_1!L$59)+((Proj_2!$D$7=$B9)*Proj_2!L$59)+((Proj_3!$D$7=$B9)*Proj_3!L$59)+((Proj_4!$D$7=$B9)*Proj_4!L$59)+((Proj_5!$D$7=$B9)*Proj_5!L$59)+((Proj_6!$D$7=$B9)*Proj_6!L$59)+((Proj_7!$D$7=$B9)*Proj_7!L$59)+((Proj_8!$D$7=$B9)*Proj_8!L$59)+((Proj_9!$D$7=$B9)*Proj_9!L$59)+((Proj_10!$D$7=$B9)*Proj_10!L$59)+((Proj_11!$D$7=$B9)*Proj_11!L$59)+((Proj_12!$D$7=$B9)*Proj_12!L$59)+((Proj_13!$D$7=$B9)*Proj_13!L$59)+((Proj_14!$D$7=$B9)*Proj_14!L$59)+((Proj_15!$D$7=$B9)*Proj_15!L$59)+((Proj_16!$D$7=$B9)*Proj_16!L$59)+((Proj_17!$D$7=$B9)*Proj_17!L$59)+((Proj_18!$D$7=$B9)*Proj_18!L$59)+((Proj_19!$D$7=$B9)*Proj_19!L$59)+((Proj_20!$D$7=$B9)*Proj_20!L$59)+((Proj_21!$D$7=$B9)*Proj_21!L$59)+((Proj_22!$D$7=$B9)*Proj_22!L$59)+((Proj_23!$D$7=$B9)*Proj_23!L$59)+((Proj_24!$D$7=$B9)*Proj_24!L$59)+((Proj_25!$D$7=$B9)*Proj_25!L$59)+((Proj_26!$D$7=$B9)*Proj_26!L$59)+((Proj_27!$D$7=$B9)*Proj_27!L$59)+((Proj_28!$D$7=$B9)*Proj_28!L$59)+((Proj_29!$D$7=$B9)*Proj_29!L$59)+((Proj_30!$D$7=$B9)*Proj_30!L$59)+((Proj_31!$D$7=$B9)*Proj_31!L$59)+((Proj_32!$D$7=$B9)*Proj_32!L$59)+((Proj_33!$D$7=$B9)*Proj_33!L$59)+((Proj_34!$D$7=$B9)*Proj_34!L$59)+((Proj_35!$D$7=$B9)*Proj_35!L$59)+((Proj_36!$D$7=$B9)*Proj_36!L$59)+((Proj_37!$D$7=$B9)*Proj_37!L$59)+((Proj_38!$D$7=$B9)*Proj_38!L$59)+((Proj_39!$D$7=$B9)*Proj_39!L$59)+((Proj_40!$D$7=$B9)*Proj_40!L$59)+((Proj_41!$D$7=$B9)*Proj_41!L$59)+((Proj_42!$D$7=$B9)*Proj_42!L$59)+((Proj_43!$D$7=$B9)*Proj_43!L$59)+((Proj_44!$D$7=$B9)*Proj_44!L$59)+((Proj_45!$D$7=$B9)*Proj_45!L$59)+((Proj_46!$D$7=$B9)*Proj_46!L$59)</f>
        <v>10206.535059488846</v>
      </c>
      <c r="I9" s="193">
        <f>((Proj_1!$D$7=$B9)*Proj_1!M$59)+((Proj_2!$D$7=$B9)*Proj_2!M$59)+((Proj_3!$D$7=$B9)*Proj_3!M$59)+((Proj_4!$D$7=$B9)*Proj_4!M$59)+((Proj_5!$D$7=$B9)*Proj_5!M$59)+((Proj_6!$D$7=$B9)*Proj_6!M$59)+((Proj_7!$D$7=$B9)*Proj_7!M$59)+((Proj_8!$D$7=$B9)*Proj_8!M$59)+((Proj_9!$D$7=$B9)*Proj_9!M$59)+((Proj_10!$D$7=$B9)*Proj_10!M$59)+((Proj_11!$D$7=$B9)*Proj_11!M$59)+((Proj_12!$D$7=$B9)*Proj_12!M$59)+((Proj_13!$D$7=$B9)*Proj_13!M$59)+((Proj_14!$D$7=$B9)*Proj_14!M$59)+((Proj_15!$D$7=$B9)*Proj_15!M$59)+((Proj_16!$D$7=$B9)*Proj_16!M$59)+((Proj_17!$D$7=$B9)*Proj_17!M$59)+((Proj_18!$D$7=$B9)*Proj_18!M$59)+((Proj_19!$D$7=$B9)*Proj_19!M$59)+((Proj_20!$D$7=$B9)*Proj_20!M$59)+((Proj_21!$D$7=$B9)*Proj_21!M$59)+((Proj_22!$D$7=$B9)*Proj_22!M$59)+((Proj_23!$D$7=$B9)*Proj_23!M$59)+((Proj_24!$D$7=$B9)*Proj_24!M$59)+((Proj_25!$D$7=$B9)*Proj_25!M$59)+((Proj_26!$D$7=$B9)*Proj_26!M$59)+((Proj_27!$D$7=$B9)*Proj_27!M$59)+((Proj_28!$D$7=$B9)*Proj_28!M$59)+((Proj_29!$D$7=$B9)*Proj_29!M$59)+((Proj_30!$D$7=$B9)*Proj_30!M$59)+((Proj_31!$D$7=$B9)*Proj_31!M$59)+((Proj_32!$D$7=$B9)*Proj_32!M$59)+((Proj_33!$D$7=$B9)*Proj_33!M$59)+((Proj_34!$D$7=$B9)*Proj_34!M$59)+((Proj_35!$D$7=$B9)*Proj_35!M$59)+((Proj_36!$D$7=$B9)*Proj_36!M$59)+((Proj_37!$D$7=$B9)*Proj_37!M$59)+((Proj_38!$D$7=$B9)*Proj_38!M$59)+((Proj_39!$D$7=$B9)*Proj_39!M$59)+((Proj_40!$D$7=$B9)*Proj_40!M$59)+((Proj_41!$D$7=$B9)*Proj_41!M$59)+((Proj_42!$D$7=$B9)*Proj_42!M$59)+((Proj_43!$D$7=$B9)*Proj_43!M$59)+((Proj_44!$D$7=$B9)*Proj_44!M$59)+((Proj_45!$D$7=$B9)*Proj_45!M$59)+((Proj_46!$D$7=$B9)*Proj_46!M$59)</f>
        <v>4561.7290619318828</v>
      </c>
      <c r="J9" s="131">
        <f>((Proj_1!$D$7=$B9)*Proj_1!N$59)+((Proj_2!$D$7=$B9)*Proj_2!N$59)+((Proj_3!$D$7=$B9)*Proj_3!N$59)+((Proj_4!$D$7=$B9)*Proj_4!N$59)+((Proj_5!$D$7=$B9)*Proj_5!N$59)+((Proj_6!$D$7=$B9)*Proj_6!N$59)+((Proj_7!$D$7=$B9)*Proj_7!N$59)+((Proj_8!$D$7=$B9)*Proj_8!N$59)+((Proj_9!$D$7=$B9)*Proj_9!N$59)+((Proj_10!$D$7=$B9)*Proj_10!N$59)+((Proj_11!$D$7=$B9)*Proj_11!N$59)+((Proj_12!$D$7=$B9)*Proj_12!N$59)+((Proj_13!$D$7=$B9)*Proj_13!N$59)+((Proj_14!$D$7=$B9)*Proj_14!N$59)+((Proj_15!$D$7=$B9)*Proj_15!N$59)+((Proj_16!$D$7=$B9)*Proj_16!N$59)+((Proj_17!$D$7=$B9)*Proj_17!N$59)+((Proj_18!$D$7=$B9)*Proj_18!N$59)+((Proj_19!$D$7=$B9)*Proj_19!N$59)+((Proj_20!$D$7=$B9)*Proj_20!N$59)+((Proj_21!$D$7=$B9)*Proj_21!N$59)+((Proj_22!$D$7=$B9)*Proj_22!N$59)+((Proj_23!$D$7=$B9)*Proj_23!N$59)+((Proj_24!$D$7=$B9)*Proj_24!N$59)+((Proj_25!$D$7=$B9)*Proj_25!N$59)+((Proj_26!$D$7=$B9)*Proj_26!N$59)+((Proj_27!$D$7=$B9)*Proj_27!N$59)+((Proj_28!$D$7=$B9)*Proj_28!N$59)+((Proj_29!$D$7=$B9)*Proj_29!N$59)+((Proj_30!$D$7=$B9)*Proj_30!N$59)+((Proj_31!$D$7=$B9)*Proj_31!N$59)+((Proj_32!$D$7=$B9)*Proj_32!N$59)+((Proj_33!$D$7=$B9)*Proj_33!N$59)+((Proj_34!$D$7=$B9)*Proj_34!N$59)+((Proj_35!$D$7=$B9)*Proj_35!N$59)+((Proj_36!$D$7=$B9)*Proj_36!N$59)+((Proj_37!$D$7=$B9)*Proj_37!N$59)+((Proj_38!$D$7=$B9)*Proj_38!N$59)+((Proj_39!$D$7=$B9)*Proj_39!N$59)+((Proj_40!$D$7=$B9)*Proj_40!N$59)+((Proj_41!$D$7=$B9)*Proj_41!N$59)+((Proj_42!$D$7=$B9)*Proj_42!N$59)+((Proj_43!$D$7=$B9)*Proj_43!N$59)+((Proj_44!$D$7=$B9)*Proj_44!N$59)+((Proj_45!$D$7=$B9)*Proj_45!N$59)+((Proj_46!$D$7=$B9)*Proj_46!N$59)</f>
        <v>0</v>
      </c>
      <c r="K9" s="193">
        <f>SUM(E9:J9)</f>
        <v>72073.893327120284</v>
      </c>
      <c r="M9" s="80" t="s">
        <v>292</v>
      </c>
      <c r="N9" s="144">
        <f>C9/1000</f>
        <v>31.427759116482637</v>
      </c>
      <c r="O9" s="144">
        <f t="shared" ref="O9:O16" si="0">D9/1000</f>
        <v>32.306903659578452</v>
      </c>
      <c r="P9" s="158">
        <f t="shared" ref="P9:T16" si="1">E9/1000*(1-$P$4)</f>
        <v>25.548571766043942</v>
      </c>
      <c r="Q9" s="158">
        <f t="shared" si="1"/>
        <v>15.095602729783163</v>
      </c>
      <c r="R9" s="158">
        <f t="shared" si="1"/>
        <v>16.661454709872451</v>
      </c>
      <c r="S9" s="158">
        <f t="shared" si="1"/>
        <v>10.206535059488846</v>
      </c>
      <c r="T9" s="158">
        <f t="shared" si="1"/>
        <v>4.5617290619318824</v>
      </c>
      <c r="U9" s="144">
        <f>J9/1000</f>
        <v>0</v>
      </c>
      <c r="V9" s="158">
        <f>SUM(P9:T9)</f>
        <v>72.073893327120288</v>
      </c>
    </row>
    <row r="10" spans="2:22">
      <c r="B10" s="80" t="s">
        <v>67</v>
      </c>
      <c r="C10" s="131">
        <f>((Proj_1!$D$7=$B10)*Proj_1!G$59)+((Proj_2!$D$7=$B10)*Proj_2!G$59)+((Proj_3!$D$7=$B10)*Proj_3!G$59)+((Proj_4!$D$7=$B10)*Proj_4!G$59)+((Proj_5!$D$7=$B10)*Proj_5!G$59)+((Proj_6!$D$7=$B10)*Proj_6!G$59)+((Proj_7!$D$7=$B10)*Proj_7!G$59)+((Proj_8!$D$7=$B10)*Proj_8!G$59)+((Proj_9!$D$7=$B10)*Proj_9!G$59)+((Proj_10!$D$7=$B10)*Proj_10!G$59)+((Proj_11!$D$7=$B10)*Proj_11!G$59)+((Proj_12!$D$7=$B10)*Proj_12!G$59)+((Proj_13!$D$7=$B10)*Proj_13!G$59)+((Proj_14!$D$7=$B10)*Proj_14!G$59)+((Proj_15!$D$7=$B10)*Proj_15!G$59)+((Proj_16!$D$7=$B10)*Proj_16!G$59)+((Proj_17!$D$7=$B10)*Proj_17!G$59)+((Proj_18!$D$7=$B10)*Proj_18!G$59)+((Proj_19!$D$7=$B10)*Proj_19!G$59)+((Proj_20!$D$7=$B10)*Proj_20!G$59)+((Proj_21!$D$7=$B10)*Proj_21!G$59)+((Proj_22!$D$7=$B10)*Proj_22!G$59)+((Proj_23!$D$7=$B10)*Proj_23!G$59)+((Proj_24!$D$7=$B10)*Proj_24!G$59)+((Proj_25!$D$7=$B10)*Proj_25!G$59)+((Proj_26!$D$7=$B10)*Proj_26!G$59)+((Proj_27!$D$7=$B10)*Proj_27!G$59)+((Proj_28!$D$7=$B10)*Proj_28!G$59)+((Proj_29!$D$7=$B10)*Proj_29!G$59)+((Proj_30!$D$7=$B10)*Proj_30!G$59)+((Proj_31!$D$7=$B10)*Proj_31!G$59)+((Proj_32!$D$7=$B10)*Proj_32!G$59)+((Proj_33!$D$7=$B10)*Proj_33!G$59)+((Proj_34!$D$7=$B10)*Proj_34!G$59)+((Proj_35!$D$7=$B10)*Proj_35!G$59)+((Proj_36!$D$7=$B10)*Proj_36!G$59)+((Proj_37!$D$7=$B10)*Proj_37!G$59)+((Proj_38!$D$7=$B10)*Proj_38!G$59)+((Proj_39!$D$7=$B10)*Proj_39!G$59)+((Proj_40!$D$7=$B10)*Proj_40!G$59)+((Proj_41!$D$7=$B10)*Proj_41!G$59)+((Proj_42!$D$7=$B10)*Proj_42!G$59)+((Proj_43!$D$7=$B10)*Proj_43!G$59)+((Proj_44!$D$7=$B10)*Proj_44!G$59)+((Proj_45!$D$7=$B10)*Proj_45!G$59)+((Proj_46!$D$7=$B10)*Proj_46!G$59)</f>
        <v>37201.92250163397</v>
      </c>
      <c r="D10" s="131">
        <f>((Proj_1!$D$7=$B10)*Proj_1!H$59)+((Proj_2!$D$7=$B10)*Proj_2!H$59)+((Proj_3!$D$7=$B10)*Proj_3!H$59)+((Proj_4!$D$7=$B10)*Proj_4!H$59)+((Proj_5!$D$7=$B10)*Proj_5!H$59)+((Proj_6!$D$7=$B10)*Proj_6!H$59)+((Proj_7!$D$7=$B10)*Proj_7!H$59)+((Proj_8!$D$7=$B10)*Proj_8!H$59)+((Proj_9!$D$7=$B10)*Proj_9!H$59)+((Proj_10!$D$7=$B10)*Proj_10!H$59)+((Proj_11!$D$7=$B10)*Proj_11!H$59)+((Proj_12!$D$7=$B10)*Proj_12!H$59)+((Proj_13!$D$7=$B10)*Proj_13!H$59)+((Proj_14!$D$7=$B10)*Proj_14!H$59)+((Proj_15!$D$7=$B10)*Proj_15!H$59)+((Proj_16!$D$7=$B10)*Proj_16!H$59)+((Proj_17!$D$7=$B10)*Proj_17!H$59)+((Proj_18!$D$7=$B10)*Proj_18!H$59)+((Proj_19!$D$7=$B10)*Proj_19!H$59)+((Proj_20!$D$7=$B10)*Proj_20!H$59)+((Proj_21!$D$7=$B10)*Proj_21!H$59)+((Proj_22!$D$7=$B10)*Proj_22!H$59)+((Proj_23!$D$7=$B10)*Proj_23!H$59)+((Proj_24!$D$7=$B10)*Proj_24!H$59)+((Proj_25!$D$7=$B10)*Proj_25!H$59)+((Proj_26!$D$7=$B10)*Proj_26!H$59)+((Proj_27!$D$7=$B10)*Proj_27!H$59)+((Proj_28!$D$7=$B10)*Proj_28!H$59)+((Proj_29!$D$7=$B10)*Proj_29!H$59)+((Proj_30!$D$7=$B10)*Proj_30!H$59)+((Proj_31!$D$7=$B10)*Proj_31!H$59)+((Proj_32!$D$7=$B10)*Proj_32!H$59)+((Proj_33!$D$7=$B10)*Proj_33!H$59)+((Proj_34!$D$7=$B10)*Proj_34!H$59)+((Proj_35!$D$7=$B10)*Proj_35!H$59)+((Proj_36!$D$7=$B10)*Proj_36!H$59)+((Proj_37!$D$7=$B10)*Proj_37!H$59)+((Proj_38!$D$7=$B10)*Proj_38!H$59)+((Proj_39!$D$7=$B10)*Proj_39!H$59)+((Proj_40!$D$7=$B10)*Proj_40!H$59)+((Proj_41!$D$7=$B10)*Proj_41!H$59)+((Proj_42!$D$7=$B10)*Proj_42!H$59)+((Proj_43!$D$7=$B10)*Proj_43!H$59)+((Proj_44!$D$7=$B10)*Proj_44!H$59)+((Proj_45!$D$7=$B10)*Proj_45!H$59)+((Proj_46!$D$7=$B10)*Proj_46!H$59)</f>
        <v>59427.131523140648</v>
      </c>
      <c r="E10" s="193">
        <f>((Proj_1!$D$7=$B10)*Proj_1!I$59)+((Proj_2!$D$7=$B10)*Proj_2!I$59)+((Proj_3!$D$7=$B10)*Proj_3!I$59)+((Proj_4!$D$7=$B10)*Proj_4!I$59)+((Proj_5!$D$7=$B10)*Proj_5!I$59)+((Proj_6!$D$7=$B10)*Proj_6!I$59)+((Proj_7!$D$7=$B10)*Proj_7!I$59)+((Proj_8!$D$7=$B10)*Proj_8!I$59)+((Proj_9!$D$7=$B10)*Proj_9!I$59)+((Proj_10!$D$7=$B10)*Proj_10!I$59)+((Proj_11!$D$7=$B10)*Proj_11!I$59)+((Proj_12!$D$7=$B10)*Proj_12!I$59)+((Proj_13!$D$7=$B10)*Proj_13!I$59)+((Proj_14!$D$7=$B10)*Proj_14!I$59)+((Proj_15!$D$7=$B10)*Proj_15!I$59)+((Proj_16!$D$7=$B10)*Proj_16!I$59)+((Proj_17!$D$7=$B10)*Proj_17!I$59)+((Proj_18!$D$7=$B10)*Proj_18!I$59)+((Proj_19!$D$7=$B10)*Proj_19!I$59)+((Proj_20!$D$7=$B10)*Proj_20!I$59)+((Proj_21!$D$7=$B10)*Proj_21!I$59)+((Proj_22!$D$7=$B10)*Proj_22!I$59)+((Proj_23!$D$7=$B10)*Proj_23!I$59)+((Proj_24!$D$7=$B10)*Proj_24!I$59)+((Proj_25!$D$7=$B10)*Proj_25!I$59)+((Proj_26!$D$7=$B10)*Proj_26!I$59)+((Proj_27!$D$7=$B10)*Proj_27!I$59)+((Proj_28!$D$7=$B10)*Proj_28!I$59)+((Proj_29!$D$7=$B10)*Proj_29!I$59)+((Proj_30!$D$7=$B10)*Proj_30!I$59)+((Proj_31!$D$7=$B10)*Proj_31!I$59)+((Proj_32!$D$7=$B10)*Proj_32!I$59)+((Proj_33!$D$7=$B10)*Proj_33!I$59)+((Proj_34!$D$7=$B10)*Proj_34!I$59)+((Proj_35!$D$7=$B10)*Proj_35!I$59)+((Proj_36!$D$7=$B10)*Proj_36!I$59)+((Proj_37!$D$7=$B10)*Proj_37!I$59)+((Proj_38!$D$7=$B10)*Proj_38!I$59)+((Proj_39!$D$7=$B10)*Proj_39!I$59)+((Proj_40!$D$7=$B10)*Proj_40!I$59)+((Proj_41!$D$7=$B10)*Proj_41!I$59)+((Proj_42!$D$7=$B10)*Proj_42!I$59)+((Proj_43!$D$7=$B10)*Proj_43!I$59)+((Proj_44!$D$7=$B10)*Proj_44!I$59)+((Proj_45!$D$7=$B10)*Proj_45!I$59)+((Proj_46!$D$7=$B10)*Proj_46!I$59)</f>
        <v>46250.914229331902</v>
      </c>
      <c r="F10" s="193">
        <f>((Proj_1!$D$7=$B10)*Proj_1!J$59)+((Proj_2!$D$7=$B10)*Proj_2!J$59)+((Proj_3!$D$7=$B10)*Proj_3!J$59)+((Proj_4!$D$7=$B10)*Proj_4!J$59)+((Proj_5!$D$7=$B10)*Proj_5!J$59)+((Proj_6!$D$7=$B10)*Proj_6!J$59)+((Proj_7!$D$7=$B10)*Proj_7!J$59)+((Proj_8!$D$7=$B10)*Proj_8!J$59)+((Proj_9!$D$7=$B10)*Proj_9!J$59)+((Proj_10!$D$7=$B10)*Proj_10!J$59)+((Proj_11!$D$7=$B10)*Proj_11!J$59)+((Proj_12!$D$7=$B10)*Proj_12!J$59)+((Proj_13!$D$7=$B10)*Proj_13!J$59)+((Proj_14!$D$7=$B10)*Proj_14!J$59)+((Proj_15!$D$7=$B10)*Proj_15!J$59)+((Proj_16!$D$7=$B10)*Proj_16!J$59)+((Proj_17!$D$7=$B10)*Proj_17!J$59)+((Proj_18!$D$7=$B10)*Proj_18!J$59)+((Proj_19!$D$7=$B10)*Proj_19!J$59)+((Proj_20!$D$7=$B10)*Proj_20!J$59)+((Proj_21!$D$7=$B10)*Proj_21!J$59)+((Proj_22!$D$7=$B10)*Proj_22!J$59)+((Proj_23!$D$7=$B10)*Proj_23!J$59)+((Proj_24!$D$7=$B10)*Proj_24!J$59)+((Proj_25!$D$7=$B10)*Proj_25!J$59)+((Proj_26!$D$7=$B10)*Proj_26!J$59)+((Proj_27!$D$7=$B10)*Proj_27!J$59)+((Proj_28!$D$7=$B10)*Proj_28!J$59)+((Proj_29!$D$7=$B10)*Proj_29!J$59)+((Proj_30!$D$7=$B10)*Proj_30!J$59)+((Proj_31!$D$7=$B10)*Proj_31!J$59)+((Proj_32!$D$7=$B10)*Proj_32!J$59)+((Proj_33!$D$7=$B10)*Proj_33!J$59)+((Proj_34!$D$7=$B10)*Proj_34!J$59)+((Proj_35!$D$7=$B10)*Proj_35!J$59)+((Proj_36!$D$7=$B10)*Proj_36!J$59)+((Proj_37!$D$7=$B10)*Proj_37!J$59)+((Proj_38!$D$7=$B10)*Proj_38!J$59)+((Proj_39!$D$7=$B10)*Proj_39!J$59)+((Proj_40!$D$7=$B10)*Proj_40!J$59)+((Proj_41!$D$7=$B10)*Proj_41!J$59)+((Proj_42!$D$7=$B10)*Proj_42!J$59)+((Proj_43!$D$7=$B10)*Proj_43!J$59)+((Proj_44!$D$7=$B10)*Proj_44!J$59)+((Proj_45!$D$7=$B10)*Proj_45!J$59)+((Proj_46!$D$7=$B10)*Proj_46!J$59)</f>
        <v>17984.846243109441</v>
      </c>
      <c r="G10" s="193">
        <f>((Proj_1!$D$7=$B10)*Proj_1!K$59)+((Proj_2!$D$7=$B10)*Proj_2!K$59)+((Proj_3!$D$7=$B10)*Proj_3!K$59)+((Proj_4!$D$7=$B10)*Proj_4!K$59)+((Proj_5!$D$7=$B10)*Proj_5!K$59)+((Proj_6!$D$7=$B10)*Proj_6!K$59)+((Proj_7!$D$7=$B10)*Proj_7!K$59)+((Proj_8!$D$7=$B10)*Proj_8!K$59)+((Proj_9!$D$7=$B10)*Proj_9!K$59)+((Proj_10!$D$7=$B10)*Proj_10!K$59)+((Proj_11!$D$7=$B10)*Proj_11!K$59)+((Proj_12!$D$7=$B10)*Proj_12!K$59)+((Proj_13!$D$7=$B10)*Proj_13!K$59)+((Proj_14!$D$7=$B10)*Proj_14!K$59)+((Proj_15!$D$7=$B10)*Proj_15!K$59)+((Proj_16!$D$7=$B10)*Proj_16!K$59)+((Proj_17!$D$7=$B10)*Proj_17!K$59)+((Proj_18!$D$7=$B10)*Proj_18!K$59)+((Proj_19!$D$7=$B10)*Proj_19!K$59)+((Proj_20!$D$7=$B10)*Proj_20!K$59)+((Proj_21!$D$7=$B10)*Proj_21!K$59)+((Proj_22!$D$7=$B10)*Proj_22!K$59)+((Proj_23!$D$7=$B10)*Proj_23!K$59)+((Proj_24!$D$7=$B10)*Proj_24!K$59)+((Proj_25!$D$7=$B10)*Proj_25!K$59)+((Proj_26!$D$7=$B10)*Proj_26!K$59)+((Proj_27!$D$7=$B10)*Proj_27!K$59)+((Proj_28!$D$7=$B10)*Proj_28!K$59)+((Proj_29!$D$7=$B10)*Proj_29!K$59)+((Proj_30!$D$7=$B10)*Proj_30!K$59)+((Proj_31!$D$7=$B10)*Proj_31!K$59)+((Proj_32!$D$7=$B10)*Proj_32!K$59)+((Proj_33!$D$7=$B10)*Proj_33!K$59)+((Proj_34!$D$7=$B10)*Proj_34!K$59)+((Proj_35!$D$7=$B10)*Proj_35!K$59)+((Proj_36!$D$7=$B10)*Proj_36!K$59)+((Proj_37!$D$7=$B10)*Proj_37!K$59)+((Proj_38!$D$7=$B10)*Proj_38!K$59)+((Proj_39!$D$7=$B10)*Proj_39!K$59)+((Proj_40!$D$7=$B10)*Proj_40!K$59)+((Proj_41!$D$7=$B10)*Proj_41!K$59)+((Proj_42!$D$7=$B10)*Proj_42!K$59)+((Proj_43!$D$7=$B10)*Proj_43!K$59)+((Proj_44!$D$7=$B10)*Proj_44!K$59)+((Proj_45!$D$7=$B10)*Proj_45!K$59)+((Proj_46!$D$7=$B10)*Proj_46!K$59)</f>
        <v>12319.902082333367</v>
      </c>
      <c r="H10" s="193">
        <f>((Proj_1!$D$7=$B10)*Proj_1!L$59)+((Proj_2!$D$7=$B10)*Proj_2!L$59)+((Proj_3!$D$7=$B10)*Proj_3!L$59)+((Proj_4!$D$7=$B10)*Proj_4!L$59)+((Proj_5!$D$7=$B10)*Proj_5!L$59)+((Proj_6!$D$7=$B10)*Proj_6!L$59)+((Proj_7!$D$7=$B10)*Proj_7!L$59)+((Proj_8!$D$7=$B10)*Proj_8!L$59)+((Proj_9!$D$7=$B10)*Proj_9!L$59)+((Proj_10!$D$7=$B10)*Proj_10!L$59)+((Proj_11!$D$7=$B10)*Proj_11!L$59)+((Proj_12!$D$7=$B10)*Proj_12!L$59)+((Proj_13!$D$7=$B10)*Proj_13!L$59)+((Proj_14!$D$7=$B10)*Proj_14!L$59)+((Proj_15!$D$7=$B10)*Proj_15!L$59)+((Proj_16!$D$7=$B10)*Proj_16!L$59)+((Proj_17!$D$7=$B10)*Proj_17!L$59)+((Proj_18!$D$7=$B10)*Proj_18!L$59)+((Proj_19!$D$7=$B10)*Proj_19!L$59)+((Proj_20!$D$7=$B10)*Proj_20!L$59)+((Proj_21!$D$7=$B10)*Proj_21!L$59)+((Proj_22!$D$7=$B10)*Proj_22!L$59)+((Proj_23!$D$7=$B10)*Proj_23!L$59)+((Proj_24!$D$7=$B10)*Proj_24!L$59)+((Proj_25!$D$7=$B10)*Proj_25!L$59)+((Proj_26!$D$7=$B10)*Proj_26!L$59)+((Proj_27!$D$7=$B10)*Proj_27!L$59)+((Proj_28!$D$7=$B10)*Proj_28!L$59)+((Proj_29!$D$7=$B10)*Proj_29!L$59)+((Proj_30!$D$7=$B10)*Proj_30!L$59)+((Proj_31!$D$7=$B10)*Proj_31!L$59)+((Proj_32!$D$7=$B10)*Proj_32!L$59)+((Proj_33!$D$7=$B10)*Proj_33!L$59)+((Proj_34!$D$7=$B10)*Proj_34!L$59)+((Proj_35!$D$7=$B10)*Proj_35!L$59)+((Proj_36!$D$7=$B10)*Proj_36!L$59)+((Proj_37!$D$7=$B10)*Proj_37!L$59)+((Proj_38!$D$7=$B10)*Proj_38!L$59)+((Proj_39!$D$7=$B10)*Proj_39!L$59)+((Proj_40!$D$7=$B10)*Proj_40!L$59)+((Proj_41!$D$7=$B10)*Proj_41!L$59)+((Proj_42!$D$7=$B10)*Proj_42!L$59)+((Proj_43!$D$7=$B10)*Proj_43!L$59)+((Proj_44!$D$7=$B10)*Proj_44!L$59)+((Proj_45!$D$7=$B10)*Proj_45!L$59)+((Proj_46!$D$7=$B10)*Proj_46!L$59)</f>
        <v>17390.746698796571</v>
      </c>
      <c r="I10" s="193">
        <f>((Proj_1!$D$7=$B10)*Proj_1!M$59)+((Proj_2!$D$7=$B10)*Proj_2!M$59)+((Proj_3!$D$7=$B10)*Proj_3!M$59)+((Proj_4!$D$7=$B10)*Proj_4!M$59)+((Proj_5!$D$7=$B10)*Proj_5!M$59)+((Proj_6!$D$7=$B10)*Proj_6!M$59)+((Proj_7!$D$7=$B10)*Proj_7!M$59)+((Proj_8!$D$7=$B10)*Proj_8!M$59)+((Proj_9!$D$7=$B10)*Proj_9!M$59)+((Proj_10!$D$7=$B10)*Proj_10!M$59)+((Proj_11!$D$7=$B10)*Proj_11!M$59)+((Proj_12!$D$7=$B10)*Proj_12!M$59)+((Proj_13!$D$7=$B10)*Proj_13!M$59)+((Proj_14!$D$7=$B10)*Proj_14!M$59)+((Proj_15!$D$7=$B10)*Proj_15!M$59)+((Proj_16!$D$7=$B10)*Proj_16!M$59)+((Proj_17!$D$7=$B10)*Proj_17!M$59)+((Proj_18!$D$7=$B10)*Proj_18!M$59)+((Proj_19!$D$7=$B10)*Proj_19!M$59)+((Proj_20!$D$7=$B10)*Proj_20!M$59)+((Proj_21!$D$7=$B10)*Proj_21!M$59)+((Proj_22!$D$7=$B10)*Proj_22!M$59)+((Proj_23!$D$7=$B10)*Proj_23!M$59)+((Proj_24!$D$7=$B10)*Proj_24!M$59)+((Proj_25!$D$7=$B10)*Proj_25!M$59)+((Proj_26!$D$7=$B10)*Proj_26!M$59)+((Proj_27!$D$7=$B10)*Proj_27!M$59)+((Proj_28!$D$7=$B10)*Proj_28!M$59)+((Proj_29!$D$7=$B10)*Proj_29!M$59)+((Proj_30!$D$7=$B10)*Proj_30!M$59)+((Proj_31!$D$7=$B10)*Proj_31!M$59)+((Proj_32!$D$7=$B10)*Proj_32!M$59)+((Proj_33!$D$7=$B10)*Proj_33!M$59)+((Proj_34!$D$7=$B10)*Proj_34!M$59)+((Proj_35!$D$7=$B10)*Proj_35!M$59)+((Proj_36!$D$7=$B10)*Proj_36!M$59)+((Proj_37!$D$7=$B10)*Proj_37!M$59)+((Proj_38!$D$7=$B10)*Proj_38!M$59)+((Proj_39!$D$7=$B10)*Proj_39!M$59)+((Proj_40!$D$7=$B10)*Proj_40!M$59)+((Proj_41!$D$7=$B10)*Proj_41!M$59)+((Proj_42!$D$7=$B10)*Proj_42!M$59)+((Proj_43!$D$7=$B10)*Proj_43!M$59)+((Proj_44!$D$7=$B10)*Proj_44!M$59)+((Proj_45!$D$7=$B10)*Proj_45!M$59)+((Proj_46!$D$7=$B10)*Proj_46!M$59)</f>
        <v>17068.333803180169</v>
      </c>
      <c r="J10" s="131">
        <f>((Proj_1!$D$7=$B10)*Proj_1!N$59)+((Proj_2!$D$7=$B10)*Proj_2!N$59)+((Proj_3!$D$7=$B10)*Proj_3!N$59)+((Proj_4!$D$7=$B10)*Proj_4!N$59)+((Proj_5!$D$7=$B10)*Proj_5!N$59)+((Proj_6!$D$7=$B10)*Proj_6!N$59)+((Proj_7!$D$7=$B10)*Proj_7!N$59)+((Proj_8!$D$7=$B10)*Proj_8!N$59)+((Proj_9!$D$7=$B10)*Proj_9!N$59)+((Proj_10!$D$7=$B10)*Proj_10!N$59)+((Proj_11!$D$7=$B10)*Proj_11!N$59)+((Proj_12!$D$7=$B10)*Proj_12!N$59)+((Proj_13!$D$7=$B10)*Proj_13!N$59)+((Proj_14!$D$7=$B10)*Proj_14!N$59)+((Proj_15!$D$7=$B10)*Proj_15!N$59)+((Proj_16!$D$7=$B10)*Proj_16!N$59)+((Proj_17!$D$7=$B10)*Proj_17!N$59)+((Proj_18!$D$7=$B10)*Proj_18!N$59)+((Proj_19!$D$7=$B10)*Proj_19!N$59)+((Proj_20!$D$7=$B10)*Proj_20!N$59)+((Proj_21!$D$7=$B10)*Proj_21!N$59)+((Proj_22!$D$7=$B10)*Proj_22!N$59)+((Proj_23!$D$7=$B10)*Proj_23!N$59)+((Proj_24!$D$7=$B10)*Proj_24!N$59)+((Proj_25!$D$7=$B10)*Proj_25!N$59)+((Proj_26!$D$7=$B10)*Proj_26!N$59)+((Proj_27!$D$7=$B10)*Proj_27!N$59)+((Proj_28!$D$7=$B10)*Proj_28!N$59)+((Proj_29!$D$7=$B10)*Proj_29!N$59)+((Proj_30!$D$7=$B10)*Proj_30!N$59)+((Proj_31!$D$7=$B10)*Proj_31!N$59)+((Proj_32!$D$7=$B10)*Proj_32!N$59)+((Proj_33!$D$7=$B10)*Proj_33!N$59)+((Proj_34!$D$7=$B10)*Proj_34!N$59)+((Proj_35!$D$7=$B10)*Proj_35!N$59)+((Proj_36!$D$7=$B10)*Proj_36!N$59)+((Proj_37!$D$7=$B10)*Proj_37!N$59)+((Proj_38!$D$7=$B10)*Proj_38!N$59)+((Proj_39!$D$7=$B10)*Proj_39!N$59)+((Proj_40!$D$7=$B10)*Proj_40!N$59)+((Proj_41!$D$7=$B10)*Proj_41!N$59)+((Proj_42!$D$7=$B10)*Proj_42!N$59)+((Proj_43!$D$7=$B10)*Proj_43!N$59)+((Proj_44!$D$7=$B10)*Proj_44!N$59)+((Proj_45!$D$7=$B10)*Proj_45!N$59)+((Proj_46!$D$7=$B10)*Proj_46!N$59)</f>
        <v>0</v>
      </c>
      <c r="K10" s="193">
        <f t="shared" ref="K10:K16" si="2">SUM(E10:J10)</f>
        <v>111014.74305675145</v>
      </c>
      <c r="M10" s="80" t="s">
        <v>67</v>
      </c>
      <c r="N10" s="144">
        <f t="shared" ref="N10:N16" si="3">C10/1000</f>
        <v>37.201922501633973</v>
      </c>
      <c r="O10" s="144">
        <f t="shared" si="0"/>
        <v>59.427131523140645</v>
      </c>
      <c r="P10" s="158">
        <f t="shared" si="1"/>
        <v>46.250914229331904</v>
      </c>
      <c r="Q10" s="158">
        <f t="shared" si="1"/>
        <v>17.984846243109441</v>
      </c>
      <c r="R10" s="158">
        <f t="shared" si="1"/>
        <v>12.319902082333368</v>
      </c>
      <c r="S10" s="158">
        <f t="shared" si="1"/>
        <v>17.390746698796569</v>
      </c>
      <c r="T10" s="158">
        <f t="shared" si="1"/>
        <v>17.06833380318017</v>
      </c>
      <c r="U10" s="144">
        <f t="shared" ref="U10:U16" si="4">J10/1000</f>
        <v>0</v>
      </c>
      <c r="V10" s="158">
        <f t="shared" ref="V10:V16" si="5">SUM(P10:T10)</f>
        <v>111.01474305675146</v>
      </c>
    </row>
    <row r="11" spans="2:22">
      <c r="B11" s="182" t="s">
        <v>117</v>
      </c>
      <c r="C11" s="131">
        <f>((Proj_1!$D$7=$B11)*Proj_1!G$59)+((Proj_2!$D$7=$B11)*Proj_2!G$59)+((Proj_3!$D$7=$B11)*Proj_3!G$59)+((Proj_4!$D$7=$B11)*Proj_4!G$59)+((Proj_5!$D$7=$B11)*Proj_5!G$59)+((Proj_6!$D$7=$B11)*Proj_6!G$59)+((Proj_7!$D$7=$B11)*Proj_7!G$59)+((Proj_8!$D$7=$B11)*Proj_8!G$59)+((Proj_9!$D$7=$B11)*Proj_9!G$59)+((Proj_10!$D$7=$B11)*Proj_10!G$59)+((Proj_11!$D$7=$B11)*Proj_11!G$59)+((Proj_12!$D$7=$B11)*Proj_12!G$59)+((Proj_13!$D$7=$B11)*Proj_13!G$59)+((Proj_14!$D$7=$B11)*Proj_14!G$59)+((Proj_15!$D$7=$B11)*Proj_15!G$59)+((Proj_16!$D$7=$B11)*Proj_16!G$59)+((Proj_17!$D$7=$B11)*Proj_17!G$59)+((Proj_18!$D$7=$B11)*Proj_18!G$59)+((Proj_19!$D$7=$B11)*Proj_19!G$59)+((Proj_20!$D$7=$B11)*Proj_20!G$59)+((Proj_21!$D$7=$B11)*Proj_21!G$59)+((Proj_22!$D$7=$B11)*Proj_22!G$59)+((Proj_23!$D$7=$B11)*Proj_23!G$59)+((Proj_24!$D$7=$B11)*Proj_24!G$59)+((Proj_25!$D$7=$B11)*Proj_25!G$59)+((Proj_26!$D$7=$B11)*Proj_26!G$59)+((Proj_27!$D$7=$B11)*Proj_27!G$59)+((Proj_28!$D$7=$B11)*Proj_28!G$59)+((Proj_29!$D$7=$B11)*Proj_29!G$59)+((Proj_30!$D$7=$B11)*Proj_30!G$59)+((Proj_31!$D$7=$B11)*Proj_31!G$59)+((Proj_32!$D$7=$B11)*Proj_32!G$59)+((Proj_33!$D$7=$B11)*Proj_33!G$59)+((Proj_34!$D$7=$B11)*Proj_34!G$59)+((Proj_35!$D$7=$B11)*Proj_35!G$59)+((Proj_36!$D$7=$B11)*Proj_36!G$59)+((Proj_37!$D$7=$B11)*Proj_37!G$59)+((Proj_38!$D$7=$B11)*Proj_38!G$59)+((Proj_39!$D$7=$B11)*Proj_39!G$59)+((Proj_40!$D$7=$B11)*Proj_40!G$59)+((Proj_41!$D$7=$B11)*Proj_41!G$59)+((Proj_42!$D$7=$B11)*Proj_42!G$59)+((Proj_43!$D$7=$B11)*Proj_43!G$59)+((Proj_44!$D$7=$B11)*Proj_44!G$59)+((Proj_45!$D$7=$B11)*Proj_45!G$59)+((Proj_46!$D$7=$B11)*Proj_46!G$59)</f>
        <v>49468.226333861567</v>
      </c>
      <c r="D11" s="131">
        <f>((Proj_1!$D$7=$B11)*Proj_1!H$59)+((Proj_2!$D$7=$B11)*Proj_2!H$59)+((Proj_3!$D$7=$B11)*Proj_3!H$59)+((Proj_4!$D$7=$B11)*Proj_4!H$59)+((Proj_5!$D$7=$B11)*Proj_5!H$59)+((Proj_6!$D$7=$B11)*Proj_6!H$59)+((Proj_7!$D$7=$B11)*Proj_7!H$59)+((Proj_8!$D$7=$B11)*Proj_8!H$59)+((Proj_9!$D$7=$B11)*Proj_9!H$59)+((Proj_10!$D$7=$B11)*Proj_10!H$59)+((Proj_11!$D$7=$B11)*Proj_11!H$59)+((Proj_12!$D$7=$B11)*Proj_12!H$59)+((Proj_13!$D$7=$B11)*Proj_13!H$59)+((Proj_14!$D$7=$B11)*Proj_14!H$59)+((Proj_15!$D$7=$B11)*Proj_15!H$59)+((Proj_16!$D$7=$B11)*Proj_16!H$59)+((Proj_17!$D$7=$B11)*Proj_17!H$59)+((Proj_18!$D$7=$B11)*Proj_18!H$59)+((Proj_19!$D$7=$B11)*Proj_19!H$59)+((Proj_20!$D$7=$B11)*Proj_20!H$59)+((Proj_21!$D$7=$B11)*Proj_21!H$59)+((Proj_22!$D$7=$B11)*Proj_22!H$59)+((Proj_23!$D$7=$B11)*Proj_23!H$59)+((Proj_24!$D$7=$B11)*Proj_24!H$59)+((Proj_25!$D$7=$B11)*Proj_25!H$59)+((Proj_26!$D$7=$B11)*Proj_26!H$59)+((Proj_27!$D$7=$B11)*Proj_27!H$59)+((Proj_28!$D$7=$B11)*Proj_28!H$59)+((Proj_29!$D$7=$B11)*Proj_29!H$59)+((Proj_30!$D$7=$B11)*Proj_30!H$59)+((Proj_31!$D$7=$B11)*Proj_31!H$59)+((Proj_32!$D$7=$B11)*Proj_32!H$59)+((Proj_33!$D$7=$B11)*Proj_33!H$59)+((Proj_34!$D$7=$B11)*Proj_34!H$59)+((Proj_35!$D$7=$B11)*Proj_35!H$59)+((Proj_36!$D$7=$B11)*Proj_36!H$59)+((Proj_37!$D$7=$B11)*Proj_37!H$59)+((Proj_38!$D$7=$B11)*Proj_38!H$59)+((Proj_39!$D$7=$B11)*Proj_39!H$59)+((Proj_40!$D$7=$B11)*Proj_40!H$59)+((Proj_41!$D$7=$B11)*Proj_41!H$59)+((Proj_42!$D$7=$B11)*Proj_42!H$59)+((Proj_43!$D$7=$B11)*Proj_43!H$59)+((Proj_44!$D$7=$B11)*Proj_44!H$59)+((Proj_45!$D$7=$B11)*Proj_45!H$59)+((Proj_46!$D$7=$B11)*Proj_46!H$59)</f>
        <v>45171.609847878906</v>
      </c>
      <c r="E11" s="193">
        <f>((Proj_1!$D$7=$B11)*Proj_1!I$59)+((Proj_2!$D$7=$B11)*Proj_2!I$59)+((Proj_3!$D$7=$B11)*Proj_3!I$59)+((Proj_4!$D$7=$B11)*Proj_4!I$59)+((Proj_5!$D$7=$B11)*Proj_5!I$59)+((Proj_6!$D$7=$B11)*Proj_6!I$59)+((Proj_7!$D$7=$B11)*Proj_7!I$59)+((Proj_8!$D$7=$B11)*Proj_8!I$59)+((Proj_9!$D$7=$B11)*Proj_9!I$59)+((Proj_10!$D$7=$B11)*Proj_10!I$59)+((Proj_11!$D$7=$B11)*Proj_11!I$59)+((Proj_12!$D$7=$B11)*Proj_12!I$59)+((Proj_13!$D$7=$B11)*Proj_13!I$59)+((Proj_14!$D$7=$B11)*Proj_14!I$59)+((Proj_15!$D$7=$B11)*Proj_15!I$59)+((Proj_16!$D$7=$B11)*Proj_16!I$59)+((Proj_17!$D$7=$B11)*Proj_17!I$59)+((Proj_18!$D$7=$B11)*Proj_18!I$59)+((Proj_19!$D$7=$B11)*Proj_19!I$59)+((Proj_20!$D$7=$B11)*Proj_20!I$59)+((Proj_21!$D$7=$B11)*Proj_21!I$59)+((Proj_22!$D$7=$B11)*Proj_22!I$59)+((Proj_23!$D$7=$B11)*Proj_23!I$59)+((Proj_24!$D$7=$B11)*Proj_24!I$59)+((Proj_25!$D$7=$B11)*Proj_25!I$59)+((Proj_26!$D$7=$B11)*Proj_26!I$59)+((Proj_27!$D$7=$B11)*Proj_27!I$59)+((Proj_28!$D$7=$B11)*Proj_28!I$59)+((Proj_29!$D$7=$B11)*Proj_29!I$59)+((Proj_30!$D$7=$B11)*Proj_30!I$59)+((Proj_31!$D$7=$B11)*Proj_31!I$59)+((Proj_32!$D$7=$B11)*Proj_32!I$59)+((Proj_33!$D$7=$B11)*Proj_33!I$59)+((Proj_34!$D$7=$B11)*Proj_34!I$59)+((Proj_35!$D$7=$B11)*Proj_35!I$59)+((Proj_36!$D$7=$B11)*Proj_36!I$59)+((Proj_37!$D$7=$B11)*Proj_37!I$59)+((Proj_38!$D$7=$B11)*Proj_38!I$59)+((Proj_39!$D$7=$B11)*Proj_39!I$59)+((Proj_40!$D$7=$B11)*Proj_40!I$59)+((Proj_41!$D$7=$B11)*Proj_41!I$59)+((Proj_42!$D$7=$B11)*Proj_42!I$59)+((Proj_43!$D$7=$B11)*Proj_43!I$59)+((Proj_44!$D$7=$B11)*Proj_44!I$59)+((Proj_45!$D$7=$B11)*Proj_45!I$59)+((Proj_46!$D$7=$B11)*Proj_46!I$59)</f>
        <v>43127.187429551937</v>
      </c>
      <c r="F11" s="193">
        <f>((Proj_1!$D$7=$B11)*Proj_1!J$59)+((Proj_2!$D$7=$B11)*Proj_2!J$59)+((Proj_3!$D$7=$B11)*Proj_3!J$59)+((Proj_4!$D$7=$B11)*Proj_4!J$59)+((Proj_5!$D$7=$B11)*Proj_5!J$59)+((Proj_6!$D$7=$B11)*Proj_6!J$59)+((Proj_7!$D$7=$B11)*Proj_7!J$59)+((Proj_8!$D$7=$B11)*Proj_8!J$59)+((Proj_9!$D$7=$B11)*Proj_9!J$59)+((Proj_10!$D$7=$B11)*Proj_10!J$59)+((Proj_11!$D$7=$B11)*Proj_11!J$59)+((Proj_12!$D$7=$B11)*Proj_12!J$59)+((Proj_13!$D$7=$B11)*Proj_13!J$59)+((Proj_14!$D$7=$B11)*Proj_14!J$59)+((Proj_15!$D$7=$B11)*Proj_15!J$59)+((Proj_16!$D$7=$B11)*Proj_16!J$59)+((Proj_17!$D$7=$B11)*Proj_17!J$59)+((Proj_18!$D$7=$B11)*Proj_18!J$59)+((Proj_19!$D$7=$B11)*Proj_19!J$59)+((Proj_20!$D$7=$B11)*Proj_20!J$59)+((Proj_21!$D$7=$B11)*Proj_21!J$59)+((Proj_22!$D$7=$B11)*Proj_22!J$59)+((Proj_23!$D$7=$B11)*Proj_23!J$59)+((Proj_24!$D$7=$B11)*Proj_24!J$59)+((Proj_25!$D$7=$B11)*Proj_25!J$59)+((Proj_26!$D$7=$B11)*Proj_26!J$59)+((Proj_27!$D$7=$B11)*Proj_27!J$59)+((Proj_28!$D$7=$B11)*Proj_28!J$59)+((Proj_29!$D$7=$B11)*Proj_29!J$59)+((Proj_30!$D$7=$B11)*Proj_30!J$59)+((Proj_31!$D$7=$B11)*Proj_31!J$59)+((Proj_32!$D$7=$B11)*Proj_32!J$59)+((Proj_33!$D$7=$B11)*Proj_33!J$59)+((Proj_34!$D$7=$B11)*Proj_34!J$59)+((Proj_35!$D$7=$B11)*Proj_35!J$59)+((Proj_36!$D$7=$B11)*Proj_36!J$59)+((Proj_37!$D$7=$B11)*Proj_37!J$59)+((Proj_38!$D$7=$B11)*Proj_38!J$59)+((Proj_39!$D$7=$B11)*Proj_39!J$59)+((Proj_40!$D$7=$B11)*Proj_40!J$59)+((Proj_41!$D$7=$B11)*Proj_41!J$59)+((Proj_42!$D$7=$B11)*Proj_42!J$59)+((Proj_43!$D$7=$B11)*Proj_43!J$59)+((Proj_44!$D$7=$B11)*Proj_44!J$59)+((Proj_45!$D$7=$B11)*Proj_45!J$59)+((Proj_46!$D$7=$B11)*Proj_46!J$59)</f>
        <v>49778.451810681159</v>
      </c>
      <c r="G11" s="193">
        <f>((Proj_1!$D$7=$B11)*Proj_1!K$59)+((Proj_2!$D$7=$B11)*Proj_2!K$59)+((Proj_3!$D$7=$B11)*Proj_3!K$59)+((Proj_4!$D$7=$B11)*Proj_4!K$59)+((Proj_5!$D$7=$B11)*Proj_5!K$59)+((Proj_6!$D$7=$B11)*Proj_6!K$59)+((Proj_7!$D$7=$B11)*Proj_7!K$59)+((Proj_8!$D$7=$B11)*Proj_8!K$59)+((Proj_9!$D$7=$B11)*Proj_9!K$59)+((Proj_10!$D$7=$B11)*Proj_10!K$59)+((Proj_11!$D$7=$B11)*Proj_11!K$59)+((Proj_12!$D$7=$B11)*Proj_12!K$59)+((Proj_13!$D$7=$B11)*Proj_13!K$59)+((Proj_14!$D$7=$B11)*Proj_14!K$59)+((Proj_15!$D$7=$B11)*Proj_15!K$59)+((Proj_16!$D$7=$B11)*Proj_16!K$59)+((Proj_17!$D$7=$B11)*Proj_17!K$59)+((Proj_18!$D$7=$B11)*Proj_18!K$59)+((Proj_19!$D$7=$B11)*Proj_19!K$59)+((Proj_20!$D$7=$B11)*Proj_20!K$59)+((Proj_21!$D$7=$B11)*Proj_21!K$59)+((Proj_22!$D$7=$B11)*Proj_22!K$59)+((Proj_23!$D$7=$B11)*Proj_23!K$59)+((Proj_24!$D$7=$B11)*Proj_24!K$59)+((Proj_25!$D$7=$B11)*Proj_25!K$59)+((Proj_26!$D$7=$B11)*Proj_26!K$59)+((Proj_27!$D$7=$B11)*Proj_27!K$59)+((Proj_28!$D$7=$B11)*Proj_28!K$59)+((Proj_29!$D$7=$B11)*Proj_29!K$59)+((Proj_30!$D$7=$B11)*Proj_30!K$59)+((Proj_31!$D$7=$B11)*Proj_31!K$59)+((Proj_32!$D$7=$B11)*Proj_32!K$59)+((Proj_33!$D$7=$B11)*Proj_33!K$59)+((Proj_34!$D$7=$B11)*Proj_34!K$59)+((Proj_35!$D$7=$B11)*Proj_35!K$59)+((Proj_36!$D$7=$B11)*Proj_36!K$59)+((Proj_37!$D$7=$B11)*Proj_37!K$59)+((Proj_38!$D$7=$B11)*Proj_38!K$59)+((Proj_39!$D$7=$B11)*Proj_39!K$59)+((Proj_40!$D$7=$B11)*Proj_40!K$59)+((Proj_41!$D$7=$B11)*Proj_41!K$59)+((Proj_42!$D$7=$B11)*Proj_42!K$59)+((Proj_43!$D$7=$B11)*Proj_43!K$59)+((Proj_44!$D$7=$B11)*Proj_44!K$59)+((Proj_45!$D$7=$B11)*Proj_45!K$59)+((Proj_46!$D$7=$B11)*Proj_46!K$59)</f>
        <v>45678.614381505926</v>
      </c>
      <c r="H11" s="193">
        <f>((Proj_1!$D$7=$B11)*Proj_1!L$59)+((Proj_2!$D$7=$B11)*Proj_2!L$59)+((Proj_3!$D$7=$B11)*Proj_3!L$59)+((Proj_4!$D$7=$B11)*Proj_4!L$59)+((Proj_5!$D$7=$B11)*Proj_5!L$59)+((Proj_6!$D$7=$B11)*Proj_6!L$59)+((Proj_7!$D$7=$B11)*Proj_7!L$59)+((Proj_8!$D$7=$B11)*Proj_8!L$59)+((Proj_9!$D$7=$B11)*Proj_9!L$59)+((Proj_10!$D$7=$B11)*Proj_10!L$59)+((Proj_11!$D$7=$B11)*Proj_11!L$59)+((Proj_12!$D$7=$B11)*Proj_12!L$59)+((Proj_13!$D$7=$B11)*Proj_13!L$59)+((Proj_14!$D$7=$B11)*Proj_14!L$59)+((Proj_15!$D$7=$B11)*Proj_15!L$59)+((Proj_16!$D$7=$B11)*Proj_16!L$59)+((Proj_17!$D$7=$B11)*Proj_17!L$59)+((Proj_18!$D$7=$B11)*Proj_18!L$59)+((Proj_19!$D$7=$B11)*Proj_19!L$59)+((Proj_20!$D$7=$B11)*Proj_20!L$59)+((Proj_21!$D$7=$B11)*Proj_21!L$59)+((Proj_22!$D$7=$B11)*Proj_22!L$59)+((Proj_23!$D$7=$B11)*Proj_23!L$59)+((Proj_24!$D$7=$B11)*Proj_24!L$59)+((Proj_25!$D$7=$B11)*Proj_25!L$59)+((Proj_26!$D$7=$B11)*Proj_26!L$59)+((Proj_27!$D$7=$B11)*Proj_27!L$59)+((Proj_28!$D$7=$B11)*Proj_28!L$59)+((Proj_29!$D$7=$B11)*Proj_29!L$59)+((Proj_30!$D$7=$B11)*Proj_30!L$59)+((Proj_31!$D$7=$B11)*Proj_31!L$59)+((Proj_32!$D$7=$B11)*Proj_32!L$59)+((Proj_33!$D$7=$B11)*Proj_33!L$59)+((Proj_34!$D$7=$B11)*Proj_34!L$59)+((Proj_35!$D$7=$B11)*Proj_35!L$59)+((Proj_36!$D$7=$B11)*Proj_36!L$59)+((Proj_37!$D$7=$B11)*Proj_37!L$59)+((Proj_38!$D$7=$B11)*Proj_38!L$59)+((Proj_39!$D$7=$B11)*Proj_39!L$59)+((Proj_40!$D$7=$B11)*Proj_40!L$59)+((Proj_41!$D$7=$B11)*Proj_41!L$59)+((Proj_42!$D$7=$B11)*Proj_42!L$59)+((Proj_43!$D$7=$B11)*Proj_43!L$59)+((Proj_44!$D$7=$B11)*Proj_44!L$59)+((Proj_45!$D$7=$B11)*Proj_45!L$59)+((Proj_46!$D$7=$B11)*Proj_46!L$59)</f>
        <v>43640.904513434194</v>
      </c>
      <c r="I11" s="193">
        <f>((Proj_1!$D$7=$B11)*Proj_1!M$59)+((Proj_2!$D$7=$B11)*Proj_2!M$59)+((Proj_3!$D$7=$B11)*Proj_3!M$59)+((Proj_4!$D$7=$B11)*Proj_4!M$59)+((Proj_5!$D$7=$B11)*Proj_5!M$59)+((Proj_6!$D$7=$B11)*Proj_6!M$59)+((Proj_7!$D$7=$B11)*Proj_7!M$59)+((Proj_8!$D$7=$B11)*Proj_8!M$59)+((Proj_9!$D$7=$B11)*Proj_9!M$59)+((Proj_10!$D$7=$B11)*Proj_10!M$59)+((Proj_11!$D$7=$B11)*Proj_11!M$59)+((Proj_12!$D$7=$B11)*Proj_12!M$59)+((Proj_13!$D$7=$B11)*Proj_13!M$59)+((Proj_14!$D$7=$B11)*Proj_14!M$59)+((Proj_15!$D$7=$B11)*Proj_15!M$59)+((Proj_16!$D$7=$B11)*Proj_16!M$59)+((Proj_17!$D$7=$B11)*Proj_17!M$59)+((Proj_18!$D$7=$B11)*Proj_18!M$59)+((Proj_19!$D$7=$B11)*Proj_19!M$59)+((Proj_20!$D$7=$B11)*Proj_20!M$59)+((Proj_21!$D$7=$B11)*Proj_21!M$59)+((Proj_22!$D$7=$B11)*Proj_22!M$59)+((Proj_23!$D$7=$B11)*Proj_23!M$59)+((Proj_24!$D$7=$B11)*Proj_24!M$59)+((Proj_25!$D$7=$B11)*Proj_25!M$59)+((Proj_26!$D$7=$B11)*Proj_26!M$59)+((Proj_27!$D$7=$B11)*Proj_27!M$59)+((Proj_28!$D$7=$B11)*Proj_28!M$59)+((Proj_29!$D$7=$B11)*Proj_29!M$59)+((Proj_30!$D$7=$B11)*Proj_30!M$59)+((Proj_31!$D$7=$B11)*Proj_31!M$59)+((Proj_32!$D$7=$B11)*Proj_32!M$59)+((Proj_33!$D$7=$B11)*Proj_33!M$59)+((Proj_34!$D$7=$B11)*Proj_34!M$59)+((Proj_35!$D$7=$B11)*Proj_35!M$59)+((Proj_36!$D$7=$B11)*Proj_36!M$59)+((Proj_37!$D$7=$B11)*Proj_37!M$59)+((Proj_38!$D$7=$B11)*Proj_38!M$59)+((Proj_39!$D$7=$B11)*Proj_39!M$59)+((Proj_40!$D$7=$B11)*Proj_40!M$59)+((Proj_41!$D$7=$B11)*Proj_41!M$59)+((Proj_42!$D$7=$B11)*Proj_42!M$59)+((Proj_43!$D$7=$B11)*Proj_43!M$59)+((Proj_44!$D$7=$B11)*Proj_44!M$59)+((Proj_45!$D$7=$B11)*Proj_45!M$59)+((Proj_46!$D$7=$B11)*Proj_46!M$59)</f>
        <v>39576.531074292063</v>
      </c>
      <c r="J11" s="131">
        <f>((Proj_1!$D$7=$B11)*Proj_1!N$59)+((Proj_2!$D$7=$B11)*Proj_2!N$59)+((Proj_3!$D$7=$B11)*Proj_3!N$59)+((Proj_4!$D$7=$B11)*Proj_4!N$59)+((Proj_5!$D$7=$B11)*Proj_5!N$59)+((Proj_6!$D$7=$B11)*Proj_6!N$59)+((Proj_7!$D$7=$B11)*Proj_7!N$59)+((Proj_8!$D$7=$B11)*Proj_8!N$59)+((Proj_9!$D$7=$B11)*Proj_9!N$59)+((Proj_10!$D$7=$B11)*Proj_10!N$59)+((Proj_11!$D$7=$B11)*Proj_11!N$59)+((Proj_12!$D$7=$B11)*Proj_12!N$59)+((Proj_13!$D$7=$B11)*Proj_13!N$59)+((Proj_14!$D$7=$B11)*Proj_14!N$59)+((Proj_15!$D$7=$B11)*Proj_15!N$59)+((Proj_16!$D$7=$B11)*Proj_16!N$59)+((Proj_17!$D$7=$B11)*Proj_17!N$59)+((Proj_18!$D$7=$B11)*Proj_18!N$59)+((Proj_19!$D$7=$B11)*Proj_19!N$59)+((Proj_20!$D$7=$B11)*Proj_20!N$59)+((Proj_21!$D$7=$B11)*Proj_21!N$59)+((Proj_22!$D$7=$B11)*Proj_22!N$59)+((Proj_23!$D$7=$B11)*Proj_23!N$59)+((Proj_24!$D$7=$B11)*Proj_24!N$59)+((Proj_25!$D$7=$B11)*Proj_25!N$59)+((Proj_26!$D$7=$B11)*Proj_26!N$59)+((Proj_27!$D$7=$B11)*Proj_27!N$59)+((Proj_28!$D$7=$B11)*Proj_28!N$59)+((Proj_29!$D$7=$B11)*Proj_29!N$59)+((Proj_30!$D$7=$B11)*Proj_30!N$59)+((Proj_31!$D$7=$B11)*Proj_31!N$59)+((Proj_32!$D$7=$B11)*Proj_32!N$59)+((Proj_33!$D$7=$B11)*Proj_33!N$59)+((Proj_34!$D$7=$B11)*Proj_34!N$59)+((Proj_35!$D$7=$B11)*Proj_35!N$59)+((Proj_36!$D$7=$B11)*Proj_36!N$59)+((Proj_37!$D$7=$B11)*Proj_37!N$59)+((Proj_38!$D$7=$B11)*Proj_38!N$59)+((Proj_39!$D$7=$B11)*Proj_39!N$59)+((Proj_40!$D$7=$B11)*Proj_40!N$59)+((Proj_41!$D$7=$B11)*Proj_41!N$59)+((Proj_42!$D$7=$B11)*Proj_42!N$59)+((Proj_43!$D$7=$B11)*Proj_43!N$59)+((Proj_44!$D$7=$B11)*Proj_44!N$59)+((Proj_45!$D$7=$B11)*Proj_45!N$59)+((Proj_46!$D$7=$B11)*Proj_46!N$59)</f>
        <v>0</v>
      </c>
      <c r="K11" s="193">
        <f t="shared" si="2"/>
        <v>221801.68920946526</v>
      </c>
      <c r="M11" s="77" t="s">
        <v>117</v>
      </c>
      <c r="N11" s="144">
        <f t="shared" si="3"/>
        <v>49.468226333861566</v>
      </c>
      <c r="O11" s="144">
        <f t="shared" si="0"/>
        <v>45.171609847878905</v>
      </c>
      <c r="P11" s="158">
        <f t="shared" si="1"/>
        <v>43.127187429551938</v>
      </c>
      <c r="Q11" s="158">
        <f t="shared" si="1"/>
        <v>49.778451810681162</v>
      </c>
      <c r="R11" s="158">
        <f t="shared" si="1"/>
        <v>45.678614381505923</v>
      </c>
      <c r="S11" s="158">
        <f t="shared" si="1"/>
        <v>43.640904513434194</v>
      </c>
      <c r="T11" s="158">
        <f t="shared" si="1"/>
        <v>39.576531074292063</v>
      </c>
      <c r="U11" s="144">
        <f t="shared" si="4"/>
        <v>0</v>
      </c>
      <c r="V11" s="158">
        <f t="shared" si="5"/>
        <v>221.80168920946528</v>
      </c>
    </row>
    <row r="12" spans="2:22">
      <c r="B12" s="80" t="s">
        <v>118</v>
      </c>
      <c r="C12" s="131">
        <f>((Proj_1!$D$7=$B12)*Proj_1!G$59)+((Proj_2!$D$7=$B12)*Proj_2!G$59)+((Proj_3!$D$7=$B12)*Proj_3!G$59)+((Proj_4!$D$7=$B12)*Proj_4!G$59)+((Proj_5!$D$7=$B12)*Proj_5!G$59)+((Proj_6!$D$7=$B12)*Proj_6!G$59)+((Proj_7!$D$7=$B12)*Proj_7!G$59)+((Proj_8!$D$7=$B12)*Proj_8!G$59)+((Proj_9!$D$7=$B12)*Proj_9!G$59)+((Proj_10!$D$7=$B12)*Proj_10!G$59)+((Proj_11!$D$7=$B12)*Proj_11!G$59)+((Proj_12!$D$7=$B12)*Proj_12!G$59)+((Proj_13!$D$7=$B12)*Proj_13!G$59)+((Proj_14!$D$7=$B12)*Proj_14!G$59)+((Proj_15!$D$7=$B12)*Proj_15!G$59)+((Proj_16!$D$7=$B12)*Proj_16!G$59)+((Proj_17!$D$7=$B12)*Proj_17!G$59)+((Proj_18!$D$7=$B12)*Proj_18!G$59)+((Proj_19!$D$7=$B12)*Proj_19!G$59)+((Proj_20!$D$7=$B12)*Proj_20!G$59)+((Proj_21!$D$7=$B12)*Proj_21!G$59)+((Proj_22!$D$7=$B12)*Proj_22!G$59)+((Proj_23!$D$7=$B12)*Proj_23!G$59)+((Proj_24!$D$7=$B12)*Proj_24!G$59)+((Proj_25!$D$7=$B12)*Proj_25!G$59)+((Proj_26!$D$7=$B12)*Proj_26!G$59)+((Proj_27!$D$7=$B12)*Proj_27!G$59)+((Proj_28!$D$7=$B12)*Proj_28!G$59)+((Proj_29!$D$7=$B12)*Proj_29!G$59)+((Proj_30!$D$7=$B12)*Proj_30!G$59)+((Proj_31!$D$7=$B12)*Proj_31!G$59)+((Proj_32!$D$7=$B12)*Proj_32!G$59)+((Proj_33!$D$7=$B12)*Proj_33!G$59)+((Proj_34!$D$7=$B12)*Proj_34!G$59)+((Proj_35!$D$7=$B12)*Proj_35!G$59)+((Proj_36!$D$7=$B12)*Proj_36!G$59)+((Proj_37!$D$7=$B12)*Proj_37!G$59)+((Proj_38!$D$7=$B12)*Proj_38!G$59)+((Proj_39!$D$7=$B12)*Proj_39!G$59)+((Proj_40!$D$7=$B12)*Proj_40!G$59)+((Proj_41!$D$7=$B12)*Proj_41!G$59)+((Proj_42!$D$7=$B12)*Proj_42!G$59)+((Proj_43!$D$7=$B12)*Proj_43!G$59)+((Proj_44!$D$7=$B12)*Proj_44!G$59)+((Proj_45!$D$7=$B12)*Proj_45!G$59)+((Proj_46!$D$7=$B12)*Proj_46!G$59)</f>
        <v>15165.204638003654</v>
      </c>
      <c r="D12" s="131">
        <f>((Proj_1!$D$7=$B12)*Proj_1!H$59)+((Proj_2!$D$7=$B12)*Proj_2!H$59)+((Proj_3!$D$7=$B12)*Proj_3!H$59)+((Proj_4!$D$7=$B12)*Proj_4!H$59)+((Proj_5!$D$7=$B12)*Proj_5!H$59)+((Proj_6!$D$7=$B12)*Proj_6!H$59)+((Proj_7!$D$7=$B12)*Proj_7!H$59)+((Proj_8!$D$7=$B12)*Proj_8!H$59)+((Proj_9!$D$7=$B12)*Proj_9!H$59)+((Proj_10!$D$7=$B12)*Proj_10!H$59)+((Proj_11!$D$7=$B12)*Proj_11!H$59)+((Proj_12!$D$7=$B12)*Proj_12!H$59)+((Proj_13!$D$7=$B12)*Proj_13!H$59)+((Proj_14!$D$7=$B12)*Proj_14!H$59)+((Proj_15!$D$7=$B12)*Proj_15!H$59)+((Proj_16!$D$7=$B12)*Proj_16!H$59)+((Proj_17!$D$7=$B12)*Proj_17!H$59)+((Proj_18!$D$7=$B12)*Proj_18!H$59)+((Proj_19!$D$7=$B12)*Proj_19!H$59)+((Proj_20!$D$7=$B12)*Proj_20!H$59)+((Proj_21!$D$7=$B12)*Proj_21!H$59)+((Proj_22!$D$7=$B12)*Proj_22!H$59)+((Proj_23!$D$7=$B12)*Proj_23!H$59)+((Proj_24!$D$7=$B12)*Proj_24!H$59)+((Proj_25!$D$7=$B12)*Proj_25!H$59)+((Proj_26!$D$7=$B12)*Proj_26!H$59)+((Proj_27!$D$7=$B12)*Proj_27!H$59)+((Proj_28!$D$7=$B12)*Proj_28!H$59)+((Proj_29!$D$7=$B12)*Proj_29!H$59)+((Proj_30!$D$7=$B12)*Proj_30!H$59)+((Proj_31!$D$7=$B12)*Proj_31!H$59)+((Proj_32!$D$7=$B12)*Proj_32!H$59)+((Proj_33!$D$7=$B12)*Proj_33!H$59)+((Proj_34!$D$7=$B12)*Proj_34!H$59)+((Proj_35!$D$7=$B12)*Proj_35!H$59)+((Proj_36!$D$7=$B12)*Proj_36!H$59)+((Proj_37!$D$7=$B12)*Proj_37!H$59)+((Proj_38!$D$7=$B12)*Proj_38!H$59)+((Proj_39!$D$7=$B12)*Proj_39!H$59)+((Proj_40!$D$7=$B12)*Proj_40!H$59)+((Proj_41!$D$7=$B12)*Proj_41!H$59)+((Proj_42!$D$7=$B12)*Proj_42!H$59)+((Proj_43!$D$7=$B12)*Proj_43!H$59)+((Proj_44!$D$7=$B12)*Proj_44!H$59)+((Proj_45!$D$7=$B12)*Proj_45!H$59)+((Proj_46!$D$7=$B12)*Proj_46!H$59)</f>
        <v>15443.712925932836</v>
      </c>
      <c r="E12" s="193">
        <f>((Proj_1!$D$7=$B12)*Proj_1!I$59)+((Proj_2!$D$7=$B12)*Proj_2!I$59)+((Proj_3!$D$7=$B12)*Proj_3!I$59)+((Proj_4!$D$7=$B12)*Proj_4!I$59)+((Proj_5!$D$7=$B12)*Proj_5!I$59)+((Proj_6!$D$7=$B12)*Proj_6!I$59)+((Proj_7!$D$7=$B12)*Proj_7!I$59)+((Proj_8!$D$7=$B12)*Proj_8!I$59)+((Proj_9!$D$7=$B12)*Proj_9!I$59)+((Proj_10!$D$7=$B12)*Proj_10!I$59)+((Proj_11!$D$7=$B12)*Proj_11!I$59)+((Proj_12!$D$7=$B12)*Proj_12!I$59)+((Proj_13!$D$7=$B12)*Proj_13!I$59)+((Proj_14!$D$7=$B12)*Proj_14!I$59)+((Proj_15!$D$7=$B12)*Proj_15!I$59)+((Proj_16!$D$7=$B12)*Proj_16!I$59)+((Proj_17!$D$7=$B12)*Proj_17!I$59)+((Proj_18!$D$7=$B12)*Proj_18!I$59)+((Proj_19!$D$7=$B12)*Proj_19!I$59)+((Proj_20!$D$7=$B12)*Proj_20!I$59)+((Proj_21!$D$7=$B12)*Proj_21!I$59)+((Proj_22!$D$7=$B12)*Proj_22!I$59)+((Proj_23!$D$7=$B12)*Proj_23!I$59)+((Proj_24!$D$7=$B12)*Proj_24!I$59)+((Proj_25!$D$7=$B12)*Proj_25!I$59)+((Proj_26!$D$7=$B12)*Proj_26!I$59)+((Proj_27!$D$7=$B12)*Proj_27!I$59)+((Proj_28!$D$7=$B12)*Proj_28!I$59)+((Proj_29!$D$7=$B12)*Proj_29!I$59)+((Proj_30!$D$7=$B12)*Proj_30!I$59)+((Proj_31!$D$7=$B12)*Proj_31!I$59)+((Proj_32!$D$7=$B12)*Proj_32!I$59)+((Proj_33!$D$7=$B12)*Proj_33!I$59)+((Proj_34!$D$7=$B12)*Proj_34!I$59)+((Proj_35!$D$7=$B12)*Proj_35!I$59)+((Proj_36!$D$7=$B12)*Proj_36!I$59)+((Proj_37!$D$7=$B12)*Proj_37!I$59)+((Proj_38!$D$7=$B12)*Proj_38!I$59)+((Proj_39!$D$7=$B12)*Proj_39!I$59)+((Proj_40!$D$7=$B12)*Proj_40!I$59)+((Proj_41!$D$7=$B12)*Proj_41!I$59)+((Proj_42!$D$7=$B12)*Proj_42!I$59)+((Proj_43!$D$7=$B12)*Proj_43!I$59)+((Proj_44!$D$7=$B12)*Proj_44!I$59)+((Proj_45!$D$7=$B12)*Proj_45!I$59)+((Proj_46!$D$7=$B12)*Proj_46!I$59)</f>
        <v>12727.022552808747</v>
      </c>
      <c r="F12" s="193">
        <f>((Proj_1!$D$7=$B12)*Proj_1!J$59)+((Proj_2!$D$7=$B12)*Proj_2!J$59)+((Proj_3!$D$7=$B12)*Proj_3!J$59)+((Proj_4!$D$7=$B12)*Proj_4!J$59)+((Proj_5!$D$7=$B12)*Proj_5!J$59)+((Proj_6!$D$7=$B12)*Proj_6!J$59)+((Proj_7!$D$7=$B12)*Proj_7!J$59)+((Proj_8!$D$7=$B12)*Proj_8!J$59)+((Proj_9!$D$7=$B12)*Proj_9!J$59)+((Proj_10!$D$7=$B12)*Proj_10!J$59)+((Proj_11!$D$7=$B12)*Proj_11!J$59)+((Proj_12!$D$7=$B12)*Proj_12!J$59)+((Proj_13!$D$7=$B12)*Proj_13!J$59)+((Proj_14!$D$7=$B12)*Proj_14!J$59)+((Proj_15!$D$7=$B12)*Proj_15!J$59)+((Proj_16!$D$7=$B12)*Proj_16!J$59)+((Proj_17!$D$7=$B12)*Proj_17!J$59)+((Proj_18!$D$7=$B12)*Proj_18!J$59)+((Proj_19!$D$7=$B12)*Proj_19!J$59)+((Proj_20!$D$7=$B12)*Proj_20!J$59)+((Proj_21!$D$7=$B12)*Proj_21!J$59)+((Proj_22!$D$7=$B12)*Proj_22!J$59)+((Proj_23!$D$7=$B12)*Proj_23!J$59)+((Proj_24!$D$7=$B12)*Proj_24!J$59)+((Proj_25!$D$7=$B12)*Proj_25!J$59)+((Proj_26!$D$7=$B12)*Proj_26!J$59)+((Proj_27!$D$7=$B12)*Proj_27!J$59)+((Proj_28!$D$7=$B12)*Proj_28!J$59)+((Proj_29!$D$7=$B12)*Proj_29!J$59)+((Proj_30!$D$7=$B12)*Proj_30!J$59)+((Proj_31!$D$7=$B12)*Proj_31!J$59)+((Proj_32!$D$7=$B12)*Proj_32!J$59)+((Proj_33!$D$7=$B12)*Proj_33!J$59)+((Proj_34!$D$7=$B12)*Proj_34!J$59)+((Proj_35!$D$7=$B12)*Proj_35!J$59)+((Proj_36!$D$7=$B12)*Proj_36!J$59)+((Proj_37!$D$7=$B12)*Proj_37!J$59)+((Proj_38!$D$7=$B12)*Proj_38!J$59)+((Proj_39!$D$7=$B12)*Proj_39!J$59)+((Proj_40!$D$7=$B12)*Proj_40!J$59)+((Proj_41!$D$7=$B12)*Proj_41!J$59)+((Proj_42!$D$7=$B12)*Proj_42!J$59)+((Proj_43!$D$7=$B12)*Proj_43!J$59)+((Proj_44!$D$7=$B12)*Proj_44!J$59)+((Proj_45!$D$7=$B12)*Proj_45!J$59)+((Proj_46!$D$7=$B12)*Proj_46!J$59)</f>
        <v>12392.167503290377</v>
      </c>
      <c r="G12" s="193">
        <f>((Proj_1!$D$7=$B12)*Proj_1!K$59)+((Proj_2!$D$7=$B12)*Proj_2!K$59)+((Proj_3!$D$7=$B12)*Proj_3!K$59)+((Proj_4!$D$7=$B12)*Proj_4!K$59)+((Proj_5!$D$7=$B12)*Proj_5!K$59)+((Proj_6!$D$7=$B12)*Proj_6!K$59)+((Proj_7!$D$7=$B12)*Proj_7!K$59)+((Proj_8!$D$7=$B12)*Proj_8!K$59)+((Proj_9!$D$7=$B12)*Proj_9!K$59)+((Proj_10!$D$7=$B12)*Proj_10!K$59)+((Proj_11!$D$7=$B12)*Proj_11!K$59)+((Proj_12!$D$7=$B12)*Proj_12!K$59)+((Proj_13!$D$7=$B12)*Proj_13!K$59)+((Proj_14!$D$7=$B12)*Proj_14!K$59)+((Proj_15!$D$7=$B12)*Proj_15!K$59)+((Proj_16!$D$7=$B12)*Proj_16!K$59)+((Proj_17!$D$7=$B12)*Proj_17!K$59)+((Proj_18!$D$7=$B12)*Proj_18!K$59)+((Proj_19!$D$7=$B12)*Proj_19!K$59)+((Proj_20!$D$7=$B12)*Proj_20!K$59)+((Proj_21!$D$7=$B12)*Proj_21!K$59)+((Proj_22!$D$7=$B12)*Proj_22!K$59)+((Proj_23!$D$7=$B12)*Proj_23!K$59)+((Proj_24!$D$7=$B12)*Proj_24!K$59)+((Proj_25!$D$7=$B12)*Proj_25!K$59)+((Proj_26!$D$7=$B12)*Proj_26!K$59)+((Proj_27!$D$7=$B12)*Proj_27!K$59)+((Proj_28!$D$7=$B12)*Proj_28!K$59)+((Proj_29!$D$7=$B12)*Proj_29!K$59)+((Proj_30!$D$7=$B12)*Proj_30!K$59)+((Proj_31!$D$7=$B12)*Proj_31!K$59)+((Proj_32!$D$7=$B12)*Proj_32!K$59)+((Proj_33!$D$7=$B12)*Proj_33!K$59)+((Proj_34!$D$7=$B12)*Proj_34!K$59)+((Proj_35!$D$7=$B12)*Proj_35!K$59)+((Proj_36!$D$7=$B12)*Proj_36!K$59)+((Proj_37!$D$7=$B12)*Proj_37!K$59)+((Proj_38!$D$7=$B12)*Proj_38!K$59)+((Proj_39!$D$7=$B12)*Proj_39!K$59)+((Proj_40!$D$7=$B12)*Proj_40!K$59)+((Proj_41!$D$7=$B12)*Proj_41!K$59)+((Proj_42!$D$7=$B12)*Proj_42!K$59)+((Proj_43!$D$7=$B12)*Proj_43!K$59)+((Proj_44!$D$7=$B12)*Proj_44!K$59)+((Proj_45!$D$7=$B12)*Proj_45!K$59)+((Proj_46!$D$7=$B12)*Proj_46!K$59)</f>
        <v>13256.866064013828</v>
      </c>
      <c r="H12" s="193">
        <f>((Proj_1!$D$7=$B12)*Proj_1!L$59)+((Proj_2!$D$7=$B12)*Proj_2!L$59)+((Proj_3!$D$7=$B12)*Proj_3!L$59)+((Proj_4!$D$7=$B12)*Proj_4!L$59)+((Proj_5!$D$7=$B12)*Proj_5!L$59)+((Proj_6!$D$7=$B12)*Proj_6!L$59)+((Proj_7!$D$7=$B12)*Proj_7!L$59)+((Proj_8!$D$7=$B12)*Proj_8!L$59)+((Proj_9!$D$7=$B12)*Proj_9!L$59)+((Proj_10!$D$7=$B12)*Proj_10!L$59)+((Proj_11!$D$7=$B12)*Proj_11!L$59)+((Proj_12!$D$7=$B12)*Proj_12!L$59)+((Proj_13!$D$7=$B12)*Proj_13!L$59)+((Proj_14!$D$7=$B12)*Proj_14!L$59)+((Proj_15!$D$7=$B12)*Proj_15!L$59)+((Proj_16!$D$7=$B12)*Proj_16!L$59)+((Proj_17!$D$7=$B12)*Proj_17!L$59)+((Proj_18!$D$7=$B12)*Proj_18!L$59)+((Proj_19!$D$7=$B12)*Proj_19!L$59)+((Proj_20!$D$7=$B12)*Proj_20!L$59)+((Proj_21!$D$7=$B12)*Proj_21!L$59)+((Proj_22!$D$7=$B12)*Proj_22!L$59)+((Proj_23!$D$7=$B12)*Proj_23!L$59)+((Proj_24!$D$7=$B12)*Proj_24!L$59)+((Proj_25!$D$7=$B12)*Proj_25!L$59)+((Proj_26!$D$7=$B12)*Proj_26!L$59)+((Proj_27!$D$7=$B12)*Proj_27!L$59)+((Proj_28!$D$7=$B12)*Proj_28!L$59)+((Proj_29!$D$7=$B12)*Proj_29!L$59)+((Proj_30!$D$7=$B12)*Proj_30!L$59)+((Proj_31!$D$7=$B12)*Proj_31!L$59)+((Proj_32!$D$7=$B12)*Proj_32!L$59)+((Proj_33!$D$7=$B12)*Proj_33!L$59)+((Proj_34!$D$7=$B12)*Proj_34!L$59)+((Proj_35!$D$7=$B12)*Proj_35!L$59)+((Proj_36!$D$7=$B12)*Proj_36!L$59)+((Proj_37!$D$7=$B12)*Proj_37!L$59)+((Proj_38!$D$7=$B12)*Proj_38!L$59)+((Proj_39!$D$7=$B12)*Proj_39!L$59)+((Proj_40!$D$7=$B12)*Proj_40!L$59)+((Proj_41!$D$7=$B12)*Proj_41!L$59)+((Proj_42!$D$7=$B12)*Proj_42!L$59)+((Proj_43!$D$7=$B12)*Proj_43!L$59)+((Proj_44!$D$7=$B12)*Proj_44!L$59)+((Proj_45!$D$7=$B12)*Proj_45!L$59)+((Proj_46!$D$7=$B12)*Proj_46!L$59)</f>
        <v>11880.679618294707</v>
      </c>
      <c r="I12" s="193">
        <f>((Proj_1!$D$7=$B12)*Proj_1!M$59)+((Proj_2!$D$7=$B12)*Proj_2!M$59)+((Proj_3!$D$7=$B12)*Proj_3!M$59)+((Proj_4!$D$7=$B12)*Proj_4!M$59)+((Proj_5!$D$7=$B12)*Proj_5!M$59)+((Proj_6!$D$7=$B12)*Proj_6!M$59)+((Proj_7!$D$7=$B12)*Proj_7!M$59)+((Proj_8!$D$7=$B12)*Proj_8!M$59)+((Proj_9!$D$7=$B12)*Proj_9!M$59)+((Proj_10!$D$7=$B12)*Proj_10!M$59)+((Proj_11!$D$7=$B12)*Proj_11!M$59)+((Proj_12!$D$7=$B12)*Proj_12!M$59)+((Proj_13!$D$7=$B12)*Proj_13!M$59)+((Proj_14!$D$7=$B12)*Proj_14!M$59)+((Proj_15!$D$7=$B12)*Proj_15!M$59)+((Proj_16!$D$7=$B12)*Proj_16!M$59)+((Proj_17!$D$7=$B12)*Proj_17!M$59)+((Proj_18!$D$7=$B12)*Proj_18!M$59)+((Proj_19!$D$7=$B12)*Proj_19!M$59)+((Proj_20!$D$7=$B12)*Proj_20!M$59)+((Proj_21!$D$7=$B12)*Proj_21!M$59)+((Proj_22!$D$7=$B12)*Proj_22!M$59)+((Proj_23!$D$7=$B12)*Proj_23!M$59)+((Proj_24!$D$7=$B12)*Proj_24!M$59)+((Proj_25!$D$7=$B12)*Proj_25!M$59)+((Proj_26!$D$7=$B12)*Proj_26!M$59)+((Proj_27!$D$7=$B12)*Proj_27!M$59)+((Proj_28!$D$7=$B12)*Proj_28!M$59)+((Proj_29!$D$7=$B12)*Proj_29!M$59)+((Proj_30!$D$7=$B12)*Proj_30!M$59)+((Proj_31!$D$7=$B12)*Proj_31!M$59)+((Proj_32!$D$7=$B12)*Proj_32!M$59)+((Proj_33!$D$7=$B12)*Proj_33!M$59)+((Proj_34!$D$7=$B12)*Proj_34!M$59)+((Proj_35!$D$7=$B12)*Proj_35!M$59)+((Proj_36!$D$7=$B12)*Proj_36!M$59)+((Proj_37!$D$7=$B12)*Proj_37!M$59)+((Proj_38!$D$7=$B12)*Proj_38!M$59)+((Proj_39!$D$7=$B12)*Proj_39!M$59)+((Proj_40!$D$7=$B12)*Proj_40!M$59)+((Proj_41!$D$7=$B12)*Proj_41!M$59)+((Proj_42!$D$7=$B12)*Proj_42!M$59)+((Proj_43!$D$7=$B12)*Proj_43!M$59)+((Proj_44!$D$7=$B12)*Proj_44!M$59)+((Proj_45!$D$7=$B12)*Proj_45!M$59)+((Proj_46!$D$7=$B12)*Proj_46!M$59)</f>
        <v>13107.676860822545</v>
      </c>
      <c r="J12" s="131">
        <f>((Proj_1!$D$7=$B12)*Proj_1!N$59)+((Proj_2!$D$7=$B12)*Proj_2!N$59)+((Proj_3!$D$7=$B12)*Proj_3!N$59)+((Proj_4!$D$7=$B12)*Proj_4!N$59)+((Proj_5!$D$7=$B12)*Proj_5!N$59)+((Proj_6!$D$7=$B12)*Proj_6!N$59)+((Proj_7!$D$7=$B12)*Proj_7!N$59)+((Proj_8!$D$7=$B12)*Proj_8!N$59)+((Proj_9!$D$7=$B12)*Proj_9!N$59)+((Proj_10!$D$7=$B12)*Proj_10!N$59)+((Proj_11!$D$7=$B12)*Proj_11!N$59)+((Proj_12!$D$7=$B12)*Proj_12!N$59)+((Proj_13!$D$7=$B12)*Proj_13!N$59)+((Proj_14!$D$7=$B12)*Proj_14!N$59)+((Proj_15!$D$7=$B12)*Proj_15!N$59)+((Proj_16!$D$7=$B12)*Proj_16!N$59)+((Proj_17!$D$7=$B12)*Proj_17!N$59)+((Proj_18!$D$7=$B12)*Proj_18!N$59)+((Proj_19!$D$7=$B12)*Proj_19!N$59)+((Proj_20!$D$7=$B12)*Proj_20!N$59)+((Proj_21!$D$7=$B12)*Proj_21!N$59)+((Proj_22!$D$7=$B12)*Proj_22!N$59)+((Proj_23!$D$7=$B12)*Proj_23!N$59)+((Proj_24!$D$7=$B12)*Proj_24!N$59)+((Proj_25!$D$7=$B12)*Proj_25!N$59)+((Proj_26!$D$7=$B12)*Proj_26!N$59)+((Proj_27!$D$7=$B12)*Proj_27!N$59)+((Proj_28!$D$7=$B12)*Proj_28!N$59)+((Proj_29!$D$7=$B12)*Proj_29!N$59)+((Proj_30!$D$7=$B12)*Proj_30!N$59)+((Proj_31!$D$7=$B12)*Proj_31!N$59)+((Proj_32!$D$7=$B12)*Proj_32!N$59)+((Proj_33!$D$7=$B12)*Proj_33!N$59)+((Proj_34!$D$7=$B12)*Proj_34!N$59)+((Proj_35!$D$7=$B12)*Proj_35!N$59)+((Proj_36!$D$7=$B12)*Proj_36!N$59)+((Proj_37!$D$7=$B12)*Proj_37!N$59)+((Proj_38!$D$7=$B12)*Proj_38!N$59)+((Proj_39!$D$7=$B12)*Proj_39!N$59)+((Proj_40!$D$7=$B12)*Proj_40!N$59)+((Proj_41!$D$7=$B12)*Proj_41!N$59)+((Proj_42!$D$7=$B12)*Proj_42!N$59)+((Proj_43!$D$7=$B12)*Proj_43!N$59)+((Proj_44!$D$7=$B12)*Proj_44!N$59)+((Proj_45!$D$7=$B12)*Proj_45!N$59)+((Proj_46!$D$7=$B12)*Proj_46!N$59)</f>
        <v>0</v>
      </c>
      <c r="K12" s="193">
        <f t="shared" si="2"/>
        <v>63364.412599230207</v>
      </c>
      <c r="M12" s="80" t="s">
        <v>118</v>
      </c>
      <c r="N12" s="144">
        <f t="shared" si="3"/>
        <v>15.165204638003654</v>
      </c>
      <c r="O12" s="144">
        <f t="shared" si="0"/>
        <v>15.443712925932836</v>
      </c>
      <c r="P12" s="158">
        <f t="shared" si="1"/>
        <v>12.727022552808746</v>
      </c>
      <c r="Q12" s="158">
        <f t="shared" si="1"/>
        <v>12.392167503290377</v>
      </c>
      <c r="R12" s="158">
        <f t="shared" si="1"/>
        <v>13.256866064013828</v>
      </c>
      <c r="S12" s="158">
        <f t="shared" si="1"/>
        <v>11.880679618294707</v>
      </c>
      <c r="T12" s="158">
        <f t="shared" si="1"/>
        <v>13.107676860822545</v>
      </c>
      <c r="U12" s="144">
        <f t="shared" si="4"/>
        <v>0</v>
      </c>
      <c r="V12" s="158">
        <f t="shared" ref="V12" si="6">SUM(P12:T12)</f>
        <v>63.364412599230199</v>
      </c>
    </row>
    <row r="13" spans="2:22">
      <c r="B13" s="80" t="s">
        <v>143</v>
      </c>
      <c r="C13" s="131">
        <f>((Proj_1!$D$7=$B13)*Proj_1!G$59)+((Proj_2!$D$7=$B13)*Proj_2!G$59)+((Proj_3!$D$7=$B13)*Proj_3!G$59)+((Proj_4!$D$7=$B13)*Proj_4!G$59)+((Proj_5!$D$7=$B13)*Proj_5!G$59)+((Proj_6!$D$7=$B13)*Proj_6!G$59)+((Proj_7!$D$7=$B13)*Proj_7!G$59)+((Proj_8!$D$7=$B13)*Proj_8!G$59)+((Proj_9!$D$7=$B13)*Proj_9!G$59)+((Proj_10!$D$7=$B13)*Proj_10!G$59)+((Proj_11!$D$7=$B13)*Proj_11!G$59)+((Proj_12!$D$7=$B13)*Proj_12!G$59)+((Proj_13!$D$7=$B13)*Proj_13!G$59)+((Proj_14!$D$7=$B13)*Proj_14!G$59)+((Proj_15!$D$7=$B13)*Proj_15!G$59)+((Proj_16!$D$7=$B13)*Proj_16!G$59)+((Proj_17!$D$7=$B13)*Proj_17!G$59)+((Proj_18!$D$7=$B13)*Proj_18!G$59)+((Proj_19!$D$7=$B13)*Proj_19!G$59)+((Proj_20!$D$7=$B13)*Proj_20!G$59)+((Proj_21!$D$7=$B13)*Proj_21!G$59)+((Proj_22!$D$7=$B13)*Proj_22!G$59)+((Proj_23!$D$7=$B13)*Proj_23!G$59)+((Proj_24!$D$7=$B13)*Proj_24!G$59)+((Proj_25!$D$7=$B13)*Proj_25!G$59)+((Proj_26!$D$7=$B13)*Proj_26!G$59)+((Proj_27!$D$7=$B13)*Proj_27!G$59)+((Proj_28!$D$7=$B13)*Proj_28!G$59)+((Proj_29!$D$7=$B13)*Proj_29!G$59)+((Proj_30!$D$7=$B13)*Proj_30!G$59)+((Proj_31!$D$7=$B13)*Proj_31!G$59)+((Proj_32!$D$7=$B13)*Proj_32!G$59)+((Proj_33!$D$7=$B13)*Proj_33!G$59)+((Proj_34!$D$7=$B13)*Proj_34!G$59)+((Proj_35!$D$7=$B13)*Proj_35!G$59)+((Proj_36!$D$7=$B13)*Proj_36!G$59)+((Proj_37!$D$7=$B13)*Proj_37!G$59)+((Proj_38!$D$7=$B13)*Proj_38!G$59)+((Proj_39!$D$7=$B13)*Proj_39!G$59)+((Proj_40!$D$7=$B13)*Proj_40!G$59)+((Proj_41!$D$7=$B13)*Proj_41!G$59)+((Proj_42!$D$7=$B13)*Proj_42!G$59)+((Proj_43!$D$7=$B13)*Proj_43!G$59)+((Proj_44!$D$7=$B13)*Proj_44!G$59)+((Proj_45!$D$7=$B13)*Proj_45!G$59)+((Proj_46!$D$7=$B13)*Proj_46!G$59)</f>
        <v>2058.583312924944</v>
      </c>
      <c r="D13" s="131">
        <f>((Proj_1!$D$7=$B13)*Proj_1!H$59)+((Proj_2!$D$7=$B13)*Proj_2!H$59)+((Proj_3!$D$7=$B13)*Proj_3!H$59)+((Proj_4!$D$7=$B13)*Proj_4!H$59)+((Proj_5!$D$7=$B13)*Proj_5!H$59)+((Proj_6!$D$7=$B13)*Proj_6!H$59)+((Proj_7!$D$7=$B13)*Proj_7!H$59)+((Proj_8!$D$7=$B13)*Proj_8!H$59)+((Proj_9!$D$7=$B13)*Proj_9!H$59)+((Proj_10!$D$7=$B13)*Proj_10!H$59)+((Proj_11!$D$7=$B13)*Proj_11!H$59)+((Proj_12!$D$7=$B13)*Proj_12!H$59)+((Proj_13!$D$7=$B13)*Proj_13!H$59)+((Proj_14!$D$7=$B13)*Proj_14!H$59)+((Proj_15!$D$7=$B13)*Proj_15!H$59)+((Proj_16!$D$7=$B13)*Proj_16!H$59)+((Proj_17!$D$7=$B13)*Proj_17!H$59)+((Proj_18!$D$7=$B13)*Proj_18!H$59)+((Proj_19!$D$7=$B13)*Proj_19!H$59)+((Proj_20!$D$7=$B13)*Proj_20!H$59)+((Proj_21!$D$7=$B13)*Proj_21!H$59)+((Proj_22!$D$7=$B13)*Proj_22!H$59)+((Proj_23!$D$7=$B13)*Proj_23!H$59)+((Proj_24!$D$7=$B13)*Proj_24!H$59)+((Proj_25!$D$7=$B13)*Proj_25!H$59)+((Proj_26!$D$7=$B13)*Proj_26!H$59)+((Proj_27!$D$7=$B13)*Proj_27!H$59)+((Proj_28!$D$7=$B13)*Proj_28!H$59)+((Proj_29!$D$7=$B13)*Proj_29!H$59)+((Proj_30!$D$7=$B13)*Proj_30!H$59)+((Proj_31!$D$7=$B13)*Proj_31!H$59)+((Proj_32!$D$7=$B13)*Proj_32!H$59)+((Proj_33!$D$7=$B13)*Proj_33!H$59)+((Proj_34!$D$7=$B13)*Proj_34!H$59)+((Proj_35!$D$7=$B13)*Proj_35!H$59)+((Proj_36!$D$7=$B13)*Proj_36!H$59)+((Proj_37!$D$7=$B13)*Proj_37!H$59)+((Proj_38!$D$7=$B13)*Proj_38!H$59)+((Proj_39!$D$7=$B13)*Proj_39!H$59)+((Proj_40!$D$7=$B13)*Proj_40!H$59)+((Proj_41!$D$7=$B13)*Proj_41!H$59)+((Proj_42!$D$7=$B13)*Proj_42!H$59)+((Proj_43!$D$7=$B13)*Proj_43!H$59)+((Proj_44!$D$7=$B13)*Proj_44!H$59)+((Proj_45!$D$7=$B13)*Proj_45!H$59)+((Proj_46!$D$7=$B13)*Proj_46!H$59)</f>
        <v>2587.5614353020514</v>
      </c>
      <c r="E13" s="193">
        <f>((Proj_1!$D$7=$B13)*Proj_1!I$59)+((Proj_2!$D$7=$B13)*Proj_2!I$59)+((Proj_3!$D$7=$B13)*Proj_3!I$59)+((Proj_4!$D$7=$B13)*Proj_4!I$59)+((Proj_5!$D$7=$B13)*Proj_5!I$59)+((Proj_6!$D$7=$B13)*Proj_6!I$59)+((Proj_7!$D$7=$B13)*Proj_7!I$59)+((Proj_8!$D$7=$B13)*Proj_8!I$59)+((Proj_9!$D$7=$B13)*Proj_9!I$59)+((Proj_10!$D$7=$B13)*Proj_10!I$59)+((Proj_11!$D$7=$B13)*Proj_11!I$59)+((Proj_12!$D$7=$B13)*Proj_12!I$59)+((Proj_13!$D$7=$B13)*Proj_13!I$59)+((Proj_14!$D$7=$B13)*Proj_14!I$59)+((Proj_15!$D$7=$B13)*Proj_15!I$59)+((Proj_16!$D$7=$B13)*Proj_16!I$59)+((Proj_17!$D$7=$B13)*Proj_17!I$59)+((Proj_18!$D$7=$B13)*Proj_18!I$59)+((Proj_19!$D$7=$B13)*Proj_19!I$59)+((Proj_20!$D$7=$B13)*Proj_20!I$59)+((Proj_21!$D$7=$B13)*Proj_21!I$59)+((Proj_22!$D$7=$B13)*Proj_22!I$59)+((Proj_23!$D$7=$B13)*Proj_23!I$59)+((Proj_24!$D$7=$B13)*Proj_24!I$59)+((Proj_25!$D$7=$B13)*Proj_25!I$59)+((Proj_26!$D$7=$B13)*Proj_26!I$59)+((Proj_27!$D$7=$B13)*Proj_27!I$59)+((Proj_28!$D$7=$B13)*Proj_28!I$59)+((Proj_29!$D$7=$B13)*Proj_29!I$59)+((Proj_30!$D$7=$B13)*Proj_30!I$59)+((Proj_31!$D$7=$B13)*Proj_31!I$59)+((Proj_32!$D$7=$B13)*Proj_32!I$59)+((Proj_33!$D$7=$B13)*Proj_33!I$59)+((Proj_34!$D$7=$B13)*Proj_34!I$59)+((Proj_35!$D$7=$B13)*Proj_35!I$59)+((Proj_36!$D$7=$B13)*Proj_36!I$59)+((Proj_37!$D$7=$B13)*Proj_37!I$59)+((Proj_38!$D$7=$B13)*Proj_38!I$59)+((Proj_39!$D$7=$B13)*Proj_39!I$59)+((Proj_40!$D$7=$B13)*Proj_40!I$59)+((Proj_41!$D$7=$B13)*Proj_41!I$59)+((Proj_42!$D$7=$B13)*Proj_42!I$59)+((Proj_43!$D$7=$B13)*Proj_43!I$59)+((Proj_44!$D$7=$B13)*Proj_44!I$59)+((Proj_45!$D$7=$B13)*Proj_45!I$59)+((Proj_46!$D$7=$B13)*Proj_46!I$59)</f>
        <v>2923.3476343865627</v>
      </c>
      <c r="F13" s="193">
        <f>((Proj_1!$D$7=$B13)*Proj_1!J$59)+((Proj_2!$D$7=$B13)*Proj_2!J$59)+((Proj_3!$D$7=$B13)*Proj_3!J$59)+((Proj_4!$D$7=$B13)*Proj_4!J$59)+((Proj_5!$D$7=$B13)*Proj_5!J$59)+((Proj_6!$D$7=$B13)*Proj_6!J$59)+((Proj_7!$D$7=$B13)*Proj_7!J$59)+((Proj_8!$D$7=$B13)*Proj_8!J$59)+((Proj_9!$D$7=$B13)*Proj_9!J$59)+((Proj_10!$D$7=$B13)*Proj_10!J$59)+((Proj_11!$D$7=$B13)*Proj_11!J$59)+((Proj_12!$D$7=$B13)*Proj_12!J$59)+((Proj_13!$D$7=$B13)*Proj_13!J$59)+((Proj_14!$D$7=$B13)*Proj_14!J$59)+((Proj_15!$D$7=$B13)*Proj_15!J$59)+((Proj_16!$D$7=$B13)*Proj_16!J$59)+((Proj_17!$D$7=$B13)*Proj_17!J$59)+((Proj_18!$D$7=$B13)*Proj_18!J$59)+((Proj_19!$D$7=$B13)*Proj_19!J$59)+((Proj_20!$D$7=$B13)*Proj_20!J$59)+((Proj_21!$D$7=$B13)*Proj_21!J$59)+((Proj_22!$D$7=$B13)*Proj_22!J$59)+((Proj_23!$D$7=$B13)*Proj_23!J$59)+((Proj_24!$D$7=$B13)*Proj_24!J$59)+((Proj_25!$D$7=$B13)*Proj_25!J$59)+((Proj_26!$D$7=$B13)*Proj_26!J$59)+((Proj_27!$D$7=$B13)*Proj_27!J$59)+((Proj_28!$D$7=$B13)*Proj_28!J$59)+((Proj_29!$D$7=$B13)*Proj_29!J$59)+((Proj_30!$D$7=$B13)*Proj_30!J$59)+((Proj_31!$D$7=$B13)*Proj_31!J$59)+((Proj_32!$D$7=$B13)*Proj_32!J$59)+((Proj_33!$D$7=$B13)*Proj_33!J$59)+((Proj_34!$D$7=$B13)*Proj_34!J$59)+((Proj_35!$D$7=$B13)*Proj_35!J$59)+((Proj_36!$D$7=$B13)*Proj_36!J$59)+((Proj_37!$D$7=$B13)*Proj_37!J$59)+((Proj_38!$D$7=$B13)*Proj_38!J$59)+((Proj_39!$D$7=$B13)*Proj_39!J$59)+((Proj_40!$D$7=$B13)*Proj_40!J$59)+((Proj_41!$D$7=$B13)*Proj_41!J$59)+((Proj_42!$D$7=$B13)*Proj_42!J$59)+((Proj_43!$D$7=$B13)*Proj_43!J$59)+((Proj_44!$D$7=$B13)*Proj_44!J$59)+((Proj_45!$D$7=$B13)*Proj_45!J$59)+((Proj_46!$D$7=$B13)*Proj_46!J$59)</f>
        <v>2941.1008478565445</v>
      </c>
      <c r="G13" s="193">
        <f>((Proj_1!$D$7=$B13)*Proj_1!K$59)+((Proj_2!$D$7=$B13)*Proj_2!K$59)+((Proj_3!$D$7=$B13)*Proj_3!K$59)+((Proj_4!$D$7=$B13)*Proj_4!K$59)+((Proj_5!$D$7=$B13)*Proj_5!K$59)+((Proj_6!$D$7=$B13)*Proj_6!K$59)+((Proj_7!$D$7=$B13)*Proj_7!K$59)+((Proj_8!$D$7=$B13)*Proj_8!K$59)+((Proj_9!$D$7=$B13)*Proj_9!K$59)+((Proj_10!$D$7=$B13)*Proj_10!K$59)+((Proj_11!$D$7=$B13)*Proj_11!K$59)+((Proj_12!$D$7=$B13)*Proj_12!K$59)+((Proj_13!$D$7=$B13)*Proj_13!K$59)+((Proj_14!$D$7=$B13)*Proj_14!K$59)+((Proj_15!$D$7=$B13)*Proj_15!K$59)+((Proj_16!$D$7=$B13)*Proj_16!K$59)+((Proj_17!$D$7=$B13)*Proj_17!K$59)+((Proj_18!$D$7=$B13)*Proj_18!K$59)+((Proj_19!$D$7=$B13)*Proj_19!K$59)+((Proj_20!$D$7=$B13)*Proj_20!K$59)+((Proj_21!$D$7=$B13)*Proj_21!K$59)+((Proj_22!$D$7=$B13)*Proj_22!K$59)+((Proj_23!$D$7=$B13)*Proj_23!K$59)+((Proj_24!$D$7=$B13)*Proj_24!K$59)+((Proj_25!$D$7=$B13)*Proj_25!K$59)+((Proj_26!$D$7=$B13)*Proj_26!K$59)+((Proj_27!$D$7=$B13)*Proj_27!K$59)+((Proj_28!$D$7=$B13)*Proj_28!K$59)+((Proj_29!$D$7=$B13)*Proj_29!K$59)+((Proj_30!$D$7=$B13)*Proj_30!K$59)+((Proj_31!$D$7=$B13)*Proj_31!K$59)+((Proj_32!$D$7=$B13)*Proj_32!K$59)+((Proj_33!$D$7=$B13)*Proj_33!K$59)+((Proj_34!$D$7=$B13)*Proj_34!K$59)+((Proj_35!$D$7=$B13)*Proj_35!K$59)+((Proj_36!$D$7=$B13)*Proj_36!K$59)+((Proj_37!$D$7=$B13)*Proj_37!K$59)+((Proj_38!$D$7=$B13)*Proj_38!K$59)+((Proj_39!$D$7=$B13)*Proj_39!K$59)+((Proj_40!$D$7=$B13)*Proj_40!K$59)+((Proj_41!$D$7=$B13)*Proj_41!K$59)+((Proj_42!$D$7=$B13)*Proj_42!K$59)+((Proj_43!$D$7=$B13)*Proj_43!K$59)+((Proj_44!$D$7=$B13)*Proj_44!K$59)+((Proj_45!$D$7=$B13)*Proj_45!K$59)+((Proj_46!$D$7=$B13)*Proj_46!K$59)</f>
        <v>2958.5642842096158</v>
      </c>
      <c r="H13" s="193">
        <f>((Proj_1!$D$7=$B13)*Proj_1!L$59)+((Proj_2!$D$7=$B13)*Proj_2!L$59)+((Proj_3!$D$7=$B13)*Proj_3!L$59)+((Proj_4!$D$7=$B13)*Proj_4!L$59)+((Proj_5!$D$7=$B13)*Proj_5!L$59)+((Proj_6!$D$7=$B13)*Proj_6!L$59)+((Proj_7!$D$7=$B13)*Proj_7!L$59)+((Proj_8!$D$7=$B13)*Proj_8!L$59)+((Proj_9!$D$7=$B13)*Proj_9!L$59)+((Proj_10!$D$7=$B13)*Proj_10!L$59)+((Proj_11!$D$7=$B13)*Proj_11!L$59)+((Proj_12!$D$7=$B13)*Proj_12!L$59)+((Proj_13!$D$7=$B13)*Proj_13!L$59)+((Proj_14!$D$7=$B13)*Proj_14!L$59)+((Proj_15!$D$7=$B13)*Proj_15!L$59)+((Proj_16!$D$7=$B13)*Proj_16!L$59)+((Proj_17!$D$7=$B13)*Proj_17!L$59)+((Proj_18!$D$7=$B13)*Proj_18!L$59)+((Proj_19!$D$7=$B13)*Proj_19!L$59)+((Proj_20!$D$7=$B13)*Proj_20!L$59)+((Proj_21!$D$7=$B13)*Proj_21!L$59)+((Proj_22!$D$7=$B13)*Proj_22!L$59)+((Proj_23!$D$7=$B13)*Proj_23!L$59)+((Proj_24!$D$7=$B13)*Proj_24!L$59)+((Proj_25!$D$7=$B13)*Proj_25!L$59)+((Proj_26!$D$7=$B13)*Proj_26!L$59)+((Proj_27!$D$7=$B13)*Proj_27!L$59)+((Proj_28!$D$7=$B13)*Proj_28!L$59)+((Proj_29!$D$7=$B13)*Proj_29!L$59)+((Proj_30!$D$7=$B13)*Proj_30!L$59)+((Proj_31!$D$7=$B13)*Proj_31!L$59)+((Proj_32!$D$7=$B13)*Proj_32!L$59)+((Proj_33!$D$7=$B13)*Proj_33!L$59)+((Proj_34!$D$7=$B13)*Proj_34!L$59)+((Proj_35!$D$7=$B13)*Proj_35!L$59)+((Proj_36!$D$7=$B13)*Proj_36!L$59)+((Proj_37!$D$7=$B13)*Proj_37!L$59)+((Proj_38!$D$7=$B13)*Proj_38!L$59)+((Proj_39!$D$7=$B13)*Proj_39!L$59)+((Proj_40!$D$7=$B13)*Proj_40!L$59)+((Proj_41!$D$7=$B13)*Proj_41!L$59)+((Proj_42!$D$7=$B13)*Proj_42!L$59)+((Proj_43!$D$7=$B13)*Proj_43!L$59)+((Proj_44!$D$7=$B13)*Proj_44!L$59)+((Proj_45!$D$7=$B13)*Proj_45!L$59)+((Proj_46!$D$7=$B13)*Proj_46!L$59)</f>
        <v>2977.6425137068195</v>
      </c>
      <c r="I13" s="193">
        <f>((Proj_1!$D$7=$B13)*Proj_1!M$59)+((Proj_2!$D$7=$B13)*Proj_2!M$59)+((Proj_3!$D$7=$B13)*Proj_3!M$59)+((Proj_4!$D$7=$B13)*Proj_4!M$59)+((Proj_5!$D$7=$B13)*Proj_5!M$59)+((Proj_6!$D$7=$B13)*Proj_6!M$59)+((Proj_7!$D$7=$B13)*Proj_7!M$59)+((Proj_8!$D$7=$B13)*Proj_8!M$59)+((Proj_9!$D$7=$B13)*Proj_9!M$59)+((Proj_10!$D$7=$B13)*Proj_10!M$59)+((Proj_11!$D$7=$B13)*Proj_11!M$59)+((Proj_12!$D$7=$B13)*Proj_12!M$59)+((Proj_13!$D$7=$B13)*Proj_13!M$59)+((Proj_14!$D$7=$B13)*Proj_14!M$59)+((Proj_15!$D$7=$B13)*Proj_15!M$59)+((Proj_16!$D$7=$B13)*Proj_16!M$59)+((Proj_17!$D$7=$B13)*Proj_17!M$59)+((Proj_18!$D$7=$B13)*Proj_18!M$59)+((Proj_19!$D$7=$B13)*Proj_19!M$59)+((Proj_20!$D$7=$B13)*Proj_20!M$59)+((Proj_21!$D$7=$B13)*Proj_21!M$59)+((Proj_22!$D$7=$B13)*Proj_22!M$59)+((Proj_23!$D$7=$B13)*Proj_23!M$59)+((Proj_24!$D$7=$B13)*Proj_24!M$59)+((Proj_25!$D$7=$B13)*Proj_25!M$59)+((Proj_26!$D$7=$B13)*Proj_26!M$59)+((Proj_27!$D$7=$B13)*Proj_27!M$59)+((Proj_28!$D$7=$B13)*Proj_28!M$59)+((Proj_29!$D$7=$B13)*Proj_29!M$59)+((Proj_30!$D$7=$B13)*Proj_30!M$59)+((Proj_31!$D$7=$B13)*Proj_31!M$59)+((Proj_32!$D$7=$B13)*Proj_32!M$59)+((Proj_33!$D$7=$B13)*Proj_33!M$59)+((Proj_34!$D$7=$B13)*Proj_34!M$59)+((Proj_35!$D$7=$B13)*Proj_35!M$59)+((Proj_36!$D$7=$B13)*Proj_36!M$59)+((Proj_37!$D$7=$B13)*Proj_37!M$59)+((Proj_38!$D$7=$B13)*Proj_38!M$59)+((Proj_39!$D$7=$B13)*Proj_39!M$59)+((Proj_40!$D$7=$B13)*Proj_40!M$59)+((Proj_41!$D$7=$B13)*Proj_41!M$59)+((Proj_42!$D$7=$B13)*Proj_42!M$59)+((Proj_43!$D$7=$B13)*Proj_43!M$59)+((Proj_44!$D$7=$B13)*Proj_44!M$59)+((Proj_45!$D$7=$B13)*Proj_45!M$59)+((Proj_46!$D$7=$B13)*Proj_46!M$59)</f>
        <v>2997.3489908191068</v>
      </c>
      <c r="J13" s="131">
        <f>((Proj_1!$D$7=$B13)*Proj_1!N$59)+((Proj_2!$D$7=$B13)*Proj_2!N$59)+((Proj_3!$D$7=$B13)*Proj_3!N$59)+((Proj_4!$D$7=$B13)*Proj_4!N$59)+((Proj_5!$D$7=$B13)*Proj_5!N$59)+((Proj_6!$D$7=$B13)*Proj_6!N$59)+((Proj_7!$D$7=$B13)*Proj_7!N$59)+((Proj_8!$D$7=$B13)*Proj_8!N$59)+((Proj_9!$D$7=$B13)*Proj_9!N$59)+((Proj_10!$D$7=$B13)*Proj_10!N$59)+((Proj_11!$D$7=$B13)*Proj_11!N$59)+((Proj_12!$D$7=$B13)*Proj_12!N$59)+((Proj_13!$D$7=$B13)*Proj_13!N$59)+((Proj_14!$D$7=$B13)*Proj_14!N$59)+((Proj_15!$D$7=$B13)*Proj_15!N$59)+((Proj_16!$D$7=$B13)*Proj_16!N$59)+((Proj_17!$D$7=$B13)*Proj_17!N$59)+((Proj_18!$D$7=$B13)*Proj_18!N$59)+((Proj_19!$D$7=$B13)*Proj_19!N$59)+((Proj_20!$D$7=$B13)*Proj_20!N$59)+((Proj_21!$D$7=$B13)*Proj_21!N$59)+((Proj_22!$D$7=$B13)*Proj_22!N$59)+((Proj_23!$D$7=$B13)*Proj_23!N$59)+((Proj_24!$D$7=$B13)*Proj_24!N$59)+((Proj_25!$D$7=$B13)*Proj_25!N$59)+((Proj_26!$D$7=$B13)*Proj_26!N$59)+((Proj_27!$D$7=$B13)*Proj_27!N$59)+((Proj_28!$D$7=$B13)*Proj_28!N$59)+((Proj_29!$D$7=$B13)*Proj_29!N$59)+((Proj_30!$D$7=$B13)*Proj_30!N$59)+((Proj_31!$D$7=$B13)*Proj_31!N$59)+((Proj_32!$D$7=$B13)*Proj_32!N$59)+((Proj_33!$D$7=$B13)*Proj_33!N$59)+((Proj_34!$D$7=$B13)*Proj_34!N$59)+((Proj_35!$D$7=$B13)*Proj_35!N$59)+((Proj_36!$D$7=$B13)*Proj_36!N$59)+((Proj_37!$D$7=$B13)*Proj_37!N$59)+((Proj_38!$D$7=$B13)*Proj_38!N$59)+((Proj_39!$D$7=$B13)*Proj_39!N$59)+((Proj_40!$D$7=$B13)*Proj_40!N$59)+((Proj_41!$D$7=$B13)*Proj_41!N$59)+((Proj_42!$D$7=$B13)*Proj_42!N$59)+((Proj_43!$D$7=$B13)*Proj_43!N$59)+((Proj_44!$D$7=$B13)*Proj_44!N$59)+((Proj_45!$D$7=$B13)*Proj_45!N$59)+((Proj_46!$D$7=$B13)*Proj_46!N$59)</f>
        <v>0</v>
      </c>
      <c r="K13" s="193">
        <f t="shared" si="2"/>
        <v>14798.00427097865</v>
      </c>
      <c r="M13" s="80" t="s">
        <v>143</v>
      </c>
      <c r="N13" s="144">
        <f t="shared" si="3"/>
        <v>2.0585833129249442</v>
      </c>
      <c r="O13" s="144">
        <f t="shared" si="0"/>
        <v>2.5875614353020513</v>
      </c>
      <c r="P13" s="158">
        <f t="shared" si="1"/>
        <v>2.9233476343865625</v>
      </c>
      <c r="Q13" s="158">
        <f t="shared" si="1"/>
        <v>2.9411008478565446</v>
      </c>
      <c r="R13" s="158">
        <f t="shared" si="1"/>
        <v>2.9585642842096158</v>
      </c>
      <c r="S13" s="158">
        <f t="shared" si="1"/>
        <v>2.9776425137068196</v>
      </c>
      <c r="T13" s="158">
        <f t="shared" si="1"/>
        <v>2.9973489908191069</v>
      </c>
      <c r="U13" s="144">
        <f t="shared" si="4"/>
        <v>0</v>
      </c>
      <c r="V13" s="158">
        <f t="shared" si="5"/>
        <v>14.79800427097865</v>
      </c>
    </row>
    <row r="14" spans="2:22">
      <c r="B14" s="80" t="s">
        <v>144</v>
      </c>
      <c r="C14" s="131">
        <f>((Proj_1!$D$7=$B14)*Proj_1!G$59)+((Proj_2!$D$7=$B14)*Proj_2!G$59)+((Proj_3!$D$7=$B14)*Proj_3!G$59)+((Proj_4!$D$7=$B14)*Proj_4!G$59)+((Proj_5!$D$7=$B14)*Proj_5!G$59)+((Proj_6!$D$7=$B14)*Proj_6!G$59)+((Proj_7!$D$7=$B14)*Proj_7!G$59)+((Proj_8!$D$7=$B14)*Proj_8!G$59)+((Proj_9!$D$7=$B14)*Proj_9!G$59)+((Proj_10!$D$7=$B14)*Proj_10!G$59)+((Proj_11!$D$7=$B14)*Proj_11!G$59)+((Proj_12!$D$7=$B14)*Proj_12!G$59)+((Proj_13!$D$7=$B14)*Proj_13!G$59)+((Proj_14!$D$7=$B14)*Proj_14!G$59)+((Proj_15!$D$7=$B14)*Proj_15!G$59)+((Proj_16!$D$7=$B14)*Proj_16!G$59)+((Proj_17!$D$7=$B14)*Proj_17!G$59)+((Proj_18!$D$7=$B14)*Proj_18!G$59)+((Proj_19!$D$7=$B14)*Proj_19!G$59)+((Proj_20!$D$7=$B14)*Proj_20!G$59)+((Proj_21!$D$7=$B14)*Proj_21!G$59)+((Proj_22!$D$7=$B14)*Proj_22!G$59)+((Proj_23!$D$7=$B14)*Proj_23!G$59)+((Proj_24!$D$7=$B14)*Proj_24!G$59)+((Proj_25!$D$7=$B14)*Proj_25!G$59)+((Proj_26!$D$7=$B14)*Proj_26!G$59)+((Proj_27!$D$7=$B14)*Proj_27!G$59)+((Proj_28!$D$7=$B14)*Proj_28!G$59)+((Proj_29!$D$7=$B14)*Proj_29!G$59)+((Proj_30!$D$7=$B14)*Proj_30!G$59)+((Proj_31!$D$7=$B14)*Proj_31!G$59)+((Proj_32!$D$7=$B14)*Proj_32!G$59)+((Proj_33!$D$7=$B14)*Proj_33!G$59)+((Proj_34!$D$7=$B14)*Proj_34!G$59)+((Proj_35!$D$7=$B14)*Proj_35!G$59)+((Proj_36!$D$7=$B14)*Proj_36!G$59)+((Proj_37!$D$7=$B14)*Proj_37!G$59)+((Proj_38!$D$7=$B14)*Proj_38!G$59)+((Proj_39!$D$7=$B14)*Proj_39!G$59)+((Proj_40!$D$7=$B14)*Proj_40!G$59)+((Proj_41!$D$7=$B14)*Proj_41!G$59)+((Proj_42!$D$7=$B14)*Proj_42!G$59)+((Proj_43!$D$7=$B14)*Proj_43!G$59)+((Proj_44!$D$7=$B14)*Proj_44!G$59)+((Proj_45!$D$7=$B14)*Proj_45!G$59)+((Proj_46!$D$7=$B14)*Proj_46!G$59)</f>
        <v>1398.0264586988101</v>
      </c>
      <c r="D14" s="131">
        <f>((Proj_1!$D$7=$B14)*Proj_1!H$59)+((Proj_2!$D$7=$B14)*Proj_2!H$59)+((Proj_3!$D$7=$B14)*Proj_3!H$59)+((Proj_4!$D$7=$B14)*Proj_4!H$59)+((Proj_5!$D$7=$B14)*Proj_5!H$59)+((Proj_6!$D$7=$B14)*Proj_6!H$59)+((Proj_7!$D$7=$B14)*Proj_7!H$59)+((Proj_8!$D$7=$B14)*Proj_8!H$59)+((Proj_9!$D$7=$B14)*Proj_9!H$59)+((Proj_10!$D$7=$B14)*Proj_10!H$59)+((Proj_11!$D$7=$B14)*Proj_11!H$59)+((Proj_12!$D$7=$B14)*Proj_12!H$59)+((Proj_13!$D$7=$B14)*Proj_13!H$59)+((Proj_14!$D$7=$B14)*Proj_14!H$59)+((Proj_15!$D$7=$B14)*Proj_15!H$59)+((Proj_16!$D$7=$B14)*Proj_16!H$59)+((Proj_17!$D$7=$B14)*Proj_17!H$59)+((Proj_18!$D$7=$B14)*Proj_18!H$59)+((Proj_19!$D$7=$B14)*Proj_19!H$59)+((Proj_20!$D$7=$B14)*Proj_20!H$59)+((Proj_21!$D$7=$B14)*Proj_21!H$59)+((Proj_22!$D$7=$B14)*Proj_22!H$59)+((Proj_23!$D$7=$B14)*Proj_23!H$59)+((Proj_24!$D$7=$B14)*Proj_24!H$59)+((Proj_25!$D$7=$B14)*Proj_25!H$59)+((Proj_26!$D$7=$B14)*Proj_26!H$59)+((Proj_27!$D$7=$B14)*Proj_27!H$59)+((Proj_28!$D$7=$B14)*Proj_28!H$59)+((Proj_29!$D$7=$B14)*Proj_29!H$59)+((Proj_30!$D$7=$B14)*Proj_30!H$59)+((Proj_31!$D$7=$B14)*Proj_31!H$59)+((Proj_32!$D$7=$B14)*Proj_32!H$59)+((Proj_33!$D$7=$B14)*Proj_33!H$59)+((Proj_34!$D$7=$B14)*Proj_34!H$59)+((Proj_35!$D$7=$B14)*Proj_35!H$59)+((Proj_36!$D$7=$B14)*Proj_36!H$59)+((Proj_37!$D$7=$B14)*Proj_37!H$59)+((Proj_38!$D$7=$B14)*Proj_38!H$59)+((Proj_39!$D$7=$B14)*Proj_39!H$59)+((Proj_40!$D$7=$B14)*Proj_40!H$59)+((Proj_41!$D$7=$B14)*Proj_41!H$59)+((Proj_42!$D$7=$B14)*Proj_42!H$59)+((Proj_43!$D$7=$B14)*Proj_43!H$59)+((Proj_44!$D$7=$B14)*Proj_44!H$59)+((Proj_45!$D$7=$B14)*Proj_45!H$59)+((Proj_46!$D$7=$B14)*Proj_46!H$59)</f>
        <v>893.45859820672683</v>
      </c>
      <c r="E14" s="193">
        <f>((Proj_1!$D$7=$B14)*Proj_1!I$59)+((Proj_2!$D$7=$B14)*Proj_2!I$59)+((Proj_3!$D$7=$B14)*Proj_3!I$59)+((Proj_4!$D$7=$B14)*Proj_4!I$59)+((Proj_5!$D$7=$B14)*Proj_5!I$59)+((Proj_6!$D$7=$B14)*Proj_6!I$59)+((Proj_7!$D$7=$B14)*Proj_7!I$59)+((Proj_8!$D$7=$B14)*Proj_8!I$59)+((Proj_9!$D$7=$B14)*Proj_9!I$59)+((Proj_10!$D$7=$B14)*Proj_10!I$59)+((Proj_11!$D$7=$B14)*Proj_11!I$59)+((Proj_12!$D$7=$B14)*Proj_12!I$59)+((Proj_13!$D$7=$B14)*Proj_13!I$59)+((Proj_14!$D$7=$B14)*Proj_14!I$59)+((Proj_15!$D$7=$B14)*Proj_15!I$59)+((Proj_16!$D$7=$B14)*Proj_16!I$59)+((Proj_17!$D$7=$B14)*Proj_17!I$59)+((Proj_18!$D$7=$B14)*Proj_18!I$59)+((Proj_19!$D$7=$B14)*Proj_19!I$59)+((Proj_20!$D$7=$B14)*Proj_20!I$59)+((Proj_21!$D$7=$B14)*Proj_21!I$59)+((Proj_22!$D$7=$B14)*Proj_22!I$59)+((Proj_23!$D$7=$B14)*Proj_23!I$59)+((Proj_24!$D$7=$B14)*Proj_24!I$59)+((Proj_25!$D$7=$B14)*Proj_25!I$59)+((Proj_26!$D$7=$B14)*Proj_26!I$59)+((Proj_27!$D$7=$B14)*Proj_27!I$59)+((Proj_28!$D$7=$B14)*Proj_28!I$59)+((Proj_29!$D$7=$B14)*Proj_29!I$59)+((Proj_30!$D$7=$B14)*Proj_30!I$59)+((Proj_31!$D$7=$B14)*Proj_31!I$59)+((Proj_32!$D$7=$B14)*Proj_32!I$59)+((Proj_33!$D$7=$B14)*Proj_33!I$59)+((Proj_34!$D$7=$B14)*Proj_34!I$59)+((Proj_35!$D$7=$B14)*Proj_35!I$59)+((Proj_36!$D$7=$B14)*Proj_36!I$59)+((Proj_37!$D$7=$B14)*Proj_37!I$59)+((Proj_38!$D$7=$B14)*Proj_38!I$59)+((Proj_39!$D$7=$B14)*Proj_39!I$59)+((Proj_40!$D$7=$B14)*Proj_40!I$59)+((Proj_41!$D$7=$B14)*Proj_41!I$59)+((Proj_42!$D$7=$B14)*Proj_42!I$59)+((Proj_43!$D$7=$B14)*Proj_43!I$59)+((Proj_44!$D$7=$B14)*Proj_44!I$59)+((Proj_45!$D$7=$B14)*Proj_45!I$59)+((Proj_46!$D$7=$B14)*Proj_46!I$59)</f>
        <v>1923.5863548471418</v>
      </c>
      <c r="F14" s="193">
        <f>((Proj_1!$D$7=$B14)*Proj_1!J$59)+((Proj_2!$D$7=$B14)*Proj_2!J$59)+((Proj_3!$D$7=$B14)*Proj_3!J$59)+((Proj_4!$D$7=$B14)*Proj_4!J$59)+((Proj_5!$D$7=$B14)*Proj_5!J$59)+((Proj_6!$D$7=$B14)*Proj_6!J$59)+((Proj_7!$D$7=$B14)*Proj_7!J$59)+((Proj_8!$D$7=$B14)*Proj_8!J$59)+((Proj_9!$D$7=$B14)*Proj_9!J$59)+((Proj_10!$D$7=$B14)*Proj_10!J$59)+((Proj_11!$D$7=$B14)*Proj_11!J$59)+((Proj_12!$D$7=$B14)*Proj_12!J$59)+((Proj_13!$D$7=$B14)*Proj_13!J$59)+((Proj_14!$D$7=$B14)*Proj_14!J$59)+((Proj_15!$D$7=$B14)*Proj_15!J$59)+((Proj_16!$D$7=$B14)*Proj_16!J$59)+((Proj_17!$D$7=$B14)*Proj_17!J$59)+((Proj_18!$D$7=$B14)*Proj_18!J$59)+((Proj_19!$D$7=$B14)*Proj_19!J$59)+((Proj_20!$D$7=$B14)*Proj_20!J$59)+((Proj_21!$D$7=$B14)*Proj_21!J$59)+((Proj_22!$D$7=$B14)*Proj_22!J$59)+((Proj_23!$D$7=$B14)*Proj_23!J$59)+((Proj_24!$D$7=$B14)*Proj_24!J$59)+((Proj_25!$D$7=$B14)*Proj_25!J$59)+((Proj_26!$D$7=$B14)*Proj_26!J$59)+((Proj_27!$D$7=$B14)*Proj_27!J$59)+((Proj_28!$D$7=$B14)*Proj_28!J$59)+((Proj_29!$D$7=$B14)*Proj_29!J$59)+((Proj_30!$D$7=$B14)*Proj_30!J$59)+((Proj_31!$D$7=$B14)*Proj_31!J$59)+((Proj_32!$D$7=$B14)*Proj_32!J$59)+((Proj_33!$D$7=$B14)*Proj_33!J$59)+((Proj_34!$D$7=$B14)*Proj_34!J$59)+((Proj_35!$D$7=$B14)*Proj_35!J$59)+((Proj_36!$D$7=$B14)*Proj_36!J$59)+((Proj_37!$D$7=$B14)*Proj_37!J$59)+((Proj_38!$D$7=$B14)*Proj_38!J$59)+((Proj_39!$D$7=$B14)*Proj_39!J$59)+((Proj_40!$D$7=$B14)*Proj_40!J$59)+((Proj_41!$D$7=$B14)*Proj_41!J$59)+((Proj_42!$D$7=$B14)*Proj_42!J$59)+((Proj_43!$D$7=$B14)*Proj_43!J$59)+((Proj_44!$D$7=$B14)*Proj_44!J$59)+((Proj_45!$D$7=$B14)*Proj_45!J$59)+((Proj_46!$D$7=$B14)*Proj_46!J$59)</f>
        <v>1518.6098221472712</v>
      </c>
      <c r="G14" s="193">
        <f>((Proj_1!$D$7=$B14)*Proj_1!K$59)+((Proj_2!$D$7=$B14)*Proj_2!K$59)+((Proj_3!$D$7=$B14)*Proj_3!K$59)+((Proj_4!$D$7=$B14)*Proj_4!K$59)+((Proj_5!$D$7=$B14)*Proj_5!K$59)+((Proj_6!$D$7=$B14)*Proj_6!K$59)+((Proj_7!$D$7=$B14)*Proj_7!K$59)+((Proj_8!$D$7=$B14)*Proj_8!K$59)+((Proj_9!$D$7=$B14)*Proj_9!K$59)+((Proj_10!$D$7=$B14)*Proj_10!K$59)+((Proj_11!$D$7=$B14)*Proj_11!K$59)+((Proj_12!$D$7=$B14)*Proj_12!K$59)+((Proj_13!$D$7=$B14)*Proj_13!K$59)+((Proj_14!$D$7=$B14)*Proj_14!K$59)+((Proj_15!$D$7=$B14)*Proj_15!K$59)+((Proj_16!$D$7=$B14)*Proj_16!K$59)+((Proj_17!$D$7=$B14)*Proj_17!K$59)+((Proj_18!$D$7=$B14)*Proj_18!K$59)+((Proj_19!$D$7=$B14)*Proj_19!K$59)+((Proj_20!$D$7=$B14)*Proj_20!K$59)+((Proj_21!$D$7=$B14)*Proj_21!K$59)+((Proj_22!$D$7=$B14)*Proj_22!K$59)+((Proj_23!$D$7=$B14)*Proj_23!K$59)+((Proj_24!$D$7=$B14)*Proj_24!K$59)+((Proj_25!$D$7=$B14)*Proj_25!K$59)+((Proj_26!$D$7=$B14)*Proj_26!K$59)+((Proj_27!$D$7=$B14)*Proj_27!K$59)+((Proj_28!$D$7=$B14)*Proj_28!K$59)+((Proj_29!$D$7=$B14)*Proj_29!K$59)+((Proj_30!$D$7=$B14)*Proj_30!K$59)+((Proj_31!$D$7=$B14)*Proj_31!K$59)+((Proj_32!$D$7=$B14)*Proj_32!K$59)+((Proj_33!$D$7=$B14)*Proj_33!K$59)+((Proj_34!$D$7=$B14)*Proj_34!K$59)+((Proj_35!$D$7=$B14)*Proj_35!K$59)+((Proj_36!$D$7=$B14)*Proj_36!K$59)+((Proj_37!$D$7=$B14)*Proj_37!K$59)+((Proj_38!$D$7=$B14)*Proj_38!K$59)+((Proj_39!$D$7=$B14)*Proj_39!K$59)+((Proj_40!$D$7=$B14)*Proj_40!K$59)+((Proj_41!$D$7=$B14)*Proj_41!K$59)+((Proj_42!$D$7=$B14)*Proj_42!K$59)+((Proj_43!$D$7=$B14)*Proj_43!K$59)+((Proj_44!$D$7=$B14)*Proj_44!K$59)+((Proj_45!$D$7=$B14)*Proj_45!K$59)+((Proj_46!$D$7=$B14)*Proj_46!K$59)</f>
        <v>2106.691253372147</v>
      </c>
      <c r="H14" s="193">
        <f>((Proj_1!$D$7=$B14)*Proj_1!L$59)+((Proj_2!$D$7=$B14)*Proj_2!L$59)+((Proj_3!$D$7=$B14)*Proj_3!L$59)+((Proj_4!$D$7=$B14)*Proj_4!L$59)+((Proj_5!$D$7=$B14)*Proj_5!L$59)+((Proj_6!$D$7=$B14)*Proj_6!L$59)+((Proj_7!$D$7=$B14)*Proj_7!L$59)+((Proj_8!$D$7=$B14)*Proj_8!L$59)+((Proj_9!$D$7=$B14)*Proj_9!L$59)+((Proj_10!$D$7=$B14)*Proj_10!L$59)+((Proj_11!$D$7=$B14)*Proj_11!L$59)+((Proj_12!$D$7=$B14)*Proj_12!L$59)+((Proj_13!$D$7=$B14)*Proj_13!L$59)+((Proj_14!$D$7=$B14)*Proj_14!L$59)+((Proj_15!$D$7=$B14)*Proj_15!L$59)+((Proj_16!$D$7=$B14)*Proj_16!L$59)+((Proj_17!$D$7=$B14)*Proj_17!L$59)+((Proj_18!$D$7=$B14)*Proj_18!L$59)+((Proj_19!$D$7=$B14)*Proj_19!L$59)+((Proj_20!$D$7=$B14)*Proj_20!L$59)+((Proj_21!$D$7=$B14)*Proj_21!L$59)+((Proj_22!$D$7=$B14)*Proj_22!L$59)+((Proj_23!$D$7=$B14)*Proj_23!L$59)+((Proj_24!$D$7=$B14)*Proj_24!L$59)+((Proj_25!$D$7=$B14)*Proj_25!L$59)+((Proj_26!$D$7=$B14)*Proj_26!L$59)+((Proj_27!$D$7=$B14)*Proj_27!L$59)+((Proj_28!$D$7=$B14)*Proj_28!L$59)+((Proj_29!$D$7=$B14)*Proj_29!L$59)+((Proj_30!$D$7=$B14)*Proj_30!L$59)+((Proj_31!$D$7=$B14)*Proj_31!L$59)+((Proj_32!$D$7=$B14)*Proj_32!L$59)+((Proj_33!$D$7=$B14)*Proj_33!L$59)+((Proj_34!$D$7=$B14)*Proj_34!L$59)+((Proj_35!$D$7=$B14)*Proj_35!L$59)+((Proj_36!$D$7=$B14)*Proj_36!L$59)+((Proj_37!$D$7=$B14)*Proj_37!L$59)+((Proj_38!$D$7=$B14)*Proj_38!L$59)+((Proj_39!$D$7=$B14)*Proj_39!L$59)+((Proj_40!$D$7=$B14)*Proj_40!L$59)+((Proj_41!$D$7=$B14)*Proj_41!L$59)+((Proj_42!$D$7=$B14)*Proj_42!L$59)+((Proj_43!$D$7=$B14)*Proj_43!L$59)+((Proj_44!$D$7=$B14)*Proj_44!L$59)+((Proj_45!$D$7=$B14)*Proj_45!L$59)+((Proj_46!$D$7=$B14)*Proj_46!L$59)</f>
        <v>1780.5879714728894</v>
      </c>
      <c r="I14" s="193">
        <f>((Proj_1!$D$7=$B14)*Proj_1!M$59)+((Proj_2!$D$7=$B14)*Proj_2!M$59)+((Proj_3!$D$7=$B14)*Proj_3!M$59)+((Proj_4!$D$7=$B14)*Proj_4!M$59)+((Proj_5!$D$7=$B14)*Proj_5!M$59)+((Proj_6!$D$7=$B14)*Proj_6!M$59)+((Proj_7!$D$7=$B14)*Proj_7!M$59)+((Proj_8!$D$7=$B14)*Proj_8!M$59)+((Proj_9!$D$7=$B14)*Proj_9!M$59)+((Proj_10!$D$7=$B14)*Proj_10!M$59)+((Proj_11!$D$7=$B14)*Proj_11!M$59)+((Proj_12!$D$7=$B14)*Proj_12!M$59)+((Proj_13!$D$7=$B14)*Proj_13!M$59)+((Proj_14!$D$7=$B14)*Proj_14!M$59)+((Proj_15!$D$7=$B14)*Proj_15!M$59)+((Proj_16!$D$7=$B14)*Proj_16!M$59)+((Proj_17!$D$7=$B14)*Proj_17!M$59)+((Proj_18!$D$7=$B14)*Proj_18!M$59)+((Proj_19!$D$7=$B14)*Proj_19!M$59)+((Proj_20!$D$7=$B14)*Proj_20!M$59)+((Proj_21!$D$7=$B14)*Proj_21!M$59)+((Proj_22!$D$7=$B14)*Proj_22!M$59)+((Proj_23!$D$7=$B14)*Proj_23!M$59)+((Proj_24!$D$7=$B14)*Proj_24!M$59)+((Proj_25!$D$7=$B14)*Proj_25!M$59)+((Proj_26!$D$7=$B14)*Proj_26!M$59)+((Proj_27!$D$7=$B14)*Proj_27!M$59)+((Proj_28!$D$7=$B14)*Proj_28!M$59)+((Proj_29!$D$7=$B14)*Proj_29!M$59)+((Proj_30!$D$7=$B14)*Proj_30!M$59)+((Proj_31!$D$7=$B14)*Proj_31!M$59)+((Proj_32!$D$7=$B14)*Proj_32!M$59)+((Proj_33!$D$7=$B14)*Proj_33!M$59)+((Proj_34!$D$7=$B14)*Proj_34!M$59)+((Proj_35!$D$7=$B14)*Proj_35!M$59)+((Proj_36!$D$7=$B14)*Proj_36!M$59)+((Proj_37!$D$7=$B14)*Proj_37!M$59)+((Proj_38!$D$7=$B14)*Proj_38!M$59)+((Proj_39!$D$7=$B14)*Proj_39!M$59)+((Proj_40!$D$7=$B14)*Proj_40!M$59)+((Proj_41!$D$7=$B14)*Proj_41!M$59)+((Proj_42!$D$7=$B14)*Proj_42!M$59)+((Proj_43!$D$7=$B14)*Proj_43!M$59)+((Proj_44!$D$7=$B14)*Proj_44!M$59)+((Proj_45!$D$7=$B14)*Proj_45!M$59)+((Proj_46!$D$7=$B14)*Proj_46!M$59)</f>
        <v>1792.3721651579008</v>
      </c>
      <c r="J14" s="131">
        <f>((Proj_1!$D$7=$B14)*Proj_1!N$59)+((Proj_2!$D$7=$B14)*Proj_2!N$59)+((Proj_3!$D$7=$B14)*Proj_3!N$59)+((Proj_4!$D$7=$B14)*Proj_4!N$59)+((Proj_5!$D$7=$B14)*Proj_5!N$59)+((Proj_6!$D$7=$B14)*Proj_6!N$59)+((Proj_7!$D$7=$B14)*Proj_7!N$59)+((Proj_8!$D$7=$B14)*Proj_8!N$59)+((Proj_9!$D$7=$B14)*Proj_9!N$59)+((Proj_10!$D$7=$B14)*Proj_10!N$59)+((Proj_11!$D$7=$B14)*Proj_11!N$59)+((Proj_12!$D$7=$B14)*Proj_12!N$59)+((Proj_13!$D$7=$B14)*Proj_13!N$59)+((Proj_14!$D$7=$B14)*Proj_14!N$59)+((Proj_15!$D$7=$B14)*Proj_15!N$59)+((Proj_16!$D$7=$B14)*Proj_16!N$59)+((Proj_17!$D$7=$B14)*Proj_17!N$59)+((Proj_18!$D$7=$B14)*Proj_18!N$59)+((Proj_19!$D$7=$B14)*Proj_19!N$59)+((Proj_20!$D$7=$B14)*Proj_20!N$59)+((Proj_21!$D$7=$B14)*Proj_21!N$59)+((Proj_22!$D$7=$B14)*Proj_22!N$59)+((Proj_23!$D$7=$B14)*Proj_23!N$59)+((Proj_24!$D$7=$B14)*Proj_24!N$59)+((Proj_25!$D$7=$B14)*Proj_25!N$59)+((Proj_26!$D$7=$B14)*Proj_26!N$59)+((Proj_27!$D$7=$B14)*Proj_27!N$59)+((Proj_28!$D$7=$B14)*Proj_28!N$59)+((Proj_29!$D$7=$B14)*Proj_29!N$59)+((Proj_30!$D$7=$B14)*Proj_30!N$59)+((Proj_31!$D$7=$B14)*Proj_31!N$59)+((Proj_32!$D$7=$B14)*Proj_32!N$59)+((Proj_33!$D$7=$B14)*Proj_33!N$59)+((Proj_34!$D$7=$B14)*Proj_34!N$59)+((Proj_35!$D$7=$B14)*Proj_35!N$59)+((Proj_36!$D$7=$B14)*Proj_36!N$59)+((Proj_37!$D$7=$B14)*Proj_37!N$59)+((Proj_38!$D$7=$B14)*Proj_38!N$59)+((Proj_39!$D$7=$B14)*Proj_39!N$59)+((Proj_40!$D$7=$B14)*Proj_40!N$59)+((Proj_41!$D$7=$B14)*Proj_41!N$59)+((Proj_42!$D$7=$B14)*Proj_42!N$59)+((Proj_43!$D$7=$B14)*Proj_43!N$59)+((Proj_44!$D$7=$B14)*Proj_44!N$59)+((Proj_45!$D$7=$B14)*Proj_45!N$59)+((Proj_46!$D$7=$B14)*Proj_46!N$59)</f>
        <v>0</v>
      </c>
      <c r="K14" s="193">
        <f t="shared" si="2"/>
        <v>9121.8475669973486</v>
      </c>
      <c r="M14" s="80" t="s">
        <v>144</v>
      </c>
      <c r="N14" s="144">
        <f t="shared" si="3"/>
        <v>1.39802645869881</v>
      </c>
      <c r="O14" s="144">
        <f t="shared" si="0"/>
        <v>0.8934585982067268</v>
      </c>
      <c r="P14" s="158">
        <f t="shared" si="1"/>
        <v>1.9235863548471419</v>
      </c>
      <c r="Q14" s="158">
        <f t="shared" si="1"/>
        <v>1.5186098221472712</v>
      </c>
      <c r="R14" s="158">
        <f t="shared" si="1"/>
        <v>2.1066912533721469</v>
      </c>
      <c r="S14" s="158">
        <f t="shared" si="1"/>
        <v>1.7805879714728894</v>
      </c>
      <c r="T14" s="158">
        <f t="shared" si="1"/>
        <v>1.7923721651579008</v>
      </c>
      <c r="U14" s="144">
        <f t="shared" si="4"/>
        <v>0</v>
      </c>
      <c r="V14" s="158">
        <f t="shared" si="5"/>
        <v>9.1218475669973493</v>
      </c>
    </row>
    <row r="15" spans="2:22">
      <c r="B15" s="80" t="s">
        <v>145</v>
      </c>
      <c r="C15" s="131">
        <f>((Proj_1!$D$7=$B15)*Proj_1!G$59)+((Proj_2!$D$7=$B15)*Proj_2!G$59)+((Proj_3!$D$7=$B15)*Proj_3!G$59)+((Proj_4!$D$7=$B15)*Proj_4!G$59)+((Proj_5!$D$7=$B15)*Proj_5!G$59)+((Proj_6!$D$7=$B15)*Proj_6!G$59)+((Proj_7!$D$7=$B15)*Proj_7!G$59)+((Proj_8!$D$7=$B15)*Proj_8!G$59)+((Proj_9!$D$7=$B15)*Proj_9!G$59)+((Proj_10!$D$7=$B15)*Proj_10!G$59)+((Proj_11!$D$7=$B15)*Proj_11!G$59)+((Proj_12!$D$7=$B15)*Proj_12!G$59)+((Proj_13!$D$7=$B15)*Proj_13!G$59)+((Proj_14!$D$7=$B15)*Proj_14!G$59)+((Proj_15!$D$7=$B15)*Proj_15!G$59)+((Proj_16!$D$7=$B15)*Proj_16!G$59)+((Proj_17!$D$7=$B15)*Proj_17!G$59)+((Proj_18!$D$7=$B15)*Proj_18!G$59)+((Proj_19!$D$7=$B15)*Proj_19!G$59)+((Proj_20!$D$7=$B15)*Proj_20!G$59)+((Proj_21!$D$7=$B15)*Proj_21!G$59)+((Proj_22!$D$7=$B15)*Proj_22!G$59)+((Proj_23!$D$7=$B15)*Proj_23!G$59)+((Proj_24!$D$7=$B15)*Proj_24!G$59)+((Proj_25!$D$7=$B15)*Proj_25!G$59)+((Proj_26!$D$7=$B15)*Proj_26!G$59)+((Proj_27!$D$7=$B15)*Proj_27!G$59)+((Proj_28!$D$7=$B15)*Proj_28!G$59)+((Proj_29!$D$7=$B15)*Proj_29!G$59)+((Proj_30!$D$7=$B15)*Proj_30!G$59)+((Proj_31!$D$7=$B15)*Proj_31!G$59)+((Proj_32!$D$7=$B15)*Proj_32!G$59)+((Proj_33!$D$7=$B15)*Proj_33!G$59)+((Proj_34!$D$7=$B15)*Proj_34!G$59)+((Proj_35!$D$7=$B15)*Proj_35!G$59)+((Proj_36!$D$7=$B15)*Proj_36!G$59)+((Proj_37!$D$7=$B15)*Proj_37!G$59)+((Proj_38!$D$7=$B15)*Proj_38!G$59)+((Proj_39!$D$7=$B15)*Proj_39!G$59)+((Proj_40!$D$7=$B15)*Proj_40!G$59)+((Proj_41!$D$7=$B15)*Proj_41!G$59)+((Proj_42!$D$7=$B15)*Proj_42!G$59)+((Proj_43!$D$7=$B15)*Proj_43!G$59)+((Proj_44!$D$7=$B15)*Proj_44!G$59)+((Proj_45!$D$7=$B15)*Proj_45!G$59)+((Proj_46!$D$7=$B15)*Proj_46!G$59)</f>
        <v>2765.9766805265031</v>
      </c>
      <c r="D15" s="131">
        <f>((Proj_1!$D$7=$B15)*Proj_1!H$59)+((Proj_2!$D$7=$B15)*Proj_2!H$59)+((Proj_3!$D$7=$B15)*Proj_3!H$59)+((Proj_4!$D$7=$B15)*Proj_4!H$59)+((Proj_5!$D$7=$B15)*Proj_5!H$59)+((Proj_6!$D$7=$B15)*Proj_6!H$59)+((Proj_7!$D$7=$B15)*Proj_7!H$59)+((Proj_8!$D$7=$B15)*Proj_8!H$59)+((Proj_9!$D$7=$B15)*Proj_9!H$59)+((Proj_10!$D$7=$B15)*Proj_10!H$59)+((Proj_11!$D$7=$B15)*Proj_11!H$59)+((Proj_12!$D$7=$B15)*Proj_12!H$59)+((Proj_13!$D$7=$B15)*Proj_13!H$59)+((Proj_14!$D$7=$B15)*Proj_14!H$59)+((Proj_15!$D$7=$B15)*Proj_15!H$59)+((Proj_16!$D$7=$B15)*Proj_16!H$59)+((Proj_17!$D$7=$B15)*Proj_17!H$59)+((Proj_18!$D$7=$B15)*Proj_18!H$59)+((Proj_19!$D$7=$B15)*Proj_19!H$59)+((Proj_20!$D$7=$B15)*Proj_20!H$59)+((Proj_21!$D$7=$B15)*Proj_21!H$59)+((Proj_22!$D$7=$B15)*Proj_22!H$59)+((Proj_23!$D$7=$B15)*Proj_23!H$59)+((Proj_24!$D$7=$B15)*Proj_24!H$59)+((Proj_25!$D$7=$B15)*Proj_25!H$59)+((Proj_26!$D$7=$B15)*Proj_26!H$59)+((Proj_27!$D$7=$B15)*Proj_27!H$59)+((Proj_28!$D$7=$B15)*Proj_28!H$59)+((Proj_29!$D$7=$B15)*Proj_29!H$59)+((Proj_30!$D$7=$B15)*Proj_30!H$59)+((Proj_31!$D$7=$B15)*Proj_31!H$59)+((Proj_32!$D$7=$B15)*Proj_32!H$59)+((Proj_33!$D$7=$B15)*Proj_33!H$59)+((Proj_34!$D$7=$B15)*Proj_34!H$59)+((Proj_35!$D$7=$B15)*Proj_35!H$59)+((Proj_36!$D$7=$B15)*Proj_36!H$59)+((Proj_37!$D$7=$B15)*Proj_37!H$59)+((Proj_38!$D$7=$B15)*Proj_38!H$59)+((Proj_39!$D$7=$B15)*Proj_39!H$59)+((Proj_40!$D$7=$B15)*Proj_40!H$59)+((Proj_41!$D$7=$B15)*Proj_41!H$59)+((Proj_42!$D$7=$B15)*Proj_42!H$59)+((Proj_43!$D$7=$B15)*Proj_43!H$59)+((Proj_44!$D$7=$B15)*Proj_44!H$59)+((Proj_45!$D$7=$B15)*Proj_45!H$59)+((Proj_46!$D$7=$B15)*Proj_46!H$59)</f>
        <v>530.03546210632169</v>
      </c>
      <c r="E15" s="193">
        <f>((Proj_1!$D$7=$B15)*Proj_1!I$59)+((Proj_2!$D$7=$B15)*Proj_2!I$59)+((Proj_3!$D$7=$B15)*Proj_3!I$59)+((Proj_4!$D$7=$B15)*Proj_4!I$59)+((Proj_5!$D$7=$B15)*Proj_5!I$59)+((Proj_6!$D$7=$B15)*Proj_6!I$59)+((Proj_7!$D$7=$B15)*Proj_7!I$59)+((Proj_8!$D$7=$B15)*Proj_8!I$59)+((Proj_9!$D$7=$B15)*Proj_9!I$59)+((Proj_10!$D$7=$B15)*Proj_10!I$59)+((Proj_11!$D$7=$B15)*Proj_11!I$59)+((Proj_12!$D$7=$B15)*Proj_12!I$59)+((Proj_13!$D$7=$B15)*Proj_13!I$59)+((Proj_14!$D$7=$B15)*Proj_14!I$59)+((Proj_15!$D$7=$B15)*Proj_15!I$59)+((Proj_16!$D$7=$B15)*Proj_16!I$59)+((Proj_17!$D$7=$B15)*Proj_17!I$59)+((Proj_18!$D$7=$B15)*Proj_18!I$59)+((Proj_19!$D$7=$B15)*Proj_19!I$59)+((Proj_20!$D$7=$B15)*Proj_20!I$59)+((Proj_21!$D$7=$B15)*Proj_21!I$59)+((Proj_22!$D$7=$B15)*Proj_22!I$59)+((Proj_23!$D$7=$B15)*Proj_23!I$59)+((Proj_24!$D$7=$B15)*Proj_24!I$59)+((Proj_25!$D$7=$B15)*Proj_25!I$59)+((Proj_26!$D$7=$B15)*Proj_26!I$59)+((Proj_27!$D$7=$B15)*Proj_27!I$59)+((Proj_28!$D$7=$B15)*Proj_28!I$59)+((Proj_29!$D$7=$B15)*Proj_29!I$59)+((Proj_30!$D$7=$B15)*Proj_30!I$59)+((Proj_31!$D$7=$B15)*Proj_31!I$59)+((Proj_32!$D$7=$B15)*Proj_32!I$59)+((Proj_33!$D$7=$B15)*Proj_33!I$59)+((Proj_34!$D$7=$B15)*Proj_34!I$59)+((Proj_35!$D$7=$B15)*Proj_35!I$59)+((Proj_36!$D$7=$B15)*Proj_36!I$59)+((Proj_37!$D$7=$B15)*Proj_37!I$59)+((Proj_38!$D$7=$B15)*Proj_38!I$59)+((Proj_39!$D$7=$B15)*Proj_39!I$59)+((Proj_40!$D$7=$B15)*Proj_40!I$59)+((Proj_41!$D$7=$B15)*Proj_41!I$59)+((Proj_42!$D$7=$B15)*Proj_42!I$59)+((Proj_43!$D$7=$B15)*Proj_43!I$59)+((Proj_44!$D$7=$B15)*Proj_44!I$59)+((Proj_45!$D$7=$B15)*Proj_45!I$59)+((Proj_46!$D$7=$B15)*Proj_46!I$59)</f>
        <v>219.35117264934473</v>
      </c>
      <c r="F15" s="193">
        <f>((Proj_1!$D$7=$B15)*Proj_1!J$59)+((Proj_2!$D$7=$B15)*Proj_2!J$59)+((Proj_3!$D$7=$B15)*Proj_3!J$59)+((Proj_4!$D$7=$B15)*Proj_4!J$59)+((Proj_5!$D$7=$B15)*Proj_5!J$59)+((Proj_6!$D$7=$B15)*Proj_6!J$59)+((Proj_7!$D$7=$B15)*Proj_7!J$59)+((Proj_8!$D$7=$B15)*Proj_8!J$59)+((Proj_9!$D$7=$B15)*Proj_9!J$59)+((Proj_10!$D$7=$B15)*Proj_10!J$59)+((Proj_11!$D$7=$B15)*Proj_11!J$59)+((Proj_12!$D$7=$B15)*Proj_12!J$59)+((Proj_13!$D$7=$B15)*Proj_13!J$59)+((Proj_14!$D$7=$B15)*Proj_14!J$59)+((Proj_15!$D$7=$B15)*Proj_15!J$59)+((Proj_16!$D$7=$B15)*Proj_16!J$59)+((Proj_17!$D$7=$B15)*Proj_17!J$59)+((Proj_18!$D$7=$B15)*Proj_18!J$59)+((Proj_19!$D$7=$B15)*Proj_19!J$59)+((Proj_20!$D$7=$B15)*Proj_20!J$59)+((Proj_21!$D$7=$B15)*Proj_21!J$59)+((Proj_22!$D$7=$B15)*Proj_22!J$59)+((Proj_23!$D$7=$B15)*Proj_23!J$59)+((Proj_24!$D$7=$B15)*Proj_24!J$59)+((Proj_25!$D$7=$B15)*Proj_25!J$59)+((Proj_26!$D$7=$B15)*Proj_26!J$59)+((Proj_27!$D$7=$B15)*Proj_27!J$59)+((Proj_28!$D$7=$B15)*Proj_28!J$59)+((Proj_29!$D$7=$B15)*Proj_29!J$59)+((Proj_30!$D$7=$B15)*Proj_30!J$59)+((Proj_31!$D$7=$B15)*Proj_31!J$59)+((Proj_32!$D$7=$B15)*Proj_32!J$59)+((Proj_33!$D$7=$B15)*Proj_33!J$59)+((Proj_34!$D$7=$B15)*Proj_34!J$59)+((Proj_35!$D$7=$B15)*Proj_35!J$59)+((Proj_36!$D$7=$B15)*Proj_36!J$59)+((Proj_37!$D$7=$B15)*Proj_37!J$59)+((Proj_38!$D$7=$B15)*Proj_38!J$59)+((Proj_39!$D$7=$B15)*Proj_39!J$59)+((Proj_40!$D$7=$B15)*Proj_40!J$59)+((Proj_41!$D$7=$B15)*Proj_41!J$59)+((Proj_42!$D$7=$B15)*Proj_42!J$59)+((Proj_43!$D$7=$B15)*Proj_43!J$59)+((Proj_44!$D$7=$B15)*Proj_44!J$59)+((Proj_45!$D$7=$B15)*Proj_45!J$59)+((Proj_46!$D$7=$B15)*Proj_46!J$59)</f>
        <v>595.63761886669204</v>
      </c>
      <c r="G15" s="193">
        <f>((Proj_1!$D$7=$B15)*Proj_1!K$59)+((Proj_2!$D$7=$B15)*Proj_2!K$59)+((Proj_3!$D$7=$B15)*Proj_3!K$59)+((Proj_4!$D$7=$B15)*Proj_4!K$59)+((Proj_5!$D$7=$B15)*Proj_5!K$59)+((Proj_6!$D$7=$B15)*Proj_6!K$59)+((Proj_7!$D$7=$B15)*Proj_7!K$59)+((Proj_8!$D$7=$B15)*Proj_8!K$59)+((Proj_9!$D$7=$B15)*Proj_9!K$59)+((Proj_10!$D$7=$B15)*Proj_10!K$59)+((Proj_11!$D$7=$B15)*Proj_11!K$59)+((Proj_12!$D$7=$B15)*Proj_12!K$59)+((Proj_13!$D$7=$B15)*Proj_13!K$59)+((Proj_14!$D$7=$B15)*Proj_14!K$59)+((Proj_15!$D$7=$B15)*Proj_15!K$59)+((Proj_16!$D$7=$B15)*Proj_16!K$59)+((Proj_17!$D$7=$B15)*Proj_17!K$59)+((Proj_18!$D$7=$B15)*Proj_18!K$59)+((Proj_19!$D$7=$B15)*Proj_19!K$59)+((Proj_20!$D$7=$B15)*Proj_20!K$59)+((Proj_21!$D$7=$B15)*Proj_21!K$59)+((Proj_22!$D$7=$B15)*Proj_22!K$59)+((Proj_23!$D$7=$B15)*Proj_23!K$59)+((Proj_24!$D$7=$B15)*Proj_24!K$59)+((Proj_25!$D$7=$B15)*Proj_25!K$59)+((Proj_26!$D$7=$B15)*Proj_26!K$59)+((Proj_27!$D$7=$B15)*Proj_27!K$59)+((Proj_28!$D$7=$B15)*Proj_28!K$59)+((Proj_29!$D$7=$B15)*Proj_29!K$59)+((Proj_30!$D$7=$B15)*Proj_30!K$59)+((Proj_31!$D$7=$B15)*Proj_31!K$59)+((Proj_32!$D$7=$B15)*Proj_32!K$59)+((Proj_33!$D$7=$B15)*Proj_33!K$59)+((Proj_34!$D$7=$B15)*Proj_34!K$59)+((Proj_35!$D$7=$B15)*Proj_35!K$59)+((Proj_36!$D$7=$B15)*Proj_36!K$59)+((Proj_37!$D$7=$B15)*Proj_37!K$59)+((Proj_38!$D$7=$B15)*Proj_38!K$59)+((Proj_39!$D$7=$B15)*Proj_39!K$59)+((Proj_40!$D$7=$B15)*Proj_40!K$59)+((Proj_41!$D$7=$B15)*Proj_41!K$59)+((Proj_42!$D$7=$B15)*Proj_42!K$59)+((Proj_43!$D$7=$B15)*Proj_43!K$59)+((Proj_44!$D$7=$B15)*Proj_44!K$59)+((Proj_45!$D$7=$B15)*Proj_45!K$59)+((Proj_46!$D$7=$B15)*Proj_46!K$59)</f>
        <v>95.624015498209658</v>
      </c>
      <c r="H15" s="193">
        <f>((Proj_1!$D$7=$B15)*Proj_1!L$59)+((Proj_2!$D$7=$B15)*Proj_2!L$59)+((Proj_3!$D$7=$B15)*Proj_3!L$59)+((Proj_4!$D$7=$B15)*Proj_4!L$59)+((Proj_5!$D$7=$B15)*Proj_5!L$59)+((Proj_6!$D$7=$B15)*Proj_6!L$59)+((Proj_7!$D$7=$B15)*Proj_7!L$59)+((Proj_8!$D$7=$B15)*Proj_8!L$59)+((Proj_9!$D$7=$B15)*Proj_9!L$59)+((Proj_10!$D$7=$B15)*Proj_10!L$59)+((Proj_11!$D$7=$B15)*Proj_11!L$59)+((Proj_12!$D$7=$B15)*Proj_12!L$59)+((Proj_13!$D$7=$B15)*Proj_13!L$59)+((Proj_14!$D$7=$B15)*Proj_14!L$59)+((Proj_15!$D$7=$B15)*Proj_15!L$59)+((Proj_16!$D$7=$B15)*Proj_16!L$59)+((Proj_17!$D$7=$B15)*Proj_17!L$59)+((Proj_18!$D$7=$B15)*Proj_18!L$59)+((Proj_19!$D$7=$B15)*Proj_19!L$59)+((Proj_20!$D$7=$B15)*Proj_20!L$59)+((Proj_21!$D$7=$B15)*Proj_21!L$59)+((Proj_22!$D$7=$B15)*Proj_22!L$59)+((Proj_23!$D$7=$B15)*Proj_23!L$59)+((Proj_24!$D$7=$B15)*Proj_24!L$59)+((Proj_25!$D$7=$B15)*Proj_25!L$59)+((Proj_26!$D$7=$B15)*Proj_26!L$59)+((Proj_27!$D$7=$B15)*Proj_27!L$59)+((Proj_28!$D$7=$B15)*Proj_28!L$59)+((Proj_29!$D$7=$B15)*Proj_29!L$59)+((Proj_30!$D$7=$B15)*Proj_30!L$59)+((Proj_31!$D$7=$B15)*Proj_31!L$59)+((Proj_32!$D$7=$B15)*Proj_32!L$59)+((Proj_33!$D$7=$B15)*Proj_33!L$59)+((Proj_34!$D$7=$B15)*Proj_34!L$59)+((Proj_35!$D$7=$B15)*Proj_35!L$59)+((Proj_36!$D$7=$B15)*Proj_36!L$59)+((Proj_37!$D$7=$B15)*Proj_37!L$59)+((Proj_38!$D$7=$B15)*Proj_38!L$59)+((Proj_39!$D$7=$B15)*Proj_39!L$59)+((Proj_40!$D$7=$B15)*Proj_40!L$59)+((Proj_41!$D$7=$B15)*Proj_41!L$59)+((Proj_42!$D$7=$B15)*Proj_42!L$59)+((Proj_43!$D$7=$B15)*Proj_43!L$59)+((Proj_44!$D$7=$B15)*Proj_44!L$59)+((Proj_45!$D$7=$B15)*Proj_45!L$59)+((Proj_46!$D$7=$B15)*Proj_46!L$59)</f>
        <v>211.39375598269277</v>
      </c>
      <c r="I15" s="193">
        <f>((Proj_1!$D$7=$B15)*Proj_1!M$59)+((Proj_2!$D$7=$B15)*Proj_2!M$59)+((Proj_3!$D$7=$B15)*Proj_3!M$59)+((Proj_4!$D$7=$B15)*Proj_4!M$59)+((Proj_5!$D$7=$B15)*Proj_5!M$59)+((Proj_6!$D$7=$B15)*Proj_6!M$59)+((Proj_7!$D$7=$B15)*Proj_7!M$59)+((Proj_8!$D$7=$B15)*Proj_8!M$59)+((Proj_9!$D$7=$B15)*Proj_9!M$59)+((Proj_10!$D$7=$B15)*Proj_10!M$59)+((Proj_11!$D$7=$B15)*Proj_11!M$59)+((Proj_12!$D$7=$B15)*Proj_12!M$59)+((Proj_13!$D$7=$B15)*Proj_13!M$59)+((Proj_14!$D$7=$B15)*Proj_14!M$59)+((Proj_15!$D$7=$B15)*Proj_15!M$59)+((Proj_16!$D$7=$B15)*Proj_16!M$59)+((Proj_17!$D$7=$B15)*Proj_17!M$59)+((Proj_18!$D$7=$B15)*Proj_18!M$59)+((Proj_19!$D$7=$B15)*Proj_19!M$59)+((Proj_20!$D$7=$B15)*Proj_20!M$59)+((Proj_21!$D$7=$B15)*Proj_21!M$59)+((Proj_22!$D$7=$B15)*Proj_22!M$59)+((Proj_23!$D$7=$B15)*Proj_23!M$59)+((Proj_24!$D$7=$B15)*Proj_24!M$59)+((Proj_25!$D$7=$B15)*Proj_25!M$59)+((Proj_26!$D$7=$B15)*Proj_26!M$59)+((Proj_27!$D$7=$B15)*Proj_27!M$59)+((Proj_28!$D$7=$B15)*Proj_28!M$59)+((Proj_29!$D$7=$B15)*Proj_29!M$59)+((Proj_30!$D$7=$B15)*Proj_30!M$59)+((Proj_31!$D$7=$B15)*Proj_31!M$59)+((Proj_32!$D$7=$B15)*Proj_32!M$59)+((Proj_33!$D$7=$B15)*Proj_33!M$59)+((Proj_34!$D$7=$B15)*Proj_34!M$59)+((Proj_35!$D$7=$B15)*Proj_35!M$59)+((Proj_36!$D$7=$B15)*Proj_36!M$59)+((Proj_37!$D$7=$B15)*Proj_37!M$59)+((Proj_38!$D$7=$B15)*Proj_38!M$59)+((Proj_39!$D$7=$B15)*Proj_39!M$59)+((Proj_40!$D$7=$B15)*Proj_40!M$59)+((Proj_41!$D$7=$B15)*Proj_41!M$59)+((Proj_42!$D$7=$B15)*Proj_42!M$59)+((Proj_43!$D$7=$B15)*Proj_43!M$59)+((Proj_44!$D$7=$B15)*Proj_44!M$59)+((Proj_45!$D$7=$B15)*Proj_45!M$59)+((Proj_46!$D$7=$B15)*Proj_46!M$59)</f>
        <v>1034.0612515877467</v>
      </c>
      <c r="J15" s="131">
        <f>((Proj_1!$D$7=$B15)*Proj_1!N$59)+((Proj_2!$D$7=$B15)*Proj_2!N$59)+((Proj_3!$D$7=$B15)*Proj_3!N$59)+((Proj_4!$D$7=$B15)*Proj_4!N$59)+((Proj_5!$D$7=$B15)*Proj_5!N$59)+((Proj_6!$D$7=$B15)*Proj_6!N$59)+((Proj_7!$D$7=$B15)*Proj_7!N$59)+((Proj_8!$D$7=$B15)*Proj_8!N$59)+((Proj_9!$D$7=$B15)*Proj_9!N$59)+((Proj_10!$D$7=$B15)*Proj_10!N$59)+((Proj_11!$D$7=$B15)*Proj_11!N$59)+((Proj_12!$D$7=$B15)*Proj_12!N$59)+((Proj_13!$D$7=$B15)*Proj_13!N$59)+((Proj_14!$D$7=$B15)*Proj_14!N$59)+((Proj_15!$D$7=$B15)*Proj_15!N$59)+((Proj_16!$D$7=$B15)*Proj_16!N$59)+((Proj_17!$D$7=$B15)*Proj_17!N$59)+((Proj_18!$D$7=$B15)*Proj_18!N$59)+((Proj_19!$D$7=$B15)*Proj_19!N$59)+((Proj_20!$D$7=$B15)*Proj_20!N$59)+((Proj_21!$D$7=$B15)*Proj_21!N$59)+((Proj_22!$D$7=$B15)*Proj_22!N$59)+((Proj_23!$D$7=$B15)*Proj_23!N$59)+((Proj_24!$D$7=$B15)*Proj_24!N$59)+((Proj_25!$D$7=$B15)*Proj_25!N$59)+((Proj_26!$D$7=$B15)*Proj_26!N$59)+((Proj_27!$D$7=$B15)*Proj_27!N$59)+((Proj_28!$D$7=$B15)*Proj_28!N$59)+((Proj_29!$D$7=$B15)*Proj_29!N$59)+((Proj_30!$D$7=$B15)*Proj_30!N$59)+((Proj_31!$D$7=$B15)*Proj_31!N$59)+((Proj_32!$D$7=$B15)*Proj_32!N$59)+((Proj_33!$D$7=$B15)*Proj_33!N$59)+((Proj_34!$D$7=$B15)*Proj_34!N$59)+((Proj_35!$D$7=$B15)*Proj_35!N$59)+((Proj_36!$D$7=$B15)*Proj_36!N$59)+((Proj_37!$D$7=$B15)*Proj_37!N$59)+((Proj_38!$D$7=$B15)*Proj_38!N$59)+((Proj_39!$D$7=$B15)*Proj_39!N$59)+((Proj_40!$D$7=$B15)*Proj_40!N$59)+((Proj_41!$D$7=$B15)*Proj_41!N$59)+((Proj_42!$D$7=$B15)*Proj_42!N$59)+((Proj_43!$D$7=$B15)*Proj_43!N$59)+((Proj_44!$D$7=$B15)*Proj_44!N$59)+((Proj_45!$D$7=$B15)*Proj_45!N$59)+((Proj_46!$D$7=$B15)*Proj_46!N$59)</f>
        <v>0</v>
      </c>
      <c r="K15" s="193">
        <f t="shared" si="2"/>
        <v>2156.0678145846859</v>
      </c>
      <c r="M15" s="80" t="s">
        <v>145</v>
      </c>
      <c r="N15" s="144">
        <f t="shared" si="3"/>
        <v>2.7659766805265029</v>
      </c>
      <c r="O15" s="144">
        <f t="shared" si="0"/>
        <v>0.53003546210632169</v>
      </c>
      <c r="P15" s="158">
        <f t="shared" si="1"/>
        <v>0.21935117264934473</v>
      </c>
      <c r="Q15" s="158">
        <f t="shared" si="1"/>
        <v>0.59563761886669209</v>
      </c>
      <c r="R15" s="158">
        <f t="shared" si="1"/>
        <v>9.5624015498209661E-2</v>
      </c>
      <c r="S15" s="158">
        <f t="shared" si="1"/>
        <v>0.21139375598269278</v>
      </c>
      <c r="T15" s="158">
        <f t="shared" si="1"/>
        <v>1.0340612515877468</v>
      </c>
      <c r="U15" s="144">
        <f t="shared" si="4"/>
        <v>0</v>
      </c>
      <c r="V15" s="158">
        <f t="shared" si="5"/>
        <v>2.1560678145846861</v>
      </c>
    </row>
    <row r="16" spans="2:22">
      <c r="B16" s="80" t="s">
        <v>179</v>
      </c>
      <c r="C16" s="131">
        <f>((Proj_1!$D$7=$B16)*Proj_1!G$59)+((Proj_2!$D$7=$B16)*Proj_2!G$59)+((Proj_3!$D$7=$B16)*Proj_3!G$59)+((Proj_4!$D$7=$B16)*Proj_4!G$59)+((Proj_5!$D$7=$B16)*Proj_5!G$59)+((Proj_6!$D$7=$B16)*Proj_6!G$59)+((Proj_7!$D$7=$B16)*Proj_7!G$59)+((Proj_8!$D$7=$B16)*Proj_8!G$59)+((Proj_9!$D$7=$B16)*Proj_9!G$59)+((Proj_10!$D$7=$B16)*Proj_10!G$59)+((Proj_11!$D$7=$B16)*Proj_11!G$59)+((Proj_12!$D$7=$B16)*Proj_12!G$59)+((Proj_13!$D$7=$B16)*Proj_13!G$59)+((Proj_14!$D$7=$B16)*Proj_14!G$59)+((Proj_15!$D$7=$B16)*Proj_15!G$59)+((Proj_16!$D$7=$B16)*Proj_16!G$59)+((Proj_17!$D$7=$B16)*Proj_17!G$59)+((Proj_18!$D$7=$B16)*Proj_18!G$59)+((Proj_19!$D$7=$B16)*Proj_19!G$59)+((Proj_20!$D$7=$B16)*Proj_20!G$59)+((Proj_21!$D$7=$B16)*Proj_21!G$59)+((Proj_22!$D$7=$B16)*Proj_22!G$59)+((Proj_23!$D$7=$B16)*Proj_23!G$59)+((Proj_24!$D$7=$B16)*Proj_24!G$59)+((Proj_25!$D$7=$B16)*Proj_25!G$59)+((Proj_26!$D$7=$B16)*Proj_26!G$59)+((Proj_27!$D$7=$B16)*Proj_27!G$59)+((Proj_28!$D$7=$B16)*Proj_28!G$59)+((Proj_29!$D$7=$B16)*Proj_29!G$59)+((Proj_30!$D$7=$B16)*Proj_30!G$59)+((Proj_31!$D$7=$B16)*Proj_31!G$59)+((Proj_32!$D$7=$B16)*Proj_32!G$59)+((Proj_33!$D$7=$B16)*Proj_33!G$59)+((Proj_34!$D$7=$B16)*Proj_34!G$59)+((Proj_35!$D$7=$B16)*Proj_35!G$59)+((Proj_36!$D$7=$B16)*Proj_36!G$59)+((Proj_37!$D$7=$B16)*Proj_37!G$59)+((Proj_38!$D$7=$B16)*Proj_38!G$59)+((Proj_39!$D$7=$B16)*Proj_39!G$59)+((Proj_40!$D$7=$B16)*Proj_40!G$59)+((Proj_41!$D$7=$B16)*Proj_41!G$59)+((Proj_42!$D$7=$B16)*Proj_42!G$59)+((Proj_43!$D$7=$B16)*Proj_43!G$59)+((Proj_44!$D$7=$B16)*Proj_44!G$59)+((Proj_45!$D$7=$B16)*Proj_45!G$59)+((Proj_46!$D$7=$B16)*Proj_46!G$59)</f>
        <v>8025.3283534092534</v>
      </c>
      <c r="D16" s="131">
        <f>((Proj_1!$D$7=$B16)*Proj_1!H$59)+((Proj_2!$D$7=$B16)*Proj_2!H$59)+((Proj_3!$D$7=$B16)*Proj_3!H$59)+((Proj_4!$D$7=$B16)*Proj_4!H$59)+((Proj_5!$D$7=$B16)*Proj_5!H$59)+((Proj_6!$D$7=$B16)*Proj_6!H$59)+((Proj_7!$D$7=$B16)*Proj_7!H$59)+((Proj_8!$D$7=$B16)*Proj_8!H$59)+((Proj_9!$D$7=$B16)*Proj_9!H$59)+((Proj_10!$D$7=$B16)*Proj_10!H$59)+((Proj_11!$D$7=$B16)*Proj_11!H$59)+((Proj_12!$D$7=$B16)*Proj_12!H$59)+((Proj_13!$D$7=$B16)*Proj_13!H$59)+((Proj_14!$D$7=$B16)*Proj_14!H$59)+((Proj_15!$D$7=$B16)*Proj_15!H$59)+((Proj_16!$D$7=$B16)*Proj_16!H$59)+((Proj_17!$D$7=$B16)*Proj_17!H$59)+((Proj_18!$D$7=$B16)*Proj_18!H$59)+((Proj_19!$D$7=$B16)*Proj_19!H$59)+((Proj_20!$D$7=$B16)*Proj_20!H$59)+((Proj_21!$D$7=$B16)*Proj_21!H$59)+((Proj_22!$D$7=$B16)*Proj_22!H$59)+((Proj_23!$D$7=$B16)*Proj_23!H$59)+((Proj_24!$D$7=$B16)*Proj_24!H$59)+((Proj_25!$D$7=$B16)*Proj_25!H$59)+((Proj_26!$D$7=$B16)*Proj_26!H$59)+((Proj_27!$D$7=$B16)*Proj_27!H$59)+((Proj_28!$D$7=$B16)*Proj_28!H$59)+((Proj_29!$D$7=$B16)*Proj_29!H$59)+((Proj_30!$D$7=$B16)*Proj_30!H$59)+((Proj_31!$D$7=$B16)*Proj_31!H$59)+((Proj_32!$D$7=$B16)*Proj_32!H$59)+((Proj_33!$D$7=$B16)*Proj_33!H$59)+((Proj_34!$D$7=$B16)*Proj_34!H$59)+((Proj_35!$D$7=$B16)*Proj_35!H$59)+((Proj_36!$D$7=$B16)*Proj_36!H$59)+((Proj_37!$D$7=$B16)*Proj_37!H$59)+((Proj_38!$D$7=$B16)*Proj_38!H$59)+((Proj_39!$D$7=$B16)*Proj_39!H$59)+((Proj_40!$D$7=$B16)*Proj_40!H$59)+((Proj_41!$D$7=$B16)*Proj_41!H$59)+((Proj_42!$D$7=$B16)*Proj_42!H$59)+((Proj_43!$D$7=$B16)*Proj_43!H$59)+((Proj_44!$D$7=$B16)*Proj_44!H$59)+((Proj_45!$D$7=$B16)*Proj_45!H$59)+((Proj_46!$D$7=$B16)*Proj_46!H$59)</f>
        <v>19524.342843038819</v>
      </c>
      <c r="E16" s="193">
        <f>((Proj_1!$D$7=$B16)*Proj_1!I$59)+((Proj_2!$D$7=$B16)*Proj_2!I$59)+((Proj_3!$D$7=$B16)*Proj_3!I$59)+((Proj_4!$D$7=$B16)*Proj_4!I$59)+((Proj_5!$D$7=$B16)*Proj_5!I$59)+((Proj_6!$D$7=$B16)*Proj_6!I$59)+((Proj_7!$D$7=$B16)*Proj_7!I$59)+((Proj_8!$D$7=$B16)*Proj_8!I$59)+((Proj_9!$D$7=$B16)*Proj_9!I$59)+((Proj_10!$D$7=$B16)*Proj_10!I$59)+((Proj_11!$D$7=$B16)*Proj_11!I$59)+((Proj_12!$D$7=$B16)*Proj_12!I$59)+((Proj_13!$D$7=$B16)*Proj_13!I$59)+((Proj_14!$D$7=$B16)*Proj_14!I$59)+((Proj_15!$D$7=$B16)*Proj_15!I$59)+((Proj_16!$D$7=$B16)*Proj_16!I$59)+((Proj_17!$D$7=$B16)*Proj_17!I$59)+((Proj_18!$D$7=$B16)*Proj_18!I$59)+((Proj_19!$D$7=$B16)*Proj_19!I$59)+((Proj_20!$D$7=$B16)*Proj_20!I$59)+((Proj_21!$D$7=$B16)*Proj_21!I$59)+((Proj_22!$D$7=$B16)*Proj_22!I$59)+((Proj_23!$D$7=$B16)*Proj_23!I$59)+((Proj_24!$D$7=$B16)*Proj_24!I$59)+((Proj_25!$D$7=$B16)*Proj_25!I$59)+((Proj_26!$D$7=$B16)*Proj_26!I$59)+((Proj_27!$D$7=$B16)*Proj_27!I$59)+((Proj_28!$D$7=$B16)*Proj_28!I$59)+((Proj_29!$D$7=$B16)*Proj_29!I$59)+((Proj_30!$D$7=$B16)*Proj_30!I$59)+((Proj_31!$D$7=$B16)*Proj_31!I$59)+((Proj_32!$D$7=$B16)*Proj_32!I$59)+((Proj_33!$D$7=$B16)*Proj_33!I$59)+((Proj_34!$D$7=$B16)*Proj_34!I$59)+((Proj_35!$D$7=$B16)*Proj_35!I$59)+((Proj_36!$D$7=$B16)*Proj_36!I$59)+((Proj_37!$D$7=$B16)*Proj_37!I$59)+((Proj_38!$D$7=$B16)*Proj_38!I$59)+((Proj_39!$D$7=$B16)*Proj_39!I$59)+((Proj_40!$D$7=$B16)*Proj_40!I$59)+((Proj_41!$D$7=$B16)*Proj_41!I$59)+((Proj_42!$D$7=$B16)*Proj_42!I$59)+((Proj_43!$D$7=$B16)*Proj_43!I$59)+((Proj_44!$D$7=$B16)*Proj_44!I$59)+((Proj_45!$D$7=$B16)*Proj_45!I$59)+((Proj_46!$D$7=$B16)*Proj_46!I$59)</f>
        <v>23795.255544825352</v>
      </c>
      <c r="F16" s="193">
        <f>((Proj_1!$D$7=$B16)*Proj_1!J$59)+((Proj_2!$D$7=$B16)*Proj_2!J$59)+((Proj_3!$D$7=$B16)*Proj_3!J$59)+((Proj_4!$D$7=$B16)*Proj_4!J$59)+((Proj_5!$D$7=$B16)*Proj_5!J$59)+((Proj_6!$D$7=$B16)*Proj_6!J$59)+((Proj_7!$D$7=$B16)*Proj_7!J$59)+((Proj_8!$D$7=$B16)*Proj_8!J$59)+((Proj_9!$D$7=$B16)*Proj_9!J$59)+((Proj_10!$D$7=$B16)*Proj_10!J$59)+((Proj_11!$D$7=$B16)*Proj_11!J$59)+((Proj_12!$D$7=$B16)*Proj_12!J$59)+((Proj_13!$D$7=$B16)*Proj_13!J$59)+((Proj_14!$D$7=$B16)*Proj_14!J$59)+((Proj_15!$D$7=$B16)*Proj_15!J$59)+((Proj_16!$D$7=$B16)*Proj_16!J$59)+((Proj_17!$D$7=$B16)*Proj_17!J$59)+((Proj_18!$D$7=$B16)*Proj_18!J$59)+((Proj_19!$D$7=$B16)*Proj_19!J$59)+((Proj_20!$D$7=$B16)*Proj_20!J$59)+((Proj_21!$D$7=$B16)*Proj_21!J$59)+((Proj_22!$D$7=$B16)*Proj_22!J$59)+((Proj_23!$D$7=$B16)*Proj_23!J$59)+((Proj_24!$D$7=$B16)*Proj_24!J$59)+((Proj_25!$D$7=$B16)*Proj_25!J$59)+((Proj_26!$D$7=$B16)*Proj_26!J$59)+((Proj_27!$D$7=$B16)*Proj_27!J$59)+((Proj_28!$D$7=$B16)*Proj_28!J$59)+((Proj_29!$D$7=$B16)*Proj_29!J$59)+((Proj_30!$D$7=$B16)*Proj_30!J$59)+((Proj_31!$D$7=$B16)*Proj_31!J$59)+((Proj_32!$D$7=$B16)*Proj_32!J$59)+((Proj_33!$D$7=$B16)*Proj_33!J$59)+((Proj_34!$D$7=$B16)*Proj_34!J$59)+((Proj_35!$D$7=$B16)*Proj_35!J$59)+((Proj_36!$D$7=$B16)*Proj_36!J$59)+((Proj_37!$D$7=$B16)*Proj_37!J$59)+((Proj_38!$D$7=$B16)*Proj_38!J$59)+((Proj_39!$D$7=$B16)*Proj_39!J$59)+((Proj_40!$D$7=$B16)*Proj_40!J$59)+((Proj_41!$D$7=$B16)*Proj_41!J$59)+((Proj_42!$D$7=$B16)*Proj_42!J$59)+((Proj_43!$D$7=$B16)*Proj_43!J$59)+((Proj_44!$D$7=$B16)*Proj_44!J$59)+((Proj_45!$D$7=$B16)*Proj_45!J$59)+((Proj_46!$D$7=$B16)*Proj_46!J$59)</f>
        <v>21559.242947687449</v>
      </c>
      <c r="G16" s="193">
        <f>((Proj_1!$D$7=$B16)*Proj_1!K$59)+((Proj_2!$D$7=$B16)*Proj_2!K$59)+((Proj_3!$D$7=$B16)*Proj_3!K$59)+((Proj_4!$D$7=$B16)*Proj_4!K$59)+((Proj_5!$D$7=$B16)*Proj_5!K$59)+((Proj_6!$D$7=$B16)*Proj_6!K$59)+((Proj_7!$D$7=$B16)*Proj_7!K$59)+((Proj_8!$D$7=$B16)*Proj_8!K$59)+((Proj_9!$D$7=$B16)*Proj_9!K$59)+((Proj_10!$D$7=$B16)*Proj_10!K$59)+((Proj_11!$D$7=$B16)*Proj_11!K$59)+((Proj_12!$D$7=$B16)*Proj_12!K$59)+((Proj_13!$D$7=$B16)*Proj_13!K$59)+((Proj_14!$D$7=$B16)*Proj_14!K$59)+((Proj_15!$D$7=$B16)*Proj_15!K$59)+((Proj_16!$D$7=$B16)*Proj_16!K$59)+((Proj_17!$D$7=$B16)*Proj_17!K$59)+((Proj_18!$D$7=$B16)*Proj_18!K$59)+((Proj_19!$D$7=$B16)*Proj_19!K$59)+((Proj_20!$D$7=$B16)*Proj_20!K$59)+((Proj_21!$D$7=$B16)*Proj_21!K$59)+((Proj_22!$D$7=$B16)*Proj_22!K$59)+((Proj_23!$D$7=$B16)*Proj_23!K$59)+((Proj_24!$D$7=$B16)*Proj_24!K$59)+((Proj_25!$D$7=$B16)*Proj_25!K$59)+((Proj_26!$D$7=$B16)*Proj_26!K$59)+((Proj_27!$D$7=$B16)*Proj_27!K$59)+((Proj_28!$D$7=$B16)*Proj_28!K$59)+((Proj_29!$D$7=$B16)*Proj_29!K$59)+((Proj_30!$D$7=$B16)*Proj_30!K$59)+((Proj_31!$D$7=$B16)*Proj_31!K$59)+((Proj_32!$D$7=$B16)*Proj_32!K$59)+((Proj_33!$D$7=$B16)*Proj_33!K$59)+((Proj_34!$D$7=$B16)*Proj_34!K$59)+((Proj_35!$D$7=$B16)*Proj_35!K$59)+((Proj_36!$D$7=$B16)*Proj_36!K$59)+((Proj_37!$D$7=$B16)*Proj_37!K$59)+((Proj_38!$D$7=$B16)*Proj_38!K$59)+((Proj_39!$D$7=$B16)*Proj_39!K$59)+((Proj_40!$D$7=$B16)*Proj_40!K$59)+((Proj_41!$D$7=$B16)*Proj_41!K$59)+((Proj_42!$D$7=$B16)*Proj_42!K$59)+((Proj_43!$D$7=$B16)*Proj_43!K$59)+((Proj_44!$D$7=$B16)*Proj_44!K$59)+((Proj_45!$D$7=$B16)*Proj_45!K$59)+((Proj_46!$D$7=$B16)*Proj_46!K$59)</f>
        <v>13226.91578058304</v>
      </c>
      <c r="H16" s="193">
        <f>((Proj_1!$D$7=$B16)*Proj_1!L$59)+((Proj_2!$D$7=$B16)*Proj_2!L$59)+((Proj_3!$D$7=$B16)*Proj_3!L$59)+((Proj_4!$D$7=$B16)*Proj_4!L$59)+((Proj_5!$D$7=$B16)*Proj_5!L$59)+((Proj_6!$D$7=$B16)*Proj_6!L$59)+((Proj_7!$D$7=$B16)*Proj_7!L$59)+((Proj_8!$D$7=$B16)*Proj_8!L$59)+((Proj_9!$D$7=$B16)*Proj_9!L$59)+((Proj_10!$D$7=$B16)*Proj_10!L$59)+((Proj_11!$D$7=$B16)*Proj_11!L$59)+((Proj_12!$D$7=$B16)*Proj_12!L$59)+((Proj_13!$D$7=$B16)*Proj_13!L$59)+((Proj_14!$D$7=$B16)*Proj_14!L$59)+((Proj_15!$D$7=$B16)*Proj_15!L$59)+((Proj_16!$D$7=$B16)*Proj_16!L$59)+((Proj_17!$D$7=$B16)*Proj_17!L$59)+((Proj_18!$D$7=$B16)*Proj_18!L$59)+((Proj_19!$D$7=$B16)*Proj_19!L$59)+((Proj_20!$D$7=$B16)*Proj_20!L$59)+((Proj_21!$D$7=$B16)*Proj_21!L$59)+((Proj_22!$D$7=$B16)*Proj_22!L$59)+((Proj_23!$D$7=$B16)*Proj_23!L$59)+((Proj_24!$D$7=$B16)*Proj_24!L$59)+((Proj_25!$D$7=$B16)*Proj_25!L$59)+((Proj_26!$D$7=$B16)*Proj_26!L$59)+((Proj_27!$D$7=$B16)*Proj_27!L$59)+((Proj_28!$D$7=$B16)*Proj_28!L$59)+((Proj_29!$D$7=$B16)*Proj_29!L$59)+((Proj_30!$D$7=$B16)*Proj_30!L$59)+((Proj_31!$D$7=$B16)*Proj_31!L$59)+((Proj_32!$D$7=$B16)*Proj_32!L$59)+((Proj_33!$D$7=$B16)*Proj_33!L$59)+((Proj_34!$D$7=$B16)*Proj_34!L$59)+((Proj_35!$D$7=$B16)*Proj_35!L$59)+((Proj_36!$D$7=$B16)*Proj_36!L$59)+((Proj_37!$D$7=$B16)*Proj_37!L$59)+((Proj_38!$D$7=$B16)*Proj_38!L$59)+((Proj_39!$D$7=$B16)*Proj_39!L$59)+((Proj_40!$D$7=$B16)*Proj_40!L$59)+((Proj_41!$D$7=$B16)*Proj_41!L$59)+((Proj_42!$D$7=$B16)*Proj_42!L$59)+((Proj_43!$D$7=$B16)*Proj_43!L$59)+((Proj_44!$D$7=$B16)*Proj_44!L$59)+((Proj_45!$D$7=$B16)*Proj_45!L$59)+((Proj_46!$D$7=$B16)*Proj_46!L$59)</f>
        <v>10902.798057234044</v>
      </c>
      <c r="I16" s="193">
        <f>((Proj_1!$D$7=$B16)*Proj_1!M$59)+((Proj_2!$D$7=$B16)*Proj_2!M$59)+((Proj_3!$D$7=$B16)*Proj_3!M$59)+((Proj_4!$D$7=$B16)*Proj_4!M$59)+((Proj_5!$D$7=$B16)*Proj_5!M$59)+((Proj_6!$D$7=$B16)*Proj_6!M$59)+((Proj_7!$D$7=$B16)*Proj_7!M$59)+((Proj_8!$D$7=$B16)*Proj_8!M$59)+((Proj_9!$D$7=$B16)*Proj_9!M$59)+((Proj_10!$D$7=$B16)*Proj_10!M$59)+((Proj_11!$D$7=$B16)*Proj_11!M$59)+((Proj_12!$D$7=$B16)*Proj_12!M$59)+((Proj_13!$D$7=$B16)*Proj_13!M$59)+((Proj_14!$D$7=$B16)*Proj_14!M$59)+((Proj_15!$D$7=$B16)*Proj_15!M$59)+((Proj_16!$D$7=$B16)*Proj_16!M$59)+((Proj_17!$D$7=$B16)*Proj_17!M$59)+((Proj_18!$D$7=$B16)*Proj_18!M$59)+((Proj_19!$D$7=$B16)*Proj_19!M$59)+((Proj_20!$D$7=$B16)*Proj_20!M$59)+((Proj_21!$D$7=$B16)*Proj_21!M$59)+((Proj_22!$D$7=$B16)*Proj_22!M$59)+((Proj_23!$D$7=$B16)*Proj_23!M$59)+((Proj_24!$D$7=$B16)*Proj_24!M$59)+((Proj_25!$D$7=$B16)*Proj_25!M$59)+((Proj_26!$D$7=$B16)*Proj_26!M$59)+((Proj_27!$D$7=$B16)*Proj_27!M$59)+((Proj_28!$D$7=$B16)*Proj_28!M$59)+((Proj_29!$D$7=$B16)*Proj_29!M$59)+((Proj_30!$D$7=$B16)*Proj_30!M$59)+((Proj_31!$D$7=$B16)*Proj_31!M$59)+((Proj_32!$D$7=$B16)*Proj_32!M$59)+((Proj_33!$D$7=$B16)*Proj_33!M$59)+((Proj_34!$D$7=$B16)*Proj_34!M$59)+((Proj_35!$D$7=$B16)*Proj_35!M$59)+((Proj_36!$D$7=$B16)*Proj_36!M$59)+((Proj_37!$D$7=$B16)*Proj_37!M$59)+((Proj_38!$D$7=$B16)*Proj_38!M$59)+((Proj_39!$D$7=$B16)*Proj_39!M$59)+((Proj_40!$D$7=$B16)*Proj_40!M$59)+((Proj_41!$D$7=$B16)*Proj_41!M$59)+((Proj_42!$D$7=$B16)*Proj_42!M$59)+((Proj_43!$D$7=$B16)*Proj_43!M$59)+((Proj_44!$D$7=$B16)*Proj_44!M$59)+((Proj_45!$D$7=$B16)*Proj_45!M$59)+((Proj_46!$D$7=$B16)*Proj_46!M$59)</f>
        <v>9285.8427737434831</v>
      </c>
      <c r="J16" s="131">
        <f>((Proj_1!$D$7=$B16)*Proj_1!N$59)+((Proj_2!$D$7=$B16)*Proj_2!N$59)+((Proj_3!$D$7=$B16)*Proj_3!N$59)+((Proj_4!$D$7=$B16)*Proj_4!N$59)+((Proj_5!$D$7=$B16)*Proj_5!N$59)+((Proj_6!$D$7=$B16)*Proj_6!N$59)+((Proj_7!$D$7=$B16)*Proj_7!N$59)+((Proj_8!$D$7=$B16)*Proj_8!N$59)+((Proj_9!$D$7=$B16)*Proj_9!N$59)+((Proj_10!$D$7=$B16)*Proj_10!N$59)+((Proj_11!$D$7=$B16)*Proj_11!N$59)+((Proj_12!$D$7=$B16)*Proj_12!N$59)+((Proj_13!$D$7=$B16)*Proj_13!N$59)+((Proj_14!$D$7=$B16)*Proj_14!N$59)+((Proj_15!$D$7=$B16)*Proj_15!N$59)+((Proj_16!$D$7=$B16)*Proj_16!N$59)+((Proj_17!$D$7=$B16)*Proj_17!N$59)+((Proj_18!$D$7=$B16)*Proj_18!N$59)+((Proj_19!$D$7=$B16)*Proj_19!N$59)+((Proj_20!$D$7=$B16)*Proj_20!N$59)+((Proj_21!$D$7=$B16)*Proj_21!N$59)+((Proj_22!$D$7=$B16)*Proj_22!N$59)+((Proj_23!$D$7=$B16)*Proj_23!N$59)+((Proj_24!$D$7=$B16)*Proj_24!N$59)+((Proj_25!$D$7=$B16)*Proj_25!N$59)+((Proj_26!$D$7=$B16)*Proj_26!N$59)+((Proj_27!$D$7=$B16)*Proj_27!N$59)+((Proj_28!$D$7=$B16)*Proj_28!N$59)+((Proj_29!$D$7=$B16)*Proj_29!N$59)+((Proj_30!$D$7=$B16)*Proj_30!N$59)+((Proj_31!$D$7=$B16)*Proj_31!N$59)+((Proj_32!$D$7=$B16)*Proj_32!N$59)+((Proj_33!$D$7=$B16)*Proj_33!N$59)+((Proj_34!$D$7=$B16)*Proj_34!N$59)+((Proj_35!$D$7=$B16)*Proj_35!N$59)+((Proj_36!$D$7=$B16)*Proj_36!N$59)+((Proj_37!$D$7=$B16)*Proj_37!N$59)+((Proj_38!$D$7=$B16)*Proj_38!N$59)+((Proj_39!$D$7=$B16)*Proj_39!N$59)+((Proj_40!$D$7=$B16)*Proj_40!N$59)+((Proj_41!$D$7=$B16)*Proj_41!N$59)+((Proj_42!$D$7=$B16)*Proj_42!N$59)+((Proj_43!$D$7=$B16)*Proj_43!N$59)+((Proj_44!$D$7=$B16)*Proj_44!N$59)+((Proj_45!$D$7=$B16)*Proj_45!N$59)+((Proj_46!$D$7=$B16)*Proj_46!N$59)</f>
        <v>0</v>
      </c>
      <c r="K16" s="193">
        <f t="shared" si="2"/>
        <v>78770.05510407337</v>
      </c>
      <c r="M16" s="80" t="s">
        <v>179</v>
      </c>
      <c r="N16" s="144">
        <f t="shared" si="3"/>
        <v>8.0253283534092539</v>
      </c>
      <c r="O16" s="144">
        <f t="shared" si="0"/>
        <v>19.52434284303882</v>
      </c>
      <c r="P16" s="158">
        <f t="shared" si="1"/>
        <v>23.795255544825352</v>
      </c>
      <c r="Q16" s="158">
        <f t="shared" si="1"/>
        <v>21.559242947687448</v>
      </c>
      <c r="R16" s="158">
        <f t="shared" si="1"/>
        <v>13.22691578058304</v>
      </c>
      <c r="S16" s="158">
        <f t="shared" si="1"/>
        <v>10.902798057234044</v>
      </c>
      <c r="T16" s="158">
        <f t="shared" si="1"/>
        <v>9.2858427737434823</v>
      </c>
      <c r="U16" s="144">
        <f t="shared" si="4"/>
        <v>0</v>
      </c>
      <c r="V16" s="158">
        <f t="shared" si="5"/>
        <v>78.770055104073364</v>
      </c>
    </row>
    <row r="17" spans="2:22">
      <c r="B17" s="155" t="s">
        <v>37</v>
      </c>
      <c r="C17" s="187">
        <f t="shared" ref="C17:K17" si="7">SUM(C9:C16)</f>
        <v>147511.02739554137</v>
      </c>
      <c r="D17" s="187">
        <f t="shared" si="7"/>
        <v>175884.75629518472</v>
      </c>
      <c r="E17" s="196">
        <f t="shared" si="7"/>
        <v>156515.23668444491</v>
      </c>
      <c r="F17" s="196">
        <f t="shared" si="7"/>
        <v>121865.6595234221</v>
      </c>
      <c r="G17" s="196">
        <f t="shared" si="7"/>
        <v>106304.63257138859</v>
      </c>
      <c r="H17" s="196">
        <f t="shared" si="7"/>
        <v>98991.288188410748</v>
      </c>
      <c r="I17" s="196">
        <f t="shared" si="7"/>
        <v>89423.895981534894</v>
      </c>
      <c r="J17" s="187">
        <f t="shared" si="7"/>
        <v>0</v>
      </c>
      <c r="K17" s="196">
        <f t="shared" si="7"/>
        <v>573100.71294920123</v>
      </c>
      <c r="M17" s="155" t="s">
        <v>37</v>
      </c>
      <c r="N17" s="186">
        <f>SUM(N9:N16)</f>
        <v>147.51102739554136</v>
      </c>
      <c r="O17" s="186">
        <f t="shared" ref="O17:V17" si="8">SUM(O9:O16)</f>
        <v>175.88475629518479</v>
      </c>
      <c r="P17" s="188">
        <f t="shared" si="8"/>
        <v>156.51523668444494</v>
      </c>
      <c r="Q17" s="188">
        <f t="shared" si="8"/>
        <v>121.86565952342211</v>
      </c>
      <c r="R17" s="188">
        <f t="shared" si="8"/>
        <v>106.30463257138857</v>
      </c>
      <c r="S17" s="188">
        <f t="shared" si="8"/>
        <v>98.991288188410778</v>
      </c>
      <c r="T17" s="188">
        <f t="shared" si="8"/>
        <v>89.423895981534898</v>
      </c>
      <c r="U17" s="186">
        <f t="shared" si="8"/>
        <v>0</v>
      </c>
      <c r="V17" s="188">
        <f t="shared" si="8"/>
        <v>573.10071294920124</v>
      </c>
    </row>
    <row r="18" spans="2:22">
      <c r="C18" s="183"/>
      <c r="D18" s="183"/>
      <c r="E18" s="183"/>
      <c r="F18" s="183"/>
      <c r="G18" s="183"/>
      <c r="H18" s="183"/>
      <c r="I18" s="183"/>
      <c r="J18" s="183"/>
      <c r="K18" s="183"/>
      <c r="M18" s="47" t="s">
        <v>50</v>
      </c>
      <c r="N18" s="233">
        <f>N17-'5.1(b)_Total_Fcast'!N23</f>
        <v>-1.5289458588085836E-9</v>
      </c>
      <c r="O18" s="233">
        <f>O17-'5.1(b)_Total_Fcast'!O23</f>
        <v>-7.9992332757683471E-9</v>
      </c>
      <c r="P18" s="233">
        <f>P17-'5.1(b)_Total_Fcast'!P23</f>
        <v>-1.2732016330119222E-8</v>
      </c>
      <c r="Q18" s="233">
        <f>Q17-'5.1(b)_Total_Fcast'!Q23</f>
        <v>-1.3825683709001169E-8</v>
      </c>
      <c r="R18" s="233">
        <f>R17-'5.1(b)_Total_Fcast'!R23</f>
        <v>-1.6661459767419728E-8</v>
      </c>
      <c r="S18" s="233">
        <f>S17-'5.1(b)_Total_Fcast'!S23</f>
        <v>-1.0206534284407098E-8</v>
      </c>
      <c r="T18" s="233">
        <f>T17-'5.1(b)_Total_Fcast'!T23</f>
        <v>-4.5617269961439888E-9</v>
      </c>
      <c r="U18" s="233">
        <f>U17-'5.1(b)_Total_Fcast'!U23</f>
        <v>0</v>
      </c>
      <c r="V18" s="233">
        <f>V17-'5.1(b)_Total_Fcast'!V23</f>
        <v>-5.7987449508800637E-8</v>
      </c>
    </row>
    <row r="19" spans="2:22">
      <c r="C19" s="123"/>
      <c r="D19" s="123"/>
      <c r="E19" s="123"/>
      <c r="F19" s="123"/>
      <c r="G19" s="123"/>
      <c r="H19" s="123"/>
      <c r="I19" s="123"/>
      <c r="J19" s="123"/>
      <c r="K19" s="134"/>
    </row>
    <row r="20" spans="2:22">
      <c r="G20" s="204"/>
      <c r="H20" s="204"/>
      <c r="I20" s="204"/>
      <c r="J20" s="43"/>
      <c r="K20" s="43"/>
      <c r="M20" s="143" t="s">
        <v>318</v>
      </c>
    </row>
    <row r="21" spans="2:22">
      <c r="G21" s="204"/>
      <c r="H21" s="204"/>
      <c r="I21" s="204"/>
      <c r="J21" s="43"/>
      <c r="K21" s="43"/>
      <c r="M21" s="903" t="s">
        <v>438</v>
      </c>
      <c r="P21" s="1013" t="s">
        <v>481</v>
      </c>
      <c r="Q21" s="1014"/>
      <c r="R21" s="1014"/>
      <c r="S21" s="1014"/>
      <c r="T21" s="1015"/>
      <c r="V21" s="139"/>
    </row>
    <row r="22" spans="2:22">
      <c r="G22" s="204"/>
      <c r="H22" s="204"/>
      <c r="I22" s="204"/>
      <c r="J22" s="43"/>
      <c r="K22" s="43"/>
      <c r="M22" s="900"/>
      <c r="N22" s="184" t="s">
        <v>72</v>
      </c>
      <c r="O22" s="184" t="s">
        <v>73</v>
      </c>
      <c r="P22" s="184" t="s">
        <v>74</v>
      </c>
      <c r="Q22" s="184" t="s">
        <v>75</v>
      </c>
      <c r="R22" s="184" t="s">
        <v>76</v>
      </c>
      <c r="S22" s="184" t="s">
        <v>77</v>
      </c>
      <c r="T22" s="184" t="s">
        <v>78</v>
      </c>
      <c r="U22" s="184" t="s">
        <v>79</v>
      </c>
      <c r="V22" s="140" t="s">
        <v>35</v>
      </c>
    </row>
    <row r="23" spans="2:22">
      <c r="G23" s="204"/>
      <c r="H23" s="204"/>
      <c r="I23" s="204"/>
      <c r="J23" s="43"/>
      <c r="K23" s="43"/>
      <c r="M23" s="901" t="s">
        <v>202</v>
      </c>
      <c r="N23" s="142" t="s">
        <v>56</v>
      </c>
      <c r="O23" s="142" t="s">
        <v>55</v>
      </c>
      <c r="P23" s="142" t="s">
        <v>38</v>
      </c>
      <c r="Q23" s="142" t="s">
        <v>39</v>
      </c>
      <c r="R23" s="142" t="s">
        <v>40</v>
      </c>
      <c r="S23" s="142" t="s">
        <v>123</v>
      </c>
      <c r="T23" s="142" t="s">
        <v>124</v>
      </c>
      <c r="U23" s="142" t="s">
        <v>125</v>
      </c>
      <c r="V23" s="185"/>
    </row>
    <row r="24" spans="2:22">
      <c r="G24" s="204"/>
      <c r="H24" s="204"/>
      <c r="I24" s="204"/>
      <c r="J24" s="43"/>
      <c r="K24" s="43"/>
      <c r="M24" s="80" t="s">
        <v>292</v>
      </c>
      <c r="N24" s="144">
        <f>N9/Assumptions!G$21</f>
        <v>30.904931330811021</v>
      </c>
      <c r="O24" s="144">
        <f>O9/Assumptions!H$21</f>
        <v>32.247186647268698</v>
      </c>
      <c r="P24" s="158">
        <f>P9/Assumptions!J$21</f>
        <v>26.100628704944228</v>
      </c>
      <c r="Q24" s="158">
        <f>Q9/Assumptions!K$21</f>
        <v>15.784202599875911</v>
      </c>
      <c r="R24" s="158">
        <f>R9/Assumptions!L$21</f>
        <v>17.830887200802618</v>
      </c>
      <c r="S24" s="158">
        <f>S9/Assumptions!M$21</f>
        <v>11.179598697783408</v>
      </c>
      <c r="T24" s="158">
        <f>T9/Assumptions!N$21</f>
        <v>5.1140529114704485</v>
      </c>
      <c r="U24" s="144"/>
      <c r="V24" s="158">
        <f>SUM(P24:T24)</f>
        <v>76.009370114876617</v>
      </c>
    </row>
    <row r="25" spans="2:22">
      <c r="G25" s="204"/>
      <c r="H25" s="204"/>
      <c r="I25" s="204"/>
      <c r="J25" s="43"/>
      <c r="K25" s="43"/>
      <c r="M25" s="80" t="s">
        <v>67</v>
      </c>
      <c r="N25" s="144">
        <f>N10/Assumptions!G$21</f>
        <v>36.583036545044862</v>
      </c>
      <c r="O25" s="144">
        <f>O10/Assumptions!H$21</f>
        <v>59.317284699622832</v>
      </c>
      <c r="P25" s="158">
        <f>P10/Assumptions!J$21</f>
        <v>47.250310139389008</v>
      </c>
      <c r="Q25" s="158">
        <f>Q10/Assumptions!K$21</f>
        <v>18.805241626343079</v>
      </c>
      <c r="R25" s="158">
        <f>R10/Assumptions!L$21</f>
        <v>13.184610118398314</v>
      </c>
      <c r="S25" s="158">
        <f>S10/Assumptions!M$21</f>
        <v>19.04873377832536</v>
      </c>
      <c r="T25" s="158">
        <f>T10/Assumptions!N$21</f>
        <v>19.134929101452727</v>
      </c>
      <c r="U25" s="144"/>
      <c r="V25" s="158">
        <f t="shared" ref="V25:V31" si="9">SUM(P25:T25)</f>
        <v>117.42382476390848</v>
      </c>
    </row>
    <row r="26" spans="2:22">
      <c r="G26" s="204"/>
      <c r="H26" s="204"/>
      <c r="I26" s="204"/>
      <c r="J26" s="43"/>
      <c r="K26" s="43"/>
      <c r="M26" s="77" t="s">
        <v>117</v>
      </c>
      <c r="N26" s="144">
        <f>N11/Assumptions!G$21</f>
        <v>48.645279869897138</v>
      </c>
      <c r="O26" s="144">
        <f>O11/Assumptions!H$21</f>
        <v>45.088113341690594</v>
      </c>
      <c r="P26" s="158">
        <f>P11/Assumptions!J$21</f>
        <v>44.059085435192351</v>
      </c>
      <c r="Q26" s="158">
        <f>Q11/Assumptions!K$21</f>
        <v>52.049141895988249</v>
      </c>
      <c r="R26" s="158">
        <f>R11/Assumptions!L$21</f>
        <v>48.884700328296098</v>
      </c>
      <c r="S26" s="158">
        <f>S11/Assumptions!M$21</f>
        <v>47.801511132311042</v>
      </c>
      <c r="T26" s="158">
        <f>T11/Assumptions!N$21</f>
        <v>44.368368050484243</v>
      </c>
      <c r="U26" s="144"/>
      <c r="V26" s="158">
        <f t="shared" si="9"/>
        <v>237.16280684227198</v>
      </c>
    </row>
    <row r="27" spans="2:22">
      <c r="G27" s="204"/>
      <c r="H27" s="204"/>
      <c r="I27" s="204"/>
      <c r="J27" s="43"/>
      <c r="K27" s="43"/>
      <c r="M27" s="80" t="s">
        <v>118</v>
      </c>
      <c r="N27" s="144">
        <f>N12/Assumptions!G$21</f>
        <v>14.912918424062742</v>
      </c>
      <c r="O27" s="144">
        <f>O12/Assumptions!H$21</f>
        <v>15.415166321633516</v>
      </c>
      <c r="P27" s="158">
        <f>P12/Assumptions!J$21</f>
        <v>13.002029749929513</v>
      </c>
      <c r="Q27" s="158">
        <f>Q12/Assumptions!K$21</f>
        <v>12.957447676972842</v>
      </c>
      <c r="R27" s="158">
        <f>R12/Assumptions!L$21</f>
        <v>14.187337632860769</v>
      </c>
      <c r="S27" s="158">
        <f>S12/Assumptions!M$21</f>
        <v>13.013351702151622</v>
      </c>
      <c r="T27" s="158">
        <f>T12/Assumptions!N$21</f>
        <v>14.694724763928633</v>
      </c>
      <c r="U27" s="144"/>
      <c r="V27" s="158">
        <f t="shared" si="9"/>
        <v>67.854891525843385</v>
      </c>
    </row>
    <row r="28" spans="2:22">
      <c r="G28" s="204"/>
      <c r="H28" s="204"/>
      <c r="I28" s="204"/>
      <c r="J28" s="43"/>
      <c r="K28" s="43"/>
      <c r="M28" s="80" t="s">
        <v>143</v>
      </c>
      <c r="N28" s="144">
        <f>N13/Assumptions!G$21</f>
        <v>2.0243370101221263</v>
      </c>
      <c r="O28" s="144">
        <f>O13/Assumptions!H$21</f>
        <v>2.5827785121314379</v>
      </c>
      <c r="P28" s="158">
        <f>P13/Assumptions!J$21</f>
        <v>2.9865157191295921</v>
      </c>
      <c r="Q28" s="158">
        <f>Q13/Assumptions!K$21</f>
        <v>3.0752618812393289</v>
      </c>
      <c r="R28" s="158">
        <f>R13/Assumptions!L$21</f>
        <v>3.1662196936985727</v>
      </c>
      <c r="S28" s="158">
        <f>S13/Assumptions!M$21</f>
        <v>3.261522953154723</v>
      </c>
      <c r="T28" s="158">
        <f>T13/Assumptions!N$21</f>
        <v>3.3602612353965262</v>
      </c>
      <c r="U28" s="144"/>
      <c r="V28" s="158">
        <f t="shared" si="9"/>
        <v>15.849781482618743</v>
      </c>
    </row>
    <row r="29" spans="2:22">
      <c r="G29" s="204"/>
      <c r="H29" s="204"/>
      <c r="I29" s="204"/>
      <c r="J29" s="43"/>
      <c r="K29" s="43"/>
      <c r="M29" s="80" t="s">
        <v>144</v>
      </c>
      <c r="N29" s="144">
        <f>N14/Assumptions!G$21</f>
        <v>1.3747690869274805</v>
      </c>
      <c r="O29" s="144">
        <f>O14/Assumptions!H$21</f>
        <v>0.8918071035704852</v>
      </c>
      <c r="P29" s="158">
        <f>P14/Assumptions!J$21</f>
        <v>1.9651514648067783</v>
      </c>
      <c r="Q29" s="158">
        <f>Q14/Assumptions!K$21</f>
        <v>1.5878826127056118</v>
      </c>
      <c r="R29" s="158">
        <f>R14/Assumptions!L$21</f>
        <v>2.2545554850944827</v>
      </c>
      <c r="S29" s="158">
        <f>S14/Assumptions!M$21</f>
        <v>1.9503444460968757</v>
      </c>
      <c r="T29" s="158">
        <f>T14/Assumptions!N$21</f>
        <v>2.0093885378151879</v>
      </c>
      <c r="U29" s="144"/>
      <c r="V29" s="158">
        <f t="shared" si="9"/>
        <v>9.7673225465189368</v>
      </c>
    </row>
    <row r="30" spans="2:22">
      <c r="G30" s="204"/>
      <c r="H30" s="204"/>
      <c r="I30" s="204"/>
      <c r="J30" s="43"/>
      <c r="K30" s="43"/>
      <c r="M30" s="80" t="s">
        <v>145</v>
      </c>
      <c r="N30" s="144">
        <f>N15/Assumptions!G$21</f>
        <v>2.7199622810353041</v>
      </c>
      <c r="O30" s="144">
        <f>O15/Assumptions!H$21</f>
        <v>0.5290557292743322</v>
      </c>
      <c r="P30" s="158">
        <f>P15/Assumptions!J$21</f>
        <v>0.22409094198071414</v>
      </c>
      <c r="Q30" s="158">
        <f>Q15/Assumptions!K$21</f>
        <v>0.62280817934817145</v>
      </c>
      <c r="R30" s="158">
        <f>R15/Assumptions!L$21</f>
        <v>0.10233566418579729</v>
      </c>
      <c r="S30" s="158">
        <f>S15/Assumptions!M$21</f>
        <v>0.23154746888431421</v>
      </c>
      <c r="T30" s="158">
        <f>T15/Assumptions!N$21</f>
        <v>1.1592630519098677</v>
      </c>
      <c r="U30" s="144"/>
      <c r="V30" s="158">
        <f t="shared" si="9"/>
        <v>2.3400453063088649</v>
      </c>
    </row>
    <row r="31" spans="2:22">
      <c r="G31" s="204"/>
      <c r="H31" s="204"/>
      <c r="I31" s="204"/>
      <c r="J31" s="43"/>
      <c r="K31" s="43"/>
      <c r="M31" s="80" t="s">
        <v>179</v>
      </c>
      <c r="N31" s="144">
        <f>N16/Assumptions!G$21</f>
        <v>7.8918201183248113</v>
      </c>
      <c r="O31" s="144">
        <f>O16/Assumptions!H$21</f>
        <v>19.488253484733757</v>
      </c>
      <c r="P31" s="158">
        <f>P16/Assumptions!J$21</f>
        <v>24.309426593474168</v>
      </c>
      <c r="Q31" s="158">
        <f>Q16/Assumptions!K$21</f>
        <v>22.542687740109383</v>
      </c>
      <c r="R31" s="158">
        <f>R16/Assumptions!L$21</f>
        <v>14.155285201978488</v>
      </c>
      <c r="S31" s="158">
        <f>S16/Assumptions!M$21</f>
        <v>11.942241539603698</v>
      </c>
      <c r="T31" s="158">
        <f>T16/Assumptions!N$21</f>
        <v>10.41015163938923</v>
      </c>
      <c r="U31" s="144"/>
      <c r="V31" s="158">
        <f t="shared" si="9"/>
        <v>83.359792714554956</v>
      </c>
    </row>
    <row r="32" spans="2:22">
      <c r="G32" s="204"/>
      <c r="H32" s="204"/>
      <c r="I32" s="204"/>
      <c r="J32" s="43"/>
      <c r="K32" s="43"/>
      <c r="M32" s="155"/>
      <c r="N32" s="186">
        <f>SUM(N24:N31)</f>
        <v>145.05705466622547</v>
      </c>
      <c r="O32" s="186">
        <f t="shared" ref="O32:V32" si="10">SUM(O24:O31)</f>
        <v>175.55964583992559</v>
      </c>
      <c r="P32" s="188">
        <f t="shared" si="10"/>
        <v>159.89723874884632</v>
      </c>
      <c r="Q32" s="188">
        <f t="shared" si="10"/>
        <v>127.42467421258259</v>
      </c>
      <c r="R32" s="188">
        <f t="shared" si="10"/>
        <v>113.76593132531517</v>
      </c>
      <c r="S32" s="188">
        <f t="shared" si="10"/>
        <v>108.42885171831105</v>
      </c>
      <c r="T32" s="188">
        <f t="shared" si="10"/>
        <v>100.25113929184684</v>
      </c>
      <c r="U32" s="186">
        <f t="shared" si="10"/>
        <v>0</v>
      </c>
      <c r="V32" s="188">
        <f t="shared" si="10"/>
        <v>609.76783529690192</v>
      </c>
    </row>
    <row r="33" spans="7:22">
      <c r="G33" s="204"/>
      <c r="H33" s="204"/>
      <c r="I33" s="204"/>
      <c r="J33" s="43"/>
      <c r="K33" s="43"/>
      <c r="M33" s="47" t="s">
        <v>50</v>
      </c>
      <c r="N33" s="149">
        <f>N32-'5.1(b)_Total_Fcast'!N45</f>
        <v>-1.5035368505778024E-9</v>
      </c>
      <c r="O33" s="149">
        <f>O32-'5.1(b)_Total_Fcast'!O45</f>
        <v>-7.984453986864537E-9</v>
      </c>
      <c r="P33" s="149">
        <f>P32-'5.1(b)_Total_Fcast'!P45</f>
        <v>-1.3007166899114964E-8</v>
      </c>
      <c r="Q33" s="149">
        <f>Q32-'5.1(b)_Total_Fcast'!Q45</f>
        <v>-1.4456375652116549E-8</v>
      </c>
      <c r="R33" s="149">
        <f>R32-'5.1(b)_Total_Fcast'!R45</f>
        <v>-1.7830856791078986E-8</v>
      </c>
      <c r="S33" s="149">
        <f>S32-'5.1(b)_Total_Fcast'!S45</f>
        <v>-1.117960835017584E-8</v>
      </c>
      <c r="T33" s="149">
        <f>T32-'5.1(b)_Total_Fcast'!T45</f>
        <v>-5.1140602863597451E-9</v>
      </c>
      <c r="U33" s="149">
        <f>U32-'5.1(b)_Total_Fcast'!U45</f>
        <v>0</v>
      </c>
      <c r="V33" s="149">
        <f>V32-'5.1(b)_Total_Fcast'!V45</f>
        <v>-6.1588025346281938E-8</v>
      </c>
    </row>
    <row r="34" spans="7:22">
      <c r="G34" s="204"/>
      <c r="H34" s="204"/>
      <c r="I34" s="204"/>
      <c r="J34" s="43"/>
      <c r="K34" s="43"/>
    </row>
    <row r="64" spans="3:4">
      <c r="C64" s="233"/>
      <c r="D64" s="233"/>
    </row>
    <row r="65" spans="3:4">
      <c r="C65" s="233"/>
      <c r="D65" s="233"/>
    </row>
    <row r="66" spans="3:4">
      <c r="C66" s="233"/>
      <c r="D66" s="233"/>
    </row>
    <row r="67" spans="3:4">
      <c r="C67" s="233"/>
      <c r="D67" s="233"/>
    </row>
    <row r="68" spans="3:4">
      <c r="C68" s="233"/>
      <c r="D68" s="233"/>
    </row>
    <row r="70" spans="3:4">
      <c r="C70" s="149"/>
      <c r="D70" s="149"/>
    </row>
    <row r="71" spans="3:4">
      <c r="C71" s="149"/>
      <c r="D71" s="149"/>
    </row>
    <row r="72" spans="3:4">
      <c r="C72" s="149"/>
      <c r="D72" s="149"/>
    </row>
    <row r="73" spans="3:4">
      <c r="C73" s="149"/>
      <c r="D73" s="149"/>
    </row>
  </sheetData>
  <mergeCells count="3">
    <mergeCell ref="P6:T6"/>
    <mergeCell ref="E6:I6"/>
    <mergeCell ref="P21:T21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&amp;L&amp;D&amp;R&amp;F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0"/>
  <sheetViews>
    <sheetView zoomScaleNormal="100" workbookViewId="0">
      <selection activeCell="K23" sqref="K23"/>
    </sheetView>
  </sheetViews>
  <sheetFormatPr defaultRowHeight="15"/>
  <cols>
    <col min="1" max="1" width="9.140625" style="47"/>
    <col min="2" max="2" width="42.85546875" style="47" customWidth="1"/>
    <col min="3" max="9" width="8" style="47" bestFit="1" customWidth="1"/>
    <col min="10" max="10" width="9" style="47" bestFit="1" customWidth="1"/>
    <col min="11" max="11" width="9.140625" style="47"/>
    <col min="12" max="12" width="39.85546875" style="47" bestFit="1" customWidth="1"/>
    <col min="13" max="19" width="7.7109375" style="47" bestFit="1" customWidth="1"/>
    <col min="20" max="20" width="7" style="47" bestFit="1" customWidth="1"/>
    <col min="21" max="16384" width="9.140625" style="47"/>
  </cols>
  <sheetData>
    <row r="1" spans="2:20">
      <c r="B1" s="483" t="s">
        <v>290</v>
      </c>
    </row>
    <row r="2" spans="2:20">
      <c r="B2" s="483"/>
    </row>
    <row r="3" spans="2:20" ht="15.75">
      <c r="B3" s="939" t="s">
        <v>477</v>
      </c>
      <c r="L3" s="47" t="s">
        <v>126</v>
      </c>
      <c r="O3" s="634">
        <f>E_factor</f>
        <v>0</v>
      </c>
    </row>
    <row r="4" spans="2:20">
      <c r="B4" s="143"/>
      <c r="O4" s="905"/>
    </row>
    <row r="5" spans="2:20">
      <c r="B5" s="143" t="s">
        <v>224</v>
      </c>
      <c r="L5" s="143" t="s">
        <v>332</v>
      </c>
      <c r="M5" s="49"/>
    </row>
    <row r="6" spans="2:20">
      <c r="B6" s="908" t="s">
        <v>245</v>
      </c>
      <c r="E6" s="1016" t="s">
        <v>482</v>
      </c>
      <c r="F6" s="1017"/>
      <c r="G6" s="1017"/>
      <c r="H6" s="1017"/>
      <c r="I6" s="1018"/>
      <c r="L6" s="903" t="s">
        <v>438</v>
      </c>
      <c r="M6" s="49"/>
      <c r="O6" s="1016" t="s">
        <v>482</v>
      </c>
      <c r="P6" s="1017"/>
      <c r="Q6" s="1017"/>
      <c r="R6" s="1017"/>
      <c r="S6" s="1018"/>
    </row>
    <row r="7" spans="2:20">
      <c r="B7" s="906" t="s">
        <v>457</v>
      </c>
      <c r="C7" s="184" t="s">
        <v>72</v>
      </c>
      <c r="D7" s="184" t="s">
        <v>73</v>
      </c>
      <c r="E7" s="184" t="s">
        <v>74</v>
      </c>
      <c r="F7" s="184" t="s">
        <v>75</v>
      </c>
      <c r="G7" s="184" t="s">
        <v>76</v>
      </c>
      <c r="H7" s="184" t="s">
        <v>77</v>
      </c>
      <c r="I7" s="184" t="s">
        <v>78</v>
      </c>
      <c r="J7" s="184"/>
      <c r="L7" s="906" t="s">
        <v>457</v>
      </c>
      <c r="M7" s="184" t="s">
        <v>72</v>
      </c>
      <c r="N7" s="184" t="s">
        <v>73</v>
      </c>
      <c r="O7" s="184" t="s">
        <v>74</v>
      </c>
      <c r="P7" s="184" t="s">
        <v>75</v>
      </c>
      <c r="Q7" s="184" t="s">
        <v>76</v>
      </c>
      <c r="R7" s="184" t="s">
        <v>77</v>
      </c>
      <c r="S7" s="184" t="s">
        <v>78</v>
      </c>
      <c r="T7" s="184"/>
    </row>
    <row r="8" spans="2:20">
      <c r="B8" s="904" t="s">
        <v>456</v>
      </c>
      <c r="C8" s="142" t="s">
        <v>56</v>
      </c>
      <c r="D8" s="142" t="s">
        <v>55</v>
      </c>
      <c r="E8" s="142" t="s">
        <v>38</v>
      </c>
      <c r="F8" s="142" t="s">
        <v>39</v>
      </c>
      <c r="G8" s="142" t="s">
        <v>40</v>
      </c>
      <c r="H8" s="142" t="s">
        <v>123</v>
      </c>
      <c r="I8" s="142" t="s">
        <v>124</v>
      </c>
      <c r="J8" s="142" t="s">
        <v>35</v>
      </c>
      <c r="L8" s="904" t="s">
        <v>456</v>
      </c>
      <c r="M8" s="142" t="s">
        <v>56</v>
      </c>
      <c r="N8" s="142" t="s">
        <v>55</v>
      </c>
      <c r="O8" s="142" t="s">
        <v>38</v>
      </c>
      <c r="P8" s="142" t="s">
        <v>39</v>
      </c>
      <c r="Q8" s="142" t="s">
        <v>40</v>
      </c>
      <c r="R8" s="142" t="s">
        <v>123</v>
      </c>
      <c r="S8" s="142" t="s">
        <v>124</v>
      </c>
      <c r="T8" s="142" t="s">
        <v>35</v>
      </c>
    </row>
    <row r="9" spans="2:20">
      <c r="B9" s="80" t="s">
        <v>150</v>
      </c>
      <c r="C9" s="619">
        <f>Proj_33!G74+Proj_34!G74+Proj_36!G74</f>
        <v>8835.2315453666452</v>
      </c>
      <c r="D9" s="619">
        <f>Proj_33!H74+Proj_34!H74+Proj_36!H74</f>
        <v>449.95866598563879</v>
      </c>
      <c r="E9" s="627">
        <f>Proj_33!I74+Proj_34!I74+Proj_36!I74</f>
        <v>3738.1042206775546</v>
      </c>
      <c r="F9" s="627">
        <f>Proj_33!J74+Proj_34!J74+Proj_36!J74</f>
        <v>7409.7608957195807</v>
      </c>
      <c r="G9" s="627">
        <f>Proj_33!K74+Proj_34!K74+Proj_36!K74</f>
        <v>3906.1848647114953</v>
      </c>
      <c r="H9" s="627">
        <f>Proj_33!L74+Proj_34!L74+Proj_36!L74</f>
        <v>3887.657946951515</v>
      </c>
      <c r="I9" s="627">
        <f>Proj_33!M74+Proj_34!M74+Proj_36!M74</f>
        <v>3889.3286365328167</v>
      </c>
      <c r="J9" s="627">
        <f>SUM(E9:I9)</f>
        <v>22831.036564592963</v>
      </c>
      <c r="L9" s="80" t="s">
        <v>150</v>
      </c>
      <c r="M9" s="618">
        <f t="shared" ref="M9:N12" si="0">C9/Thousands</f>
        <v>8.8352315453666446</v>
      </c>
      <c r="N9" s="618">
        <f t="shared" si="0"/>
        <v>0.44995866598563877</v>
      </c>
      <c r="O9" s="630">
        <f t="shared" ref="O9:S12" si="1">E9*(1-$O$3)/Thousands</f>
        <v>3.7381042206775548</v>
      </c>
      <c r="P9" s="630">
        <f t="shared" si="1"/>
        <v>7.4097608957195806</v>
      </c>
      <c r="Q9" s="630">
        <f t="shared" si="1"/>
        <v>3.9061848647114954</v>
      </c>
      <c r="R9" s="630">
        <f t="shared" si="1"/>
        <v>3.8876579469515149</v>
      </c>
      <c r="S9" s="630">
        <f t="shared" si="1"/>
        <v>3.8893286365328166</v>
      </c>
      <c r="T9" s="630">
        <f>SUM(O9:S9)</f>
        <v>22.83103656459296</v>
      </c>
    </row>
    <row r="10" spans="2:20">
      <c r="B10" s="80" t="s">
        <v>151</v>
      </c>
      <c r="C10" s="619">
        <f>Proj_20!G74+Proj_21!G74+Proj_23!G74+Proj_25!G74+Proj_26!G74+Proj_27!G74+Proj_28!G74+Proj_30!G74+Proj_41!G74</f>
        <v>9319.1807852090478</v>
      </c>
      <c r="D10" s="619">
        <f>Proj_20!H74+Proj_21!H74+Proj_23!H74+Proj_25!H74+Proj_26!H74+Proj_27!H74+Proj_28!H74+Proj_30!H74+Proj_41!H74</f>
        <v>16054.044639919715</v>
      </c>
      <c r="E10" s="627">
        <f>Proj_20!I74+Proj_21!I74+Proj_23!I74+Proj_25!I74+Proj_26!I74+Proj_27!I74+Proj_28!I74+Proj_30!I74+Proj_41!I74</f>
        <v>10563.844319398915</v>
      </c>
      <c r="F10" s="627">
        <f>Proj_20!J74+Proj_21!J74+Proj_23!J74+Proj_25!J74+Proj_26!J74+Proj_27!J74+Proj_28!J74+Proj_30!J74+Proj_41!J74</f>
        <v>12583.326495811792</v>
      </c>
      <c r="G10" s="627">
        <f>Proj_20!K74+Proj_21!K74+Proj_23!K74+Proj_25!K74+Proj_26!K74+Proj_27!K74+Proj_28!K74+Proj_30!K74+Proj_41!K74</f>
        <v>12670.340406514479</v>
      </c>
      <c r="H10" s="627">
        <f>Proj_20!L74+Proj_21!L74+Proj_23!L74+Proj_25!L74+Proj_26!L74+Proj_27!L74+Proj_28!L74+Proj_30!L74+Proj_41!L74</f>
        <v>12610.245361647781</v>
      </c>
      <c r="I10" s="627">
        <f>Proj_20!M74+Proj_21!M74+Proj_23!M74+Proj_25!M74+Proj_26!M74+Proj_27!M74+Proj_28!M74+Proj_30!M74+Proj_41!M74</f>
        <v>12615.664512671567</v>
      </c>
      <c r="J10" s="627">
        <f t="shared" ref="J10:J17" si="2">SUM(E10:I10)</f>
        <v>61043.421096044534</v>
      </c>
      <c r="L10" s="80" t="s">
        <v>151</v>
      </c>
      <c r="M10" s="618">
        <f t="shared" si="0"/>
        <v>9.3191807852090474</v>
      </c>
      <c r="N10" s="618">
        <f t="shared" si="0"/>
        <v>16.054044639919717</v>
      </c>
      <c r="O10" s="630">
        <f t="shared" si="1"/>
        <v>10.563844319398916</v>
      </c>
      <c r="P10" s="630">
        <f t="shared" si="1"/>
        <v>12.583326495811793</v>
      </c>
      <c r="Q10" s="630">
        <f t="shared" si="1"/>
        <v>12.670340406514478</v>
      </c>
      <c r="R10" s="630">
        <f t="shared" si="1"/>
        <v>12.610245361647781</v>
      </c>
      <c r="S10" s="630">
        <f t="shared" si="1"/>
        <v>12.615664512671566</v>
      </c>
      <c r="T10" s="630">
        <f t="shared" ref="T10:T17" si="3">SUM(O10:S10)</f>
        <v>61.043421096044533</v>
      </c>
    </row>
    <row r="11" spans="2:20">
      <c r="B11" s="182" t="s">
        <v>152</v>
      </c>
      <c r="C11" s="619">
        <f>Proj_38!G74</f>
        <v>24613.508080247451</v>
      </c>
      <c r="D11" s="619">
        <f>Proj_38!H74</f>
        <v>14017.552322369138</v>
      </c>
      <c r="E11" s="627">
        <f>Proj_38!I74</f>
        <v>20330.494807323914</v>
      </c>
      <c r="F11" s="627">
        <f>Proj_38!J74</f>
        <v>17902.728279167259</v>
      </c>
      <c r="G11" s="627">
        <f>Proj_38!K74</f>
        <v>15416.176721461334</v>
      </c>
      <c r="H11" s="627">
        <f>Proj_38!L74</f>
        <v>14601.724219481228</v>
      </c>
      <c r="I11" s="627">
        <f>Proj_38!M74</f>
        <v>15464.224355199</v>
      </c>
      <c r="J11" s="627">
        <f t="shared" si="2"/>
        <v>83715.348382632728</v>
      </c>
      <c r="L11" s="182" t="s">
        <v>152</v>
      </c>
      <c r="M11" s="618">
        <f t="shared" si="0"/>
        <v>24.613508080247453</v>
      </c>
      <c r="N11" s="618">
        <f t="shared" si="0"/>
        <v>14.017552322369138</v>
      </c>
      <c r="O11" s="630">
        <f t="shared" si="1"/>
        <v>20.330494807323912</v>
      </c>
      <c r="P11" s="630">
        <f t="shared" si="1"/>
        <v>17.90272827916726</v>
      </c>
      <c r="Q11" s="630">
        <f t="shared" si="1"/>
        <v>15.416176721461333</v>
      </c>
      <c r="R11" s="630">
        <f t="shared" si="1"/>
        <v>14.601724219481229</v>
      </c>
      <c r="S11" s="630">
        <f t="shared" si="1"/>
        <v>15.464224355198999</v>
      </c>
      <c r="T11" s="630">
        <f t="shared" si="3"/>
        <v>83.715348382632726</v>
      </c>
    </row>
    <row r="12" spans="2:20">
      <c r="B12" s="80" t="s">
        <v>9</v>
      </c>
      <c r="C12" s="619">
        <f>Proj_39!G74</f>
        <v>6700.305923038426</v>
      </c>
      <c r="D12" s="619">
        <f>Proj_39!H74</f>
        <v>14650.054219604421</v>
      </c>
      <c r="E12" s="627">
        <f>Proj_39!I74</f>
        <v>8494.7440821515556</v>
      </c>
      <c r="F12" s="627">
        <f>Proj_39!J74</f>
        <v>11882.636139982524</v>
      </c>
      <c r="G12" s="627">
        <f>Proj_39!K74</f>
        <v>13685.912388818613</v>
      </c>
      <c r="H12" s="627">
        <f>Proj_39!L74</f>
        <v>12541.276985353672</v>
      </c>
      <c r="I12" s="627">
        <f>Proj_39!M74</f>
        <v>7607.3135698886817</v>
      </c>
      <c r="J12" s="627">
        <f t="shared" si="2"/>
        <v>54211.883166195053</v>
      </c>
      <c r="L12" s="80" t="s">
        <v>9</v>
      </c>
      <c r="M12" s="618">
        <f t="shared" si="0"/>
        <v>6.7003059230384263</v>
      </c>
      <c r="N12" s="618">
        <f t="shared" si="0"/>
        <v>14.650054219604421</v>
      </c>
      <c r="O12" s="630">
        <f t="shared" si="1"/>
        <v>8.4947440821515556</v>
      </c>
      <c r="P12" s="630">
        <f t="shared" si="1"/>
        <v>11.882636139982523</v>
      </c>
      <c r="Q12" s="630">
        <f t="shared" si="1"/>
        <v>13.685912388818613</v>
      </c>
      <c r="R12" s="630">
        <f t="shared" si="1"/>
        <v>12.541276985353672</v>
      </c>
      <c r="S12" s="630">
        <f t="shared" si="1"/>
        <v>7.6073135698886816</v>
      </c>
      <c r="T12" s="630">
        <f t="shared" si="3"/>
        <v>54.211883166195044</v>
      </c>
    </row>
    <row r="13" spans="2:20">
      <c r="B13" s="80"/>
      <c r="C13" s="619"/>
      <c r="D13" s="619"/>
      <c r="E13" s="627"/>
      <c r="F13" s="627"/>
      <c r="G13" s="627"/>
      <c r="H13" s="627"/>
      <c r="I13" s="627"/>
      <c r="J13" s="627">
        <f t="shared" si="2"/>
        <v>0</v>
      </c>
      <c r="L13" s="80"/>
      <c r="M13" s="618"/>
      <c r="N13" s="618"/>
      <c r="O13" s="630"/>
      <c r="P13" s="630"/>
      <c r="Q13" s="630"/>
      <c r="R13" s="630"/>
      <c r="S13" s="630"/>
      <c r="T13" s="630">
        <f t="shared" si="3"/>
        <v>0</v>
      </c>
    </row>
    <row r="14" spans="2:20">
      <c r="B14" s="80"/>
      <c r="C14" s="619"/>
      <c r="D14" s="619"/>
      <c r="E14" s="627"/>
      <c r="F14" s="627"/>
      <c r="G14" s="627"/>
      <c r="H14" s="627"/>
      <c r="I14" s="627"/>
      <c r="J14" s="627">
        <f t="shared" si="2"/>
        <v>0</v>
      </c>
      <c r="L14" s="80"/>
      <c r="M14" s="618"/>
      <c r="N14" s="618"/>
      <c r="O14" s="630"/>
      <c r="P14" s="630"/>
      <c r="Q14" s="630"/>
      <c r="R14" s="630"/>
      <c r="S14" s="630"/>
      <c r="T14" s="630">
        <f t="shared" si="3"/>
        <v>0</v>
      </c>
    </row>
    <row r="15" spans="2:20">
      <c r="B15" s="80"/>
      <c r="C15" s="619"/>
      <c r="D15" s="619"/>
      <c r="E15" s="627"/>
      <c r="F15" s="627"/>
      <c r="G15" s="627"/>
      <c r="H15" s="627"/>
      <c r="I15" s="627"/>
      <c r="J15" s="627">
        <f t="shared" si="2"/>
        <v>0</v>
      </c>
      <c r="L15" s="80"/>
      <c r="M15" s="618"/>
      <c r="N15" s="618"/>
      <c r="O15" s="630"/>
      <c r="P15" s="630"/>
      <c r="Q15" s="630"/>
      <c r="R15" s="630"/>
      <c r="S15" s="630"/>
      <c r="T15" s="630">
        <f t="shared" si="3"/>
        <v>0</v>
      </c>
    </row>
    <row r="16" spans="2:20">
      <c r="B16" s="80"/>
      <c r="C16" s="619"/>
      <c r="D16" s="619"/>
      <c r="E16" s="627"/>
      <c r="F16" s="627"/>
      <c r="G16" s="627"/>
      <c r="H16" s="627"/>
      <c r="I16" s="627"/>
      <c r="J16" s="627">
        <f t="shared" si="2"/>
        <v>0</v>
      </c>
      <c r="L16" s="80"/>
      <c r="M16" s="618"/>
      <c r="N16" s="618"/>
      <c r="O16" s="630"/>
      <c r="P16" s="630"/>
      <c r="Q16" s="630"/>
      <c r="R16" s="630"/>
      <c r="S16" s="630"/>
      <c r="T16" s="630">
        <f t="shared" si="3"/>
        <v>0</v>
      </c>
    </row>
    <row r="17" spans="2:20">
      <c r="B17" s="620"/>
      <c r="C17" s="621"/>
      <c r="D17" s="621"/>
      <c r="E17" s="628"/>
      <c r="F17" s="628"/>
      <c r="G17" s="628"/>
      <c r="H17" s="628"/>
      <c r="I17" s="628"/>
      <c r="J17" s="628">
        <f t="shared" si="2"/>
        <v>0</v>
      </c>
      <c r="L17" s="221"/>
      <c r="M17" s="623"/>
      <c r="N17" s="623"/>
      <c r="O17" s="631"/>
      <c r="P17" s="631"/>
      <c r="Q17" s="631"/>
      <c r="R17" s="631"/>
      <c r="S17" s="631"/>
      <c r="T17" s="631">
        <f t="shared" si="3"/>
        <v>0</v>
      </c>
    </row>
    <row r="18" spans="2:20">
      <c r="B18" s="622" t="s">
        <v>37</v>
      </c>
      <c r="C18" s="626">
        <f t="shared" ref="C18:J18" si="4">SUM(C9:C17)</f>
        <v>49468.226333861574</v>
      </c>
      <c r="D18" s="626">
        <f t="shared" si="4"/>
        <v>45171.609847878914</v>
      </c>
      <c r="E18" s="629">
        <f t="shared" si="4"/>
        <v>43127.187429551937</v>
      </c>
      <c r="F18" s="629">
        <f t="shared" si="4"/>
        <v>49778.451810681159</v>
      </c>
      <c r="G18" s="629">
        <f t="shared" si="4"/>
        <v>45678.614381505926</v>
      </c>
      <c r="H18" s="629">
        <f t="shared" si="4"/>
        <v>43640.904513434194</v>
      </c>
      <c r="I18" s="629">
        <f t="shared" si="4"/>
        <v>39576.531074292063</v>
      </c>
      <c r="J18" s="629">
        <f t="shared" si="4"/>
        <v>221801.68920946529</v>
      </c>
      <c r="L18" s="622" t="s">
        <v>37</v>
      </c>
      <c r="M18" s="625">
        <f t="shared" ref="M18:T18" si="5">SUM(M9:M17)</f>
        <v>49.468226333861573</v>
      </c>
      <c r="N18" s="625">
        <f t="shared" si="5"/>
        <v>45.171609847878912</v>
      </c>
      <c r="O18" s="632">
        <f t="shared" si="5"/>
        <v>43.127187429551938</v>
      </c>
      <c r="P18" s="632">
        <f t="shared" si="5"/>
        <v>49.778451810681162</v>
      </c>
      <c r="Q18" s="632">
        <f t="shared" si="5"/>
        <v>45.678614381505923</v>
      </c>
      <c r="R18" s="632">
        <f t="shared" si="5"/>
        <v>43.640904513434194</v>
      </c>
      <c r="S18" s="632">
        <f t="shared" si="5"/>
        <v>39.576531074292063</v>
      </c>
      <c r="T18" s="632">
        <f t="shared" si="5"/>
        <v>221.80168920946525</v>
      </c>
    </row>
    <row r="19" spans="2:20">
      <c r="B19" s="47" t="s">
        <v>50</v>
      </c>
      <c r="C19" s="124">
        <f>C18-'5.1(c)_Total_Fcast'!C11</f>
        <v>0</v>
      </c>
      <c r="D19" s="124">
        <f>D18-'5.1(c)_Total_Fcast'!D11</f>
        <v>0</v>
      </c>
      <c r="E19" s="124">
        <f>E18-'5.1(c)_Total_Fcast'!E11</f>
        <v>0</v>
      </c>
      <c r="F19" s="124">
        <f>F18-'5.1(c)_Total_Fcast'!F11</f>
        <v>0</v>
      </c>
      <c r="G19" s="124">
        <f>G18-'5.1(c)_Total_Fcast'!G11</f>
        <v>0</v>
      </c>
      <c r="H19" s="124">
        <f>H18-'5.1(c)_Total_Fcast'!H11</f>
        <v>0</v>
      </c>
      <c r="I19" s="124">
        <f>I18-'5.1(c)_Total_Fcast'!I11</f>
        <v>0</v>
      </c>
    </row>
    <row r="21" spans="2:20" ht="15.75">
      <c r="B21" s="939" t="s">
        <v>480</v>
      </c>
      <c r="L21" s="47" t="s">
        <v>126</v>
      </c>
      <c r="O21" s="634">
        <f>E_factor</f>
        <v>0</v>
      </c>
    </row>
    <row r="22" spans="2:20">
      <c r="O22" s="905"/>
    </row>
    <row r="23" spans="2:20">
      <c r="B23" s="143" t="s">
        <v>225</v>
      </c>
      <c r="L23" s="143" t="s">
        <v>223</v>
      </c>
    </row>
    <row r="24" spans="2:20">
      <c r="B24" s="908" t="s">
        <v>245</v>
      </c>
      <c r="E24" s="1016" t="s">
        <v>482</v>
      </c>
      <c r="F24" s="1017"/>
      <c r="G24" s="1017"/>
      <c r="H24" s="1017"/>
      <c r="I24" s="1018"/>
      <c r="L24" s="903" t="s">
        <v>438</v>
      </c>
      <c r="O24" s="1016" t="s">
        <v>482</v>
      </c>
      <c r="P24" s="1017"/>
      <c r="Q24" s="1017"/>
      <c r="R24" s="1017"/>
      <c r="S24" s="1018"/>
    </row>
    <row r="25" spans="2:20">
      <c r="B25" s="900"/>
      <c r="C25" s="184" t="s">
        <v>72</v>
      </c>
      <c r="D25" s="184" t="s">
        <v>73</v>
      </c>
      <c r="E25" s="184" t="s">
        <v>74</v>
      </c>
      <c r="F25" s="184" t="s">
        <v>75</v>
      </c>
      <c r="G25" s="184" t="s">
        <v>76</v>
      </c>
      <c r="H25" s="184" t="s">
        <v>77</v>
      </c>
      <c r="I25" s="184" t="s">
        <v>78</v>
      </c>
      <c r="J25" s="184"/>
      <c r="L25" s="900"/>
      <c r="M25" s="184" t="s">
        <v>72</v>
      </c>
      <c r="N25" s="184" t="s">
        <v>73</v>
      </c>
      <c r="O25" s="184" t="s">
        <v>74</v>
      </c>
      <c r="P25" s="184" t="s">
        <v>75</v>
      </c>
      <c r="Q25" s="184" t="s">
        <v>76</v>
      </c>
      <c r="R25" s="184" t="s">
        <v>77</v>
      </c>
      <c r="S25" s="184" t="s">
        <v>78</v>
      </c>
      <c r="T25" s="184"/>
    </row>
    <row r="26" spans="2:20">
      <c r="B26" s="904" t="s">
        <v>439</v>
      </c>
      <c r="C26" s="142" t="s">
        <v>56</v>
      </c>
      <c r="D26" s="142" t="s">
        <v>55</v>
      </c>
      <c r="E26" s="142" t="s">
        <v>38</v>
      </c>
      <c r="F26" s="142" t="s">
        <v>39</v>
      </c>
      <c r="G26" s="142" t="s">
        <v>40</v>
      </c>
      <c r="H26" s="142" t="s">
        <v>123</v>
      </c>
      <c r="I26" s="142" t="s">
        <v>124</v>
      </c>
      <c r="J26" s="142" t="s">
        <v>35</v>
      </c>
      <c r="L26" s="904" t="s">
        <v>439</v>
      </c>
      <c r="M26" s="142" t="s">
        <v>56</v>
      </c>
      <c r="N26" s="142" t="s">
        <v>55</v>
      </c>
      <c r="O26" s="142" t="s">
        <v>38</v>
      </c>
      <c r="P26" s="142" t="s">
        <v>39</v>
      </c>
      <c r="Q26" s="142" t="s">
        <v>40</v>
      </c>
      <c r="R26" s="142" t="s">
        <v>123</v>
      </c>
      <c r="S26" s="142" t="s">
        <v>124</v>
      </c>
      <c r="T26" s="142" t="s">
        <v>35</v>
      </c>
    </row>
    <row r="27" spans="2:20">
      <c r="B27" s="80" t="s">
        <v>153</v>
      </c>
      <c r="C27" s="619">
        <f>Proj_37!G74</f>
        <v>4052.4051164563425</v>
      </c>
      <c r="D27" s="619">
        <f>Proj_37!H74</f>
        <v>5602.4853455945195</v>
      </c>
      <c r="E27" s="627">
        <f>Proj_37!I74</f>
        <v>4215.609449593625</v>
      </c>
      <c r="F27" s="627">
        <f>Proj_37!J74</f>
        <v>4366.3709744644702</v>
      </c>
      <c r="G27" s="627">
        <f>Proj_37!K74</f>
        <v>4432.215020085584</v>
      </c>
      <c r="H27" s="627">
        <f>Proj_37!L74</f>
        <v>4411.1931570617662</v>
      </c>
      <c r="I27" s="627">
        <f>Proj_37!M74</f>
        <v>4413.0888316682194</v>
      </c>
      <c r="J27" s="627">
        <f>SUM(E27:I27)</f>
        <v>21838.477432873668</v>
      </c>
      <c r="L27" s="80" t="s">
        <v>153</v>
      </c>
      <c r="M27" s="618">
        <f t="shared" ref="M27:N34" si="6">C27/Thousands</f>
        <v>4.0524051164563426</v>
      </c>
      <c r="N27" s="618">
        <f t="shared" si="6"/>
        <v>5.6024853455945198</v>
      </c>
      <c r="O27" s="630">
        <f t="shared" ref="O27:S34" si="7">E27*(1-$O$21)/Thousands</f>
        <v>4.2156094495936252</v>
      </c>
      <c r="P27" s="630">
        <f t="shared" si="7"/>
        <v>4.3663709744644699</v>
      </c>
      <c r="Q27" s="630">
        <f t="shared" si="7"/>
        <v>4.4322150200855841</v>
      </c>
      <c r="R27" s="630">
        <f t="shared" si="7"/>
        <v>4.4111931570617662</v>
      </c>
      <c r="S27" s="630">
        <f t="shared" si="7"/>
        <v>4.4130888316682197</v>
      </c>
      <c r="T27" s="630">
        <f>SUM(O27:S27)</f>
        <v>21.838477432873663</v>
      </c>
    </row>
    <row r="28" spans="2:20">
      <c r="B28" s="80" t="s">
        <v>154</v>
      </c>
      <c r="C28" s="619">
        <f>Proj_24!G74</f>
        <v>1186.0697901823441</v>
      </c>
      <c r="D28" s="619">
        <f>Proj_24!H74</f>
        <v>2849.7382179090459</v>
      </c>
      <c r="E28" s="627">
        <f>Proj_24!I74</f>
        <v>1446.2452446450081</v>
      </c>
      <c r="F28" s="627">
        <f>Proj_24!J74</f>
        <v>1497.9668618932351</v>
      </c>
      <c r="G28" s="627">
        <f>Proj_24!K74</f>
        <v>1520.5559178782253</v>
      </c>
      <c r="H28" s="627">
        <f>Proj_24!L74</f>
        <v>1513.3439667249452</v>
      </c>
      <c r="I28" s="627">
        <f>Proj_24!M74</f>
        <v>1513.994314063274</v>
      </c>
      <c r="J28" s="627">
        <f t="shared" ref="J28:J35" si="8">SUM(E28:I28)</f>
        <v>7492.1063052046875</v>
      </c>
      <c r="L28" s="80" t="s">
        <v>154</v>
      </c>
      <c r="M28" s="618">
        <f t="shared" si="6"/>
        <v>1.186069790182344</v>
      </c>
      <c r="N28" s="618">
        <f t="shared" si="6"/>
        <v>2.8497382179090458</v>
      </c>
      <c r="O28" s="630">
        <f t="shared" si="7"/>
        <v>1.446245244645008</v>
      </c>
      <c r="P28" s="630">
        <f t="shared" si="7"/>
        <v>1.4979668618932351</v>
      </c>
      <c r="Q28" s="630">
        <f t="shared" si="7"/>
        <v>1.5205559178782253</v>
      </c>
      <c r="R28" s="630">
        <f t="shared" si="7"/>
        <v>1.5133439667249451</v>
      </c>
      <c r="S28" s="630">
        <f t="shared" si="7"/>
        <v>1.5139943140632741</v>
      </c>
      <c r="T28" s="630">
        <f t="shared" ref="T28:T35" si="9">SUM(O28:S28)</f>
        <v>7.4921063052046879</v>
      </c>
    </row>
    <row r="29" spans="2:20">
      <c r="B29" s="182" t="s">
        <v>97</v>
      </c>
      <c r="C29" s="619">
        <f>Proj_22!G74</f>
        <v>0</v>
      </c>
      <c r="D29" s="619">
        <f>Proj_22!H74</f>
        <v>1099.8989612982282</v>
      </c>
      <c r="E29" s="627">
        <f>Proj_22!I74</f>
        <v>488.59636643412432</v>
      </c>
      <c r="F29" s="627">
        <f>Proj_22!J74</f>
        <v>506.06988577474152</v>
      </c>
      <c r="G29" s="627">
        <f>Proj_22!K74</f>
        <v>513.70132360750858</v>
      </c>
      <c r="H29" s="627">
        <f>Proj_22!L74</f>
        <v>511.26485362329231</v>
      </c>
      <c r="I29" s="627">
        <f>Proj_22!M74</f>
        <v>511.48456556191701</v>
      </c>
      <c r="J29" s="627">
        <f t="shared" si="8"/>
        <v>2531.1169950015837</v>
      </c>
      <c r="L29" s="182" t="s">
        <v>97</v>
      </c>
      <c r="M29" s="618">
        <f t="shared" si="6"/>
        <v>0</v>
      </c>
      <c r="N29" s="618">
        <f t="shared" si="6"/>
        <v>1.0998989612982282</v>
      </c>
      <c r="O29" s="630">
        <f t="shared" si="7"/>
        <v>0.4885963664341243</v>
      </c>
      <c r="P29" s="630">
        <f t="shared" si="7"/>
        <v>0.50606988577474155</v>
      </c>
      <c r="Q29" s="630">
        <f t="shared" si="7"/>
        <v>0.51370132360750853</v>
      </c>
      <c r="R29" s="630">
        <f t="shared" si="7"/>
        <v>0.51126485362329233</v>
      </c>
      <c r="S29" s="630">
        <f t="shared" si="7"/>
        <v>0.51148456556191702</v>
      </c>
      <c r="T29" s="630">
        <f t="shared" si="9"/>
        <v>2.5311169950015837</v>
      </c>
    </row>
    <row r="30" spans="2:20">
      <c r="B30" s="80" t="s">
        <v>155</v>
      </c>
      <c r="C30" s="619">
        <f>Proj_35!G74</f>
        <v>6833.2307412071432</v>
      </c>
      <c r="D30" s="619">
        <f>Proj_35!H74</f>
        <v>700.53564753230796</v>
      </c>
      <c r="E30" s="627">
        <f>Proj_35!I74</f>
        <v>1108.2948642953188</v>
      </c>
      <c r="F30" s="627">
        <f>Proj_35!J74</f>
        <v>1082.8974508387359</v>
      </c>
      <c r="G30" s="627">
        <f>Proj_35!K74</f>
        <v>1099.2273388791718</v>
      </c>
      <c r="H30" s="627">
        <f>Proj_35!L74</f>
        <v>1094.0137365504861</v>
      </c>
      <c r="I30" s="627">
        <f>Proj_35!M74</f>
        <v>907.23551847413898</v>
      </c>
      <c r="J30" s="627">
        <f t="shared" si="8"/>
        <v>5291.6689090378513</v>
      </c>
      <c r="L30" s="80" t="s">
        <v>155</v>
      </c>
      <c r="M30" s="618">
        <f t="shared" si="6"/>
        <v>6.8332307412071431</v>
      </c>
      <c r="N30" s="618">
        <f t="shared" si="6"/>
        <v>0.70053564753230801</v>
      </c>
      <c r="O30" s="630">
        <f t="shared" si="7"/>
        <v>1.1082948642953188</v>
      </c>
      <c r="P30" s="630">
        <f t="shared" si="7"/>
        <v>1.0828974508387359</v>
      </c>
      <c r="Q30" s="630">
        <f t="shared" si="7"/>
        <v>1.0992273388791718</v>
      </c>
      <c r="R30" s="630">
        <f t="shared" si="7"/>
        <v>1.0940137365504861</v>
      </c>
      <c r="S30" s="630">
        <f t="shared" si="7"/>
        <v>0.90723551847413897</v>
      </c>
      <c r="T30" s="630">
        <f t="shared" si="9"/>
        <v>5.2916689090378517</v>
      </c>
    </row>
    <row r="31" spans="2:20">
      <c r="B31" s="80" t="s">
        <v>156</v>
      </c>
      <c r="C31" s="619">
        <f>Proj_29!G74</f>
        <v>602.91881000935814</v>
      </c>
      <c r="D31" s="619">
        <f>Proj_29!H74</f>
        <v>2607.7604464234355</v>
      </c>
      <c r="E31" s="627">
        <f>Proj_29!I74</f>
        <v>1714.9732461837764</v>
      </c>
      <c r="F31" s="627">
        <f>Proj_29!J74</f>
        <v>1776.3052990693427</v>
      </c>
      <c r="G31" s="627">
        <f>Proj_29!K74</f>
        <v>1803.0916458623549</v>
      </c>
      <c r="H31" s="627">
        <f>Proj_29!L74</f>
        <v>1794.5396362177557</v>
      </c>
      <c r="I31" s="627">
        <f>Proj_29!M74</f>
        <v>1795.3108251223284</v>
      </c>
      <c r="J31" s="627">
        <f t="shared" si="8"/>
        <v>8884.2206524555586</v>
      </c>
      <c r="L31" s="80" t="s">
        <v>156</v>
      </c>
      <c r="M31" s="618">
        <f t="shared" si="6"/>
        <v>0.6029188100093581</v>
      </c>
      <c r="N31" s="618">
        <f t="shared" si="6"/>
        <v>2.6077604464234354</v>
      </c>
      <c r="O31" s="630">
        <f t="shared" si="7"/>
        <v>1.7149732461837763</v>
      </c>
      <c r="P31" s="630">
        <f t="shared" si="7"/>
        <v>1.7763052990693426</v>
      </c>
      <c r="Q31" s="630">
        <f t="shared" si="7"/>
        <v>1.8030916458623549</v>
      </c>
      <c r="R31" s="630">
        <f t="shared" si="7"/>
        <v>1.7945396362177557</v>
      </c>
      <c r="S31" s="630">
        <f t="shared" si="7"/>
        <v>1.7953108251223284</v>
      </c>
      <c r="T31" s="630">
        <f t="shared" si="9"/>
        <v>8.8842206524555589</v>
      </c>
    </row>
    <row r="32" spans="2:20">
      <c r="B32" s="80" t="s">
        <v>157</v>
      </c>
      <c r="C32" s="619">
        <f>Proj_31!G74</f>
        <v>869.78418333655497</v>
      </c>
      <c r="D32" s="619">
        <f>Proj_31!H74</f>
        <v>1937.3536444492481</v>
      </c>
      <c r="E32" s="627">
        <f>Proj_31!I74</f>
        <v>2442.9818321706221</v>
      </c>
      <c r="F32" s="627">
        <f>Proj_31!J74</f>
        <v>2530.3494288737074</v>
      </c>
      <c r="G32" s="627">
        <f>Proj_31!K74</f>
        <v>2568.5066180375425</v>
      </c>
      <c r="H32" s="627">
        <f>Proj_31!L74</f>
        <v>2556.3242681164616</v>
      </c>
      <c r="I32" s="627">
        <f>Proj_31!M74</f>
        <v>2557.4228278095848</v>
      </c>
      <c r="J32" s="627">
        <f t="shared" si="8"/>
        <v>12655.58497500792</v>
      </c>
      <c r="L32" s="80" t="s">
        <v>157</v>
      </c>
      <c r="M32" s="618">
        <f t="shared" si="6"/>
        <v>0.86978418333655494</v>
      </c>
      <c r="N32" s="618">
        <f t="shared" si="6"/>
        <v>1.9373536444492481</v>
      </c>
      <c r="O32" s="630">
        <f t="shared" si="7"/>
        <v>2.4429818321706223</v>
      </c>
      <c r="P32" s="630">
        <f t="shared" si="7"/>
        <v>2.5303494288737074</v>
      </c>
      <c r="Q32" s="630">
        <f t="shared" si="7"/>
        <v>2.5685066180375427</v>
      </c>
      <c r="R32" s="630">
        <f t="shared" si="7"/>
        <v>2.5563242681164615</v>
      </c>
      <c r="S32" s="630">
        <f t="shared" si="7"/>
        <v>2.5574228278095847</v>
      </c>
      <c r="T32" s="630">
        <f t="shared" si="9"/>
        <v>12.655584975007919</v>
      </c>
    </row>
    <row r="33" spans="2:20">
      <c r="B33" s="80" t="s">
        <v>158</v>
      </c>
      <c r="C33" s="619">
        <f>Proj_40!G74</f>
        <v>958.573697293436</v>
      </c>
      <c r="D33" s="619">
        <f>Proj_40!H74</f>
        <v>445.95903339909978</v>
      </c>
      <c r="E33" s="627">
        <f>Proj_40!I74</f>
        <v>1302.7786935689562</v>
      </c>
      <c r="F33" s="627">
        <f>Proj_40!J74</f>
        <v>286.78221322025939</v>
      </c>
      <c r="G33" s="627">
        <f>Proj_40!K74</f>
        <v>775.5836898759984</v>
      </c>
      <c r="H33" s="627">
        <f>Proj_40!L74</f>
        <v>0</v>
      </c>
      <c r="I33" s="627">
        <f>Proj_40!M74</f>
        <v>1409.1399781230812</v>
      </c>
      <c r="J33" s="627">
        <f t="shared" si="8"/>
        <v>3774.2845747882952</v>
      </c>
      <c r="L33" s="80" t="s">
        <v>158</v>
      </c>
      <c r="M33" s="618">
        <f t="shared" si="6"/>
        <v>0.958573697293436</v>
      </c>
      <c r="N33" s="618">
        <f t="shared" si="6"/>
        <v>0.44595903339909976</v>
      </c>
      <c r="O33" s="630">
        <f t="shared" si="7"/>
        <v>1.3027786935689563</v>
      </c>
      <c r="P33" s="630">
        <f t="shared" si="7"/>
        <v>0.28678221322025937</v>
      </c>
      <c r="Q33" s="630">
        <f t="shared" si="7"/>
        <v>0.77558368987599835</v>
      </c>
      <c r="R33" s="630">
        <f t="shared" si="7"/>
        <v>0</v>
      </c>
      <c r="S33" s="630">
        <f t="shared" si="7"/>
        <v>1.4091399781230811</v>
      </c>
      <c r="T33" s="630">
        <f t="shared" si="9"/>
        <v>3.7742845747882949</v>
      </c>
    </row>
    <row r="34" spans="2:20">
      <c r="B34" s="80" t="s">
        <v>159</v>
      </c>
      <c r="C34" s="619">
        <f>Proj_32!G74</f>
        <v>662.22229951847544</v>
      </c>
      <c r="D34" s="619">
        <f>Proj_32!H74</f>
        <v>199.98162932695058</v>
      </c>
      <c r="E34" s="627">
        <f>Proj_32!I74</f>
        <v>7.5428559173149239</v>
      </c>
      <c r="F34" s="627">
        <f>Proj_32!J74</f>
        <v>345.4253891558821</v>
      </c>
      <c r="G34" s="627">
        <f>Proj_32!K74</f>
        <v>543.98450978744188</v>
      </c>
      <c r="H34" s="627">
        <f>Proj_32!L74</f>
        <v>0</v>
      </c>
      <c r="I34" s="627">
        <f>Proj_32!M74</f>
        <v>0</v>
      </c>
      <c r="J34" s="627">
        <f>SUM(E34:I34)</f>
        <v>896.95275486063883</v>
      </c>
      <c r="L34" s="80" t="s">
        <v>159</v>
      </c>
      <c r="M34" s="618">
        <f t="shared" si="6"/>
        <v>0.66222229951847544</v>
      </c>
      <c r="N34" s="618">
        <f t="shared" si="6"/>
        <v>0.19998162932695057</v>
      </c>
      <c r="O34" s="630">
        <f t="shared" si="7"/>
        <v>7.5428559173149239E-3</v>
      </c>
      <c r="P34" s="630">
        <f t="shared" si="7"/>
        <v>0.34542538915588211</v>
      </c>
      <c r="Q34" s="630">
        <f t="shared" si="7"/>
        <v>0.54398450978744184</v>
      </c>
      <c r="R34" s="630">
        <f t="shared" si="7"/>
        <v>0</v>
      </c>
      <c r="S34" s="630">
        <f t="shared" si="7"/>
        <v>0</v>
      </c>
      <c r="T34" s="630">
        <f t="shared" si="9"/>
        <v>0.89695275486063886</v>
      </c>
    </row>
    <row r="35" spans="2:20">
      <c r="B35" s="620" t="s">
        <v>391</v>
      </c>
      <c r="C35" s="621">
        <f>Proj_42!G74</f>
        <v>0</v>
      </c>
      <c r="D35" s="621">
        <f>Proj_42!H74</f>
        <v>0</v>
      </c>
      <c r="E35" s="628">
        <f>Proj_42!I74</f>
        <v>0</v>
      </c>
      <c r="F35" s="628">
        <f>Proj_42!J74</f>
        <v>0</v>
      </c>
      <c r="G35" s="628">
        <f>Proj_42!K74</f>
        <v>0</v>
      </c>
      <c r="H35" s="628">
        <f>Proj_42!L74</f>
        <v>0</v>
      </c>
      <c r="I35" s="628">
        <f>Proj_42!M74</f>
        <v>0</v>
      </c>
      <c r="J35" s="628">
        <f t="shared" si="8"/>
        <v>0</v>
      </c>
      <c r="L35" s="221" t="s">
        <v>391</v>
      </c>
      <c r="M35" s="624">
        <f t="shared" ref="M35" si="10">C35/Thousands</f>
        <v>0</v>
      </c>
      <c r="N35" s="624">
        <f t="shared" ref="N35" si="11">D35/Thousands</f>
        <v>0</v>
      </c>
      <c r="O35" s="633">
        <f t="shared" ref="O35" si="12">E35*(1-$O$21)/Thousands</f>
        <v>0</v>
      </c>
      <c r="P35" s="633">
        <f t="shared" ref="P35" si="13">F35*(1-$O$21)/Thousands</f>
        <v>0</v>
      </c>
      <c r="Q35" s="633">
        <f t="shared" ref="Q35" si="14">G35*(1-$O$21)/Thousands</f>
        <v>0</v>
      </c>
      <c r="R35" s="633">
        <f t="shared" ref="R35" si="15">H35*(1-$O$21)/Thousands</f>
        <v>0</v>
      </c>
      <c r="S35" s="633">
        <f t="shared" ref="S35" si="16">I35*(1-$O$21)/Thousands</f>
        <v>0</v>
      </c>
      <c r="T35" s="631">
        <f t="shared" si="9"/>
        <v>0</v>
      </c>
    </row>
    <row r="36" spans="2:20">
      <c r="B36" s="622" t="s">
        <v>37</v>
      </c>
      <c r="C36" s="626">
        <f t="shared" ref="C36:J36" si="17">SUM(C27:C35)</f>
        <v>15165.204638003652</v>
      </c>
      <c r="D36" s="626">
        <f t="shared" si="17"/>
        <v>15443.712925932834</v>
      </c>
      <c r="E36" s="629">
        <f t="shared" si="17"/>
        <v>12727.022552808745</v>
      </c>
      <c r="F36" s="629">
        <f t="shared" si="17"/>
        <v>12392.167503290375</v>
      </c>
      <c r="G36" s="629">
        <f t="shared" si="17"/>
        <v>13256.86606401383</v>
      </c>
      <c r="H36" s="629">
        <f t="shared" si="17"/>
        <v>11880.679618294706</v>
      </c>
      <c r="I36" s="629">
        <f t="shared" si="17"/>
        <v>13107.676860822545</v>
      </c>
      <c r="J36" s="629">
        <f t="shared" si="17"/>
        <v>63364.412599230207</v>
      </c>
      <c r="L36" s="622" t="s">
        <v>37</v>
      </c>
      <c r="M36" s="625">
        <f t="shared" ref="M36:T36" si="18">SUM(M27:M35)</f>
        <v>15.165204638003656</v>
      </c>
      <c r="N36" s="625">
        <f t="shared" si="18"/>
        <v>15.443712925932836</v>
      </c>
      <c r="O36" s="632">
        <f t="shared" si="18"/>
        <v>12.727022552808746</v>
      </c>
      <c r="P36" s="632">
        <f t="shared" si="18"/>
        <v>12.392167503290374</v>
      </c>
      <c r="Q36" s="632">
        <f t="shared" si="18"/>
        <v>13.256866064013828</v>
      </c>
      <c r="R36" s="632">
        <f t="shared" si="18"/>
        <v>11.880679618294707</v>
      </c>
      <c r="S36" s="632">
        <f t="shared" si="18"/>
        <v>13.107676860822545</v>
      </c>
      <c r="T36" s="632">
        <f t="shared" si="18"/>
        <v>63.364412599230207</v>
      </c>
    </row>
    <row r="37" spans="2:20">
      <c r="B37" s="943" t="s">
        <v>50</v>
      </c>
      <c r="C37" s="124">
        <f>C36-'5.1(c)_Total_Fcast'!C12</f>
        <v>0</v>
      </c>
      <c r="D37" s="124">
        <f>D36-'5.1(c)_Total_Fcast'!D12</f>
        <v>0</v>
      </c>
      <c r="E37" s="124">
        <f>E36-'5.1(c)_Total_Fcast'!E12</f>
        <v>0</v>
      </c>
      <c r="F37" s="124">
        <f>F36-'5.1(c)_Total_Fcast'!F12</f>
        <v>0</v>
      </c>
      <c r="G37" s="124">
        <f>G36-'5.1(c)_Total_Fcast'!G12</f>
        <v>0</v>
      </c>
      <c r="H37" s="124">
        <f>H36-'5.1(c)_Total_Fcast'!H12</f>
        <v>0</v>
      </c>
      <c r="I37" s="124">
        <f>I36-'5.1(c)_Total_Fcast'!I12</f>
        <v>0</v>
      </c>
    </row>
    <row r="57" spans="5:9">
      <c r="E57" s="124"/>
      <c r="F57" s="124"/>
      <c r="G57" s="124"/>
      <c r="H57" s="124"/>
      <c r="I57" s="124"/>
    </row>
    <row r="60" spans="5:9">
      <c r="E60" s="124"/>
      <c r="F60" s="124"/>
      <c r="G60" s="124"/>
      <c r="H60" s="124"/>
      <c r="I60" s="124"/>
    </row>
  </sheetData>
  <mergeCells count="4">
    <mergeCell ref="E6:I6"/>
    <mergeCell ref="O6:S6"/>
    <mergeCell ref="E24:I24"/>
    <mergeCell ref="O24:S24"/>
  </mergeCells>
  <hyperlinks>
    <hyperlink ref="B1" location="Contents!A1" display="Table of Contents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V45"/>
  <sheetViews>
    <sheetView topLeftCell="D1" zoomScaleNormal="100" workbookViewId="0">
      <selection activeCell="V25" sqref="V25"/>
    </sheetView>
  </sheetViews>
  <sheetFormatPr defaultRowHeight="15" outlineLevelCol="1"/>
  <cols>
    <col min="1" max="1" width="9.140625" style="47"/>
    <col min="2" max="2" width="35.140625" style="47" customWidth="1"/>
    <col min="3" max="9" width="9" style="47" bestFit="1" customWidth="1"/>
    <col min="10" max="10" width="9.42578125" style="47" hidden="1" customWidth="1" outlineLevel="1"/>
    <col min="11" max="11" width="9.85546875" style="47" customWidth="1" collapsed="1"/>
    <col min="12" max="12" width="9.140625" style="47"/>
    <col min="13" max="13" width="32.140625" style="47" bestFit="1" customWidth="1"/>
    <col min="14" max="20" width="9.140625" style="47"/>
    <col min="21" max="21" width="0" style="47" hidden="1" customWidth="1" outlineLevel="1"/>
    <col min="22" max="22" width="9.140625" style="47" collapsed="1"/>
    <col min="23" max="16384" width="9.140625" style="47"/>
  </cols>
  <sheetData>
    <row r="1" spans="2:22">
      <c r="B1" s="483" t="s">
        <v>290</v>
      </c>
    </row>
    <row r="2" spans="2:22">
      <c r="B2" s="483"/>
    </row>
    <row r="3" spans="2:22" ht="15.75">
      <c r="B3" s="939" t="s">
        <v>478</v>
      </c>
    </row>
    <row r="4" spans="2:22">
      <c r="B4" s="126"/>
      <c r="H4" s="122"/>
      <c r="J4" s="125"/>
      <c r="K4" s="125"/>
      <c r="M4" s="909" t="s">
        <v>192</v>
      </c>
      <c r="N4" s="147" t="s">
        <v>194</v>
      </c>
      <c r="P4" s="941">
        <f>E_factor</f>
        <v>0</v>
      </c>
    </row>
    <row r="5" spans="2:22" ht="15" customHeight="1">
      <c r="B5" s="143" t="s">
        <v>225</v>
      </c>
      <c r="H5" s="122"/>
      <c r="J5" s="125"/>
      <c r="K5" s="125"/>
      <c r="M5" s="143" t="s">
        <v>226</v>
      </c>
    </row>
    <row r="6" spans="2:22">
      <c r="B6" s="910" t="s">
        <v>245</v>
      </c>
      <c r="E6" s="1010" t="s">
        <v>482</v>
      </c>
      <c r="F6" s="1011"/>
      <c r="G6" s="1011"/>
      <c r="H6" s="1011"/>
      <c r="I6" s="1012"/>
      <c r="K6" s="139"/>
      <c r="M6" s="903" t="s">
        <v>438</v>
      </c>
      <c r="P6" s="1010" t="s">
        <v>482</v>
      </c>
      <c r="Q6" s="1011"/>
      <c r="R6" s="1011"/>
      <c r="S6" s="1011"/>
      <c r="T6" s="1012"/>
      <c r="V6" s="139"/>
    </row>
    <row r="7" spans="2:22">
      <c r="B7" s="900"/>
      <c r="C7" s="141" t="s">
        <v>72</v>
      </c>
      <c r="D7" s="141" t="s">
        <v>73</v>
      </c>
      <c r="E7" s="141" t="s">
        <v>74</v>
      </c>
      <c r="F7" s="141" t="s">
        <v>75</v>
      </c>
      <c r="G7" s="141" t="s">
        <v>76</v>
      </c>
      <c r="H7" s="141" t="s">
        <v>77</v>
      </c>
      <c r="I7" s="141" t="s">
        <v>78</v>
      </c>
      <c r="J7" s="141" t="s">
        <v>79</v>
      </c>
      <c r="K7" s="140" t="s">
        <v>35</v>
      </c>
      <c r="M7" s="900"/>
      <c r="N7" s="141" t="s">
        <v>72</v>
      </c>
      <c r="O7" s="141" t="s">
        <v>73</v>
      </c>
      <c r="P7" s="141" t="s">
        <v>74</v>
      </c>
      <c r="Q7" s="141" t="s">
        <v>75</v>
      </c>
      <c r="R7" s="141" t="s">
        <v>76</v>
      </c>
      <c r="S7" s="141" t="s">
        <v>77</v>
      </c>
      <c r="T7" s="141" t="s">
        <v>78</v>
      </c>
      <c r="U7" s="141" t="s">
        <v>79</v>
      </c>
      <c r="V7" s="140" t="s">
        <v>35</v>
      </c>
    </row>
    <row r="8" spans="2:22">
      <c r="B8" s="901" t="s">
        <v>2</v>
      </c>
      <c r="C8" s="142" t="s">
        <v>56</v>
      </c>
      <c r="D8" s="142" t="s">
        <v>55</v>
      </c>
      <c r="E8" s="142" t="s">
        <v>38</v>
      </c>
      <c r="F8" s="142" t="s">
        <v>39</v>
      </c>
      <c r="G8" s="142" t="s">
        <v>40</v>
      </c>
      <c r="H8" s="142" t="s">
        <v>123</v>
      </c>
      <c r="I8" s="142" t="s">
        <v>124</v>
      </c>
      <c r="J8" s="142" t="s">
        <v>125</v>
      </c>
      <c r="K8" s="150"/>
      <c r="M8" s="901" t="s">
        <v>2</v>
      </c>
      <c r="N8" s="142" t="s">
        <v>56</v>
      </c>
      <c r="O8" s="142" t="s">
        <v>55</v>
      </c>
      <c r="P8" s="142" t="s">
        <v>38</v>
      </c>
      <c r="Q8" s="142" t="s">
        <v>39</v>
      </c>
      <c r="R8" s="142" t="s">
        <v>40</v>
      </c>
      <c r="S8" s="142" t="s">
        <v>123</v>
      </c>
      <c r="T8" s="142" t="s">
        <v>124</v>
      </c>
      <c r="U8" s="142" t="s">
        <v>125</v>
      </c>
      <c r="V8" s="150"/>
    </row>
    <row r="9" spans="2:22">
      <c r="B9" s="130" t="s">
        <v>3</v>
      </c>
      <c r="C9" s="137">
        <f>Proj_1!G85+Proj_2!G85+Proj_3!G85+Proj_4!G85+Proj_5!G85+Proj_6!G85+Proj_7!G85+Proj_8!G85+Proj_9!G85+Proj_10!G85+Proj_11!G85+Proj_12!G85+Proj_13!G85+Proj_14!G85+Proj_15!G85+Proj_16!G85+Proj_17!G85+Proj_18!G85+Proj_19!G85+Proj_20!G85+Proj_21!G85+Proj_22!G85+Proj_23!G85+Proj_24!G85+Proj_25!G85+Proj_26!G85+Proj_27!G85+Proj_28!G85+Proj_29!G85+Proj_30!G85+Proj_31!G85+Proj_32!G85+Proj_33!G85+Proj_34!G85+Proj_35!G85+Proj_36!G85+Proj_37!G85+Proj_38!G85+Proj_39!G85+Proj_40!G85+Proj_41!G85+Proj_42!G85+Proj_43!G85+Proj_44!G85+Proj_45!G85+Proj_46!G85</f>
        <v>30261.505278295866</v>
      </c>
      <c r="D9" s="137">
        <f>Proj_1!H85+Proj_2!H85+Proj_3!H85+Proj_4!H85+Proj_5!H85+Proj_6!H85+Proj_7!H85+Proj_8!H85+Proj_9!H85+Proj_10!H85+Proj_11!H85+Proj_12!H85+Proj_13!H85+Proj_14!H85+Proj_15!H85+Proj_16!H85+Proj_17!H85+Proj_18!H85+Proj_19!H85+Proj_20!H85+Proj_21!H85+Proj_22!H85+Proj_23!H85+Proj_24!H85+Proj_25!H85+Proj_26!H85+Proj_27!H85+Proj_28!H85+Proj_29!H85+Proj_30!H85+Proj_31!H85+Proj_32!H85+Proj_33!H85+Proj_34!H85+Proj_35!H85+Proj_36!H85+Proj_37!H85+Proj_38!H85+Proj_39!H85+Proj_40!H85+Proj_41!H85+Proj_42!H85+Proj_43!H85+Proj_44!H85+Proj_45!H85+Proj_46!H85</f>
        <v>22990.995812383535</v>
      </c>
      <c r="E9" s="195">
        <f>Proj_1!I85+Proj_2!I85+Proj_3!I85+Proj_4!I85+Proj_5!I85+Proj_6!I85+Proj_7!I85+Proj_8!I85+Proj_9!I85+Proj_10!I85+Proj_11!I85+Proj_12!I85+Proj_13!I85+Proj_14!I85+Proj_15!I85+Proj_16!I85+Proj_17!I85+Proj_18!I85+Proj_19!I85+Proj_20!I85+Proj_21!I85+Proj_22!I85+Proj_23!I85+Proj_24!I85+Proj_25!I85+Proj_26!I85+Proj_27!I85+Proj_28!I85+Proj_29!I85+Proj_30!I85+Proj_31!I85+Proj_32!I85+Proj_33!I85+Proj_34!I85+Proj_35!I85+Proj_36!I85+Proj_37!I85+Proj_38!I85+Proj_39!I85+Proj_40!I85+Proj_41!I85+Proj_42!I85+Proj_43!I85+Proj_44!I85+Proj_45!I85+Proj_46!I85</f>
        <v>30462.150355173202</v>
      </c>
      <c r="F9" s="195">
        <f>Proj_1!J85+Proj_2!J85+Proj_3!J85+Proj_4!J85+Proj_5!J85+Proj_6!J85+Proj_7!J85+Proj_8!J85+Proj_9!J85+Proj_10!J85+Proj_11!J85+Proj_12!J85+Proj_13!J85+Proj_14!J85+Proj_15!J85+Proj_16!J85+Proj_17!J85+Proj_18!J85+Proj_19!J85+Proj_20!J85+Proj_21!J85+Proj_22!J85+Proj_23!J85+Proj_24!J85+Proj_25!J85+Proj_26!J85+Proj_27!J85+Proj_28!J85+Proj_29!J85+Proj_30!J85+Proj_31!J85+Proj_32!J85+Proj_33!J85+Proj_34!J85+Proj_35!J85+Proj_36!J85+Proj_37!J85+Proj_38!J85+Proj_39!J85+Proj_40!J85+Proj_41!J85+Proj_42!J85+Proj_43!J85+Proj_44!J85+Proj_45!J85+Proj_46!J85</f>
        <v>22644.852967833114</v>
      </c>
      <c r="G9" s="195">
        <f>Proj_1!K85+Proj_2!K85+Proj_3!K85+Proj_4!K85+Proj_5!K85+Proj_6!K85+Proj_7!K85+Proj_8!K85+Proj_9!K85+Proj_10!K85+Proj_11!K85+Proj_12!K85+Proj_13!K85+Proj_14!K85+Proj_15!K85+Proj_16!K85+Proj_17!K85+Proj_18!K85+Proj_19!K85+Proj_20!K85+Proj_21!K85+Proj_22!K85+Proj_23!K85+Proj_24!K85+Proj_25!K85+Proj_26!K85+Proj_27!K85+Proj_28!K85+Proj_29!K85+Proj_30!K85+Proj_31!K85+Proj_32!K85+Proj_33!K85+Proj_34!K85+Proj_35!K85+Proj_36!K85+Proj_37!K85+Proj_38!K85+Proj_39!K85+Proj_40!K85+Proj_41!K85+Proj_42!K85+Proj_43!K85+Proj_44!K85+Proj_45!K85+Proj_46!K85</f>
        <v>19048.052160092269</v>
      </c>
      <c r="H9" s="195">
        <f>Proj_1!L85+Proj_2!L85+Proj_3!L85+Proj_4!L85+Proj_5!L85+Proj_6!L85+Proj_7!L85+Proj_8!L85+Proj_9!L85+Proj_10!L85+Proj_11!L85+Proj_12!L85+Proj_13!L85+Proj_14!L85+Proj_15!L85+Proj_16!L85+Proj_17!L85+Proj_18!L85+Proj_19!L85+Proj_20!L85+Proj_21!L85+Proj_22!L85+Proj_23!L85+Proj_24!L85+Proj_25!L85+Proj_26!L85+Proj_27!L85+Proj_28!L85+Proj_29!L85+Proj_30!L85+Proj_31!L85+Proj_32!L85+Proj_33!L85+Proj_34!L85+Proj_35!L85+Proj_36!L85+Proj_37!L85+Proj_38!L85+Proj_39!L85+Proj_40!L85+Proj_41!L85+Proj_42!L85+Proj_43!L85+Proj_44!L85+Proj_45!L85+Proj_46!L85</f>
        <v>19040.183757141043</v>
      </c>
      <c r="I9" s="195">
        <f>Proj_1!M85+Proj_2!M85+Proj_3!M85+Proj_4!M85+Proj_5!M85+Proj_6!M85+Proj_7!M85+Proj_8!M85+Proj_9!M85+Proj_10!M85+Proj_11!M85+Proj_12!M85+Proj_13!M85+Proj_14!M85+Proj_15!M85+Proj_16!M85+Proj_17!M85+Proj_18!M85+Proj_19!M85+Proj_20!M85+Proj_21!M85+Proj_22!M85+Proj_23!M85+Proj_24!M85+Proj_25!M85+Proj_26!M85+Proj_27!M85+Proj_28!M85+Proj_29!M85+Proj_30!M85+Proj_31!M85+Proj_32!M85+Proj_33!M85+Proj_34!M85+Proj_35!M85+Proj_36!M85+Proj_37!M85+Proj_38!M85+Proj_39!M85+Proj_40!M85+Proj_41!M85+Proj_42!M85+Proj_43!M85+Proj_44!M85+Proj_45!M85+Proj_46!M85</f>
        <v>18132.935218830225</v>
      </c>
      <c r="J9" s="137">
        <f>Proj_1!N85+Proj_2!N85+Proj_3!N85+Proj_4!N85+Proj_5!N85+Proj_6!N85+Proj_7!N85+Proj_8!N85+Proj_9!N85+Proj_10!N85+Proj_11!N85+Proj_12!N85+Proj_13!N85+Proj_14!N85+Proj_15!N85+Proj_16!N85+Proj_17!N85+Proj_18!N85+Proj_19!N85+Proj_20!N85+Proj_21!N85+Proj_22!N85+Proj_23!N85+Proj_24!N85+Proj_25!N85+Proj_26!N85+Proj_27!N85+Proj_28!N85+Proj_29!N85+Proj_30!N85+Proj_31!N85+Proj_32!N85+Proj_33!N85+Proj_34!N85+Proj_35!N85+Proj_36!N85+Proj_37!N85+Proj_38!N85+Proj_39!N85+Proj_40!N85+Proj_41!N85+Proj_42!N85+Proj_43!N85+Proj_44!N85+Proj_45!N85+Proj_46!N85</f>
        <v>0</v>
      </c>
      <c r="K9" s="195">
        <f>SUM(E9:J9)</f>
        <v>109328.17445906985</v>
      </c>
      <c r="M9" s="130" t="s">
        <v>3</v>
      </c>
      <c r="N9" s="138">
        <f>C9/1000</f>
        <v>30.261505278295868</v>
      </c>
      <c r="O9" s="138">
        <f t="shared" ref="O9:O22" si="0">D9/1000</f>
        <v>22.990995812383535</v>
      </c>
      <c r="P9" s="157">
        <f t="shared" ref="P9:P22" si="1">E9/1000*(1-$P$4)</f>
        <v>30.4621503551732</v>
      </c>
      <c r="Q9" s="157">
        <f t="shared" ref="Q9:Q22" si="2">F9/1000*(1-$P$4)</f>
        <v>22.644852967833113</v>
      </c>
      <c r="R9" s="157">
        <f t="shared" ref="R9:R22" si="3">G9/1000*(1-$P$4)</f>
        <v>19.048052160092269</v>
      </c>
      <c r="S9" s="157">
        <f t="shared" ref="S9:S22" si="4">H9/1000*(1-$P$4)</f>
        <v>19.040183757141044</v>
      </c>
      <c r="T9" s="157">
        <f t="shared" ref="T9:T22" si="5">I9/1000*(1-$P$4)</f>
        <v>18.132935218830227</v>
      </c>
      <c r="U9" s="138">
        <f>J9/1000</f>
        <v>0</v>
      </c>
      <c r="V9" s="157">
        <f>SUM(P9:T9)</f>
        <v>109.32817445906986</v>
      </c>
    </row>
    <row r="10" spans="2:22">
      <c r="B10" s="130" t="s">
        <v>4</v>
      </c>
      <c r="C10" s="137">
        <f>Proj_1!G86+Proj_2!G86+Proj_3!G86+Proj_4!G86+Proj_5!G86+Proj_6!G86+Proj_7!G86+Proj_8!G86+Proj_9!G86+Proj_10!G86+Proj_11!G86+Proj_12!G86+Proj_13!G86+Proj_14!G86+Proj_15!G86+Proj_16!G86+Proj_17!G86+Proj_18!G86+Proj_19!G86+Proj_20!G86+Proj_21!G86+Proj_22!G86+Proj_23!G86+Proj_24!G86+Proj_25!G86+Proj_26!G86+Proj_27!G86+Proj_28!G86+Proj_29!G86+Proj_30!G86+Proj_31!G86+Proj_32!G86+Proj_33!G86+Proj_34!G86+Proj_35!G86+Proj_36!G86+Proj_37!G86+Proj_38!G86+Proj_39!G86+Proj_40!G86+Proj_41!G86+Proj_42!G86+Proj_43!G86+Proj_44!G86+Proj_45!G86+Proj_46!G86</f>
        <v>44610.027753318114</v>
      </c>
      <c r="D10" s="137">
        <f>Proj_1!H86+Proj_2!H86+Proj_3!H86+Proj_4!H86+Proj_5!H86+Proj_6!H86+Proj_7!H86+Proj_8!H86+Proj_9!H86+Proj_10!H86+Proj_11!H86+Proj_12!H86+Proj_13!H86+Proj_14!H86+Proj_15!H86+Proj_16!H86+Proj_17!H86+Proj_18!H86+Proj_19!H86+Proj_20!H86+Proj_21!H86+Proj_22!H86+Proj_23!H86+Proj_24!H86+Proj_25!H86+Proj_26!H86+Proj_27!H86+Proj_28!H86+Proj_29!H86+Proj_30!H86+Proj_31!H86+Proj_32!H86+Proj_33!H86+Proj_34!H86+Proj_35!H86+Proj_36!H86+Proj_37!H86+Proj_38!H86+Proj_39!H86+Proj_40!H86+Proj_41!H86+Proj_42!H86+Proj_43!H86+Proj_44!H86+Proj_45!H86+Proj_46!H86</f>
        <v>52150.106284646557</v>
      </c>
      <c r="E10" s="195">
        <f>Proj_1!I86+Proj_2!I86+Proj_3!I86+Proj_4!I86+Proj_5!I86+Proj_6!I86+Proj_7!I86+Proj_8!I86+Proj_9!I86+Proj_10!I86+Proj_11!I86+Proj_12!I86+Proj_13!I86+Proj_14!I86+Proj_15!I86+Proj_16!I86+Proj_17!I86+Proj_18!I86+Proj_19!I86+Proj_20!I86+Proj_21!I86+Proj_22!I86+Proj_23!I86+Proj_24!I86+Proj_25!I86+Proj_26!I86+Proj_27!I86+Proj_28!I86+Proj_29!I86+Proj_30!I86+Proj_31!I86+Proj_32!I86+Proj_33!I86+Proj_34!I86+Proj_35!I86+Proj_36!I86+Proj_37!I86+Proj_38!I86+Proj_39!I86+Proj_40!I86+Proj_41!I86+Proj_42!I86+Proj_43!I86+Proj_44!I86+Proj_45!I86+Proj_46!I86</f>
        <v>55341.498193764448</v>
      </c>
      <c r="F10" s="195">
        <f>Proj_1!J86+Proj_2!J86+Proj_3!J86+Proj_4!J86+Proj_5!J86+Proj_6!J86+Proj_7!J86+Proj_8!J86+Proj_9!J86+Proj_10!J86+Proj_11!J86+Proj_12!J86+Proj_13!J86+Proj_14!J86+Proj_15!J86+Proj_16!J86+Proj_17!J86+Proj_18!J86+Proj_19!J86+Proj_20!J86+Proj_21!J86+Proj_22!J86+Proj_23!J86+Proj_24!J86+Proj_25!J86+Proj_26!J86+Proj_27!J86+Proj_28!J86+Proj_29!J86+Proj_30!J86+Proj_31!J86+Proj_32!J86+Proj_33!J86+Proj_34!J86+Proj_35!J86+Proj_36!J86+Proj_37!J86+Proj_38!J86+Proj_39!J86+Proj_40!J86+Proj_41!J86+Proj_42!J86+Proj_43!J86+Proj_44!J86+Proj_45!J86+Proj_46!J86</f>
        <v>32965.901669678286</v>
      </c>
      <c r="G10" s="195">
        <f>Proj_1!K86+Proj_2!K86+Proj_3!K86+Proj_4!K86+Proj_5!K86+Proj_6!K86+Proj_7!K86+Proj_8!K86+Proj_9!K86+Proj_10!K86+Proj_11!K86+Proj_12!K86+Proj_13!K86+Proj_14!K86+Proj_15!K86+Proj_16!K86+Proj_17!K86+Proj_18!K86+Proj_19!K86+Proj_20!K86+Proj_21!K86+Proj_22!K86+Proj_23!K86+Proj_24!K86+Proj_25!K86+Proj_26!K86+Proj_27!K86+Proj_28!K86+Proj_29!K86+Proj_30!K86+Proj_31!K86+Proj_32!K86+Proj_33!K86+Proj_34!K86+Proj_35!K86+Proj_36!K86+Proj_37!K86+Proj_38!K86+Proj_39!K86+Proj_40!K86+Proj_41!K86+Proj_42!K86+Proj_43!K86+Proj_44!K86+Proj_45!K86+Proj_46!K86</f>
        <v>28090.05726036229</v>
      </c>
      <c r="H10" s="195">
        <f>Proj_1!L86+Proj_2!L86+Proj_3!L86+Proj_4!L86+Proj_5!L86+Proj_6!L86+Proj_7!L86+Proj_8!L86+Proj_9!L86+Proj_10!L86+Proj_11!L86+Proj_12!L86+Proj_13!L86+Proj_14!L86+Proj_15!L86+Proj_16!L86+Proj_17!L86+Proj_18!L86+Proj_19!L86+Proj_20!L86+Proj_21!L86+Proj_22!L86+Proj_23!L86+Proj_24!L86+Proj_25!L86+Proj_26!L86+Proj_27!L86+Proj_28!L86+Proj_29!L86+Proj_30!L86+Proj_31!L86+Proj_32!L86+Proj_33!L86+Proj_34!L86+Proj_35!L86+Proj_36!L86+Proj_37!L86+Proj_38!L86+Proj_39!L86+Proj_40!L86+Proj_41!L86+Proj_42!L86+Proj_43!L86+Proj_44!L86+Proj_45!L86+Proj_46!L86</f>
        <v>26628.113622302757</v>
      </c>
      <c r="I10" s="195">
        <f>Proj_1!M86+Proj_2!M86+Proj_3!M86+Proj_4!M86+Proj_5!M86+Proj_6!M86+Proj_7!M86+Proj_8!M86+Proj_9!M86+Proj_10!M86+Proj_11!M86+Proj_12!M86+Proj_13!M86+Proj_14!M86+Proj_15!M86+Proj_16!M86+Proj_17!M86+Proj_18!M86+Proj_19!M86+Proj_20!M86+Proj_21!M86+Proj_22!M86+Proj_23!M86+Proj_24!M86+Proj_25!M86+Proj_26!M86+Proj_27!M86+Proj_28!M86+Proj_29!M86+Proj_30!M86+Proj_31!M86+Proj_32!M86+Proj_33!M86+Proj_34!M86+Proj_35!M86+Proj_36!M86+Proj_37!M86+Proj_38!M86+Proj_39!M86+Proj_40!M86+Proj_41!M86+Proj_42!M86+Proj_43!M86+Proj_44!M86+Proj_45!M86+Proj_46!M86</f>
        <v>19619.728737654554</v>
      </c>
      <c r="J10" s="137">
        <f>Proj_1!N86+Proj_2!N86+Proj_3!N86+Proj_4!N86+Proj_5!N86+Proj_6!N86+Proj_7!N86+Proj_8!N86+Proj_9!N86+Proj_10!N86+Proj_11!N86+Proj_12!N86+Proj_13!N86+Proj_14!N86+Proj_15!N86+Proj_16!N86+Proj_17!N86+Proj_18!N86+Proj_19!N86+Proj_20!N86+Proj_21!N86+Proj_22!N86+Proj_23!N86+Proj_24!N86+Proj_25!N86+Proj_26!N86+Proj_27!N86+Proj_28!N86+Proj_29!N86+Proj_30!N86+Proj_31!N86+Proj_32!N86+Proj_33!N86+Proj_34!N86+Proj_35!N86+Proj_36!N86+Proj_37!N86+Proj_38!N86+Proj_39!N86+Proj_40!N86+Proj_41!N86+Proj_42!N86+Proj_43!N86+Proj_44!N86+Proj_45!N86+Proj_46!N86</f>
        <v>0</v>
      </c>
      <c r="K10" s="195">
        <f t="shared" ref="K10:K22" si="6">SUM(E10:J10)</f>
        <v>162645.29948376233</v>
      </c>
      <c r="M10" s="130" t="s">
        <v>4</v>
      </c>
      <c r="N10" s="138">
        <f t="shared" ref="N10:N22" si="7">C10/1000</f>
        <v>44.610027753318114</v>
      </c>
      <c r="O10" s="138">
        <f t="shared" si="0"/>
        <v>52.150106284646554</v>
      </c>
      <c r="P10" s="157">
        <f t="shared" si="1"/>
        <v>55.341498193764451</v>
      </c>
      <c r="Q10" s="157">
        <f t="shared" si="2"/>
        <v>32.965901669678288</v>
      </c>
      <c r="R10" s="157">
        <f t="shared" si="3"/>
        <v>28.09005726036229</v>
      </c>
      <c r="S10" s="157">
        <f t="shared" si="4"/>
        <v>26.628113622302756</v>
      </c>
      <c r="T10" s="157">
        <f t="shared" si="5"/>
        <v>19.619728737654555</v>
      </c>
      <c r="U10" s="138">
        <f t="shared" ref="U10:U22" si="8">J10/1000</f>
        <v>0</v>
      </c>
      <c r="V10" s="157">
        <f t="shared" ref="V10:V22" si="9">SUM(P10:T10)</f>
        <v>162.64529948376233</v>
      </c>
    </row>
    <row r="11" spans="2:22">
      <c r="B11" s="130" t="s">
        <v>5</v>
      </c>
      <c r="C11" s="137">
        <f>Proj_1!G87+Proj_2!G87+Proj_3!G87+Proj_4!G87+Proj_5!G87+Proj_6!G87+Proj_7!G87+Proj_8!G87+Proj_9!G87+Proj_10!G87+Proj_11!G87+Proj_12!G87+Proj_13!G87+Proj_14!G87+Proj_15!G87+Proj_16!G87+Proj_17!G87+Proj_18!G87+Proj_19!G87+Proj_20!G87+Proj_21!G87+Proj_22!G87+Proj_23!G87+Proj_24!G87+Proj_25!G87+Proj_26!G87+Proj_27!G87+Proj_28!G87+Proj_29!G87+Proj_30!G87+Proj_31!G87+Proj_32!G87+Proj_33!G87+Proj_34!G87+Proj_35!G87+Proj_36!G87+Proj_37!G87+Proj_38!G87+Proj_39!G87+Proj_40!G87+Proj_41!G87+Proj_42!G87+Proj_43!G87+Proj_44!G87+Proj_45!G87+Proj_46!G87</f>
        <v>29819.224839945869</v>
      </c>
      <c r="D11" s="137">
        <f>Proj_1!H87+Proj_2!H87+Proj_3!H87+Proj_4!H87+Proj_5!H87+Proj_6!H87+Proj_7!H87+Proj_8!H87+Proj_9!H87+Proj_10!H87+Proj_11!H87+Proj_12!H87+Proj_13!H87+Proj_14!H87+Proj_15!H87+Proj_16!H87+Proj_17!H87+Proj_18!H87+Proj_19!H87+Proj_20!H87+Proj_21!H87+Proj_22!H87+Proj_23!H87+Proj_24!H87+Proj_25!H87+Proj_26!H87+Proj_27!H87+Proj_28!H87+Proj_29!H87+Proj_30!H87+Proj_31!H87+Proj_32!H87+Proj_33!H87+Proj_34!H87+Proj_35!H87+Proj_36!H87+Proj_37!H87+Proj_38!H87+Proj_39!H87+Proj_40!H87+Proj_41!H87+Proj_42!H87+Proj_43!H87+Proj_44!H87+Proj_45!H87+Proj_46!H87</f>
        <v>27509.428908777048</v>
      </c>
      <c r="E11" s="195">
        <f>Proj_1!I87+Proj_2!I87+Proj_3!I87+Proj_4!I87+Proj_5!I87+Proj_6!I87+Proj_7!I87+Proj_8!I87+Proj_9!I87+Proj_10!I87+Proj_11!I87+Proj_12!I87+Proj_13!I87+Proj_14!I87+Proj_15!I87+Proj_16!I87+Proj_17!I87+Proj_18!I87+Proj_19!I87+Proj_20!I87+Proj_21!I87+Proj_22!I87+Proj_23!I87+Proj_24!I87+Proj_25!I87+Proj_26!I87+Proj_27!I87+Proj_28!I87+Proj_29!I87+Proj_30!I87+Proj_31!I87+Proj_32!I87+Proj_33!I87+Proj_34!I87+Proj_35!I87+Proj_36!I87+Proj_37!I87+Proj_38!I87+Proj_39!I87+Proj_40!I87+Proj_41!I87+Proj_42!I87+Proj_43!I87+Proj_44!I87+Proj_45!I87+Proj_46!I87</f>
        <v>29742.566955096961</v>
      </c>
      <c r="F11" s="195">
        <f>Proj_1!J87+Proj_2!J87+Proj_3!J87+Proj_4!J87+Proj_5!J87+Proj_6!J87+Proj_7!J87+Proj_8!J87+Proj_9!J87+Proj_10!J87+Proj_11!J87+Proj_12!J87+Proj_13!J87+Proj_14!J87+Proj_15!J87+Proj_16!J87+Proj_17!J87+Proj_18!J87+Proj_19!J87+Proj_20!J87+Proj_21!J87+Proj_22!J87+Proj_23!J87+Proj_24!J87+Proj_25!J87+Proj_26!J87+Proj_27!J87+Proj_28!J87+Proj_29!J87+Proj_30!J87+Proj_31!J87+Proj_32!J87+Proj_33!J87+Proj_34!J87+Proj_35!J87+Proj_36!J87+Proj_37!J87+Proj_38!J87+Proj_39!J87+Proj_40!J87+Proj_41!J87+Proj_42!J87+Proj_43!J87+Proj_44!J87+Proj_45!J87+Proj_46!J87</f>
        <v>13567.90366812102</v>
      </c>
      <c r="G11" s="195">
        <f>Proj_1!K87+Proj_2!K87+Proj_3!K87+Proj_4!K87+Proj_5!K87+Proj_6!K87+Proj_7!K87+Proj_8!K87+Proj_9!K87+Proj_10!K87+Proj_11!K87+Proj_12!K87+Proj_13!K87+Proj_14!K87+Proj_15!K87+Proj_16!K87+Proj_17!K87+Proj_18!K87+Proj_19!K87+Proj_20!K87+Proj_21!K87+Proj_22!K87+Proj_23!K87+Proj_24!K87+Proj_25!K87+Proj_26!K87+Proj_27!K87+Proj_28!K87+Proj_29!K87+Proj_30!K87+Proj_31!K87+Proj_32!K87+Proj_33!K87+Proj_34!K87+Proj_35!K87+Proj_36!K87+Proj_37!K87+Proj_38!K87+Proj_39!K87+Proj_40!K87+Proj_41!K87+Proj_42!K87+Proj_43!K87+Proj_44!K87+Proj_45!K87+Proj_46!K87</f>
        <v>10225.269676004234</v>
      </c>
      <c r="H11" s="195">
        <f>Proj_1!L87+Proj_2!L87+Proj_3!L87+Proj_4!L87+Proj_5!L87+Proj_6!L87+Proj_7!L87+Proj_8!L87+Proj_9!L87+Proj_10!L87+Proj_11!L87+Proj_12!L87+Proj_13!L87+Proj_14!L87+Proj_15!L87+Proj_16!L87+Proj_17!L87+Proj_18!L87+Proj_19!L87+Proj_20!L87+Proj_21!L87+Proj_22!L87+Proj_23!L87+Proj_24!L87+Proj_25!L87+Proj_26!L87+Proj_27!L87+Proj_28!L87+Proj_29!L87+Proj_30!L87+Proj_31!L87+Proj_32!L87+Proj_33!L87+Proj_34!L87+Proj_35!L87+Proj_36!L87+Proj_37!L87+Proj_38!L87+Proj_39!L87+Proj_40!L87+Proj_41!L87+Proj_42!L87+Proj_43!L87+Proj_44!L87+Proj_45!L87+Proj_46!L87</f>
        <v>13040.913938431448</v>
      </c>
      <c r="I11" s="195">
        <f>Proj_1!M87+Proj_2!M87+Proj_3!M87+Proj_4!M87+Proj_5!M87+Proj_6!M87+Proj_7!M87+Proj_8!M87+Proj_9!M87+Proj_10!M87+Proj_11!M87+Proj_12!M87+Proj_13!M87+Proj_14!M87+Proj_15!M87+Proj_16!M87+Proj_17!M87+Proj_18!M87+Proj_19!M87+Proj_20!M87+Proj_21!M87+Proj_22!M87+Proj_23!M87+Proj_24!M87+Proj_25!M87+Proj_26!M87+Proj_27!M87+Proj_28!M87+Proj_29!M87+Proj_30!M87+Proj_31!M87+Proj_32!M87+Proj_33!M87+Proj_34!M87+Proj_35!M87+Proj_36!M87+Proj_37!M87+Proj_38!M87+Proj_39!M87+Proj_40!M87+Proj_41!M87+Proj_42!M87+Proj_43!M87+Proj_44!M87+Proj_45!M87+Proj_46!M87</f>
        <v>8931.1216366711888</v>
      </c>
      <c r="J11" s="137">
        <f>Proj_1!N87+Proj_2!N87+Proj_3!N87+Proj_4!N87+Proj_5!N87+Proj_6!N87+Proj_7!N87+Proj_8!N87+Proj_9!N87+Proj_10!N87+Proj_11!N87+Proj_12!N87+Proj_13!N87+Proj_14!N87+Proj_15!N87+Proj_16!N87+Proj_17!N87+Proj_18!N87+Proj_19!N87+Proj_20!N87+Proj_21!N87+Proj_22!N87+Proj_23!N87+Proj_24!N87+Proj_25!N87+Proj_26!N87+Proj_27!N87+Proj_28!N87+Proj_29!N87+Proj_30!N87+Proj_31!N87+Proj_32!N87+Proj_33!N87+Proj_34!N87+Proj_35!N87+Proj_36!N87+Proj_37!N87+Proj_38!N87+Proj_39!N87+Proj_40!N87+Proj_41!N87+Proj_42!N87+Proj_43!N87+Proj_44!N87+Proj_45!N87+Proj_46!N87</f>
        <v>0</v>
      </c>
      <c r="K11" s="195">
        <f t="shared" si="6"/>
        <v>75507.775874324856</v>
      </c>
      <c r="M11" s="130" t="s">
        <v>5</v>
      </c>
      <c r="N11" s="138">
        <f t="shared" si="7"/>
        <v>29.819224839945868</v>
      </c>
      <c r="O11" s="138">
        <f t="shared" si="0"/>
        <v>27.50942890877705</v>
      </c>
      <c r="P11" s="157">
        <f t="shared" si="1"/>
        <v>29.742566955096962</v>
      </c>
      <c r="Q11" s="157">
        <f t="shared" si="2"/>
        <v>13.567903668121019</v>
      </c>
      <c r="R11" s="157">
        <f t="shared" si="3"/>
        <v>10.225269676004235</v>
      </c>
      <c r="S11" s="157">
        <f t="shared" si="4"/>
        <v>13.040913938431448</v>
      </c>
      <c r="T11" s="157">
        <f t="shared" si="5"/>
        <v>8.9311216366711896</v>
      </c>
      <c r="U11" s="138">
        <f t="shared" si="8"/>
        <v>0</v>
      </c>
      <c r="V11" s="157">
        <f t="shared" si="9"/>
        <v>75.507775874324849</v>
      </c>
    </row>
    <row r="12" spans="2:22">
      <c r="B12" s="130" t="s">
        <v>6</v>
      </c>
      <c r="C12" s="137">
        <f>Proj_1!G88+Proj_2!G88+Proj_3!G88+Proj_4!G88+Proj_5!G88+Proj_6!G88+Proj_7!G88+Proj_8!G88+Proj_9!G88+Proj_10!G88+Proj_11!G88+Proj_12!G88+Proj_13!G88+Proj_14!G88+Proj_15!G88+Proj_16!G88+Proj_17!G88+Proj_18!G88+Proj_19!G88+Proj_20!G88+Proj_21!G88+Proj_22!G88+Proj_23!G88+Proj_24!G88+Proj_25!G88+Proj_26!G88+Proj_27!G88+Proj_28!G88+Proj_29!G88+Proj_30!G88+Proj_31!G88+Proj_32!G88+Proj_33!G88+Proj_34!G88+Proj_35!G88+Proj_36!G88+Proj_37!G88+Proj_38!G88+Proj_39!G88+Proj_40!G88+Proj_41!G88+Proj_42!G88+Proj_43!G88+Proj_44!G88+Proj_45!G88+Proj_46!G88</f>
        <v>3213.3516719195804</v>
      </c>
      <c r="D12" s="137">
        <f>Proj_1!H88+Proj_2!H88+Proj_3!H88+Proj_4!H88+Proj_5!H88+Proj_6!H88+Proj_7!H88+Proj_8!H88+Proj_9!H88+Proj_10!H88+Proj_11!H88+Proj_12!H88+Proj_13!H88+Proj_14!H88+Proj_15!H88+Proj_16!H88+Proj_17!H88+Proj_18!H88+Proj_19!H88+Proj_20!H88+Proj_21!H88+Proj_22!H88+Proj_23!H88+Proj_24!H88+Proj_25!H88+Proj_26!H88+Proj_27!H88+Proj_28!H88+Proj_29!H88+Proj_30!H88+Proj_31!H88+Proj_32!H88+Proj_33!H88+Proj_34!H88+Proj_35!H88+Proj_36!H88+Proj_37!H88+Proj_38!H88+Proj_39!H88+Proj_40!H88+Proj_41!H88+Proj_42!H88+Proj_43!H88+Proj_44!H88+Proj_45!H88+Proj_46!H88</f>
        <v>10633.583179876077</v>
      </c>
      <c r="E12" s="195">
        <f>Proj_1!I88+Proj_2!I88+Proj_3!I88+Proj_4!I88+Proj_5!I88+Proj_6!I88+Proj_7!I88+Proj_8!I88+Proj_9!I88+Proj_10!I88+Proj_11!I88+Proj_12!I88+Proj_13!I88+Proj_14!I88+Proj_15!I88+Proj_16!I88+Proj_17!I88+Proj_18!I88+Proj_19!I88+Proj_20!I88+Proj_21!I88+Proj_22!I88+Proj_23!I88+Proj_24!I88+Proj_25!I88+Proj_26!I88+Proj_27!I88+Proj_28!I88+Proj_29!I88+Proj_30!I88+Proj_31!I88+Proj_32!I88+Proj_33!I88+Proj_34!I88+Proj_35!I88+Proj_36!I88+Proj_37!I88+Proj_38!I88+Proj_39!I88+Proj_40!I88+Proj_41!I88+Proj_42!I88+Proj_43!I88+Proj_44!I88+Proj_45!I88+Proj_46!I88</f>
        <v>160.25960819039261</v>
      </c>
      <c r="F12" s="195">
        <f>Proj_1!J88+Proj_2!J88+Proj_3!J88+Proj_4!J88+Proj_5!J88+Proj_6!J88+Proj_7!J88+Proj_8!J88+Proj_9!J88+Proj_10!J88+Proj_11!J88+Proj_12!J88+Proj_13!J88+Proj_14!J88+Proj_15!J88+Proj_16!J88+Proj_17!J88+Proj_18!J88+Proj_19!J88+Proj_20!J88+Proj_21!J88+Proj_22!J88+Proj_23!J88+Proj_24!J88+Proj_25!J88+Proj_26!J88+Proj_27!J88+Proj_28!J88+Proj_29!J88+Proj_30!J88+Proj_31!J88+Proj_32!J88+Proj_33!J88+Proj_34!J88+Proj_35!J88+Proj_36!J88+Proj_37!J88+Proj_38!J88+Proj_39!J88+Proj_40!J88+Proj_41!J88+Proj_42!J88+Proj_43!J88+Proj_44!J88+Proj_45!J88+Proj_46!J88</f>
        <v>165.99092253411504</v>
      </c>
      <c r="G12" s="195">
        <f>Proj_1!K88+Proj_2!K88+Proj_3!K88+Proj_4!K88+Proj_5!K88+Proj_6!K88+Proj_7!K88+Proj_8!K88+Proj_9!K88+Proj_10!K88+Proj_11!K88+Proj_12!K88+Proj_13!K88+Proj_14!K88+Proj_15!K88+Proj_16!K88+Proj_17!K88+Proj_18!K88+Proj_19!K88+Proj_20!K88+Proj_21!K88+Proj_22!K88+Proj_23!K88+Proj_24!K88+Proj_25!K88+Proj_26!K88+Proj_27!K88+Proj_28!K88+Proj_29!K88+Proj_30!K88+Proj_31!K88+Proj_32!K88+Proj_33!K88+Proj_34!K88+Proj_35!K88+Proj_36!K88+Proj_37!K88+Proj_38!K88+Proj_39!K88+Proj_40!K88+Proj_41!K88+Proj_42!K88+Proj_43!K88+Proj_44!K88+Proj_45!K88+Proj_46!K88</f>
        <v>168.49403414326258</v>
      </c>
      <c r="H12" s="195">
        <f>Proj_1!L88+Proj_2!L88+Proj_3!L88+Proj_4!L88+Proj_5!L88+Proj_6!L88+Proj_7!L88+Proj_8!L88+Proj_9!L88+Proj_10!L88+Proj_11!L88+Proj_12!L88+Proj_13!L88+Proj_14!L88+Proj_15!L88+Proj_16!L88+Proj_17!L88+Proj_18!L88+Proj_19!L88+Proj_20!L88+Proj_21!L88+Proj_22!L88+Proj_23!L88+Proj_24!L88+Proj_25!L88+Proj_26!L88+Proj_27!L88+Proj_28!L88+Proj_29!L88+Proj_30!L88+Proj_31!L88+Proj_32!L88+Proj_33!L88+Proj_34!L88+Proj_35!L88+Proj_36!L88+Proj_37!L88+Proj_38!L88+Proj_39!L88+Proj_40!L88+Proj_41!L88+Proj_42!L88+Proj_43!L88+Proj_44!L88+Proj_45!L88+Proj_46!L88</f>
        <v>167.69487198843944</v>
      </c>
      <c r="I12" s="195">
        <f>Proj_1!M88+Proj_2!M88+Proj_3!M88+Proj_4!M88+Proj_5!M88+Proj_6!M88+Proj_7!M88+Proj_8!M88+Proj_9!M88+Proj_10!M88+Proj_11!M88+Proj_12!M88+Proj_13!M88+Proj_14!M88+Proj_15!M88+Proj_16!M88+Proj_17!M88+Proj_18!M88+Proj_19!M88+Proj_20!M88+Proj_21!M88+Proj_22!M88+Proj_23!M88+Proj_24!M88+Proj_25!M88+Proj_26!M88+Proj_27!M88+Proj_28!M88+Proj_29!M88+Proj_30!M88+Proj_31!M88+Proj_32!M88+Proj_33!M88+Proj_34!M88+Proj_35!M88+Proj_36!M88+Proj_37!M88+Proj_38!M88+Proj_39!M88+Proj_40!M88+Proj_41!M88+Proj_42!M88+Proj_43!M88+Proj_44!M88+Proj_45!M88+Proj_46!M88</f>
        <v>167.76693750430854</v>
      </c>
      <c r="J12" s="137">
        <f>Proj_1!N88+Proj_2!N88+Proj_3!N88+Proj_4!N88+Proj_5!N88+Proj_6!N88+Proj_7!N88+Proj_8!N88+Proj_9!N88+Proj_10!N88+Proj_11!N88+Proj_12!N88+Proj_13!N88+Proj_14!N88+Proj_15!N88+Proj_16!N88+Proj_17!N88+Proj_18!N88+Proj_19!N88+Proj_20!N88+Proj_21!N88+Proj_22!N88+Proj_23!N88+Proj_24!N88+Proj_25!N88+Proj_26!N88+Proj_27!N88+Proj_28!N88+Proj_29!N88+Proj_30!N88+Proj_31!N88+Proj_32!N88+Proj_33!N88+Proj_34!N88+Proj_35!N88+Proj_36!N88+Proj_37!N88+Proj_38!N88+Proj_39!N88+Proj_40!N88+Proj_41!N88+Proj_42!N88+Proj_43!N88+Proj_44!N88+Proj_45!N88+Proj_46!N88</f>
        <v>0</v>
      </c>
      <c r="K12" s="195">
        <f t="shared" si="6"/>
        <v>830.20637436051823</v>
      </c>
      <c r="M12" s="130" t="s">
        <v>6</v>
      </c>
      <c r="N12" s="138">
        <f t="shared" si="7"/>
        <v>3.2133516719195803</v>
      </c>
      <c r="O12" s="138">
        <f t="shared" si="0"/>
        <v>10.633583179876076</v>
      </c>
      <c r="P12" s="157">
        <f t="shared" si="1"/>
        <v>0.16025960819039262</v>
      </c>
      <c r="Q12" s="157">
        <f t="shared" si="2"/>
        <v>0.16599092253411504</v>
      </c>
      <c r="R12" s="157">
        <f t="shared" si="3"/>
        <v>0.16849403414326258</v>
      </c>
      <c r="S12" s="157">
        <f t="shared" si="4"/>
        <v>0.16769487198843944</v>
      </c>
      <c r="T12" s="157">
        <f t="shared" si="5"/>
        <v>0.16776693750430854</v>
      </c>
      <c r="U12" s="138">
        <f t="shared" si="8"/>
        <v>0</v>
      </c>
      <c r="V12" s="157">
        <f t="shared" si="9"/>
        <v>0.83020637436051814</v>
      </c>
    </row>
    <row r="13" spans="2:22">
      <c r="B13" s="130" t="s">
        <v>7</v>
      </c>
      <c r="C13" s="137">
        <f>Proj_1!G89+Proj_2!G89+Proj_3!G89+Proj_4!G89+Proj_5!G89+Proj_6!G89+Proj_7!G89+Proj_8!G89+Proj_9!G89+Proj_10!G89+Proj_11!G89+Proj_12!G89+Proj_13!G89+Proj_14!G89+Proj_15!G89+Proj_16!G89+Proj_17!G89+Proj_18!G89+Proj_19!G89+Proj_20!G89+Proj_21!G89+Proj_22!G89+Proj_23!G89+Proj_24!G89+Proj_25!G89+Proj_26!G89+Proj_27!G89+Proj_28!G89+Proj_29!G89+Proj_30!G89+Proj_31!G89+Proj_32!G89+Proj_33!G89+Proj_34!G89+Proj_35!G89+Proj_36!G89+Proj_37!G89+Proj_38!G89+Proj_39!G89+Proj_40!G89+Proj_41!G89+Proj_42!G89+Proj_43!G89+Proj_44!G89+Proj_45!G89+Proj_46!G89</f>
        <v>23866.086771705166</v>
      </c>
      <c r="D13" s="137">
        <f>Proj_1!H89+Proj_2!H89+Proj_3!H89+Proj_4!H89+Proj_5!H89+Proj_6!H89+Proj_7!H89+Proj_8!H89+Proj_9!H89+Proj_10!H89+Proj_11!H89+Proj_12!H89+Proj_13!H89+Proj_14!H89+Proj_15!H89+Proj_16!H89+Proj_17!H89+Proj_18!H89+Proj_19!H89+Proj_20!H89+Proj_21!H89+Proj_22!H89+Proj_23!H89+Proj_24!H89+Proj_25!H89+Proj_26!H89+Proj_27!H89+Proj_28!H89+Proj_29!H89+Proj_30!H89+Proj_31!H89+Proj_32!H89+Proj_33!H89+Proj_34!H89+Proj_35!H89+Proj_36!H89+Proj_37!H89+Proj_38!H89+Proj_39!H89+Proj_40!H89+Proj_41!H89+Proj_42!H89+Proj_43!H89+Proj_44!H89+Proj_45!H89+Proj_46!H89</f>
        <v>11044.802996658174</v>
      </c>
      <c r="E13" s="195">
        <f>Proj_1!I89+Proj_2!I89+Proj_3!I89+Proj_4!I89+Proj_5!I89+Proj_6!I89+Proj_7!I89+Proj_8!I89+Proj_9!I89+Proj_10!I89+Proj_11!I89+Proj_12!I89+Proj_13!I89+Proj_14!I89+Proj_15!I89+Proj_16!I89+Proj_17!I89+Proj_18!I89+Proj_19!I89+Proj_20!I89+Proj_21!I89+Proj_22!I89+Proj_23!I89+Proj_24!I89+Proj_25!I89+Proj_26!I89+Proj_27!I89+Proj_28!I89+Proj_29!I89+Proj_30!I89+Proj_31!I89+Proj_32!I89+Proj_33!I89+Proj_34!I89+Proj_35!I89+Proj_36!I89+Proj_37!I89+Proj_38!I89+Proj_39!I89+Proj_40!I89+Proj_41!I89+Proj_42!I89+Proj_43!I89+Proj_44!I89+Proj_45!I89+Proj_46!I89</f>
        <v>12904.666664344928</v>
      </c>
      <c r="F13" s="195">
        <f>Proj_1!J89+Proj_2!J89+Proj_3!J89+Proj_4!J89+Proj_5!J89+Proj_6!J89+Proj_7!J89+Proj_8!J89+Proj_9!J89+Proj_10!J89+Proj_11!J89+Proj_12!J89+Proj_13!J89+Proj_14!J89+Proj_15!J89+Proj_16!J89+Proj_17!J89+Proj_18!J89+Proj_19!J89+Proj_20!J89+Proj_21!J89+Proj_22!J89+Proj_23!J89+Proj_24!J89+Proj_25!J89+Proj_26!J89+Proj_27!J89+Proj_28!J89+Proj_29!J89+Proj_30!J89+Proj_31!J89+Proj_32!J89+Proj_33!J89+Proj_34!J89+Proj_35!J89+Proj_36!J89+Proj_37!J89+Proj_38!J89+Proj_39!J89+Proj_40!J89+Proj_41!J89+Proj_42!J89+Proj_43!J89+Proj_44!J89+Proj_45!J89+Proj_46!J89</f>
        <v>13642.524070814328</v>
      </c>
      <c r="G13" s="195">
        <f>Proj_1!K89+Proj_2!K89+Proj_3!K89+Proj_4!K89+Proj_5!K89+Proj_6!K89+Proj_7!K89+Proj_8!K89+Proj_9!K89+Proj_10!K89+Proj_11!K89+Proj_12!K89+Proj_13!K89+Proj_14!K89+Proj_15!K89+Proj_16!K89+Proj_17!K89+Proj_18!K89+Proj_19!K89+Proj_20!K89+Proj_21!K89+Proj_22!K89+Proj_23!K89+Proj_24!K89+Proj_25!K89+Proj_26!K89+Proj_27!K89+Proj_28!K89+Proj_29!K89+Proj_30!K89+Proj_31!K89+Proj_32!K89+Proj_33!K89+Proj_34!K89+Proj_35!K89+Proj_36!K89+Proj_37!K89+Proj_38!K89+Proj_39!K89+Proj_40!K89+Proj_41!K89+Proj_42!K89+Proj_43!K89+Proj_44!K89+Proj_45!K89+Proj_46!K89</f>
        <v>9588.5018648941204</v>
      </c>
      <c r="H13" s="195">
        <f>Proj_1!L89+Proj_2!L89+Proj_3!L89+Proj_4!L89+Proj_5!L89+Proj_6!L89+Proj_7!L89+Proj_8!L89+Proj_9!L89+Proj_10!L89+Proj_11!L89+Proj_12!L89+Proj_13!L89+Proj_14!L89+Proj_15!L89+Proj_16!L89+Proj_17!L89+Proj_18!L89+Proj_19!L89+Proj_20!L89+Proj_21!L89+Proj_22!L89+Proj_23!L89+Proj_24!L89+Proj_25!L89+Proj_26!L89+Proj_27!L89+Proj_28!L89+Proj_29!L89+Proj_30!L89+Proj_31!L89+Proj_32!L89+Proj_33!L89+Proj_34!L89+Proj_35!L89+Proj_36!L89+Proj_37!L89+Proj_38!L89+Proj_39!L89+Proj_40!L89+Proj_41!L89+Proj_42!L89+Proj_43!L89+Proj_44!L89+Proj_45!L89+Proj_46!L89</f>
        <v>9767.7540693653136</v>
      </c>
      <c r="I13" s="195">
        <f>Proj_1!M89+Proj_2!M89+Proj_3!M89+Proj_4!M89+Proj_5!M89+Proj_6!M89+Proj_7!M89+Proj_8!M89+Proj_9!M89+Proj_10!M89+Proj_11!M89+Proj_12!M89+Proj_13!M89+Proj_14!M89+Proj_15!M89+Proj_16!M89+Proj_17!M89+Proj_18!M89+Proj_19!M89+Proj_20!M89+Proj_21!M89+Proj_22!M89+Proj_23!M89+Proj_24!M89+Proj_25!M89+Proj_26!M89+Proj_27!M89+Proj_28!M89+Proj_29!M89+Proj_30!M89+Proj_31!M89+Proj_32!M89+Proj_33!M89+Proj_34!M89+Proj_35!M89+Proj_36!M89+Proj_37!M89+Proj_38!M89+Proj_39!M89+Proj_40!M89+Proj_41!M89+Proj_42!M89+Proj_43!M89+Proj_44!M89+Proj_45!M89+Proj_46!M89</f>
        <v>9451.4604788665092</v>
      </c>
      <c r="J13" s="137">
        <f>Proj_1!N89+Proj_2!N89+Proj_3!N89+Proj_4!N89+Proj_5!N89+Proj_6!N89+Proj_7!N89+Proj_8!N89+Proj_9!N89+Proj_10!N89+Proj_11!N89+Proj_12!N89+Proj_13!N89+Proj_14!N89+Proj_15!N89+Proj_16!N89+Proj_17!N89+Proj_18!N89+Proj_19!N89+Proj_20!N89+Proj_21!N89+Proj_22!N89+Proj_23!N89+Proj_24!N89+Proj_25!N89+Proj_26!N89+Proj_27!N89+Proj_28!N89+Proj_29!N89+Proj_30!N89+Proj_31!N89+Proj_32!N89+Proj_33!N89+Proj_34!N89+Proj_35!N89+Proj_36!N89+Proj_37!N89+Proj_38!N89+Proj_39!N89+Proj_40!N89+Proj_41!N89+Proj_42!N89+Proj_43!N89+Proj_44!N89+Proj_45!N89+Proj_46!N89</f>
        <v>0</v>
      </c>
      <c r="K13" s="195">
        <f t="shared" si="6"/>
        <v>55354.907148285201</v>
      </c>
      <c r="M13" s="130" t="s">
        <v>7</v>
      </c>
      <c r="N13" s="138">
        <f t="shared" si="7"/>
        <v>23.866086771705167</v>
      </c>
      <c r="O13" s="138">
        <f t="shared" si="0"/>
        <v>11.044802996658174</v>
      </c>
      <c r="P13" s="157">
        <f t="shared" si="1"/>
        <v>12.904666664344928</v>
      </c>
      <c r="Q13" s="157">
        <f t="shared" si="2"/>
        <v>13.642524070814328</v>
      </c>
      <c r="R13" s="157">
        <f t="shared" si="3"/>
        <v>9.5885018648941198</v>
      </c>
      <c r="S13" s="157">
        <f t="shared" si="4"/>
        <v>9.7677540693653135</v>
      </c>
      <c r="T13" s="157">
        <f t="shared" si="5"/>
        <v>9.45146047886651</v>
      </c>
      <c r="U13" s="138">
        <f t="shared" si="8"/>
        <v>0</v>
      </c>
      <c r="V13" s="157">
        <f t="shared" si="9"/>
        <v>55.354907148285193</v>
      </c>
    </row>
    <row r="14" spans="2:22">
      <c r="B14" s="130" t="s">
        <v>8</v>
      </c>
      <c r="C14" s="137">
        <f>Proj_1!G90+Proj_2!G90+Proj_3!G90+Proj_4!G90+Proj_5!G90+Proj_6!G90+Proj_7!G90+Proj_8!G90+Proj_9!G90+Proj_10!G90+Proj_11!G90+Proj_12!G90+Proj_13!G90+Proj_14!G90+Proj_15!G90+Proj_16!G90+Proj_17!G90+Proj_18!G90+Proj_19!G90+Proj_20!G90+Proj_21!G90+Proj_22!G90+Proj_23!G90+Proj_24!G90+Proj_25!G90+Proj_26!G90+Proj_27!G90+Proj_28!G90+Proj_29!G90+Proj_30!G90+Proj_31!G90+Proj_32!G90+Proj_33!G90+Proj_34!G90+Proj_35!G90+Proj_36!G90+Proj_37!G90+Proj_38!G90+Proj_39!G90+Proj_40!G90+Proj_41!G90+Proj_42!G90+Proj_43!G90+Proj_44!G90+Proj_45!G90+Proj_46!G90</f>
        <v>6789.4527894398743</v>
      </c>
      <c r="D14" s="137">
        <f>Proj_1!H90+Proj_2!H90+Proj_3!H90+Proj_4!H90+Proj_5!H90+Proj_6!H90+Proj_7!H90+Proj_8!H90+Proj_9!H90+Proj_10!H90+Proj_11!H90+Proj_12!H90+Proj_13!H90+Proj_14!H90+Proj_15!H90+Proj_16!H90+Proj_17!H90+Proj_18!H90+Proj_19!H90+Proj_20!H90+Proj_21!H90+Proj_22!H90+Proj_23!H90+Proj_24!H90+Proj_25!H90+Proj_26!H90+Proj_27!H90+Proj_28!H90+Proj_29!H90+Proj_30!H90+Proj_31!H90+Proj_32!H90+Proj_33!H90+Proj_34!H90+Proj_35!H90+Proj_36!H90+Proj_37!H90+Proj_38!H90+Proj_39!H90+Proj_40!H90+Proj_41!H90+Proj_42!H90+Proj_43!H90+Proj_44!H90+Proj_45!H90+Proj_46!H90</f>
        <v>14622.609882160674</v>
      </c>
      <c r="E14" s="195">
        <f>Proj_1!I90+Proj_2!I90+Proj_3!I90+Proj_4!I90+Proj_5!I90+Proj_6!I90+Proj_7!I90+Proj_8!I90+Proj_9!I90+Proj_10!I90+Proj_11!I90+Proj_12!I90+Proj_13!I90+Proj_14!I90+Proj_15!I90+Proj_16!I90+Proj_17!I90+Proj_18!I90+Proj_19!I90+Proj_20!I90+Proj_21!I90+Proj_22!I90+Proj_23!I90+Proj_24!I90+Proj_25!I90+Proj_26!I90+Proj_27!I90+Proj_28!I90+Proj_29!I90+Proj_30!I90+Proj_31!I90+Proj_32!I90+Proj_33!I90+Proj_34!I90+Proj_35!I90+Proj_36!I90+Proj_37!I90+Proj_38!I90+Proj_39!I90+Proj_40!I90+Proj_41!I90+Proj_42!I90+Proj_43!I90+Proj_44!I90+Proj_45!I90+Proj_46!I90</f>
        <v>20161.520429799828</v>
      </c>
      <c r="F14" s="195">
        <f>Proj_1!J90+Proj_2!J90+Proj_3!J90+Proj_4!J90+Proj_5!J90+Proj_6!J90+Proj_7!J90+Proj_8!J90+Proj_9!J90+Proj_10!J90+Proj_11!J90+Proj_12!J90+Proj_13!J90+Proj_14!J90+Proj_15!J90+Proj_16!J90+Proj_17!J90+Proj_18!J90+Proj_19!J90+Proj_20!J90+Proj_21!J90+Proj_22!J90+Proj_23!J90+Proj_24!J90+Proj_25!J90+Proj_26!J90+Proj_27!J90+Proj_28!J90+Proj_29!J90+Proj_30!J90+Proj_31!J90+Proj_32!J90+Proj_33!J90+Proj_34!J90+Proj_35!J90+Proj_36!J90+Proj_37!J90+Proj_38!J90+Proj_39!J90+Proj_40!J90+Proj_41!J90+Proj_42!J90+Proj_43!J90+Proj_44!J90+Proj_45!J90+Proj_46!J90</f>
        <v>15164.758289230835</v>
      </c>
      <c r="G14" s="195">
        <f>Proj_1!K90+Proj_2!K90+Proj_3!K90+Proj_4!K90+Proj_5!K90+Proj_6!K90+Proj_7!K90+Proj_8!K90+Proj_9!K90+Proj_10!K90+Proj_11!K90+Proj_12!K90+Proj_13!K90+Proj_14!K90+Proj_15!K90+Proj_16!K90+Proj_17!K90+Proj_18!K90+Proj_19!K90+Proj_20!K90+Proj_21!K90+Proj_22!K90+Proj_23!K90+Proj_24!K90+Proj_25!K90+Proj_26!K90+Proj_27!K90+Proj_28!K90+Proj_29!K90+Proj_30!K90+Proj_31!K90+Proj_32!K90+Proj_33!K90+Proj_34!K90+Proj_35!K90+Proj_36!K90+Proj_37!K90+Proj_38!K90+Proj_39!K90+Proj_40!K90+Proj_41!K90+Proj_42!K90+Proj_43!K90+Proj_44!K90+Proj_45!K90+Proj_46!K90</f>
        <v>14191.375960494031</v>
      </c>
      <c r="H14" s="195">
        <f>Proj_1!L90+Proj_2!L90+Proj_3!L90+Proj_4!L90+Proj_5!L90+Proj_6!L90+Proj_7!L90+Proj_8!L90+Proj_9!L90+Proj_10!L90+Proj_11!L90+Proj_12!L90+Proj_13!L90+Proj_14!L90+Proj_15!L90+Proj_16!L90+Proj_17!L90+Proj_18!L90+Proj_19!L90+Proj_20!L90+Proj_21!L90+Proj_22!L90+Proj_23!L90+Proj_24!L90+Proj_25!L90+Proj_26!L90+Proj_27!L90+Proj_28!L90+Proj_29!L90+Proj_30!L90+Proj_31!L90+Proj_32!L90+Proj_33!L90+Proj_34!L90+Proj_35!L90+Proj_36!L90+Proj_37!L90+Proj_38!L90+Proj_39!L90+Proj_40!L90+Proj_41!L90+Proj_42!L90+Proj_43!L90+Proj_44!L90+Proj_45!L90+Proj_46!L90</f>
        <v>12198.080133618701</v>
      </c>
      <c r="I14" s="195">
        <f>Proj_1!M90+Proj_2!M90+Proj_3!M90+Proj_4!M90+Proj_5!M90+Proj_6!M90+Proj_7!M90+Proj_8!M90+Proj_9!M90+Proj_10!M90+Proj_11!M90+Proj_12!M90+Proj_13!M90+Proj_14!M90+Proj_15!M90+Proj_16!M90+Proj_17!M90+Proj_18!M90+Proj_19!M90+Proj_20!M90+Proj_21!M90+Proj_22!M90+Proj_23!M90+Proj_24!M90+Proj_25!M90+Proj_26!M90+Proj_27!M90+Proj_28!M90+Proj_29!M90+Proj_30!M90+Proj_31!M90+Proj_32!M90+Proj_33!M90+Proj_34!M90+Proj_35!M90+Proj_36!M90+Proj_37!M90+Proj_38!M90+Proj_39!M90+Proj_40!M90+Proj_41!M90+Proj_42!M90+Proj_43!M90+Proj_44!M90+Proj_45!M90+Proj_46!M90</f>
        <v>9514.2799158594862</v>
      </c>
      <c r="J14" s="137">
        <f>Proj_1!N90+Proj_2!N90+Proj_3!N90+Proj_4!N90+Proj_5!N90+Proj_6!N90+Proj_7!N90+Proj_8!N90+Proj_9!N90+Proj_10!N90+Proj_11!N90+Proj_12!N90+Proj_13!N90+Proj_14!N90+Proj_15!N90+Proj_16!N90+Proj_17!N90+Proj_18!N90+Proj_19!N90+Proj_20!N90+Proj_21!N90+Proj_22!N90+Proj_23!N90+Proj_24!N90+Proj_25!N90+Proj_26!N90+Proj_27!N90+Proj_28!N90+Proj_29!N90+Proj_30!N90+Proj_31!N90+Proj_32!N90+Proj_33!N90+Proj_34!N90+Proj_35!N90+Proj_36!N90+Proj_37!N90+Proj_38!N90+Proj_39!N90+Proj_40!N90+Proj_41!N90+Proj_42!N90+Proj_43!N90+Proj_44!N90+Proj_45!N90+Proj_46!N90</f>
        <v>0</v>
      </c>
      <c r="K14" s="195">
        <f t="shared" si="6"/>
        <v>71230.014729002884</v>
      </c>
      <c r="M14" s="130" t="s">
        <v>8</v>
      </c>
      <c r="N14" s="138">
        <f t="shared" si="7"/>
        <v>6.7894527894398742</v>
      </c>
      <c r="O14" s="138">
        <f t="shared" si="0"/>
        <v>14.622609882160674</v>
      </c>
      <c r="P14" s="157">
        <f t="shared" si="1"/>
        <v>20.161520429799829</v>
      </c>
      <c r="Q14" s="157">
        <f t="shared" si="2"/>
        <v>15.164758289230834</v>
      </c>
      <c r="R14" s="157">
        <f t="shared" si="3"/>
        <v>14.191375960494032</v>
      </c>
      <c r="S14" s="157">
        <f t="shared" si="4"/>
        <v>12.198080133618701</v>
      </c>
      <c r="T14" s="157">
        <f t="shared" si="5"/>
        <v>9.5142799158594862</v>
      </c>
      <c r="U14" s="138">
        <f t="shared" si="8"/>
        <v>0</v>
      </c>
      <c r="V14" s="157">
        <f t="shared" si="9"/>
        <v>71.230014729002889</v>
      </c>
    </row>
    <row r="15" spans="2:22">
      <c r="B15" s="130" t="s">
        <v>9</v>
      </c>
      <c r="C15" s="137">
        <f>Proj_1!G91+Proj_2!G91+Proj_3!G91+Proj_4!G91+Proj_5!G91+Proj_6!G91+Proj_7!G91+Proj_8!G91+Proj_9!G91+Proj_10!G91+Proj_11!G91+Proj_12!G91+Proj_13!G91+Proj_14!G91+Proj_15!G91+Proj_16!G91+Proj_17!G91+Proj_18!G91+Proj_19!G91+Proj_20!G91+Proj_21!G91+Proj_22!G91+Proj_23!G91+Proj_24!G91+Proj_25!G91+Proj_26!G91+Proj_27!G91+Proj_28!G91+Proj_29!G91+Proj_30!G91+Proj_31!G91+Proj_32!G91+Proj_33!G91+Proj_34!G91+Proj_35!G91+Proj_36!G91+Proj_37!G91+Proj_38!G91+Proj_39!G91+Proj_40!G91+Proj_41!G91+Proj_42!G91+Proj_43!G91+Proj_44!G91+Proj_45!G91+Proj_46!G91</f>
        <v>7727.6341269849763</v>
      </c>
      <c r="D15" s="137">
        <f>Proj_1!H91+Proj_2!H91+Proj_3!H91+Proj_4!H91+Proj_5!H91+Proj_6!H91+Proj_7!H91+Proj_8!H91+Proj_9!H91+Proj_10!H91+Proj_11!H91+Proj_12!H91+Proj_13!H91+Proj_14!H91+Proj_15!H91+Proj_16!H91+Proj_17!H91+Proj_18!H91+Proj_19!H91+Proj_20!H91+Proj_21!H91+Proj_22!H91+Proj_23!H91+Proj_24!H91+Proj_25!H91+Proj_26!H91+Proj_27!H91+Proj_28!H91+Proj_29!H91+Proj_30!H91+Proj_31!H91+Proj_32!H91+Proj_33!H91+Proj_34!H91+Proj_35!H91+Proj_36!H91+Proj_37!H91+Proj_38!H91+Proj_39!H91+Proj_40!H91+Proj_41!H91+Proj_42!H91+Proj_43!H91+Proj_44!H91+Proj_45!H91+Proj_46!H91</f>
        <v>15377.377911948415</v>
      </c>
      <c r="E15" s="195">
        <f>Proj_1!I91+Proj_2!I91+Proj_3!I91+Proj_4!I91+Proj_5!I91+Proj_6!I91+Proj_7!I91+Proj_8!I91+Proj_9!I91+Proj_10!I91+Proj_11!I91+Proj_12!I91+Proj_13!I91+Proj_14!I91+Proj_15!I91+Proj_16!I91+Proj_17!I91+Proj_18!I91+Proj_19!I91+Proj_20!I91+Proj_21!I91+Proj_22!I91+Proj_23!I91+Proj_24!I91+Proj_25!I91+Proj_26!I91+Proj_27!I91+Proj_28!I91+Proj_29!I91+Proj_30!I91+Proj_31!I91+Proj_32!I91+Proj_33!I91+Proj_34!I91+Proj_35!I91+Proj_36!I91+Proj_37!I91+Proj_38!I91+Proj_39!I91+Proj_40!I91+Proj_41!I91+Proj_42!I91+Proj_43!I91+Proj_44!I91+Proj_45!I91+Proj_46!I91</f>
        <v>10012.575066875715</v>
      </c>
      <c r="F15" s="195">
        <f>Proj_1!J91+Proj_2!J91+Proj_3!J91+Proj_4!J91+Proj_5!J91+Proj_6!J91+Proj_7!J91+Proj_8!J91+Proj_9!J91+Proj_10!J91+Proj_11!J91+Proj_12!J91+Proj_13!J91+Proj_14!J91+Proj_15!J91+Proj_16!J91+Proj_17!J91+Proj_18!J91+Proj_19!J91+Proj_20!J91+Proj_21!J91+Proj_22!J91+Proj_23!J91+Proj_24!J91+Proj_25!J91+Proj_26!J91+Proj_27!J91+Proj_28!J91+Proj_29!J91+Proj_30!J91+Proj_31!J91+Proj_32!J91+Proj_33!J91+Proj_34!J91+Proj_35!J91+Proj_36!J91+Proj_37!J91+Proj_38!J91+Proj_39!J91+Proj_40!J91+Proj_41!J91+Proj_42!J91+Proj_43!J91+Proj_44!J91+Proj_45!J91+Proj_46!J91</f>
        <v>12234.015191621451</v>
      </c>
      <c r="G15" s="195">
        <f>Proj_1!K91+Proj_2!K91+Proj_3!K91+Proj_4!K91+Proj_5!K91+Proj_6!K91+Proj_7!K91+Proj_8!K91+Proj_9!K91+Proj_10!K91+Proj_11!K91+Proj_12!K91+Proj_13!K91+Proj_14!K91+Proj_15!K91+Proj_16!K91+Proj_17!K91+Proj_18!K91+Proj_19!K91+Proj_20!K91+Proj_21!K91+Proj_22!K91+Proj_23!K91+Proj_24!K91+Proj_25!K91+Proj_26!K91+Proj_27!K91+Proj_28!K91+Proj_29!K91+Proj_30!K91+Proj_31!K91+Proj_32!K91+Proj_33!K91+Proj_34!K91+Proj_35!K91+Proj_36!K91+Proj_37!K91+Proj_38!K91+Proj_39!K91+Proj_40!K91+Proj_41!K91+Proj_42!K91+Proj_43!K91+Proj_44!K91+Proj_45!K91+Proj_46!K91</f>
        <v>14496.958147848467</v>
      </c>
      <c r="H15" s="195">
        <f>Proj_1!L91+Proj_2!L91+Proj_3!L91+Proj_4!L91+Proj_5!L91+Proj_6!L91+Proj_7!L91+Proj_8!L91+Proj_9!L91+Proj_10!L91+Proj_11!L91+Proj_12!L91+Proj_13!L91+Proj_14!L91+Proj_15!L91+Proj_16!L91+Proj_17!L91+Proj_18!L91+Proj_19!L91+Proj_20!L91+Proj_21!L91+Proj_22!L91+Proj_23!L91+Proj_24!L91+Proj_25!L91+Proj_26!L91+Proj_27!L91+Proj_28!L91+Proj_29!L91+Proj_30!L91+Proj_31!L91+Proj_32!L91+Proj_33!L91+Proj_34!L91+Proj_35!L91+Proj_36!L91+Proj_37!L91+Proj_38!L91+Proj_39!L91+Proj_40!L91+Proj_41!L91+Proj_42!L91+Proj_43!L91+Proj_44!L91+Proj_45!L91+Proj_46!L91</f>
        <v>12629.392175881936</v>
      </c>
      <c r="I15" s="195">
        <f>Proj_1!M91+Proj_2!M91+Proj_3!M91+Proj_4!M91+Proj_5!M91+Proj_6!M91+Proj_7!M91+Proj_8!M91+Proj_9!M91+Proj_10!M91+Proj_11!M91+Proj_12!M91+Proj_13!M91+Proj_14!M91+Proj_15!M91+Proj_16!M91+Proj_17!M91+Proj_18!M91+Proj_19!M91+Proj_20!M91+Proj_21!M91+Proj_22!M91+Proj_23!M91+Proj_24!M91+Proj_25!M91+Proj_26!M91+Proj_27!M91+Proj_28!M91+Proj_29!M91+Proj_30!M91+Proj_31!M91+Proj_32!M91+Proj_33!M91+Proj_34!M91+Proj_35!M91+Proj_36!M91+Proj_37!M91+Proj_38!M91+Proj_39!M91+Proj_40!M91+Proj_41!M91+Proj_42!M91+Proj_43!M91+Proj_44!M91+Proj_45!M91+Proj_46!M91</f>
        <v>9073.2887718823349</v>
      </c>
      <c r="J15" s="137">
        <f>Proj_1!N91+Proj_2!N91+Proj_3!N91+Proj_4!N91+Proj_5!N91+Proj_6!N91+Proj_7!N91+Proj_8!N91+Proj_9!N91+Proj_10!N91+Proj_11!N91+Proj_12!N91+Proj_13!N91+Proj_14!N91+Proj_15!N91+Proj_16!N91+Proj_17!N91+Proj_18!N91+Proj_19!N91+Proj_20!N91+Proj_21!N91+Proj_22!N91+Proj_23!N91+Proj_24!N91+Proj_25!N91+Proj_26!N91+Proj_27!N91+Proj_28!N91+Proj_29!N91+Proj_30!N91+Proj_31!N91+Proj_32!N91+Proj_33!N91+Proj_34!N91+Proj_35!N91+Proj_36!N91+Proj_37!N91+Proj_38!N91+Proj_39!N91+Proj_40!N91+Proj_41!N91+Proj_42!N91+Proj_43!N91+Proj_44!N91+Proj_45!N91+Proj_46!N91</f>
        <v>0</v>
      </c>
      <c r="K15" s="195">
        <f t="shared" si="6"/>
        <v>58446.229354109899</v>
      </c>
      <c r="M15" s="130" t="s">
        <v>9</v>
      </c>
      <c r="N15" s="138">
        <f t="shared" si="7"/>
        <v>7.7276341269849764</v>
      </c>
      <c r="O15" s="138">
        <f t="shared" si="0"/>
        <v>15.377377911948415</v>
      </c>
      <c r="P15" s="157">
        <f t="shared" si="1"/>
        <v>10.012575066875716</v>
      </c>
      <c r="Q15" s="157">
        <f t="shared" si="2"/>
        <v>12.234015191621451</v>
      </c>
      <c r="R15" s="157">
        <f t="shared" si="3"/>
        <v>14.496958147848467</v>
      </c>
      <c r="S15" s="157">
        <f t="shared" si="4"/>
        <v>12.629392175881936</v>
      </c>
      <c r="T15" s="157">
        <f t="shared" si="5"/>
        <v>9.0732887718823356</v>
      </c>
      <c r="U15" s="138">
        <f t="shared" si="8"/>
        <v>0</v>
      </c>
      <c r="V15" s="157">
        <f t="shared" si="9"/>
        <v>58.446229354109903</v>
      </c>
    </row>
    <row r="16" spans="2:22">
      <c r="B16" s="130" t="s">
        <v>147</v>
      </c>
      <c r="C16" s="137"/>
      <c r="D16" s="137"/>
      <c r="E16" s="195"/>
      <c r="F16" s="195"/>
      <c r="G16" s="195"/>
      <c r="H16" s="195"/>
      <c r="I16" s="195"/>
      <c r="J16" s="137"/>
      <c r="K16" s="195"/>
      <c r="M16" s="130" t="s">
        <v>147</v>
      </c>
      <c r="N16" s="138">
        <f t="shared" si="7"/>
        <v>0</v>
      </c>
      <c r="O16" s="138">
        <f t="shared" si="0"/>
        <v>0</v>
      </c>
      <c r="P16" s="157">
        <f t="shared" si="1"/>
        <v>0</v>
      </c>
      <c r="Q16" s="157">
        <f t="shared" si="2"/>
        <v>0</v>
      </c>
      <c r="R16" s="157">
        <f t="shared" si="3"/>
        <v>0</v>
      </c>
      <c r="S16" s="157">
        <f t="shared" si="4"/>
        <v>0</v>
      </c>
      <c r="T16" s="157">
        <f t="shared" si="5"/>
        <v>0</v>
      </c>
      <c r="U16" s="138">
        <f t="shared" si="8"/>
        <v>0</v>
      </c>
      <c r="V16" s="157"/>
    </row>
    <row r="17" spans="2:22">
      <c r="B17" s="151" t="s">
        <v>36</v>
      </c>
      <c r="C17" s="152">
        <f>Proj_45!G92</f>
        <v>33465.430752527762</v>
      </c>
      <c r="D17" s="152">
        <f>Proj_45!H92</f>
        <v>19524.342843038816</v>
      </c>
      <c r="E17" s="197">
        <f>Proj_45!I92</f>
        <v>23795.255544825348</v>
      </c>
      <c r="F17" s="197">
        <f>Proj_45!J92</f>
        <v>21559.242947687449</v>
      </c>
      <c r="G17" s="197">
        <f>Proj_45!K92</f>
        <v>13226.91578058304</v>
      </c>
      <c r="H17" s="197">
        <f>Proj_45!L92</f>
        <v>10902.798057234042</v>
      </c>
      <c r="I17" s="197">
        <f>Proj_45!M92</f>
        <v>9285.8427737434831</v>
      </c>
      <c r="J17" s="152">
        <f>Proj_45!N92+Proj_42!N92</f>
        <v>0</v>
      </c>
      <c r="K17" s="197">
        <f>SUM(E17:J17)</f>
        <v>78770.055104073355</v>
      </c>
      <c r="M17" s="130" t="s">
        <v>36</v>
      </c>
      <c r="N17" s="138">
        <f t="shared" si="7"/>
        <v>33.465430752527759</v>
      </c>
      <c r="O17" s="138">
        <f t="shared" si="0"/>
        <v>19.524342843038816</v>
      </c>
      <c r="P17" s="157">
        <f t="shared" si="1"/>
        <v>23.795255544825348</v>
      </c>
      <c r="Q17" s="157">
        <f t="shared" si="2"/>
        <v>21.559242947687448</v>
      </c>
      <c r="R17" s="157">
        <f t="shared" si="3"/>
        <v>13.22691578058304</v>
      </c>
      <c r="S17" s="157">
        <f t="shared" si="4"/>
        <v>10.902798057234042</v>
      </c>
      <c r="T17" s="157">
        <f t="shared" si="5"/>
        <v>9.2858427737434823</v>
      </c>
      <c r="U17" s="138">
        <f t="shared" si="8"/>
        <v>0</v>
      </c>
      <c r="V17" s="157">
        <f t="shared" si="9"/>
        <v>78.770055104073364</v>
      </c>
    </row>
    <row r="18" spans="2:22">
      <c r="B18" s="132" t="s">
        <v>52</v>
      </c>
      <c r="C18" s="137">
        <f>Proj_46!G92</f>
        <v>1398.0264586988103</v>
      </c>
      <c r="D18" s="137">
        <f>Proj_46!H92</f>
        <v>893.45859820672661</v>
      </c>
      <c r="E18" s="195">
        <f>Proj_46!I92</f>
        <v>1923.5863548471418</v>
      </c>
      <c r="F18" s="195">
        <f>Proj_46!J92</f>
        <v>1518.6098221472716</v>
      </c>
      <c r="G18" s="195">
        <f>Proj_46!K92</f>
        <v>2106.6912533721465</v>
      </c>
      <c r="H18" s="195">
        <f>Proj_46!L92</f>
        <v>1780.5879714728887</v>
      </c>
      <c r="I18" s="195">
        <f>Proj_46!M92</f>
        <v>1792.3721651578999</v>
      </c>
      <c r="J18" s="137">
        <f>Proj_46!N92</f>
        <v>0</v>
      </c>
      <c r="K18" s="195">
        <f>SUM(E18:J18)</f>
        <v>9121.8475669973486</v>
      </c>
      <c r="M18" s="130" t="s">
        <v>52</v>
      </c>
      <c r="N18" s="138">
        <f t="shared" si="7"/>
        <v>1.3980264586988103</v>
      </c>
      <c r="O18" s="138">
        <f t="shared" si="0"/>
        <v>0.89345859820672657</v>
      </c>
      <c r="P18" s="157">
        <f t="shared" si="1"/>
        <v>1.9235863548471419</v>
      </c>
      <c r="Q18" s="157">
        <f t="shared" si="2"/>
        <v>1.5186098221472717</v>
      </c>
      <c r="R18" s="157">
        <f t="shared" si="3"/>
        <v>2.1066912533721465</v>
      </c>
      <c r="S18" s="157">
        <f t="shared" si="4"/>
        <v>1.7805879714728887</v>
      </c>
      <c r="T18" s="157">
        <f t="shared" si="5"/>
        <v>1.7923721651578999</v>
      </c>
      <c r="U18" s="138">
        <f t="shared" si="8"/>
        <v>0</v>
      </c>
      <c r="V18" s="157">
        <f t="shared" si="9"/>
        <v>9.1218475669973493</v>
      </c>
    </row>
    <row r="19" spans="2:22">
      <c r="B19" s="130" t="s">
        <v>320</v>
      </c>
      <c r="C19" s="137">
        <f>Proj_44!G92</f>
        <v>2058.5833129249436</v>
      </c>
      <c r="D19" s="137">
        <f>Proj_44!H92</f>
        <v>2587.5614353020501</v>
      </c>
      <c r="E19" s="195">
        <f>Proj_44!I92</f>
        <v>2923.3476343865623</v>
      </c>
      <c r="F19" s="195">
        <f>Proj_44!J92</f>
        <v>2941.1008478565445</v>
      </c>
      <c r="G19" s="195">
        <f>Proj_44!K92</f>
        <v>2958.5642842096154</v>
      </c>
      <c r="H19" s="195">
        <f>Proj_44!L92</f>
        <v>2977.6425137068209</v>
      </c>
      <c r="I19" s="195">
        <f>Proj_44!M92</f>
        <v>2997.3489908191082</v>
      </c>
      <c r="J19" s="137">
        <f>Proj_44!N92</f>
        <v>0</v>
      </c>
      <c r="K19" s="195">
        <f t="shared" si="6"/>
        <v>14798.00427097865</v>
      </c>
      <c r="M19" s="130" t="s">
        <v>320</v>
      </c>
      <c r="N19" s="138">
        <f t="shared" si="7"/>
        <v>2.0585833129249438</v>
      </c>
      <c r="O19" s="138">
        <f t="shared" si="0"/>
        <v>2.58756143530205</v>
      </c>
      <c r="P19" s="157">
        <f t="shared" si="1"/>
        <v>2.9233476343865621</v>
      </c>
      <c r="Q19" s="157">
        <f t="shared" si="2"/>
        <v>2.9411008478565446</v>
      </c>
      <c r="R19" s="157">
        <f t="shared" si="3"/>
        <v>2.9585642842096154</v>
      </c>
      <c r="S19" s="157">
        <f t="shared" si="4"/>
        <v>2.977642513706821</v>
      </c>
      <c r="T19" s="157">
        <f t="shared" si="5"/>
        <v>2.9973489908191082</v>
      </c>
      <c r="U19" s="138">
        <f t="shared" si="8"/>
        <v>0</v>
      </c>
      <c r="V19" s="157">
        <f t="shared" si="9"/>
        <v>14.798004270978652</v>
      </c>
    </row>
    <row r="20" spans="2:22">
      <c r="B20" s="132" t="s">
        <v>53</v>
      </c>
      <c r="C20" s="137">
        <f>Proj_43!G92</f>
        <v>2765.9766805265035</v>
      </c>
      <c r="D20" s="137">
        <f>Proj_43!H92</f>
        <v>530.03546210632157</v>
      </c>
      <c r="E20" s="195">
        <f>Proj_43!I92</f>
        <v>219.35117264934473</v>
      </c>
      <c r="F20" s="195">
        <f>Proj_43!J92</f>
        <v>595.63761886669158</v>
      </c>
      <c r="G20" s="195">
        <f>Proj_43!K92</f>
        <v>95.624015498209658</v>
      </c>
      <c r="H20" s="195">
        <f>Proj_43!L92</f>
        <v>211.39375598269248</v>
      </c>
      <c r="I20" s="195">
        <f>Proj_43!M92</f>
        <v>1034.0612515877467</v>
      </c>
      <c r="J20" s="137">
        <f>Proj_43!N92</f>
        <v>0</v>
      </c>
      <c r="K20" s="195">
        <f>SUM(E20:J20)</f>
        <v>2156.067814584685</v>
      </c>
      <c r="M20" s="132" t="s">
        <v>53</v>
      </c>
      <c r="N20" s="138">
        <f t="shared" si="7"/>
        <v>2.7659766805265034</v>
      </c>
      <c r="O20" s="138">
        <f t="shared" si="0"/>
        <v>0.53003546210632158</v>
      </c>
      <c r="P20" s="157">
        <f t="shared" si="1"/>
        <v>0.21935117264934473</v>
      </c>
      <c r="Q20" s="157">
        <f t="shared" si="2"/>
        <v>0.59563761886669153</v>
      </c>
      <c r="R20" s="157">
        <f t="shared" si="3"/>
        <v>9.5624015498209661E-2</v>
      </c>
      <c r="S20" s="157">
        <f t="shared" si="4"/>
        <v>0.21139375598269247</v>
      </c>
      <c r="T20" s="157">
        <f t="shared" si="5"/>
        <v>1.0340612515877468</v>
      </c>
      <c r="U20" s="138">
        <f t="shared" si="8"/>
        <v>0</v>
      </c>
      <c r="V20" s="157">
        <f t="shared" si="9"/>
        <v>2.1560678145846852</v>
      </c>
    </row>
    <row r="21" spans="2:22">
      <c r="B21" s="130" t="s">
        <v>11</v>
      </c>
      <c r="C21" s="137">
        <f>Proj_1!G93+Proj_2!G93+Proj_3!G93+Proj_4!G93+Proj_5!G93+Proj_6!G93+Proj_7!G93+Proj_8!G93+Proj_9!G93+Proj_10!G93+Proj_11!G93+Proj_12!G93+Proj_13!H93+Proj_14!H93+Proj_15!H93+Proj_16!H93+Proj_17!H93+Proj_18!H93+Proj_19!H93+Proj_20!G93+Proj_21!G93+Proj_22!G93+Proj_23!G93+Proj_24!G93+Proj_25!G93+Proj_26!G93+Proj_27!G93+Proj_28!G93+Proj_29!G93+Proj_30!G93+Proj_31!G93+Proj_32!G93+Proj_33!G93+Proj_34!G93+Proj_35!G93+Proj_36!G93+Proj_37!G93+Proj_38!G93+Proj_39!G93+Proj_40!G93+Proj_41!G93+Proj_42!G93+Proj_43!G93+Proj_44!G93+Proj_45!G93+Proj_46!G93</f>
        <v>0</v>
      </c>
      <c r="D21" s="137">
        <f>Proj_1!H93+Proj_2!H93+Proj_3!H93+Proj_4!H93+Proj_5!H93+Proj_6!H93+Proj_7!H93+Proj_8!H93+Proj_9!H93+Proj_10!H93+Proj_11!H93+Proj_12!H93+Proj_13!I93+Proj_14!I93+Proj_15!I93+Proj_16!I93+Proj_17!I93+Proj_18!I93+Proj_19!I93+Proj_20!H93+Proj_21!H93+Proj_22!H93+Proj_23!H93+Proj_24!H93+Proj_25!H93+Proj_26!H93+Proj_27!H93+Proj_28!H93+Proj_29!H93+Proj_30!H93+Proj_31!H93+Proj_32!H93+Proj_33!H93+Proj_34!H93+Proj_35!H93+Proj_36!H93+Proj_37!H93+Proj_38!H93+Proj_39!H93+Proj_40!H93+Proj_41!H93+Proj_42!H93+Proj_43!H93+Proj_44!H93+Proj_45!H93+Proj_46!H93</f>
        <v>0</v>
      </c>
      <c r="E21" s="195">
        <f>Proj_1!I93+Proj_2!I93+Proj_3!I93+Proj_4!I93+Proj_5!I93+Proj_6!I93+Proj_7!I93+Proj_8!I93+Proj_9!I93+Proj_10!I93+Proj_11!I93+Proj_12!I93+Proj_13!J93+Proj_14!J93+Proj_15!J93+Proj_16!J93+Proj_17!J93+Proj_18!J93+Proj_19!J93+Proj_20!I93+Proj_21!I93+Proj_22!I93+Proj_23!I93+Proj_24!I93+Proj_25!I93+Proj_26!I93+Proj_27!I93+Proj_28!I93+Proj_29!I93+Proj_30!I93+Proj_31!I93+Proj_32!I93+Proj_33!I93+Proj_34!I93+Proj_35!I93+Proj_36!I93+Proj_37!I93+Proj_38!I93+Proj_39!I93+Proj_40!I93+Proj_41!I93+Proj_42!I93+Proj_43!I93+Proj_44!I93+Proj_45!I93+Proj_46!I93</f>
        <v>0</v>
      </c>
      <c r="F21" s="195">
        <f>Proj_1!J93+Proj_2!J93+Proj_3!J93+Proj_4!J93+Proj_5!J93+Proj_6!J93+Proj_7!J93+Proj_8!J93+Proj_9!J93+Proj_10!J93+Proj_11!J93+Proj_12!J93+Proj_13!K93+Proj_14!K93+Proj_15!K93+Proj_16!K93+Proj_17!K93+Proj_18!K93+Proj_19!K93+Proj_20!J93+Proj_21!J93+Proj_22!J93+Proj_23!J93+Proj_24!J93+Proj_25!J93+Proj_26!J93+Proj_27!J93+Proj_28!J93+Proj_29!J93+Proj_30!J93+Proj_31!J93+Proj_32!J93+Proj_33!J93+Proj_34!J93+Proj_35!J93+Proj_36!J93+Proj_37!J93+Proj_38!J93+Proj_39!J93+Proj_40!J93+Proj_41!J93+Proj_42!J93+Proj_43!J93+Proj_44!J93+Proj_45!J93+Proj_46!J93</f>
        <v>0</v>
      </c>
      <c r="G21" s="195">
        <f>Proj_1!K93+Proj_2!K93+Proj_3!K93+Proj_4!K93+Proj_5!K93+Proj_6!K93+Proj_7!K93+Proj_8!K93+Proj_9!K93+Proj_10!K93+Proj_11!K93+Proj_12!K93+Proj_13!L93+Proj_14!L93+Proj_15!L93+Proj_16!L93+Proj_17!L93+Proj_18!L93+Proj_19!L93+Proj_20!K93+Proj_21!K93+Proj_22!K93+Proj_23!K93+Proj_24!K93+Proj_25!K93+Proj_26!K93+Proj_27!K93+Proj_28!K93+Proj_29!K93+Proj_30!K93+Proj_31!K93+Proj_32!K93+Proj_33!K93+Proj_34!K93+Proj_35!K93+Proj_36!K93+Proj_37!K93+Proj_38!K93+Proj_39!K93+Proj_40!K93+Proj_41!K93+Proj_42!K93+Proj_43!K93+Proj_44!K93+Proj_45!K93+Proj_46!K93</f>
        <v>0</v>
      </c>
      <c r="H21" s="195">
        <f>Proj_1!L93+Proj_2!L93+Proj_3!L93+Proj_4!L93+Proj_5!L93+Proj_6!L93+Proj_7!L93+Proj_8!L93+Proj_9!L93+Proj_10!L93+Proj_11!L93+Proj_12!L93+Proj_13!M93+Proj_14!M93+Proj_15!M93+Proj_16!M93+Proj_17!M93+Proj_18!M93+Proj_19!M93+Proj_20!L93+Proj_21!L93+Proj_22!L93+Proj_23!L93+Proj_24!L93+Proj_25!L93+Proj_26!L93+Proj_27!L93+Proj_28!L93+Proj_29!L93+Proj_30!L93+Proj_31!L93+Proj_32!L93+Proj_33!L93+Proj_34!L93+Proj_35!L93+Proj_36!L93+Proj_37!L93+Proj_38!L93+Proj_39!L93+Proj_40!L93+Proj_41!L93+Proj_42!L93+Proj_43!L93+Proj_44!L93+Proj_45!L93+Proj_46!L93</f>
        <v>0</v>
      </c>
      <c r="I21" s="195">
        <f>Proj_1!M93+Proj_2!M93+Proj_3!M93+Proj_4!M93+Proj_5!M93+Proj_6!M93+Proj_7!M93+Proj_8!M93+Proj_9!M93+Proj_10!M93+Proj_11!M93+Proj_12!M93+Proj_13!N93+Proj_14!N93+Proj_15!N93+Proj_16!N93+Proj_17!N93+Proj_18!N93+Proj_19!N93+Proj_20!M93+Proj_21!M93+Proj_22!M93+Proj_23!M93+Proj_24!M93+Proj_25!M93+Proj_26!M93+Proj_27!M93+Proj_28!M93+Proj_29!M93+Proj_30!M93+Proj_31!M93+Proj_32!M93+Proj_33!M93+Proj_34!M93+Proj_35!M93+Proj_36!M93+Proj_37!M93+Proj_38!M93+Proj_39!M93+Proj_40!M93+Proj_41!M93+Proj_42!M93+Proj_43!M93+Proj_44!M93+Proj_45!M93+Proj_46!M93</f>
        <v>0</v>
      </c>
      <c r="J21" s="137">
        <f>Proj_1!N93+Proj_2!N93+Proj_3!N93+Proj_4!N93+Proj_5!N93+Proj_6!N93+Proj_7!N93+Proj_8!N93+Proj_9!N93+Proj_10!N93+Proj_11!N93+Proj_12!N93+Proj_13!O93+Proj_14!O93+Proj_15!O93+Proj_16!O93+Proj_17!O93+Proj_18!O93+Proj_19!O93+Proj_20!N93+Proj_21!N93+Proj_22!N93+Proj_23!N93+Proj_24!N93+Proj_25!N93+Proj_26!N93+Proj_27!N93+Proj_28!N93+Proj_29!N93+Proj_30!N93+Proj_31!N93+Proj_32!N93+Proj_33!N93+Proj_34!N93+Proj_35!N93+Proj_36!N93+Proj_37!N93+Proj_38!N93+Proj_39!N93+Proj_40!N93+Proj_41!N93+Proj_42!N93+Proj_43!N93+Proj_44!N93+Proj_45!N93+Proj_46!N93</f>
        <v>0</v>
      </c>
      <c r="K21" s="195">
        <f t="shared" si="6"/>
        <v>0</v>
      </c>
      <c r="M21" s="132" t="s">
        <v>11</v>
      </c>
      <c r="N21" s="138">
        <f t="shared" si="7"/>
        <v>0</v>
      </c>
      <c r="O21" s="138">
        <f t="shared" si="0"/>
        <v>0</v>
      </c>
      <c r="P21" s="157">
        <f t="shared" si="1"/>
        <v>0</v>
      </c>
      <c r="Q21" s="157">
        <f t="shared" si="2"/>
        <v>0</v>
      </c>
      <c r="R21" s="157">
        <f t="shared" si="3"/>
        <v>0</v>
      </c>
      <c r="S21" s="157">
        <f t="shared" si="4"/>
        <v>0</v>
      </c>
      <c r="T21" s="157">
        <f t="shared" si="5"/>
        <v>0</v>
      </c>
      <c r="U21" s="138">
        <f t="shared" si="8"/>
        <v>0</v>
      </c>
      <c r="V21" s="157">
        <f t="shared" si="9"/>
        <v>0</v>
      </c>
    </row>
    <row r="22" spans="2:22">
      <c r="B22" s="130" t="s">
        <v>12</v>
      </c>
      <c r="C22" s="137">
        <f>Proj_1!G94+Proj_2!G94+Proj_3!G94+Proj_4!G94+Proj_5!G94+Proj_6!G94+Proj_7!G94+Proj_8!G94+Proj_9!G94+Proj_10!G94+Proj_11!G94+Proj_12!G94+Proj_13!H94+Proj_14!H94+Proj_15!H94+Proj_16!H94+Proj_17!H94+Proj_18!H94+Proj_19!H94+Proj_20!G94+Proj_21!G94+Proj_22!G94+Proj_23!G94+Proj_24!G94+Proj_25!G94+Proj_26!G94+Proj_27!G94+Proj_28!G94+Proj_29!G94+Proj_30!G94+Proj_31!G94+Proj_32!G94+Proj_33!G94+Proj_34!G94+Proj_35!G94+Proj_36!G94+Proj_37!G94+Proj_38!G94+Proj_39!G94+Proj_40!G94+Proj_41!G94+Proj_42!G94+Proj_43!G94+Proj_44!G94+Proj_45!G94+Proj_46!G94</f>
        <v>0</v>
      </c>
      <c r="D22" s="137">
        <f>Proj_1!H94+Proj_2!H94+Proj_3!H94+Proj_4!H94+Proj_5!H94+Proj_6!H94+Proj_7!H94+Proj_8!H94+Proj_9!H94+Proj_10!H94+Proj_11!H94+Proj_12!H94+Proj_13!I94+Proj_14!I94+Proj_15!I94+Proj_16!I94+Proj_17!I94+Proj_18!I94+Proj_19!I94+Proj_20!H94+Proj_21!H94+Proj_22!H94+Proj_23!H94+Proj_24!H94+Proj_25!H94+Proj_26!H94+Proj_27!H94+Proj_28!H94+Proj_29!H94+Proj_30!H94+Proj_31!H94+Proj_32!H94+Proj_33!H94+Proj_34!H94+Proj_35!H94+Proj_36!H94+Proj_37!H94+Proj_38!H94+Proj_39!H94+Proj_40!H94+Proj_41!H94+Proj_42!H94+Proj_43!H94+Proj_44!H94+Proj_45!H94+Proj_46!H94</f>
        <v>0</v>
      </c>
      <c r="E22" s="195">
        <f>Proj_1!I94+Proj_2!I94+Proj_3!I94+Proj_4!I94+Proj_5!I94+Proj_6!I94+Proj_7!I94+Proj_8!I94+Proj_9!I94+Proj_10!I94+Proj_11!I94+Proj_12!I94+Proj_13!J94+Proj_14!J94+Proj_15!J94+Proj_16!J94+Proj_17!J94+Proj_18!J94+Proj_19!J94+Proj_20!I94+Proj_21!I94+Proj_22!I94+Proj_23!I94+Proj_24!I94+Proj_25!I94+Proj_26!I94+Proj_27!I94+Proj_28!I94+Proj_29!I94+Proj_30!I94+Proj_31!I94+Proj_32!I94+Proj_33!I94+Proj_34!I94+Proj_35!I94+Proj_36!I94+Proj_37!I94+Proj_38!I94+Proj_39!I94+Proj_40!I94+Proj_41!I94+Proj_42!I94+Proj_43!I94+Proj_44!I94+Proj_45!I94+Proj_46!I94</f>
        <v>0</v>
      </c>
      <c r="F22" s="195">
        <f>Proj_1!J94+Proj_2!J94+Proj_3!J94+Proj_4!J94+Proj_5!J94+Proj_6!J94+Proj_7!J94+Proj_8!J94+Proj_9!J94+Proj_10!J94+Proj_11!J94+Proj_12!J94+Proj_13!K94+Proj_14!K94+Proj_15!K94+Proj_16!K94+Proj_17!K94+Proj_18!K94+Proj_19!K94+Proj_20!J94+Proj_21!J94+Proj_22!J94+Proj_23!J94+Proj_24!J94+Proj_25!J94+Proj_26!J94+Proj_27!J94+Proj_28!J94+Proj_29!J94+Proj_30!J94+Proj_31!J94+Proj_32!J94+Proj_33!J94+Proj_34!J94+Proj_35!J94+Proj_36!J94+Proj_37!J94+Proj_38!J94+Proj_39!J94+Proj_40!J94+Proj_41!J94+Proj_42!J94+Proj_43!J94+Proj_44!J94+Proj_45!J94+Proj_46!J94</f>
        <v>0</v>
      </c>
      <c r="G22" s="195">
        <f>Proj_1!K94+Proj_2!K94+Proj_3!K94+Proj_4!K94+Proj_5!K94+Proj_6!K94+Proj_7!K94+Proj_8!K94+Proj_9!K94+Proj_10!K94+Proj_11!K94+Proj_12!K94+Proj_13!L94+Proj_14!L94+Proj_15!L94+Proj_16!L94+Proj_17!L94+Proj_18!L94+Proj_19!L94+Proj_20!K94+Proj_21!K94+Proj_22!K94+Proj_23!K94+Proj_24!K94+Proj_25!K94+Proj_26!K94+Proj_27!K94+Proj_28!K94+Proj_29!K94+Proj_30!K94+Proj_31!K94+Proj_32!K94+Proj_33!K94+Proj_34!K94+Proj_35!K94+Proj_36!K94+Proj_37!K94+Proj_38!K94+Proj_39!K94+Proj_40!K94+Proj_41!K94+Proj_42!K94+Proj_43!K94+Proj_44!K94+Proj_45!K94+Proj_46!K94</f>
        <v>0</v>
      </c>
      <c r="H22" s="195">
        <f>Proj_1!L94+Proj_2!L94+Proj_3!L94+Proj_4!L94+Proj_5!L94+Proj_6!L94+Proj_7!L94+Proj_8!L94+Proj_9!L94+Proj_10!L94+Proj_11!L94+Proj_12!L94+Proj_13!M94+Proj_14!M94+Proj_15!M94+Proj_16!M94+Proj_17!M94+Proj_18!M94+Proj_19!M94+Proj_20!L94+Proj_21!L94+Proj_22!L94+Proj_23!L94+Proj_24!L94+Proj_25!L94+Proj_26!L94+Proj_27!L94+Proj_28!L94+Proj_29!L94+Proj_30!L94+Proj_31!L94+Proj_32!L94+Proj_33!L94+Proj_34!L94+Proj_35!L94+Proj_36!L94+Proj_37!L94+Proj_38!L94+Proj_39!L94+Proj_40!L94+Proj_41!L94+Proj_42!L94+Proj_43!L94+Proj_44!L94+Proj_45!L94+Proj_46!L94</f>
        <v>0</v>
      </c>
      <c r="I22" s="195">
        <f>Proj_1!M94+Proj_2!M94+Proj_3!M94+Proj_4!M94+Proj_5!M94+Proj_6!M94+Proj_7!M94+Proj_8!M94+Proj_9!M94+Proj_10!M94+Proj_11!M94+Proj_12!M94+Proj_13!N94+Proj_14!N94+Proj_15!N94+Proj_16!N94+Proj_17!N94+Proj_18!N94+Proj_19!N94+Proj_20!M94+Proj_21!M94+Proj_22!M94+Proj_23!M94+Proj_24!M94+Proj_25!M94+Proj_26!M94+Proj_27!M94+Proj_28!M94+Proj_29!M94+Proj_30!M94+Proj_31!M94+Proj_32!M94+Proj_33!M94+Proj_34!M94+Proj_35!M94+Proj_36!M94+Proj_37!M94+Proj_38!M94+Proj_39!M94+Proj_40!M94+Proj_41!M94+Proj_42!M94+Proj_43!M94+Proj_44!M94+Proj_45!M94+Proj_46!M94</f>
        <v>0</v>
      </c>
      <c r="J22" s="137">
        <f>Proj_1!N94+Proj_2!N94+Proj_3!N94+Proj_4!N94+Proj_5!N94+Proj_6!N94+Proj_7!N94+Proj_8!N94+Proj_9!N94+Proj_10!N94+Proj_11!N94+Proj_12!N94+Proj_13!O94+Proj_14!O94+Proj_15!O94+Proj_16!O94+Proj_17!O94+Proj_18!O94+Proj_19!O94+Proj_20!N94+Proj_21!N94+Proj_22!N94+Proj_23!N94+Proj_24!N94+Proj_25!N94+Proj_26!N94+Proj_27!N94+Proj_28!N94+Proj_29!N94+Proj_30!N94+Proj_31!N94+Proj_32!N94+Proj_33!N94+Proj_34!N94+Proj_35!N94+Proj_36!N94+Proj_37!N94+Proj_38!N94+Proj_39!N94+Proj_40!N94+Proj_41!N94+Proj_42!N94+Proj_43!N94+Proj_44!N94+Proj_45!N94+Proj_46!N94</f>
        <v>0</v>
      </c>
      <c r="K22" s="195">
        <f t="shared" si="6"/>
        <v>0</v>
      </c>
      <c r="M22" s="151" t="s">
        <v>12</v>
      </c>
      <c r="N22" s="153">
        <f t="shared" si="7"/>
        <v>0</v>
      </c>
      <c r="O22" s="153">
        <f t="shared" si="0"/>
        <v>0</v>
      </c>
      <c r="P22" s="159">
        <f t="shared" si="1"/>
        <v>0</v>
      </c>
      <c r="Q22" s="159">
        <f t="shared" si="2"/>
        <v>0</v>
      </c>
      <c r="R22" s="159">
        <f t="shared" si="3"/>
        <v>0</v>
      </c>
      <c r="S22" s="159">
        <f t="shared" si="4"/>
        <v>0</v>
      </c>
      <c r="T22" s="159">
        <f t="shared" si="5"/>
        <v>0</v>
      </c>
      <c r="U22" s="153">
        <f t="shared" si="8"/>
        <v>0</v>
      </c>
      <c r="V22" s="159">
        <f t="shared" si="9"/>
        <v>0</v>
      </c>
    </row>
    <row r="23" spans="2:22">
      <c r="B23" s="155" t="s">
        <v>37</v>
      </c>
      <c r="C23" s="145">
        <f t="shared" ref="C23:K23" si="10">SUM(C9:C22)</f>
        <v>185975.30043628748</v>
      </c>
      <c r="D23" s="145">
        <f t="shared" si="10"/>
        <v>177864.30331510439</v>
      </c>
      <c r="E23" s="194">
        <f t="shared" si="10"/>
        <v>187646.77797995385</v>
      </c>
      <c r="F23" s="194">
        <f t="shared" si="10"/>
        <v>137000.53801639107</v>
      </c>
      <c r="G23" s="194">
        <f t="shared" si="10"/>
        <v>114196.50443750167</v>
      </c>
      <c r="H23" s="194">
        <f t="shared" si="10"/>
        <v>109344.55486712608</v>
      </c>
      <c r="I23" s="194">
        <f t="shared" si="10"/>
        <v>90000.20687857685</v>
      </c>
      <c r="J23" s="145">
        <f t="shared" si="10"/>
        <v>0</v>
      </c>
      <c r="K23" s="194">
        <f t="shared" si="10"/>
        <v>638188.58217954962</v>
      </c>
      <c r="M23" s="155" t="s">
        <v>37</v>
      </c>
      <c r="N23" s="146">
        <f t="shared" ref="N23:V23" si="11">SUM(N9:N22)</f>
        <v>185.97530043628748</v>
      </c>
      <c r="O23" s="146">
        <f t="shared" si="11"/>
        <v>177.86430331510442</v>
      </c>
      <c r="P23" s="160">
        <f t="shared" si="11"/>
        <v>187.64677797995387</v>
      </c>
      <c r="Q23" s="160">
        <f t="shared" si="11"/>
        <v>137.00053801639115</v>
      </c>
      <c r="R23" s="160">
        <f t="shared" si="11"/>
        <v>114.19650443750169</v>
      </c>
      <c r="S23" s="160">
        <f t="shared" si="11"/>
        <v>109.34455486712608</v>
      </c>
      <c r="T23" s="160">
        <f t="shared" si="11"/>
        <v>90.000206878576847</v>
      </c>
      <c r="U23" s="146">
        <f t="shared" si="11"/>
        <v>0</v>
      </c>
      <c r="V23" s="161">
        <f t="shared" si="11"/>
        <v>638.18858217954948</v>
      </c>
    </row>
    <row r="24" spans="2:22">
      <c r="B24" s="135" t="s">
        <v>50</v>
      </c>
      <c r="C24" s="124">
        <f>C23-'5.2(b)_Total_Fcast'!C17</f>
        <v>0</v>
      </c>
      <c r="D24" s="124">
        <f>D23-'5.2(b)_Total_Fcast'!D17</f>
        <v>0</v>
      </c>
      <c r="E24" s="124">
        <f>E23-'5.2(b)_Total_Fcast'!E17</f>
        <v>0</v>
      </c>
      <c r="F24" s="124">
        <f>F23-'5.2(b)_Total_Fcast'!F17</f>
        <v>0</v>
      </c>
      <c r="G24" s="124">
        <f>G23-'5.2(b)_Total_Fcast'!G17</f>
        <v>0</v>
      </c>
      <c r="H24" s="124">
        <f>H23-'5.2(b)_Total_Fcast'!H17</f>
        <v>0</v>
      </c>
      <c r="I24" s="124">
        <f>I23-'5.2(b)_Total_Fcast'!I17</f>
        <v>0</v>
      </c>
      <c r="J24" s="124">
        <f>J23-'5.2(b)_Total_Fcast'!J17</f>
        <v>0</v>
      </c>
      <c r="K24" s="133"/>
    </row>
    <row r="26" spans="2:22">
      <c r="M26" s="909" t="s">
        <v>319</v>
      </c>
    </row>
    <row r="27" spans="2:22">
      <c r="M27" s="143" t="s">
        <v>321</v>
      </c>
    </row>
    <row r="28" spans="2:22">
      <c r="M28" s="903" t="s">
        <v>438</v>
      </c>
      <c r="P28" s="1010" t="s">
        <v>481</v>
      </c>
      <c r="Q28" s="1011"/>
      <c r="R28" s="1011"/>
      <c r="S28" s="1011"/>
      <c r="T28" s="1012"/>
      <c r="V28" s="139"/>
    </row>
    <row r="29" spans="2:22">
      <c r="M29" s="900"/>
      <c r="N29" s="141" t="s">
        <v>72</v>
      </c>
      <c r="O29" s="141" t="s">
        <v>73</v>
      </c>
      <c r="P29" s="141" t="s">
        <v>74</v>
      </c>
      <c r="Q29" s="141" t="s">
        <v>75</v>
      </c>
      <c r="R29" s="141" t="s">
        <v>76</v>
      </c>
      <c r="S29" s="141" t="s">
        <v>77</v>
      </c>
      <c r="T29" s="141" t="s">
        <v>78</v>
      </c>
      <c r="U29" s="141" t="s">
        <v>79</v>
      </c>
      <c r="V29" s="140" t="s">
        <v>35</v>
      </c>
    </row>
    <row r="30" spans="2:22">
      <c r="M30" s="901" t="s">
        <v>2</v>
      </c>
      <c r="N30" s="142" t="s">
        <v>56</v>
      </c>
      <c r="O30" s="142" t="s">
        <v>55</v>
      </c>
      <c r="P30" s="142" t="s">
        <v>38</v>
      </c>
      <c r="Q30" s="142" t="s">
        <v>39</v>
      </c>
      <c r="R30" s="142" t="s">
        <v>40</v>
      </c>
      <c r="S30" s="142" t="s">
        <v>123</v>
      </c>
      <c r="T30" s="142" t="s">
        <v>124</v>
      </c>
      <c r="U30" s="142" t="s">
        <v>125</v>
      </c>
      <c r="V30" s="150"/>
    </row>
    <row r="31" spans="2:22">
      <c r="M31" s="130" t="s">
        <v>3</v>
      </c>
      <c r="N31" s="138">
        <f>N9/Assumptions!G$21</f>
        <v>29.758079127640297</v>
      </c>
      <c r="O31" s="138">
        <f>O9/Assumptions!H$21</f>
        <v>22.948498592767301</v>
      </c>
      <c r="P31" s="157">
        <f>P9/Assumptions!J$21</f>
        <v>31.120380554160217</v>
      </c>
      <c r="Q31" s="157">
        <f>Q9/Assumptions!K$21</f>
        <v>23.677818864660424</v>
      </c>
      <c r="R31" s="157">
        <f>R9/Assumptions!L$21</f>
        <v>20.384994910460012</v>
      </c>
      <c r="S31" s="157">
        <f>S9/Assumptions!M$21</f>
        <v>20.855423735501393</v>
      </c>
      <c r="T31" s="157">
        <f>T9/Assumptions!N$21</f>
        <v>20.328430051497101</v>
      </c>
      <c r="U31" s="138">
        <f t="shared" ref="U31:U37" si="12">U9/1000</f>
        <v>0</v>
      </c>
      <c r="V31" s="157">
        <f>SUM(P31:T31)</f>
        <v>116.36704811627914</v>
      </c>
    </row>
    <row r="32" spans="2:22">
      <c r="M32" s="130" t="s">
        <v>4</v>
      </c>
      <c r="N32" s="138">
        <f>N10/Assumptions!G$21</f>
        <v>43.867901598456996</v>
      </c>
      <c r="O32" s="138">
        <f>O10/Assumptions!H$21</f>
        <v>52.053710524416161</v>
      </c>
      <c r="P32" s="157">
        <f>P10/Assumptions!J$21</f>
        <v>56.537324651962436</v>
      </c>
      <c r="Q32" s="157">
        <f>Q10/Assumptions!K$21</f>
        <v>34.469671741902289</v>
      </c>
      <c r="R32" s="157">
        <f>R10/Assumptions!L$21</f>
        <v>30.061639346342581</v>
      </c>
      <c r="S32" s="157">
        <f>S10/Assumptions!M$21</f>
        <v>29.166766453181932</v>
      </c>
      <c r="T32" s="157">
        <f>T10/Assumptions!N$21</f>
        <v>21.995241170805194</v>
      </c>
      <c r="U32" s="138">
        <f t="shared" si="12"/>
        <v>0</v>
      </c>
      <c r="V32" s="157">
        <f t="shared" ref="V32:V37" si="13">SUM(P32:T32)</f>
        <v>172.23064336419444</v>
      </c>
    </row>
    <row r="33" spans="13:22">
      <c r="M33" s="130" t="s">
        <v>5</v>
      </c>
      <c r="N33" s="138">
        <f>N11/Assumptions!G$21</f>
        <v>29.32315640453087</v>
      </c>
      <c r="O33" s="138">
        <f>O11/Assumptions!H$21</f>
        <v>27.458579687134211</v>
      </c>
      <c r="P33" s="157">
        <f>P11/Assumptions!J$21</f>
        <v>30.385248300208026</v>
      </c>
      <c r="Q33" s="157">
        <f>Q11/Assumptions!K$21</f>
        <v>14.186816133594551</v>
      </c>
      <c r="R33" s="157">
        <f>R11/Assumptions!L$21</f>
        <v>10.942959865478326</v>
      </c>
      <c r="S33" s="157">
        <f>S11/Assumptions!M$21</f>
        <v>14.284199646034933</v>
      </c>
      <c r="T33" s="157">
        <f>T11/Assumptions!N$21</f>
        <v>10.012481668381259</v>
      </c>
      <c r="U33" s="138">
        <f t="shared" si="12"/>
        <v>0</v>
      </c>
      <c r="V33" s="157">
        <f t="shared" si="13"/>
        <v>79.8117056136971</v>
      </c>
    </row>
    <row r="34" spans="13:22">
      <c r="M34" s="130" t="s">
        <v>6</v>
      </c>
      <c r="N34" s="138">
        <f>N12/Assumptions!G$21</f>
        <v>3.1598948049190696</v>
      </c>
      <c r="O34" s="138">
        <f>O12/Assumptions!H$21</f>
        <v>10.613927758101815</v>
      </c>
      <c r="P34" s="157">
        <f>P12/Assumptions!J$21</f>
        <v>0.16372251913262126</v>
      </c>
      <c r="Q34" s="157">
        <f>Q12/Assumptions!K$21</f>
        <v>0.17356275187671255</v>
      </c>
      <c r="R34" s="157">
        <f>R12/Assumptions!L$21</f>
        <v>0.18032027629835329</v>
      </c>
      <c r="S34" s="157">
        <f>S12/Assumptions!M$21</f>
        <v>0.18368245066321293</v>
      </c>
      <c r="T34" s="157">
        <f>T12/Assumptions!N$21</f>
        <v>0.18807977929952768</v>
      </c>
      <c r="U34" s="138">
        <f t="shared" si="12"/>
        <v>0</v>
      </c>
      <c r="V34" s="157">
        <f t="shared" si="13"/>
        <v>0.8893677772704276</v>
      </c>
    </row>
    <row r="35" spans="13:22">
      <c r="M35" s="130" t="s">
        <v>7</v>
      </c>
      <c r="N35" s="138">
        <f>N13/Assumptions!G$21</f>
        <v>23.469053904893066</v>
      </c>
      <c r="O35" s="138">
        <f>O13/Assumptions!H$21</f>
        <v>11.024387464316847</v>
      </c>
      <c r="P35" s="157">
        <f>P13/Assumptions!J$21</f>
        <v>13.183512419069869</v>
      </c>
      <c r="Q35" s="157">
        <f>Q13/Assumptions!K$21</f>
        <v>14.264840414921967</v>
      </c>
      <c r="R35" s="157">
        <f>R13/Assumptions!L$21</f>
        <v>10.261498659916318</v>
      </c>
      <c r="S35" s="157">
        <f>S13/Assumptions!M$21</f>
        <v>10.698985506606771</v>
      </c>
      <c r="T35" s="157">
        <f>T13/Assumptions!N$21</f>
        <v>10.595821962106024</v>
      </c>
      <c r="U35" s="138">
        <f t="shared" si="12"/>
        <v>0</v>
      </c>
      <c r="V35" s="157">
        <f t="shared" si="13"/>
        <v>59.004658962620944</v>
      </c>
    </row>
    <row r="36" spans="13:22">
      <c r="M36" s="130" t="s">
        <v>8</v>
      </c>
      <c r="N36" s="138">
        <f>N14/Assumptions!G$21</f>
        <v>6.6765044066210955</v>
      </c>
      <c r="O36" s="138">
        <f>O14/Assumptions!H$21</f>
        <v>14.595581028404371</v>
      </c>
      <c r="P36" s="157">
        <f>P14/Assumptions!J$21</f>
        <v>20.597173246480718</v>
      </c>
      <c r="Q36" s="157">
        <f>Q14/Assumptions!K$21</f>
        <v>15.856512754082353</v>
      </c>
      <c r="R36" s="157">
        <f>R14/Assumptions!L$21</f>
        <v>15.187438815040187</v>
      </c>
      <c r="S36" s="157">
        <f>S14/Assumptions!M$21</f>
        <v>13.361012330083627</v>
      </c>
      <c r="T36" s="157">
        <f>T14/Assumptions!N$21</f>
        <v>10.6662474346164</v>
      </c>
      <c r="U36" s="138">
        <f t="shared" si="12"/>
        <v>0</v>
      </c>
      <c r="V36" s="157">
        <f t="shared" si="13"/>
        <v>75.668384580303282</v>
      </c>
    </row>
    <row r="37" spans="13:22">
      <c r="M37" s="130" t="s">
        <v>9</v>
      </c>
      <c r="N37" s="138">
        <f>N15/Assumptions!G$21</f>
        <v>7.5990782912310673</v>
      </c>
      <c r="O37" s="138">
        <f>O15/Assumptions!H$21</f>
        <v>15.348953923201746</v>
      </c>
      <c r="P37" s="157">
        <f>P15/Assumptions!J$21</f>
        <v>10.228928121463106</v>
      </c>
      <c r="Q37" s="157">
        <f>Q15/Assumptions!K$21</f>
        <v>12.792081101440491</v>
      </c>
      <c r="R37" s="157">
        <f>R15/Assumptions!L$21</f>
        <v>15.514469173923729</v>
      </c>
      <c r="S37" s="157">
        <f>S15/Assumptions!M$21</f>
        <v>13.83344450397221</v>
      </c>
      <c r="T37" s="157">
        <f>T15/Assumptions!N$21</f>
        <v>10.171862079157798</v>
      </c>
      <c r="U37" s="138">
        <f t="shared" si="12"/>
        <v>0</v>
      </c>
      <c r="V37" s="157">
        <f t="shared" si="13"/>
        <v>62.540784979957337</v>
      </c>
    </row>
    <row r="38" spans="13:22">
      <c r="M38" s="130" t="s">
        <v>147</v>
      </c>
      <c r="N38" s="138">
        <f>N16/Assumptions!G$21</f>
        <v>0</v>
      </c>
      <c r="O38" s="138">
        <f>O16/Assumptions!H$21</f>
        <v>0</v>
      </c>
      <c r="P38" s="157">
        <f>P16/Assumptions!J$21</f>
        <v>0</v>
      </c>
      <c r="Q38" s="157">
        <f>Q16/Assumptions!K$21</f>
        <v>0</v>
      </c>
      <c r="R38" s="157">
        <f>R16/Assumptions!L$21</f>
        <v>0</v>
      </c>
      <c r="S38" s="157">
        <f>S16/Assumptions!M$21</f>
        <v>0</v>
      </c>
      <c r="T38" s="157">
        <f>T16/Assumptions!N$21</f>
        <v>0</v>
      </c>
      <c r="U38" s="138"/>
      <c r="V38" s="157"/>
    </row>
    <row r="39" spans="13:22">
      <c r="M39" s="130" t="s">
        <v>36</v>
      </c>
      <c r="N39" s="138">
        <f>N17/Assumptions!G$21</f>
        <v>32.90870454777221</v>
      </c>
      <c r="O39" s="138">
        <f>O17/Assumptions!H$21</f>
        <v>19.488253484733754</v>
      </c>
      <c r="P39" s="157">
        <f>P17/Assumptions!J$21</f>
        <v>24.309426593474164</v>
      </c>
      <c r="Q39" s="157">
        <f>Q17/Assumptions!K$21</f>
        <v>22.542687740109383</v>
      </c>
      <c r="R39" s="157">
        <f>R17/Assumptions!L$21</f>
        <v>14.155285201978488</v>
      </c>
      <c r="S39" s="157">
        <f>S17/Assumptions!M$21</f>
        <v>11.942241539603696</v>
      </c>
      <c r="T39" s="157">
        <f>T17/Assumptions!N$21</f>
        <v>10.41015163938923</v>
      </c>
      <c r="U39" s="138">
        <f t="shared" ref="U39:U44" si="14">U17/1000</f>
        <v>0</v>
      </c>
      <c r="V39" s="157">
        <f t="shared" ref="V39:V44" si="15">SUM(P39:T39)</f>
        <v>83.359792714554956</v>
      </c>
    </row>
    <row r="40" spans="13:22">
      <c r="M40" s="130" t="s">
        <v>52</v>
      </c>
      <c r="N40" s="138">
        <f>N18/Assumptions!G$21</f>
        <v>1.3747690869274807</v>
      </c>
      <c r="O40" s="138">
        <f>O18/Assumptions!H$21</f>
        <v>0.89180710357048498</v>
      </c>
      <c r="P40" s="157">
        <f>P18/Assumptions!J$21</f>
        <v>1.9651514648067783</v>
      </c>
      <c r="Q40" s="157">
        <f>Q18/Assumptions!K$21</f>
        <v>1.5878826127056123</v>
      </c>
      <c r="R40" s="157">
        <f>R18/Assumptions!L$21</f>
        <v>2.2545554850944822</v>
      </c>
      <c r="S40" s="157">
        <f>S18/Assumptions!M$21</f>
        <v>1.9503444460968749</v>
      </c>
      <c r="T40" s="157">
        <f>T18/Assumptions!N$21</f>
        <v>2.009388537815187</v>
      </c>
      <c r="U40" s="138">
        <f t="shared" si="14"/>
        <v>0</v>
      </c>
      <c r="V40" s="157">
        <f t="shared" si="15"/>
        <v>9.7673225465189351</v>
      </c>
    </row>
    <row r="41" spans="13:22">
      <c r="M41" s="130" t="s">
        <v>320</v>
      </c>
      <c r="N41" s="138">
        <f>N19/Assumptions!G$21</f>
        <v>2.0243370101221259</v>
      </c>
      <c r="O41" s="138">
        <f>O19/Assumptions!H$21</f>
        <v>2.5827785121314366</v>
      </c>
      <c r="P41" s="157">
        <f>P19/Assumptions!J$21</f>
        <v>2.9865157191295917</v>
      </c>
      <c r="Q41" s="157">
        <f>Q19/Assumptions!K$21</f>
        <v>3.0752618812393289</v>
      </c>
      <c r="R41" s="157">
        <f>R19/Assumptions!L$21</f>
        <v>3.1662196936985723</v>
      </c>
      <c r="S41" s="157">
        <f>S19/Assumptions!M$21</f>
        <v>3.2615229531547243</v>
      </c>
      <c r="T41" s="157">
        <f>T19/Assumptions!N$21</f>
        <v>3.3602612353965275</v>
      </c>
      <c r="U41" s="138">
        <f t="shared" si="14"/>
        <v>0</v>
      </c>
      <c r="V41" s="157">
        <f t="shared" si="15"/>
        <v>15.849781482618745</v>
      </c>
    </row>
    <row r="42" spans="13:22">
      <c r="M42" s="132" t="s">
        <v>53</v>
      </c>
      <c r="N42" s="138">
        <f>N20/Assumptions!G$21</f>
        <v>2.7199622810353046</v>
      </c>
      <c r="O42" s="138">
        <f>O20/Assumptions!H$21</f>
        <v>0.52905572927433209</v>
      </c>
      <c r="P42" s="157">
        <f>P20/Assumptions!J$21</f>
        <v>0.22409094198071414</v>
      </c>
      <c r="Q42" s="157">
        <f>Q20/Assumptions!K$21</f>
        <v>0.6228081793481709</v>
      </c>
      <c r="R42" s="157">
        <f>R20/Assumptions!L$21</f>
        <v>0.10233566418579729</v>
      </c>
      <c r="S42" s="157">
        <f>S20/Assumptions!M$21</f>
        <v>0.23154746888431388</v>
      </c>
      <c r="T42" s="157">
        <f>T20/Assumptions!N$21</f>
        <v>1.1592630519098677</v>
      </c>
      <c r="U42" s="138">
        <f t="shared" si="14"/>
        <v>0</v>
      </c>
      <c r="V42" s="157">
        <f t="shared" si="15"/>
        <v>2.340045306308864</v>
      </c>
    </row>
    <row r="43" spans="13:22">
      <c r="M43" s="132" t="s">
        <v>11</v>
      </c>
      <c r="N43" s="138">
        <f>N21/Assumptions!G$21</f>
        <v>0</v>
      </c>
      <c r="O43" s="138">
        <f>O21/Assumptions!H$21</f>
        <v>0</v>
      </c>
      <c r="P43" s="157">
        <f>P21/Assumptions!J$21</f>
        <v>0</v>
      </c>
      <c r="Q43" s="157">
        <f>Q21/Assumptions!K$21</f>
        <v>0</v>
      </c>
      <c r="R43" s="157">
        <f>R21/Assumptions!L$21</f>
        <v>0</v>
      </c>
      <c r="S43" s="157">
        <f>S21/Assumptions!M$21</f>
        <v>0</v>
      </c>
      <c r="T43" s="157">
        <f>T21/Assumptions!N$21</f>
        <v>0</v>
      </c>
      <c r="U43" s="138">
        <f t="shared" si="14"/>
        <v>0</v>
      </c>
      <c r="V43" s="157">
        <f t="shared" si="15"/>
        <v>0</v>
      </c>
    </row>
    <row r="44" spans="13:22">
      <c r="M44" s="151" t="s">
        <v>12</v>
      </c>
      <c r="N44" s="153">
        <f>N22/Assumptions!G$21</f>
        <v>0</v>
      </c>
      <c r="O44" s="153">
        <f>O22/Assumptions!H$21</f>
        <v>0</v>
      </c>
      <c r="P44" s="159">
        <f>P22/Assumptions!J$21</f>
        <v>0</v>
      </c>
      <c r="Q44" s="159">
        <f>Q22/Assumptions!K$21</f>
        <v>0</v>
      </c>
      <c r="R44" s="159">
        <f>R22/Assumptions!L$21</f>
        <v>0</v>
      </c>
      <c r="S44" s="159">
        <f>S22/Assumptions!M$21</f>
        <v>0</v>
      </c>
      <c r="T44" s="159">
        <f>T22/Assumptions!N$21</f>
        <v>0</v>
      </c>
      <c r="U44" s="153">
        <f t="shared" si="14"/>
        <v>0</v>
      </c>
      <c r="V44" s="159">
        <f t="shared" si="15"/>
        <v>0</v>
      </c>
    </row>
    <row r="45" spans="13:22">
      <c r="M45" s="155" t="s">
        <v>37</v>
      </c>
      <c r="N45" s="146">
        <f t="shared" ref="N45:V45" si="16">SUM(N31:N44)</f>
        <v>182.88144146414959</v>
      </c>
      <c r="O45" s="146">
        <f t="shared" si="16"/>
        <v>177.53553380805241</v>
      </c>
      <c r="P45" s="160">
        <f t="shared" si="16"/>
        <v>191.70147453186823</v>
      </c>
      <c r="Q45" s="160">
        <f t="shared" si="16"/>
        <v>143.24994417588127</v>
      </c>
      <c r="R45" s="160">
        <f t="shared" si="16"/>
        <v>122.21171709241685</v>
      </c>
      <c r="S45" s="160">
        <f t="shared" si="16"/>
        <v>119.76917103378369</v>
      </c>
      <c r="T45" s="160">
        <f t="shared" si="16"/>
        <v>100.8972286103741</v>
      </c>
      <c r="U45" s="146">
        <f t="shared" si="16"/>
        <v>0</v>
      </c>
      <c r="V45" s="161">
        <f t="shared" si="16"/>
        <v>677.82953544432416</v>
      </c>
    </row>
  </sheetData>
  <mergeCells count="3">
    <mergeCell ref="P6:T6"/>
    <mergeCell ref="E6:I6"/>
    <mergeCell ref="P28:T28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&amp;L&amp;D&amp;R&amp;F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V33"/>
  <sheetViews>
    <sheetView topLeftCell="E2" workbookViewId="0">
      <selection activeCell="U17" sqref="U17"/>
    </sheetView>
  </sheetViews>
  <sheetFormatPr defaultRowHeight="15" outlineLevelCol="1"/>
  <cols>
    <col min="1" max="1" width="9.140625" style="47"/>
    <col min="2" max="2" width="36.42578125" style="47" customWidth="1"/>
    <col min="3" max="9" width="9" style="47" bestFit="1" customWidth="1"/>
    <col min="10" max="10" width="10.28515625" style="47" hidden="1" customWidth="1" outlineLevel="1"/>
    <col min="11" max="11" width="10.28515625" style="47" customWidth="1" collapsed="1"/>
    <col min="12" max="12" width="8.42578125" style="43" customWidth="1"/>
    <col min="13" max="13" width="32.140625" style="47" bestFit="1" customWidth="1"/>
    <col min="14" max="20" width="9.140625" style="47"/>
    <col min="21" max="21" width="0" style="47" hidden="1" customWidth="1" outlineLevel="1"/>
    <col min="22" max="22" width="9.140625" style="47" collapsed="1"/>
    <col min="23" max="16384" width="9.140625" style="47"/>
  </cols>
  <sheetData>
    <row r="1" spans="2:22">
      <c r="B1" s="483" t="s">
        <v>290</v>
      </c>
    </row>
    <row r="2" spans="2:22">
      <c r="B2" s="483"/>
    </row>
    <row r="3" spans="2:22" ht="15.75">
      <c r="B3" s="939" t="s">
        <v>479</v>
      </c>
    </row>
    <row r="4" spans="2:22">
      <c r="B4" s="126"/>
      <c r="E4" s="179"/>
      <c r="F4" s="180"/>
      <c r="H4" s="190"/>
      <c r="N4" s="136" t="s">
        <v>126</v>
      </c>
      <c r="P4" s="571">
        <f>E_factor</f>
        <v>0</v>
      </c>
    </row>
    <row r="5" spans="2:22" ht="15" customHeight="1">
      <c r="B5" s="143" t="s">
        <v>225</v>
      </c>
      <c r="E5" s="179"/>
      <c r="F5" s="180"/>
      <c r="H5" s="199"/>
      <c r="M5" s="143" t="s">
        <v>226</v>
      </c>
    </row>
    <row r="6" spans="2:22">
      <c r="B6" s="910" t="s">
        <v>245</v>
      </c>
      <c r="E6" s="1016" t="s">
        <v>482</v>
      </c>
      <c r="F6" s="1017"/>
      <c r="G6" s="1017"/>
      <c r="H6" s="1017"/>
      <c r="I6" s="1018"/>
      <c r="K6" s="139"/>
      <c r="M6" s="903" t="s">
        <v>438</v>
      </c>
      <c r="P6" s="1016" t="s">
        <v>482</v>
      </c>
      <c r="Q6" s="1017"/>
      <c r="R6" s="1017"/>
      <c r="S6" s="1017"/>
      <c r="T6" s="1018"/>
      <c r="V6" s="139"/>
    </row>
    <row r="7" spans="2:22">
      <c r="B7" s="900"/>
      <c r="C7" s="184" t="s">
        <v>72</v>
      </c>
      <c r="D7" s="184" t="s">
        <v>73</v>
      </c>
      <c r="E7" s="184" t="s">
        <v>74</v>
      </c>
      <c r="F7" s="184" t="s">
        <v>75</v>
      </c>
      <c r="G7" s="184" t="s">
        <v>76</v>
      </c>
      <c r="H7" s="184" t="s">
        <v>77</v>
      </c>
      <c r="I7" s="184" t="s">
        <v>78</v>
      </c>
      <c r="J7" s="184" t="s">
        <v>79</v>
      </c>
      <c r="K7" s="140" t="s">
        <v>35</v>
      </c>
      <c r="M7" s="900"/>
      <c r="N7" s="184" t="s">
        <v>72</v>
      </c>
      <c r="O7" s="184" t="s">
        <v>73</v>
      </c>
      <c r="P7" s="184" t="s">
        <v>74</v>
      </c>
      <c r="Q7" s="184" t="s">
        <v>75</v>
      </c>
      <c r="R7" s="184" t="s">
        <v>76</v>
      </c>
      <c r="S7" s="184" t="s">
        <v>77</v>
      </c>
      <c r="T7" s="184" t="s">
        <v>78</v>
      </c>
      <c r="U7" s="184" t="s">
        <v>79</v>
      </c>
      <c r="V7" s="140" t="s">
        <v>35</v>
      </c>
    </row>
    <row r="8" spans="2:22">
      <c r="B8" s="901" t="s">
        <v>202</v>
      </c>
      <c r="C8" s="142" t="s">
        <v>56</v>
      </c>
      <c r="D8" s="142" t="s">
        <v>55</v>
      </c>
      <c r="E8" s="142" t="s">
        <v>38</v>
      </c>
      <c r="F8" s="142" t="s">
        <v>39</v>
      </c>
      <c r="G8" s="142" t="s">
        <v>40</v>
      </c>
      <c r="H8" s="142" t="s">
        <v>123</v>
      </c>
      <c r="I8" s="142" t="s">
        <v>124</v>
      </c>
      <c r="J8" s="142" t="s">
        <v>125</v>
      </c>
      <c r="K8" s="185"/>
      <c r="L8" s="181"/>
      <c r="M8" s="901" t="s">
        <v>202</v>
      </c>
      <c r="N8" s="142" t="s">
        <v>56</v>
      </c>
      <c r="O8" s="142" t="s">
        <v>55</v>
      </c>
      <c r="P8" s="142" t="s">
        <v>38</v>
      </c>
      <c r="Q8" s="142" t="s">
        <v>39</v>
      </c>
      <c r="R8" s="142" t="s">
        <v>40</v>
      </c>
      <c r="S8" s="142" t="s">
        <v>123</v>
      </c>
      <c r="T8" s="142" t="s">
        <v>124</v>
      </c>
      <c r="U8" s="142" t="s">
        <v>125</v>
      </c>
      <c r="V8" s="185"/>
    </row>
    <row r="9" spans="2:22">
      <c r="B9" s="80" t="s">
        <v>292</v>
      </c>
      <c r="C9" s="131">
        <f>((Proj_1!$D$7=$B9)*Proj_1!G$95)+((Proj_2!$D$7=$B9)*Proj_2!G$95)+((Proj_3!$D$7=$B9)*Proj_3!G$95)+((Proj_4!$D$7=$B9)*Proj_4!G$95)+((Proj_5!$D$7=$B9)*Proj_5!G$95)+((Proj_6!$D$7=$B9)*Proj_6!G$95)+((Proj_7!$D$7=$B9)*Proj_7!G$95)+((Proj_8!$D$7=$B9)*Proj_8!G$95)+((Proj_9!$D$7=$B9)*Proj_9!G$95)+((Proj_10!$D$7=$B9)*Proj_10!G$95)+((Proj_11!$D$7=$B9)*Proj_11!G$95)+((Proj_12!$D$7=$B9)*Proj_12!G$95)+((Proj_13!$D$7=$B9)*Proj_13!G$95)+((Proj_14!$D$7=$B9)*Proj_14!G$95)+((Proj_15!$D$7=$B9)*Proj_15!G$95)+((Proj_16!$D$7=$B9)*Proj_16!G$95)+((Proj_17!$D$7=$B9)*Proj_17!G$95)+((Proj_18!$D$7=$B9)*Proj_18!G$95)+((Proj_19!$D$7=$B9)*Proj_19!G$95)+((Proj_20!$D$7=$B9)*Proj_20!G$95)+((Proj_21!$D$7=$B9)*Proj_21!G$95)+((Proj_22!$D$7=$B9)*Proj_22!G$95)+((Proj_23!$D$7=$B9)*Proj_23!G$95)+((Proj_24!$D$7=$B9)*Proj_24!G$95)+((Proj_25!$D$7=$B9)*Proj_25!G$95)+((Proj_26!$D$7=$B9)*Proj_26!G$95)+((Proj_27!$D$7=$B9)*Proj_27!G$95)+((Proj_28!$D$7=$B9)*Proj_28!G$95)+((Proj_29!$D$7=$B9)*Proj_29!G$95)+((Proj_30!$D$7=$B9)*Proj_30!G$95)+((Proj_31!$D$7=$B9)*Proj_31!G$95)+((Proj_32!$D$7=$B9)*Proj_32!G$95)+((Proj_33!$D$7=$B9)*Proj_33!G$95)+((Proj_34!$D$7=$B9)*Proj_34!G$95)+((Proj_35!$D$7=$B9)*Proj_35!G$95)+((Proj_36!$D$7=$B9)*Proj_36!G$95)+((Proj_37!$D$7=$B9)*Proj_37!G$95)+((Proj_38!$D$7=$B9)*Proj_38!G$95)+((Proj_39!$D$7=$B9)*Proj_39!G$95)+((Proj_40!$D$7=$B9)*Proj_40!G$95)+((Proj_41!$D$7=$B9)*Proj_41!G$95)+((Proj_42!$D$7=$B9)*Proj_42!G$95)+((Proj_43!$D$7=$B9)*Proj_43!G$95)+((Proj_44!$D$7=$B9)*Proj_44!G$95)+((Proj_45!$D$7=$B9)*Proj_45!G$95)+((Proj_46!$D$7=$B9)*Proj_46!G$95)</f>
        <v>39085.332339972949</v>
      </c>
      <c r="D9" s="131">
        <f>((Proj_1!$D$7=$B9)*Proj_1!H$95)+((Proj_2!$D$7=$B9)*Proj_2!H$95)+((Proj_3!$D$7=$B9)*Proj_3!H$95)+((Proj_4!$D$7=$B9)*Proj_4!H$95)+((Proj_5!$D$7=$B9)*Proj_5!H$95)+((Proj_6!$D$7=$B9)*Proj_6!H$95)+((Proj_7!$D$7=$B9)*Proj_7!H$95)+((Proj_8!$D$7=$B9)*Proj_8!H$95)+((Proj_9!$D$7=$B9)*Proj_9!H$95)+((Proj_10!$D$7=$B9)*Proj_10!H$95)+((Proj_11!$D$7=$B9)*Proj_11!H$95)+((Proj_12!$D$7=$B9)*Proj_12!H$95)+((Proj_13!$D$7=$B9)*Proj_13!H$95)+((Proj_14!$D$7=$B9)*Proj_14!H$95)+((Proj_15!$D$7=$B9)*Proj_15!H$95)+((Proj_16!$D$7=$B9)*Proj_16!H$95)+((Proj_17!$D$7=$B9)*Proj_17!H$95)+((Proj_18!$D$7=$B9)*Proj_18!H$95)+((Proj_19!$D$7=$B9)*Proj_19!H$95)+((Proj_20!$D$7=$B9)*Proj_20!H$95)+((Proj_21!$D$7=$B9)*Proj_21!H$95)+((Proj_22!$D$7=$B9)*Proj_22!H$95)+((Proj_23!$D$7=$B9)*Proj_23!H$95)+((Proj_24!$D$7=$B9)*Proj_24!H$95)+((Proj_25!$D$7=$B9)*Proj_25!H$95)+((Proj_26!$D$7=$B9)*Proj_26!H$95)+((Proj_27!$D$7=$B9)*Proj_27!H$95)+((Proj_28!$D$7=$B9)*Proj_28!H$95)+((Proj_29!$D$7=$B9)*Proj_29!H$95)+((Proj_30!$D$7=$B9)*Proj_30!H$95)+((Proj_31!$D$7=$B9)*Proj_31!H$95)+((Proj_32!$D$7=$B9)*Proj_32!H$95)+((Proj_33!$D$7=$B9)*Proj_33!H$95)+((Proj_34!$D$7=$B9)*Proj_34!H$95)+((Proj_35!$D$7=$B9)*Proj_35!H$95)+((Proj_36!$D$7=$B9)*Proj_36!H$95)+((Proj_37!$D$7=$B9)*Proj_37!H$95)+((Proj_38!$D$7=$B9)*Proj_38!H$95)+((Proj_39!$D$7=$B9)*Proj_39!H$95)+((Proj_40!$D$7=$B9)*Proj_40!H$95)+((Proj_41!$D$7=$B9)*Proj_41!H$95)+((Proj_42!$D$7=$B9)*Proj_42!H$95)+((Proj_43!$D$7=$B9)*Proj_43!H$95)+((Proj_44!$D$7=$B9)*Proj_44!H$95)+((Proj_45!$D$7=$B9)*Proj_45!H$95)+((Proj_46!$D$7=$B9)*Proj_46!H$95)</f>
        <v>39349.045692296466</v>
      </c>
      <c r="E9" s="193">
        <f>((Proj_1!$D$7=$B9)*Proj_1!I$95)+((Proj_2!$D$7=$B9)*Proj_2!I$95)+((Proj_3!$D$7=$B9)*Proj_3!I$95)+((Proj_4!$D$7=$B9)*Proj_4!I$95)+((Proj_5!$D$7=$B9)*Proj_5!I$95)+((Proj_6!$D$7=$B9)*Proj_6!I$95)+((Proj_7!$D$7=$B9)*Proj_7!I$95)+((Proj_8!$D$7=$B9)*Proj_8!I$95)+((Proj_9!$D$7=$B9)*Proj_9!I$95)+((Proj_10!$D$7=$B9)*Proj_10!I$95)+((Proj_11!$D$7=$B9)*Proj_11!I$95)+((Proj_12!$D$7=$B9)*Proj_12!I$95)+((Proj_13!$D$7=$B9)*Proj_13!I$95)+((Proj_14!$D$7=$B9)*Proj_14!I$95)+((Proj_15!$D$7=$B9)*Proj_15!I$95)+((Proj_16!$D$7=$B9)*Proj_16!I$95)+((Proj_17!$D$7=$B9)*Proj_17!I$95)+((Proj_18!$D$7=$B9)*Proj_18!I$95)+((Proj_19!$D$7=$B9)*Proj_19!I$95)+((Proj_20!$D$7=$B9)*Proj_20!I$95)+((Proj_21!$D$7=$B9)*Proj_21!I$95)+((Proj_22!$D$7=$B9)*Proj_22!I$95)+((Proj_23!$D$7=$B9)*Proj_23!I$95)+((Proj_24!$D$7=$B9)*Proj_24!I$95)+((Proj_25!$D$7=$B9)*Proj_25!I$95)+((Proj_26!$D$7=$B9)*Proj_26!I$95)+((Proj_27!$D$7=$B9)*Proj_27!I$95)+((Proj_28!$D$7=$B9)*Proj_28!I$95)+((Proj_29!$D$7=$B9)*Proj_29!I$95)+((Proj_30!$D$7=$B9)*Proj_30!I$95)+((Proj_31!$D$7=$B9)*Proj_31!I$95)+((Proj_32!$D$7=$B9)*Proj_32!I$95)+((Proj_33!$D$7=$B9)*Proj_33!I$95)+((Proj_34!$D$7=$B9)*Proj_34!I$95)+((Proj_35!$D$7=$B9)*Proj_35!I$95)+((Proj_36!$D$7=$B9)*Proj_36!I$95)+((Proj_37!$D$7=$B9)*Proj_37!I$95)+((Proj_38!$D$7=$B9)*Proj_38!I$95)+((Proj_39!$D$7=$B9)*Proj_39!I$95)+((Proj_40!$D$7=$B9)*Proj_40!I$95)+((Proj_41!$D$7=$B9)*Proj_41!I$95)+((Proj_42!$D$7=$B9)*Proj_42!I$95)+((Proj_43!$D$7=$B9)*Proj_43!I$95)+((Proj_44!$D$7=$B9)*Proj_44!I$95)+((Proj_45!$D$7=$B9)*Proj_45!I$95)+((Proj_46!$D$7=$B9)*Proj_46!I$95)</f>
        <v>48091.126489090966</v>
      </c>
      <c r="F9" s="193">
        <f>((Proj_1!$D$7=$B9)*Proj_1!J$95)+((Proj_2!$D$7=$B9)*Proj_2!J$95)+((Proj_3!$D$7=$B9)*Proj_3!J$95)+((Proj_4!$D$7=$B9)*Proj_4!J$95)+((Proj_5!$D$7=$B9)*Proj_5!J$95)+((Proj_6!$D$7=$B9)*Proj_6!J$95)+((Proj_7!$D$7=$B9)*Proj_7!J$95)+((Proj_8!$D$7=$B9)*Proj_8!J$95)+((Proj_9!$D$7=$B9)*Proj_9!J$95)+((Proj_10!$D$7=$B9)*Proj_10!J$95)+((Proj_11!$D$7=$B9)*Proj_11!J$95)+((Proj_12!$D$7=$B9)*Proj_12!J$95)+((Proj_13!$D$7=$B9)*Proj_13!J$95)+((Proj_14!$D$7=$B9)*Proj_14!J$95)+((Proj_15!$D$7=$B9)*Proj_15!J$95)+((Proj_16!$D$7=$B9)*Proj_16!J$95)+((Proj_17!$D$7=$B9)*Proj_17!J$95)+((Proj_18!$D$7=$B9)*Proj_18!J$95)+((Proj_19!$D$7=$B9)*Proj_19!J$95)+((Proj_20!$D$7=$B9)*Proj_20!J$95)+((Proj_21!$D$7=$B9)*Proj_21!J$95)+((Proj_22!$D$7=$B9)*Proj_22!J$95)+((Proj_23!$D$7=$B9)*Proj_23!J$95)+((Proj_24!$D$7=$B9)*Proj_24!J$95)+((Proj_25!$D$7=$B9)*Proj_25!J$95)+((Proj_26!$D$7=$B9)*Proj_26!J$95)+((Proj_27!$D$7=$B9)*Proj_27!J$95)+((Proj_28!$D$7=$B9)*Proj_28!J$95)+((Proj_29!$D$7=$B9)*Proj_29!J$95)+((Proj_30!$D$7=$B9)*Proj_30!J$95)+((Proj_31!$D$7=$B9)*Proj_31!J$95)+((Proj_32!$D$7=$B9)*Proj_32!J$95)+((Proj_33!$D$7=$B9)*Proj_33!J$95)+((Proj_34!$D$7=$B9)*Proj_34!J$95)+((Proj_35!$D$7=$B9)*Proj_35!J$95)+((Proj_36!$D$7=$B9)*Proj_36!J$95)+((Proj_37!$D$7=$B9)*Proj_37!J$95)+((Proj_38!$D$7=$B9)*Proj_38!J$95)+((Proj_39!$D$7=$B9)*Proj_39!J$95)+((Proj_40!$D$7=$B9)*Proj_40!J$95)+((Proj_41!$D$7=$B9)*Proj_41!J$95)+((Proj_42!$D$7=$B9)*Proj_42!J$95)+((Proj_43!$D$7=$B9)*Proj_43!J$95)+((Proj_44!$D$7=$B9)*Proj_44!J$95)+((Proj_45!$D$7=$B9)*Proj_45!J$95)+((Proj_46!$D$7=$B9)*Proj_46!J$95)</f>
        <v>25080.661597137379</v>
      </c>
      <c r="G9" s="193">
        <f>((Proj_1!$D$7=$B9)*Proj_1!K$95)+((Proj_2!$D$7=$B9)*Proj_2!K$95)+((Proj_3!$D$7=$B9)*Proj_3!K$95)+((Proj_4!$D$7=$B9)*Proj_4!K$95)+((Proj_5!$D$7=$B9)*Proj_5!K$95)+((Proj_6!$D$7=$B9)*Proj_6!K$95)+((Proj_7!$D$7=$B9)*Proj_7!K$95)+((Proj_8!$D$7=$B9)*Proj_8!K$95)+((Proj_9!$D$7=$B9)*Proj_9!K$95)+((Proj_10!$D$7=$B9)*Proj_10!K$95)+((Proj_11!$D$7=$B9)*Proj_11!K$95)+((Proj_12!$D$7=$B9)*Proj_12!K$95)+((Proj_13!$D$7=$B9)*Proj_13!K$95)+((Proj_14!$D$7=$B9)*Proj_14!K$95)+((Proj_15!$D$7=$B9)*Proj_15!K$95)+((Proj_16!$D$7=$B9)*Proj_16!K$95)+((Proj_17!$D$7=$B9)*Proj_17!K$95)+((Proj_18!$D$7=$B9)*Proj_18!K$95)+((Proj_19!$D$7=$B9)*Proj_19!K$95)+((Proj_20!$D$7=$B9)*Proj_20!K$95)+((Proj_21!$D$7=$B9)*Proj_21!K$95)+((Proj_22!$D$7=$B9)*Proj_22!K$95)+((Proj_23!$D$7=$B9)*Proj_23!K$95)+((Proj_24!$D$7=$B9)*Proj_24!K$95)+((Proj_25!$D$7=$B9)*Proj_25!K$95)+((Proj_26!$D$7=$B9)*Proj_26!K$95)+((Proj_27!$D$7=$B9)*Proj_27!K$95)+((Proj_28!$D$7=$B9)*Proj_28!K$95)+((Proj_29!$D$7=$B9)*Proj_29!K$95)+((Proj_30!$D$7=$B9)*Proj_30!K$95)+((Proj_31!$D$7=$B9)*Proj_31!K$95)+((Proj_32!$D$7=$B9)*Proj_32!K$95)+((Proj_33!$D$7=$B9)*Proj_33!K$95)+((Proj_34!$D$7=$B9)*Proj_34!K$95)+((Proj_35!$D$7=$B9)*Proj_35!K$95)+((Proj_36!$D$7=$B9)*Proj_36!K$95)+((Proj_37!$D$7=$B9)*Proj_37!K$95)+((Proj_38!$D$7=$B9)*Proj_38!K$95)+((Proj_39!$D$7=$B9)*Proj_39!K$95)+((Proj_40!$D$7=$B9)*Proj_40!K$95)+((Proj_41!$D$7=$B9)*Proj_41!K$95)+((Proj_42!$D$7=$B9)*Proj_42!K$95)+((Proj_43!$D$7=$B9)*Proj_43!K$95)+((Proj_44!$D$7=$B9)*Proj_44!K$95)+((Proj_45!$D$7=$B9)*Proj_45!K$95)+((Proj_46!$D$7=$B9)*Proj_46!K$95)</f>
        <v>26223.522499901072</v>
      </c>
      <c r="H9" s="193">
        <f>((Proj_1!$D$7=$B9)*Proj_1!L$95)+((Proj_2!$D$7=$B9)*Proj_2!L$95)+((Proj_3!$D$7=$B9)*Proj_3!L$95)+((Proj_4!$D$7=$B9)*Proj_4!L$95)+((Proj_5!$D$7=$B9)*Proj_5!L$95)+((Proj_6!$D$7=$B9)*Proj_6!L$95)+((Proj_7!$D$7=$B9)*Proj_7!L$95)+((Proj_8!$D$7=$B9)*Proj_8!L$95)+((Proj_9!$D$7=$B9)*Proj_9!L$95)+((Proj_10!$D$7=$B9)*Proj_10!L$95)+((Proj_11!$D$7=$B9)*Proj_11!L$95)+((Proj_12!$D$7=$B9)*Proj_12!L$95)+((Proj_13!$D$7=$B9)*Proj_13!L$95)+((Proj_14!$D$7=$B9)*Proj_14!L$95)+((Proj_15!$D$7=$B9)*Proj_15!L$95)+((Proj_16!$D$7=$B9)*Proj_16!L$95)+((Proj_17!$D$7=$B9)*Proj_17!L$95)+((Proj_18!$D$7=$B9)*Proj_18!L$95)+((Proj_19!$D$7=$B9)*Proj_19!L$95)+((Proj_20!$D$7=$B9)*Proj_20!L$95)+((Proj_21!$D$7=$B9)*Proj_21!L$95)+((Proj_22!$D$7=$B9)*Proj_22!L$95)+((Proj_23!$D$7=$B9)*Proj_23!L$95)+((Proj_24!$D$7=$B9)*Proj_24!L$95)+((Proj_25!$D$7=$B9)*Proj_25!L$95)+((Proj_26!$D$7=$B9)*Proj_26!L$95)+((Proj_27!$D$7=$B9)*Proj_27!L$95)+((Proj_28!$D$7=$B9)*Proj_28!L$95)+((Proj_29!$D$7=$B9)*Proj_29!L$95)+((Proj_30!$D$7=$B9)*Proj_30!L$95)+((Proj_31!$D$7=$B9)*Proj_31!L$95)+((Proj_32!$D$7=$B9)*Proj_32!L$95)+((Proj_33!$D$7=$B9)*Proj_33!L$95)+((Proj_34!$D$7=$B9)*Proj_34!L$95)+((Proj_35!$D$7=$B9)*Proj_35!L$95)+((Proj_36!$D$7=$B9)*Proj_36!L$95)+((Proj_37!$D$7=$B9)*Proj_37!L$95)+((Proj_38!$D$7=$B9)*Proj_38!L$95)+((Proj_39!$D$7=$B9)*Proj_39!L$95)+((Proj_40!$D$7=$B9)*Proj_40!L$95)+((Proj_41!$D$7=$B9)*Proj_41!L$95)+((Proj_42!$D$7=$B9)*Proj_42!L$95)+((Proj_43!$D$7=$B9)*Proj_43!L$95)+((Proj_44!$D$7=$B9)*Proj_44!L$95)+((Proj_45!$D$7=$B9)*Proj_45!L$95)+((Proj_46!$D$7=$B9)*Proj_46!L$95)</f>
        <v>11488.446545887742</v>
      </c>
      <c r="I9" s="193">
        <f>((Proj_1!$D$7=$B9)*Proj_1!M$95)+((Proj_2!$D$7=$B9)*Proj_2!M$95)+((Proj_3!$D$7=$B9)*Proj_3!M$95)+((Proj_4!$D$7=$B9)*Proj_4!M$95)+((Proj_5!$D$7=$B9)*Proj_5!M$95)+((Proj_6!$D$7=$B9)*Proj_6!M$95)+((Proj_7!$D$7=$B9)*Proj_7!M$95)+((Proj_8!$D$7=$B9)*Proj_8!M$95)+((Proj_9!$D$7=$B9)*Proj_9!M$95)+((Proj_10!$D$7=$B9)*Proj_10!M$95)+((Proj_11!$D$7=$B9)*Proj_11!M$95)+((Proj_12!$D$7=$B9)*Proj_12!M$95)+((Proj_13!$D$7=$B9)*Proj_13!M$95)+((Proj_14!$D$7=$B9)*Proj_14!M$95)+((Proj_15!$D$7=$B9)*Proj_15!M$95)+((Proj_16!$D$7=$B9)*Proj_16!M$95)+((Proj_17!$D$7=$B9)*Proj_17!M$95)+((Proj_18!$D$7=$B9)*Proj_18!M$95)+((Proj_19!$D$7=$B9)*Proj_19!M$95)+((Proj_20!$D$7=$B9)*Proj_20!M$95)+((Proj_21!$D$7=$B9)*Proj_21!M$95)+((Proj_22!$D$7=$B9)*Proj_22!M$95)+((Proj_23!$D$7=$B9)*Proj_23!M$95)+((Proj_24!$D$7=$B9)*Proj_24!M$95)+((Proj_25!$D$7=$B9)*Proj_25!M$95)+((Proj_26!$D$7=$B9)*Proj_26!M$95)+((Proj_27!$D$7=$B9)*Proj_27!M$95)+((Proj_28!$D$7=$B9)*Proj_28!M$95)+((Proj_29!$D$7=$B9)*Proj_29!M$95)+((Proj_30!$D$7=$B9)*Proj_30!M$95)+((Proj_31!$D$7=$B9)*Proj_31!M$95)+((Proj_32!$D$7=$B9)*Proj_32!M$95)+((Proj_33!$D$7=$B9)*Proj_33!M$95)+((Proj_34!$D$7=$B9)*Proj_34!M$95)+((Proj_35!$D$7=$B9)*Proj_35!M$95)+((Proj_36!$D$7=$B9)*Proj_36!M$95)+((Proj_37!$D$7=$B9)*Proj_37!M$95)+((Proj_38!$D$7=$B9)*Proj_38!M$95)+((Proj_39!$D$7=$B9)*Proj_39!M$95)+((Proj_40!$D$7=$B9)*Proj_40!M$95)+((Proj_41!$D$7=$B9)*Proj_41!M$95)+((Proj_42!$D$7=$B9)*Proj_42!M$95)+((Proj_43!$D$7=$B9)*Proj_43!M$95)+((Proj_44!$D$7=$B9)*Proj_44!M$95)+((Proj_45!$D$7=$B9)*Proj_45!M$95)+((Proj_46!$D$7=$B9)*Proj_46!M$95)</f>
        <v>5138.0399589738117</v>
      </c>
      <c r="J9" s="131">
        <f>((Proj_1!$D$7=$B9)*Proj_1!N$95)+((Proj_2!$D$7=$B9)*Proj_2!N$95)+((Proj_3!$D$7=$B9)*Proj_3!N$95)+((Proj_4!$D$7=$B9)*Proj_4!N$95)+((Proj_5!$D$7=$B9)*Proj_5!N$95)+((Proj_6!$D$7=$B9)*Proj_6!N$95)+((Proj_7!$D$7=$B9)*Proj_7!N$95)+((Proj_8!$D$7=$B9)*Proj_8!N$95)+((Proj_9!$D$7=$B9)*Proj_9!N$95)+((Proj_10!$D$7=$B9)*Proj_10!N$95)+((Proj_11!$D$7=$B9)*Proj_11!N$95)+((Proj_12!$D$7=$B9)*Proj_12!N$95)+((Proj_13!$D$7=$B9)*Proj_13!N$95)+((Proj_14!$D$7=$B9)*Proj_14!N$95)+((Proj_15!$D$7=$B9)*Proj_15!N$95)+((Proj_16!$D$7=$B9)*Proj_16!N$95)+((Proj_17!$D$7=$B9)*Proj_17!N$95)+((Proj_18!$D$7=$B9)*Proj_18!N$95)+((Proj_19!$D$7=$B9)*Proj_19!N$95)+((Proj_20!$D$7=$B9)*Proj_20!N$95)+((Proj_21!$D$7=$B9)*Proj_21!N$95)+((Proj_22!$D$7=$B9)*Proj_22!N$95)+((Proj_23!$D$7=$B9)*Proj_23!N$95)+((Proj_24!$D$7=$B9)*Proj_24!N$95)+((Proj_25!$D$7=$B9)*Proj_25!N$95)+((Proj_26!$D$7=$B9)*Proj_26!N$95)+((Proj_27!$D$7=$B9)*Proj_27!N$95)+((Proj_28!$D$7=$B9)*Proj_28!N$95)+((Proj_29!$D$7=$B9)*Proj_29!N$95)+((Proj_30!$D$7=$B9)*Proj_30!N$95)+((Proj_31!$D$7=$B9)*Proj_31!N$95)+((Proj_32!$D$7=$B9)*Proj_32!N$95)+((Proj_33!$D$7=$B9)*Proj_33!N$95)+((Proj_34!$D$7=$B9)*Proj_34!N$95)+((Proj_35!$D$7=$B9)*Proj_35!N$95)+((Proj_36!$D$7=$B9)*Proj_36!N$95)+((Proj_37!$D$7=$B9)*Proj_37!N$95)+((Proj_38!$D$7=$B9)*Proj_38!N$95)+((Proj_39!$D$7=$B9)*Proj_39!N$95)+((Proj_40!$D$7=$B9)*Proj_40!N$95)+((Proj_41!$D$7=$B9)*Proj_41!N$95)+((Proj_42!$D$7=$B9)*Proj_42!N$95)+((Proj_43!$D$7=$B9)*Proj_43!N$95)+((Proj_44!$D$7=$B9)*Proj_44!N$95)+((Proj_45!$D$7=$B9)*Proj_45!N$95)+((Proj_46!$D$7=$B9)*Proj_46!N$95)</f>
        <v>0</v>
      </c>
      <c r="K9" s="193">
        <f>SUM(E9:J9)</f>
        <v>116021.79709099096</v>
      </c>
      <c r="M9" s="80" t="s">
        <v>292</v>
      </c>
      <c r="N9" s="144">
        <f t="shared" ref="N9:O16" si="0">C9/Thousands</f>
        <v>39.08533233997295</v>
      </c>
      <c r="O9" s="144">
        <f t="shared" si="0"/>
        <v>39.349045692296464</v>
      </c>
      <c r="P9" s="158">
        <f t="shared" ref="P9:T16" si="1">E9/Thousands*(1-$P$4)</f>
        <v>48.091126489090968</v>
      </c>
      <c r="Q9" s="158">
        <f t="shared" si="1"/>
        <v>25.080661597137379</v>
      </c>
      <c r="R9" s="158">
        <f t="shared" si="1"/>
        <v>26.223522499901073</v>
      </c>
      <c r="S9" s="158">
        <f t="shared" si="1"/>
        <v>11.488446545887742</v>
      </c>
      <c r="T9" s="158">
        <f t="shared" si="1"/>
        <v>5.1380399589738115</v>
      </c>
      <c r="U9" s="144">
        <f t="shared" ref="U9:U16" si="2">J9/Thousands</f>
        <v>0</v>
      </c>
      <c r="V9" s="158">
        <f>SUM(P9:T9)</f>
        <v>116.02179709099097</v>
      </c>
    </row>
    <row r="10" spans="2:22">
      <c r="B10" s="80" t="s">
        <v>67</v>
      </c>
      <c r="C10" s="131">
        <f>((Proj_1!$D$7=$B10)*Proj_1!G$95)+((Proj_2!$D$7=$B10)*Proj_2!G$95)+((Proj_3!$D$7=$B10)*Proj_3!G$95)+((Proj_4!$D$7=$B10)*Proj_4!G$95)+((Proj_5!$D$7=$B10)*Proj_5!G$95)+((Proj_6!$D$7=$B10)*Proj_6!G$95)+((Proj_7!$D$7=$B10)*Proj_7!G$95)+((Proj_8!$D$7=$B10)*Proj_8!G$95)+((Proj_9!$D$7=$B10)*Proj_9!G$95)+((Proj_10!$D$7=$B10)*Proj_10!G$95)+((Proj_11!$D$7=$B10)*Proj_11!G$95)+((Proj_12!$D$7=$B10)*Proj_12!G$95)+((Proj_13!$D$7=$B10)*Proj_13!G$95)+((Proj_14!$D$7=$B10)*Proj_14!G$95)+((Proj_15!$D$7=$B10)*Proj_15!G$95)+((Proj_16!$D$7=$B10)*Proj_16!G$95)+((Proj_17!$D$7=$B10)*Proj_17!G$95)+((Proj_18!$D$7=$B10)*Proj_18!G$95)+((Proj_19!$D$7=$B10)*Proj_19!G$95)+((Proj_20!$D$7=$B10)*Proj_20!G$95)+((Proj_21!$D$7=$B10)*Proj_21!G$95)+((Proj_22!$D$7=$B10)*Proj_22!G$95)+((Proj_23!$D$7=$B10)*Proj_23!G$95)+((Proj_24!$D$7=$B10)*Proj_24!G$95)+((Proj_25!$D$7=$B10)*Proj_25!G$95)+((Proj_26!$D$7=$B10)*Proj_26!G$95)+((Proj_27!$D$7=$B10)*Proj_27!G$95)+((Proj_28!$D$7=$B10)*Proj_28!G$95)+((Proj_29!$D$7=$B10)*Proj_29!G$95)+((Proj_30!$D$7=$B10)*Proj_30!G$95)+((Proj_31!$D$7=$B10)*Proj_31!G$95)+((Proj_32!$D$7=$B10)*Proj_32!G$95)+((Proj_33!$D$7=$B10)*Proj_33!G$95)+((Proj_34!$D$7=$B10)*Proj_34!G$95)+((Proj_35!$D$7=$B10)*Proj_35!G$95)+((Proj_36!$D$7=$B10)*Proj_36!G$95)+((Proj_37!$D$7=$B10)*Proj_37!G$95)+((Proj_38!$D$7=$B10)*Proj_38!G$95)+((Proj_39!$D$7=$B10)*Proj_39!G$95)+((Proj_40!$D$7=$B10)*Proj_40!G$95)+((Proj_41!$D$7=$B10)*Proj_41!G$95)+((Proj_42!$D$7=$B10)*Proj_42!G$95)+((Proj_43!$D$7=$B10)*Proj_43!G$95)+((Proj_44!$D$7=$B10)*Proj_44!G$95)+((Proj_45!$D$7=$B10)*Proj_45!G$95)+((Proj_46!$D$7=$B10)*Proj_46!G$95)</f>
        <v>42521.271363025589</v>
      </c>
      <c r="D10" s="131">
        <f>((Proj_1!$D$7=$B10)*Proj_1!H$95)+((Proj_2!$D$7=$B10)*Proj_2!H$95)+((Proj_3!$D$7=$B10)*Proj_3!H$95)+((Proj_4!$D$7=$B10)*Proj_4!H$95)+((Proj_5!$D$7=$B10)*Proj_5!H$95)+((Proj_6!$D$7=$B10)*Proj_6!H$95)+((Proj_7!$D$7=$B10)*Proj_7!H$95)+((Proj_8!$D$7=$B10)*Proj_8!H$95)+((Proj_9!$D$7=$B10)*Proj_9!H$95)+((Proj_10!$D$7=$B10)*Proj_10!H$95)+((Proj_11!$D$7=$B10)*Proj_11!H$95)+((Proj_12!$D$7=$B10)*Proj_12!H$95)+((Proj_13!$D$7=$B10)*Proj_13!H$95)+((Proj_14!$D$7=$B10)*Proj_14!H$95)+((Proj_15!$D$7=$B10)*Proj_15!H$95)+((Proj_16!$D$7=$B10)*Proj_16!H$95)+((Proj_17!$D$7=$B10)*Proj_17!H$95)+((Proj_18!$D$7=$B10)*Proj_18!H$95)+((Proj_19!$D$7=$B10)*Proj_19!H$95)+((Proj_20!$D$7=$B10)*Proj_20!H$95)+((Proj_21!$D$7=$B10)*Proj_21!H$95)+((Proj_22!$D$7=$B10)*Proj_22!H$95)+((Proj_23!$D$7=$B10)*Proj_23!H$95)+((Proj_24!$D$7=$B10)*Proj_24!H$95)+((Proj_25!$D$7=$B10)*Proj_25!H$95)+((Proj_26!$D$7=$B10)*Proj_26!H$95)+((Proj_27!$D$7=$B10)*Proj_27!H$95)+((Proj_28!$D$7=$B10)*Proj_28!H$95)+((Proj_29!$D$7=$B10)*Proj_29!H$95)+((Proj_30!$D$7=$B10)*Proj_30!H$95)+((Proj_31!$D$7=$B10)*Proj_31!H$95)+((Proj_32!$D$7=$B10)*Proj_32!H$95)+((Proj_33!$D$7=$B10)*Proj_33!H$95)+((Proj_34!$D$7=$B10)*Proj_34!H$95)+((Proj_35!$D$7=$B10)*Proj_35!H$95)+((Proj_36!$D$7=$B10)*Proj_36!H$95)+((Proj_37!$D$7=$B10)*Proj_37!H$95)+((Proj_38!$D$7=$B10)*Proj_38!H$95)+((Proj_39!$D$7=$B10)*Proj_39!H$95)+((Proj_40!$D$7=$B10)*Proj_40!H$95)+((Proj_41!$D$7=$B10)*Proj_41!H$95)+((Proj_42!$D$7=$B10)*Proj_42!H$95)+((Proj_43!$D$7=$B10)*Proj_43!H$95)+((Proj_44!$D$7=$B10)*Proj_44!H$95)+((Proj_45!$D$7=$B10)*Proj_45!H$95)+((Proj_46!$D$7=$B10)*Proj_46!H$95)</f>
        <v>54364.536510342281</v>
      </c>
      <c r="E10" s="193">
        <f>((Proj_1!$D$7=$B10)*Proj_1!I$95)+((Proj_2!$D$7=$B10)*Proj_2!I$95)+((Proj_3!$D$7=$B10)*Proj_3!I$95)+((Proj_4!$D$7=$B10)*Proj_4!I$95)+((Proj_5!$D$7=$B10)*Proj_5!I$95)+((Proj_6!$D$7=$B10)*Proj_6!I$95)+((Proj_7!$D$7=$B10)*Proj_7!I$95)+((Proj_8!$D$7=$B10)*Proj_8!I$95)+((Proj_9!$D$7=$B10)*Proj_9!I$95)+((Proj_10!$D$7=$B10)*Proj_10!I$95)+((Proj_11!$D$7=$B10)*Proj_11!I$95)+((Proj_12!$D$7=$B10)*Proj_12!I$95)+((Proj_13!$D$7=$B10)*Proj_13!I$95)+((Proj_14!$D$7=$B10)*Proj_14!I$95)+((Proj_15!$D$7=$B10)*Proj_15!I$95)+((Proj_16!$D$7=$B10)*Proj_16!I$95)+((Proj_17!$D$7=$B10)*Proj_17!I$95)+((Proj_18!$D$7=$B10)*Proj_18!I$95)+((Proj_19!$D$7=$B10)*Proj_19!I$95)+((Proj_20!$D$7=$B10)*Proj_20!I$95)+((Proj_21!$D$7=$B10)*Proj_21!I$95)+((Proj_22!$D$7=$B10)*Proj_22!I$95)+((Proj_23!$D$7=$B10)*Proj_23!I$95)+((Proj_24!$D$7=$B10)*Proj_24!I$95)+((Proj_25!$D$7=$B10)*Proj_25!I$95)+((Proj_26!$D$7=$B10)*Proj_26!I$95)+((Proj_27!$D$7=$B10)*Proj_27!I$95)+((Proj_28!$D$7=$B10)*Proj_28!I$95)+((Proj_29!$D$7=$B10)*Proj_29!I$95)+((Proj_30!$D$7=$B10)*Proj_30!I$95)+((Proj_31!$D$7=$B10)*Proj_31!I$95)+((Proj_32!$D$7=$B10)*Proj_32!I$95)+((Proj_33!$D$7=$B10)*Proj_33!I$95)+((Proj_34!$D$7=$B10)*Proj_34!I$95)+((Proj_35!$D$7=$B10)*Proj_35!I$95)+((Proj_36!$D$7=$B10)*Proj_36!I$95)+((Proj_37!$D$7=$B10)*Proj_37!I$95)+((Proj_38!$D$7=$B10)*Proj_38!I$95)+((Proj_39!$D$7=$B10)*Proj_39!I$95)+((Proj_40!$D$7=$B10)*Proj_40!I$95)+((Proj_41!$D$7=$B10)*Proj_41!I$95)+((Proj_42!$D$7=$B10)*Proj_42!I$95)+((Proj_43!$D$7=$B10)*Proj_43!I$95)+((Proj_44!$D$7=$B10)*Proj_44!I$95)+((Proj_45!$D$7=$B10)*Proj_45!I$95)+((Proj_46!$D$7=$B10)*Proj_46!I$95)</f>
        <v>54870.261108023595</v>
      </c>
      <c r="F10" s="193">
        <f>((Proj_1!$D$7=$B10)*Proj_1!J$95)+((Proj_2!$D$7=$B10)*Proj_2!J$95)+((Proj_3!$D$7=$B10)*Proj_3!J$95)+((Proj_4!$D$7=$B10)*Proj_4!J$95)+((Proj_5!$D$7=$B10)*Proj_5!J$95)+((Proj_6!$D$7=$B10)*Proj_6!J$95)+((Proj_7!$D$7=$B10)*Proj_7!J$95)+((Proj_8!$D$7=$B10)*Proj_8!J$95)+((Proj_9!$D$7=$B10)*Proj_9!J$95)+((Proj_10!$D$7=$B10)*Proj_10!J$95)+((Proj_11!$D$7=$B10)*Proj_11!J$95)+((Proj_12!$D$7=$B10)*Proj_12!J$95)+((Proj_13!$D$7=$B10)*Proj_13!J$95)+((Proj_14!$D$7=$B10)*Proj_14!J$95)+((Proj_15!$D$7=$B10)*Proj_15!J$95)+((Proj_16!$D$7=$B10)*Proj_16!J$95)+((Proj_17!$D$7=$B10)*Proj_17!J$95)+((Proj_18!$D$7=$B10)*Proj_18!J$95)+((Proj_19!$D$7=$B10)*Proj_19!J$95)+((Proj_20!$D$7=$B10)*Proj_20!J$95)+((Proj_21!$D$7=$B10)*Proj_21!J$95)+((Proj_22!$D$7=$B10)*Proj_22!J$95)+((Proj_23!$D$7=$B10)*Proj_23!J$95)+((Proj_24!$D$7=$B10)*Proj_24!J$95)+((Proj_25!$D$7=$B10)*Proj_25!J$95)+((Proj_26!$D$7=$B10)*Proj_26!J$95)+((Proj_27!$D$7=$B10)*Proj_27!J$95)+((Proj_28!$D$7=$B10)*Proj_28!J$95)+((Proj_29!$D$7=$B10)*Proj_29!J$95)+((Proj_30!$D$7=$B10)*Proj_30!J$95)+((Proj_31!$D$7=$B10)*Proj_31!J$95)+((Proj_32!$D$7=$B10)*Proj_32!J$95)+((Proj_33!$D$7=$B10)*Proj_33!J$95)+((Proj_34!$D$7=$B10)*Proj_34!J$95)+((Proj_35!$D$7=$B10)*Proj_35!J$95)+((Proj_36!$D$7=$B10)*Proj_36!J$95)+((Proj_37!$D$7=$B10)*Proj_37!J$95)+((Proj_38!$D$7=$B10)*Proj_38!J$95)+((Proj_39!$D$7=$B10)*Proj_39!J$95)+((Proj_40!$D$7=$B10)*Proj_40!J$95)+((Proj_41!$D$7=$B10)*Proj_41!J$95)+((Proj_42!$D$7=$B10)*Proj_42!J$95)+((Proj_43!$D$7=$B10)*Proj_43!J$95)+((Proj_44!$D$7=$B10)*Proj_44!J$95)+((Proj_45!$D$7=$B10)*Proj_45!J$95)+((Proj_46!$D$7=$B10)*Proj_46!J$95)</f>
        <v>23104.30556249445</v>
      </c>
      <c r="G10" s="193">
        <f>((Proj_1!$D$7=$B10)*Proj_1!K$95)+((Proj_2!$D$7=$B10)*Proj_2!K$95)+((Proj_3!$D$7=$B10)*Proj_3!K$95)+((Proj_4!$D$7=$B10)*Proj_4!K$95)+((Proj_5!$D$7=$B10)*Proj_5!K$95)+((Proj_6!$D$7=$B10)*Proj_6!K$95)+((Proj_7!$D$7=$B10)*Proj_7!K$95)+((Proj_8!$D$7=$B10)*Proj_8!K$95)+((Proj_9!$D$7=$B10)*Proj_9!K$95)+((Proj_10!$D$7=$B10)*Proj_10!K$95)+((Proj_11!$D$7=$B10)*Proj_11!K$95)+((Proj_12!$D$7=$B10)*Proj_12!K$95)+((Proj_13!$D$7=$B10)*Proj_13!K$95)+((Proj_14!$D$7=$B10)*Proj_14!K$95)+((Proj_15!$D$7=$B10)*Proj_15!K$95)+((Proj_16!$D$7=$B10)*Proj_16!K$95)+((Proj_17!$D$7=$B10)*Proj_17!K$95)+((Proj_18!$D$7=$B10)*Proj_18!K$95)+((Proj_19!$D$7=$B10)*Proj_19!K$95)+((Proj_20!$D$7=$B10)*Proj_20!K$95)+((Proj_21!$D$7=$B10)*Proj_21!K$95)+((Proj_22!$D$7=$B10)*Proj_22!K$95)+((Proj_23!$D$7=$B10)*Proj_23!K$95)+((Proj_24!$D$7=$B10)*Proj_24!K$95)+((Proj_25!$D$7=$B10)*Proj_25!K$95)+((Proj_26!$D$7=$B10)*Proj_26!K$95)+((Proj_27!$D$7=$B10)*Proj_27!K$95)+((Proj_28!$D$7=$B10)*Proj_28!K$95)+((Proj_29!$D$7=$B10)*Proj_29!K$95)+((Proj_30!$D$7=$B10)*Proj_30!K$95)+((Proj_31!$D$7=$B10)*Proj_31!K$95)+((Proj_32!$D$7=$B10)*Proj_32!K$95)+((Proj_33!$D$7=$B10)*Proj_33!K$95)+((Proj_34!$D$7=$B10)*Proj_34!K$95)+((Proj_35!$D$7=$B10)*Proj_35!K$95)+((Proj_36!$D$7=$B10)*Proj_36!K$95)+((Proj_37!$D$7=$B10)*Proj_37!K$95)+((Proj_38!$D$7=$B10)*Proj_38!K$95)+((Proj_39!$D$7=$B10)*Proj_39!K$95)+((Proj_40!$D$7=$B10)*Proj_40!K$95)+((Proj_41!$D$7=$B10)*Proj_41!K$95)+((Proj_42!$D$7=$B10)*Proj_42!K$95)+((Proj_43!$D$7=$B10)*Proj_43!K$95)+((Proj_44!$D$7=$B10)*Proj_44!K$95)+((Proj_45!$D$7=$B10)*Proj_45!K$95)+((Proj_46!$D$7=$B10)*Proj_46!K$95)</f>
        <v>10649.706158417852</v>
      </c>
      <c r="H10" s="193">
        <f>((Proj_1!$D$7=$B10)*Proj_1!L$95)+((Proj_2!$D$7=$B10)*Proj_2!L$95)+((Proj_3!$D$7=$B10)*Proj_3!L$95)+((Proj_4!$D$7=$B10)*Proj_4!L$95)+((Proj_5!$D$7=$B10)*Proj_5!L$95)+((Proj_6!$D$7=$B10)*Proj_6!L$95)+((Proj_7!$D$7=$B10)*Proj_7!L$95)+((Proj_8!$D$7=$B10)*Proj_8!L$95)+((Proj_9!$D$7=$B10)*Proj_9!L$95)+((Proj_10!$D$7=$B10)*Proj_10!L$95)+((Proj_11!$D$7=$B10)*Proj_11!L$95)+((Proj_12!$D$7=$B10)*Proj_12!L$95)+((Proj_13!$D$7=$B10)*Proj_13!L$95)+((Proj_14!$D$7=$B10)*Proj_14!L$95)+((Proj_15!$D$7=$B10)*Proj_15!L$95)+((Proj_16!$D$7=$B10)*Proj_16!L$95)+((Proj_17!$D$7=$B10)*Proj_17!L$95)+((Proj_18!$D$7=$B10)*Proj_18!L$95)+((Proj_19!$D$7=$B10)*Proj_19!L$95)+((Proj_20!$D$7=$B10)*Proj_20!L$95)+((Proj_21!$D$7=$B10)*Proj_21!L$95)+((Proj_22!$D$7=$B10)*Proj_22!L$95)+((Proj_23!$D$7=$B10)*Proj_23!L$95)+((Proj_24!$D$7=$B10)*Proj_24!L$95)+((Proj_25!$D$7=$B10)*Proj_25!L$95)+((Proj_26!$D$7=$B10)*Proj_26!L$95)+((Proj_27!$D$7=$B10)*Proj_27!L$95)+((Proj_28!$D$7=$B10)*Proj_28!L$95)+((Proj_29!$D$7=$B10)*Proj_29!L$95)+((Proj_30!$D$7=$B10)*Proj_30!L$95)+((Proj_31!$D$7=$B10)*Proj_31!L$95)+((Proj_32!$D$7=$B10)*Proj_32!L$95)+((Proj_33!$D$7=$B10)*Proj_33!L$95)+((Proj_34!$D$7=$B10)*Proj_34!L$95)+((Proj_35!$D$7=$B10)*Proj_35!L$95)+((Proj_36!$D$7=$B10)*Proj_36!L$95)+((Proj_37!$D$7=$B10)*Proj_37!L$95)+((Proj_38!$D$7=$B10)*Proj_38!L$95)+((Proj_39!$D$7=$B10)*Proj_39!L$95)+((Proj_40!$D$7=$B10)*Proj_40!L$95)+((Proj_41!$D$7=$B10)*Proj_41!L$95)+((Proj_42!$D$7=$B10)*Proj_42!L$95)+((Proj_43!$D$7=$B10)*Proj_43!L$95)+((Proj_44!$D$7=$B10)*Proj_44!L$95)+((Proj_45!$D$7=$B10)*Proj_45!L$95)+((Proj_46!$D$7=$B10)*Proj_46!L$95)</f>
        <v>26462.101891112987</v>
      </c>
      <c r="I10" s="193">
        <f>((Proj_1!$D$7=$B10)*Proj_1!M$95)+((Proj_2!$D$7=$B10)*Proj_2!M$95)+((Proj_3!$D$7=$B10)*Proj_3!M$95)+((Proj_4!$D$7=$B10)*Proj_4!M$95)+((Proj_5!$D$7=$B10)*Proj_5!M$95)+((Proj_6!$D$7=$B10)*Proj_6!M$95)+((Proj_7!$D$7=$B10)*Proj_7!M$95)+((Proj_8!$D$7=$B10)*Proj_8!M$95)+((Proj_9!$D$7=$B10)*Proj_9!M$95)+((Proj_10!$D$7=$B10)*Proj_10!M$95)+((Proj_11!$D$7=$B10)*Proj_11!M$95)+((Proj_12!$D$7=$B10)*Proj_12!M$95)+((Proj_13!$D$7=$B10)*Proj_13!M$95)+((Proj_14!$D$7=$B10)*Proj_14!M$95)+((Proj_15!$D$7=$B10)*Proj_15!M$95)+((Proj_16!$D$7=$B10)*Proj_16!M$95)+((Proj_17!$D$7=$B10)*Proj_17!M$95)+((Proj_18!$D$7=$B10)*Proj_18!M$95)+((Proj_19!$D$7=$B10)*Proj_19!M$95)+((Proj_20!$D$7=$B10)*Proj_20!M$95)+((Proj_21!$D$7=$B10)*Proj_21!M$95)+((Proj_22!$D$7=$B10)*Proj_22!M$95)+((Proj_23!$D$7=$B10)*Proj_23!M$95)+((Proj_24!$D$7=$B10)*Proj_24!M$95)+((Proj_25!$D$7=$B10)*Proj_25!M$95)+((Proj_26!$D$7=$B10)*Proj_26!M$95)+((Proj_27!$D$7=$B10)*Proj_27!M$95)+((Proj_28!$D$7=$B10)*Proj_28!M$95)+((Proj_29!$D$7=$B10)*Proj_29!M$95)+((Proj_30!$D$7=$B10)*Proj_30!M$95)+((Proj_31!$D$7=$B10)*Proj_31!M$95)+((Proj_32!$D$7=$B10)*Proj_32!M$95)+((Proj_33!$D$7=$B10)*Proj_33!M$95)+((Proj_34!$D$7=$B10)*Proj_34!M$95)+((Proj_35!$D$7=$B10)*Proj_35!M$95)+((Proj_36!$D$7=$B10)*Proj_36!M$95)+((Proj_37!$D$7=$B10)*Proj_37!M$95)+((Proj_38!$D$7=$B10)*Proj_38!M$95)+((Proj_39!$D$7=$B10)*Proj_39!M$95)+((Proj_40!$D$7=$B10)*Proj_40!M$95)+((Proj_41!$D$7=$B10)*Proj_41!M$95)+((Proj_42!$D$7=$B10)*Proj_42!M$95)+((Proj_43!$D$7=$B10)*Proj_43!M$95)+((Proj_44!$D$7=$B10)*Proj_44!M$95)+((Proj_45!$D$7=$B10)*Proj_45!M$95)+((Proj_46!$D$7=$B10)*Proj_46!M$95)</f>
        <v>17068.333803180169</v>
      </c>
      <c r="J10" s="131">
        <f>((Proj_1!$D$7=$B10)*Proj_1!N$95)+((Proj_2!$D$7=$B10)*Proj_2!N$95)+((Proj_3!$D$7=$B10)*Proj_3!N$95)+((Proj_4!$D$7=$B10)*Proj_4!N$95)+((Proj_5!$D$7=$B10)*Proj_5!N$95)+((Proj_6!$D$7=$B10)*Proj_6!N$95)+((Proj_7!$D$7=$B10)*Proj_7!N$95)+((Proj_8!$D$7=$B10)*Proj_8!N$95)+((Proj_9!$D$7=$B10)*Proj_9!N$95)+((Proj_10!$D$7=$B10)*Proj_10!N$95)+((Proj_11!$D$7=$B10)*Proj_11!N$95)+((Proj_12!$D$7=$B10)*Proj_12!N$95)+((Proj_13!$D$7=$B10)*Proj_13!N$95)+((Proj_14!$D$7=$B10)*Proj_14!N$95)+((Proj_15!$D$7=$B10)*Proj_15!N$95)+((Proj_16!$D$7=$B10)*Proj_16!N$95)+((Proj_17!$D$7=$B10)*Proj_17!N$95)+((Proj_18!$D$7=$B10)*Proj_18!N$95)+((Proj_19!$D$7=$B10)*Proj_19!N$95)+((Proj_20!$D$7=$B10)*Proj_20!N$95)+((Proj_21!$D$7=$B10)*Proj_21!N$95)+((Proj_22!$D$7=$B10)*Proj_22!N$95)+((Proj_23!$D$7=$B10)*Proj_23!N$95)+((Proj_24!$D$7=$B10)*Proj_24!N$95)+((Proj_25!$D$7=$B10)*Proj_25!N$95)+((Proj_26!$D$7=$B10)*Proj_26!N$95)+((Proj_27!$D$7=$B10)*Proj_27!N$95)+((Proj_28!$D$7=$B10)*Proj_28!N$95)+((Proj_29!$D$7=$B10)*Proj_29!N$95)+((Proj_30!$D$7=$B10)*Proj_30!N$95)+((Proj_31!$D$7=$B10)*Proj_31!N$95)+((Proj_32!$D$7=$B10)*Proj_32!N$95)+((Proj_33!$D$7=$B10)*Proj_33!N$95)+((Proj_34!$D$7=$B10)*Proj_34!N$95)+((Proj_35!$D$7=$B10)*Proj_35!N$95)+((Proj_36!$D$7=$B10)*Proj_36!N$95)+((Proj_37!$D$7=$B10)*Proj_37!N$95)+((Proj_38!$D$7=$B10)*Proj_38!N$95)+((Proj_39!$D$7=$B10)*Proj_39!N$95)+((Proj_40!$D$7=$B10)*Proj_40!N$95)+((Proj_41!$D$7=$B10)*Proj_41!N$95)+((Proj_42!$D$7=$B10)*Proj_42!N$95)+((Proj_43!$D$7=$B10)*Proj_43!N$95)+((Proj_44!$D$7=$B10)*Proj_44!N$95)+((Proj_45!$D$7=$B10)*Proj_45!N$95)+((Proj_46!$D$7=$B10)*Proj_46!N$95)</f>
        <v>0</v>
      </c>
      <c r="K10" s="193">
        <f t="shared" ref="K10:K16" si="3">SUM(E10:J10)</f>
        <v>132154.70852322906</v>
      </c>
      <c r="M10" s="80" t="s">
        <v>67</v>
      </c>
      <c r="N10" s="144">
        <f t="shared" si="0"/>
        <v>42.521271363025591</v>
      </c>
      <c r="O10" s="144">
        <f t="shared" si="0"/>
        <v>54.364536510342283</v>
      </c>
      <c r="P10" s="158">
        <f t="shared" si="1"/>
        <v>54.870261108023598</v>
      </c>
      <c r="Q10" s="158">
        <f t="shared" si="1"/>
        <v>23.104305562494449</v>
      </c>
      <c r="R10" s="158">
        <f t="shared" si="1"/>
        <v>10.649706158417851</v>
      </c>
      <c r="S10" s="158">
        <f t="shared" si="1"/>
        <v>26.462101891112987</v>
      </c>
      <c r="T10" s="158">
        <f t="shared" si="1"/>
        <v>17.06833380318017</v>
      </c>
      <c r="U10" s="144">
        <f t="shared" si="2"/>
        <v>0</v>
      </c>
      <c r="V10" s="158">
        <f t="shared" ref="V10:V16" si="4">SUM(P10:T10)</f>
        <v>132.15470852322906</v>
      </c>
    </row>
    <row r="11" spans="2:22">
      <c r="B11" s="182" t="s">
        <v>117</v>
      </c>
      <c r="C11" s="131">
        <f>((Proj_1!$D$7=$B11)*Proj_1!G$95)+((Proj_2!$D$7=$B11)*Proj_2!G$95)+((Proj_3!$D$7=$B11)*Proj_3!G$95)+((Proj_4!$D$7=$B11)*Proj_4!G$95)+((Proj_5!$D$7=$B11)*Proj_5!G$95)+((Proj_6!$D$7=$B11)*Proj_6!G$95)+((Proj_7!$D$7=$B11)*Proj_7!G$95)+((Proj_8!$D$7=$B11)*Proj_8!G$95)+((Proj_9!$D$7=$B11)*Proj_9!G$95)+((Proj_10!$D$7=$B11)*Proj_10!G$95)+((Proj_11!$D$7=$B11)*Proj_11!G$95)+((Proj_12!$D$7=$B11)*Proj_12!G$95)+((Proj_13!$D$7=$B11)*Proj_13!G$95)+((Proj_14!$D$7=$B11)*Proj_14!G$95)+((Proj_15!$D$7=$B11)*Proj_15!G$95)+((Proj_16!$D$7=$B11)*Proj_16!G$95)+((Proj_17!$D$7=$B11)*Proj_17!G$95)+((Proj_18!$D$7=$B11)*Proj_18!G$95)+((Proj_19!$D$7=$B11)*Proj_19!G$95)+((Proj_20!$D$7=$B11)*Proj_20!G$95)+((Proj_21!$D$7=$B11)*Proj_21!G$95)+((Proj_22!$D$7=$B11)*Proj_22!G$95)+((Proj_23!$D$7=$B11)*Proj_23!G$95)+((Proj_24!$D$7=$B11)*Proj_24!G$95)+((Proj_25!$D$7=$B11)*Proj_25!G$95)+((Proj_26!$D$7=$B11)*Proj_26!G$95)+((Proj_27!$D$7=$B11)*Proj_27!G$95)+((Proj_28!$D$7=$B11)*Proj_28!G$95)+((Proj_29!$D$7=$B11)*Proj_29!G$95)+((Proj_30!$D$7=$B11)*Proj_30!G$95)+((Proj_31!$D$7=$B11)*Proj_31!G$95)+((Proj_32!$D$7=$B11)*Proj_32!G$95)+((Proj_33!$D$7=$B11)*Proj_33!G$95)+((Proj_34!$D$7=$B11)*Proj_34!G$95)+((Proj_35!$D$7=$B11)*Proj_35!G$95)+((Proj_36!$D$7=$B11)*Proj_36!G$95)+((Proj_37!$D$7=$B11)*Proj_37!G$95)+((Proj_38!$D$7=$B11)*Proj_38!G$95)+((Proj_39!$D$7=$B11)*Proj_39!G$95)+((Proj_40!$D$7=$B11)*Proj_40!G$95)+((Proj_41!$D$7=$B11)*Proj_41!G$95)+((Proj_42!$D$7=$B11)*Proj_42!G$95)+((Proj_43!$D$7=$B11)*Proj_43!G$95)+((Proj_44!$D$7=$B11)*Proj_44!G$95)+((Proj_45!$D$7=$B11)*Proj_45!G$95)+((Proj_46!$D$7=$B11)*Proj_46!G$95)</f>
        <v>49468.226333861574</v>
      </c>
      <c r="D11" s="131">
        <f>((Proj_1!$D$7=$B11)*Proj_1!H$95)+((Proj_2!$D$7=$B11)*Proj_2!H$95)+((Proj_3!$D$7=$B11)*Proj_3!H$95)+((Proj_4!$D$7=$B11)*Proj_4!H$95)+((Proj_5!$D$7=$B11)*Proj_5!H$95)+((Proj_6!$D$7=$B11)*Proj_6!H$95)+((Proj_7!$D$7=$B11)*Proj_7!H$95)+((Proj_8!$D$7=$B11)*Proj_8!H$95)+((Proj_9!$D$7=$B11)*Proj_9!H$95)+((Proj_10!$D$7=$B11)*Proj_10!H$95)+((Proj_11!$D$7=$B11)*Proj_11!H$95)+((Proj_12!$D$7=$B11)*Proj_12!H$95)+((Proj_13!$D$7=$B11)*Proj_13!H$95)+((Proj_14!$D$7=$B11)*Proj_14!H$95)+((Proj_15!$D$7=$B11)*Proj_15!H$95)+((Proj_16!$D$7=$B11)*Proj_16!H$95)+((Proj_17!$D$7=$B11)*Proj_17!H$95)+((Proj_18!$D$7=$B11)*Proj_18!H$95)+((Proj_19!$D$7=$B11)*Proj_19!H$95)+((Proj_20!$D$7=$B11)*Proj_20!H$95)+((Proj_21!$D$7=$B11)*Proj_21!H$95)+((Proj_22!$D$7=$B11)*Proj_22!H$95)+((Proj_23!$D$7=$B11)*Proj_23!H$95)+((Proj_24!$D$7=$B11)*Proj_24!H$95)+((Proj_25!$D$7=$B11)*Proj_25!H$95)+((Proj_26!$D$7=$B11)*Proj_26!H$95)+((Proj_27!$D$7=$B11)*Proj_27!H$95)+((Proj_28!$D$7=$B11)*Proj_28!H$95)+((Proj_29!$D$7=$B11)*Proj_29!H$95)+((Proj_30!$D$7=$B11)*Proj_30!H$95)+((Proj_31!$D$7=$B11)*Proj_31!H$95)+((Proj_32!$D$7=$B11)*Proj_32!H$95)+((Proj_33!$D$7=$B11)*Proj_33!H$95)+((Proj_34!$D$7=$B11)*Proj_34!H$95)+((Proj_35!$D$7=$B11)*Proj_35!H$95)+((Proj_36!$D$7=$B11)*Proj_36!H$95)+((Proj_37!$D$7=$B11)*Proj_37!H$95)+((Proj_38!$D$7=$B11)*Proj_38!H$95)+((Proj_39!$D$7=$B11)*Proj_39!H$95)+((Proj_40!$D$7=$B11)*Proj_40!H$95)+((Proj_41!$D$7=$B11)*Proj_41!H$95)+((Proj_42!$D$7=$B11)*Proj_42!H$95)+((Proj_43!$D$7=$B11)*Proj_43!H$95)+((Proj_44!$D$7=$B11)*Proj_44!H$95)+((Proj_45!$D$7=$B11)*Proj_45!H$95)+((Proj_46!$D$7=$B11)*Proj_46!H$95)</f>
        <v>45171.609847878899</v>
      </c>
      <c r="E11" s="193">
        <f>((Proj_1!$D$7=$B11)*Proj_1!I$95)+((Proj_2!$D$7=$B11)*Proj_2!I$95)+((Proj_3!$D$7=$B11)*Proj_3!I$95)+((Proj_4!$D$7=$B11)*Proj_4!I$95)+((Proj_5!$D$7=$B11)*Proj_5!I$95)+((Proj_6!$D$7=$B11)*Proj_6!I$95)+((Proj_7!$D$7=$B11)*Proj_7!I$95)+((Proj_8!$D$7=$B11)*Proj_8!I$95)+((Proj_9!$D$7=$B11)*Proj_9!I$95)+((Proj_10!$D$7=$B11)*Proj_10!I$95)+((Proj_11!$D$7=$B11)*Proj_11!I$95)+((Proj_12!$D$7=$B11)*Proj_12!I$95)+((Proj_13!$D$7=$B11)*Proj_13!I$95)+((Proj_14!$D$7=$B11)*Proj_14!I$95)+((Proj_15!$D$7=$B11)*Proj_15!I$95)+((Proj_16!$D$7=$B11)*Proj_16!I$95)+((Proj_17!$D$7=$B11)*Proj_17!I$95)+((Proj_18!$D$7=$B11)*Proj_18!I$95)+((Proj_19!$D$7=$B11)*Proj_19!I$95)+((Proj_20!$D$7=$B11)*Proj_20!I$95)+((Proj_21!$D$7=$B11)*Proj_21!I$95)+((Proj_22!$D$7=$B11)*Proj_22!I$95)+((Proj_23!$D$7=$B11)*Proj_23!I$95)+((Proj_24!$D$7=$B11)*Proj_24!I$95)+((Proj_25!$D$7=$B11)*Proj_25!I$95)+((Proj_26!$D$7=$B11)*Proj_26!I$95)+((Proj_27!$D$7=$B11)*Proj_27!I$95)+((Proj_28!$D$7=$B11)*Proj_28!I$95)+((Proj_29!$D$7=$B11)*Proj_29!I$95)+((Proj_30!$D$7=$B11)*Proj_30!I$95)+((Proj_31!$D$7=$B11)*Proj_31!I$95)+((Proj_32!$D$7=$B11)*Proj_32!I$95)+((Proj_33!$D$7=$B11)*Proj_33!I$95)+((Proj_34!$D$7=$B11)*Proj_34!I$95)+((Proj_35!$D$7=$B11)*Proj_35!I$95)+((Proj_36!$D$7=$B11)*Proj_36!I$95)+((Proj_37!$D$7=$B11)*Proj_37!I$95)+((Proj_38!$D$7=$B11)*Proj_38!I$95)+((Proj_39!$D$7=$B11)*Proj_39!I$95)+((Proj_40!$D$7=$B11)*Proj_40!I$95)+((Proj_41!$D$7=$B11)*Proj_41!I$95)+((Proj_42!$D$7=$B11)*Proj_42!I$95)+((Proj_43!$D$7=$B11)*Proj_43!I$95)+((Proj_44!$D$7=$B11)*Proj_44!I$95)+((Proj_45!$D$7=$B11)*Proj_45!I$95)+((Proj_46!$D$7=$B11)*Proj_46!I$95)</f>
        <v>43104.369979239469</v>
      </c>
      <c r="F11" s="193">
        <f>((Proj_1!$D$7=$B11)*Proj_1!J$95)+((Proj_2!$D$7=$B11)*Proj_2!J$95)+((Proj_3!$D$7=$B11)*Proj_3!J$95)+((Proj_4!$D$7=$B11)*Proj_4!J$95)+((Proj_5!$D$7=$B11)*Proj_5!J$95)+((Proj_6!$D$7=$B11)*Proj_6!J$95)+((Proj_7!$D$7=$B11)*Proj_7!J$95)+((Proj_8!$D$7=$B11)*Proj_8!J$95)+((Proj_9!$D$7=$B11)*Proj_9!J$95)+((Proj_10!$D$7=$B11)*Proj_10!J$95)+((Proj_11!$D$7=$B11)*Proj_11!J$95)+((Proj_12!$D$7=$B11)*Proj_12!J$95)+((Proj_13!$D$7=$B11)*Proj_13!J$95)+((Proj_14!$D$7=$B11)*Proj_14!J$95)+((Proj_15!$D$7=$B11)*Proj_15!J$95)+((Proj_16!$D$7=$B11)*Proj_16!J$95)+((Proj_17!$D$7=$B11)*Proj_17!J$95)+((Proj_18!$D$7=$B11)*Proj_18!J$95)+((Proj_19!$D$7=$B11)*Proj_19!J$95)+((Proj_20!$D$7=$B11)*Proj_20!J$95)+((Proj_21!$D$7=$B11)*Proj_21!J$95)+((Proj_22!$D$7=$B11)*Proj_22!J$95)+((Proj_23!$D$7=$B11)*Proj_23!J$95)+((Proj_24!$D$7=$B11)*Proj_24!J$95)+((Proj_25!$D$7=$B11)*Proj_25!J$95)+((Proj_26!$D$7=$B11)*Proj_26!J$95)+((Proj_27!$D$7=$B11)*Proj_27!J$95)+((Proj_28!$D$7=$B11)*Proj_28!J$95)+((Proj_29!$D$7=$B11)*Proj_29!J$95)+((Proj_30!$D$7=$B11)*Proj_30!J$95)+((Proj_31!$D$7=$B11)*Proj_31!J$95)+((Proj_32!$D$7=$B11)*Proj_32!J$95)+((Proj_33!$D$7=$B11)*Proj_33!J$95)+((Proj_34!$D$7=$B11)*Proj_34!J$95)+((Proj_35!$D$7=$B11)*Proj_35!J$95)+((Proj_36!$D$7=$B11)*Proj_36!J$95)+((Proj_37!$D$7=$B11)*Proj_37!J$95)+((Proj_38!$D$7=$B11)*Proj_38!J$95)+((Proj_39!$D$7=$B11)*Proj_39!J$95)+((Proj_40!$D$7=$B11)*Proj_40!J$95)+((Proj_41!$D$7=$B11)*Proj_41!J$95)+((Proj_42!$D$7=$B11)*Proj_42!J$95)+((Proj_43!$D$7=$B11)*Proj_43!J$95)+((Proj_44!$D$7=$B11)*Proj_44!J$95)+((Proj_45!$D$7=$B11)*Proj_45!J$95)+((Proj_46!$D$7=$B11)*Proj_46!J$95)</f>
        <v>49801.269260993635</v>
      </c>
      <c r="G11" s="193">
        <f>((Proj_1!$D$7=$B11)*Proj_1!K$95)+((Proj_2!$D$7=$B11)*Proj_2!K$95)+((Proj_3!$D$7=$B11)*Proj_3!K$95)+((Proj_4!$D$7=$B11)*Proj_4!K$95)+((Proj_5!$D$7=$B11)*Proj_5!K$95)+((Proj_6!$D$7=$B11)*Proj_6!K$95)+((Proj_7!$D$7=$B11)*Proj_7!K$95)+((Proj_8!$D$7=$B11)*Proj_8!K$95)+((Proj_9!$D$7=$B11)*Proj_9!K$95)+((Proj_10!$D$7=$B11)*Proj_10!K$95)+((Proj_11!$D$7=$B11)*Proj_11!K$95)+((Proj_12!$D$7=$B11)*Proj_12!K$95)+((Proj_13!$D$7=$B11)*Proj_13!K$95)+((Proj_14!$D$7=$B11)*Proj_14!K$95)+((Proj_15!$D$7=$B11)*Proj_15!K$95)+((Proj_16!$D$7=$B11)*Proj_16!K$95)+((Proj_17!$D$7=$B11)*Proj_17!K$95)+((Proj_18!$D$7=$B11)*Proj_18!K$95)+((Proj_19!$D$7=$B11)*Proj_19!K$95)+((Proj_20!$D$7=$B11)*Proj_20!K$95)+((Proj_21!$D$7=$B11)*Proj_21!K$95)+((Proj_22!$D$7=$B11)*Proj_22!K$95)+((Proj_23!$D$7=$B11)*Proj_23!K$95)+((Proj_24!$D$7=$B11)*Proj_24!K$95)+((Proj_25!$D$7=$B11)*Proj_25!K$95)+((Proj_26!$D$7=$B11)*Proj_26!K$95)+((Proj_27!$D$7=$B11)*Proj_27!K$95)+((Proj_28!$D$7=$B11)*Proj_28!K$95)+((Proj_29!$D$7=$B11)*Proj_29!K$95)+((Proj_30!$D$7=$B11)*Proj_30!K$95)+((Proj_31!$D$7=$B11)*Proj_31!K$95)+((Proj_32!$D$7=$B11)*Proj_32!K$95)+((Proj_33!$D$7=$B11)*Proj_33!K$95)+((Proj_34!$D$7=$B11)*Proj_34!K$95)+((Proj_35!$D$7=$B11)*Proj_35!K$95)+((Proj_36!$D$7=$B11)*Proj_36!K$95)+((Proj_37!$D$7=$B11)*Proj_37!K$95)+((Proj_38!$D$7=$B11)*Proj_38!K$95)+((Proj_39!$D$7=$B11)*Proj_39!K$95)+((Proj_40!$D$7=$B11)*Proj_40!K$95)+((Proj_41!$D$7=$B11)*Proj_41!K$95)+((Proj_42!$D$7=$B11)*Proj_42!K$95)+((Proj_43!$D$7=$B11)*Proj_43!K$95)+((Proj_44!$D$7=$B11)*Proj_44!K$95)+((Proj_45!$D$7=$B11)*Proj_45!K$95)+((Proj_46!$D$7=$B11)*Proj_46!K$95)</f>
        <v>45678.614381505919</v>
      </c>
      <c r="H11" s="193">
        <f>((Proj_1!$D$7=$B11)*Proj_1!L$95)+((Proj_2!$D$7=$B11)*Proj_2!L$95)+((Proj_3!$D$7=$B11)*Proj_3!L$95)+((Proj_4!$D$7=$B11)*Proj_4!L$95)+((Proj_5!$D$7=$B11)*Proj_5!L$95)+((Proj_6!$D$7=$B11)*Proj_6!L$95)+((Proj_7!$D$7=$B11)*Proj_7!L$95)+((Proj_8!$D$7=$B11)*Proj_8!L$95)+((Proj_9!$D$7=$B11)*Proj_9!L$95)+((Proj_10!$D$7=$B11)*Proj_10!L$95)+((Proj_11!$D$7=$B11)*Proj_11!L$95)+((Proj_12!$D$7=$B11)*Proj_12!L$95)+((Proj_13!$D$7=$B11)*Proj_13!L$95)+((Proj_14!$D$7=$B11)*Proj_14!L$95)+((Proj_15!$D$7=$B11)*Proj_15!L$95)+((Proj_16!$D$7=$B11)*Proj_16!L$95)+((Proj_17!$D$7=$B11)*Proj_17!L$95)+((Proj_18!$D$7=$B11)*Proj_18!L$95)+((Proj_19!$D$7=$B11)*Proj_19!L$95)+((Proj_20!$D$7=$B11)*Proj_20!L$95)+((Proj_21!$D$7=$B11)*Proj_21!L$95)+((Proj_22!$D$7=$B11)*Proj_22!L$95)+((Proj_23!$D$7=$B11)*Proj_23!L$95)+((Proj_24!$D$7=$B11)*Proj_24!L$95)+((Proj_25!$D$7=$B11)*Proj_25!L$95)+((Proj_26!$D$7=$B11)*Proj_26!L$95)+((Proj_27!$D$7=$B11)*Proj_27!L$95)+((Proj_28!$D$7=$B11)*Proj_28!L$95)+((Proj_29!$D$7=$B11)*Proj_29!L$95)+((Proj_30!$D$7=$B11)*Proj_30!L$95)+((Proj_31!$D$7=$B11)*Proj_31!L$95)+((Proj_32!$D$7=$B11)*Proj_32!L$95)+((Proj_33!$D$7=$B11)*Proj_33!L$95)+((Proj_34!$D$7=$B11)*Proj_34!L$95)+((Proj_35!$D$7=$B11)*Proj_35!L$95)+((Proj_36!$D$7=$B11)*Proj_36!L$95)+((Proj_37!$D$7=$B11)*Proj_37!L$95)+((Proj_38!$D$7=$B11)*Proj_38!L$95)+((Proj_39!$D$7=$B11)*Proj_39!L$95)+((Proj_40!$D$7=$B11)*Proj_40!L$95)+((Proj_41!$D$7=$B11)*Proj_41!L$95)+((Proj_42!$D$7=$B11)*Proj_42!L$95)+((Proj_43!$D$7=$B11)*Proj_43!L$95)+((Proj_44!$D$7=$B11)*Proj_44!L$95)+((Proj_45!$D$7=$B11)*Proj_45!L$95)+((Proj_46!$D$7=$B11)*Proj_46!L$95)</f>
        <v>43640.904513434201</v>
      </c>
      <c r="I11" s="193">
        <f>((Proj_1!$D$7=$B11)*Proj_1!M$95)+((Proj_2!$D$7=$B11)*Proj_2!M$95)+((Proj_3!$D$7=$B11)*Proj_3!M$95)+((Proj_4!$D$7=$B11)*Proj_4!M$95)+((Proj_5!$D$7=$B11)*Proj_5!M$95)+((Proj_6!$D$7=$B11)*Proj_6!M$95)+((Proj_7!$D$7=$B11)*Proj_7!M$95)+((Proj_8!$D$7=$B11)*Proj_8!M$95)+((Proj_9!$D$7=$B11)*Proj_9!M$95)+((Proj_10!$D$7=$B11)*Proj_10!M$95)+((Proj_11!$D$7=$B11)*Proj_11!M$95)+((Proj_12!$D$7=$B11)*Proj_12!M$95)+((Proj_13!$D$7=$B11)*Proj_13!M$95)+((Proj_14!$D$7=$B11)*Proj_14!M$95)+((Proj_15!$D$7=$B11)*Proj_15!M$95)+((Proj_16!$D$7=$B11)*Proj_16!M$95)+((Proj_17!$D$7=$B11)*Proj_17!M$95)+((Proj_18!$D$7=$B11)*Proj_18!M$95)+((Proj_19!$D$7=$B11)*Proj_19!M$95)+((Proj_20!$D$7=$B11)*Proj_20!M$95)+((Proj_21!$D$7=$B11)*Proj_21!M$95)+((Proj_22!$D$7=$B11)*Proj_22!M$95)+((Proj_23!$D$7=$B11)*Proj_23!M$95)+((Proj_24!$D$7=$B11)*Proj_24!M$95)+((Proj_25!$D$7=$B11)*Proj_25!M$95)+((Proj_26!$D$7=$B11)*Proj_26!M$95)+((Proj_27!$D$7=$B11)*Proj_27!M$95)+((Proj_28!$D$7=$B11)*Proj_28!M$95)+((Proj_29!$D$7=$B11)*Proj_29!M$95)+((Proj_30!$D$7=$B11)*Proj_30!M$95)+((Proj_31!$D$7=$B11)*Proj_31!M$95)+((Proj_32!$D$7=$B11)*Proj_32!M$95)+((Proj_33!$D$7=$B11)*Proj_33!M$95)+((Proj_34!$D$7=$B11)*Proj_34!M$95)+((Proj_35!$D$7=$B11)*Proj_35!M$95)+((Proj_36!$D$7=$B11)*Proj_36!M$95)+((Proj_37!$D$7=$B11)*Proj_37!M$95)+((Proj_38!$D$7=$B11)*Proj_38!M$95)+((Proj_39!$D$7=$B11)*Proj_39!M$95)+((Proj_40!$D$7=$B11)*Proj_40!M$95)+((Proj_41!$D$7=$B11)*Proj_41!M$95)+((Proj_42!$D$7=$B11)*Proj_42!M$95)+((Proj_43!$D$7=$B11)*Proj_43!M$95)+((Proj_44!$D$7=$B11)*Proj_44!M$95)+((Proj_45!$D$7=$B11)*Proj_45!M$95)+((Proj_46!$D$7=$B11)*Proj_46!M$95)</f>
        <v>39576.531074292077</v>
      </c>
      <c r="J11" s="131">
        <f>((Proj_1!$D$7=$B11)*Proj_1!N$95)+((Proj_2!$D$7=$B11)*Proj_2!N$95)+((Proj_3!$D$7=$B11)*Proj_3!N$95)+((Proj_4!$D$7=$B11)*Proj_4!N$95)+((Proj_5!$D$7=$B11)*Proj_5!N$95)+((Proj_6!$D$7=$B11)*Proj_6!N$95)+((Proj_7!$D$7=$B11)*Proj_7!N$95)+((Proj_8!$D$7=$B11)*Proj_8!N$95)+((Proj_9!$D$7=$B11)*Proj_9!N$95)+((Proj_10!$D$7=$B11)*Proj_10!N$95)+((Proj_11!$D$7=$B11)*Proj_11!N$95)+((Proj_12!$D$7=$B11)*Proj_12!N$95)+((Proj_13!$D$7=$B11)*Proj_13!N$95)+((Proj_14!$D$7=$B11)*Proj_14!N$95)+((Proj_15!$D$7=$B11)*Proj_15!N$95)+((Proj_16!$D$7=$B11)*Proj_16!N$95)+((Proj_17!$D$7=$B11)*Proj_17!N$95)+((Proj_18!$D$7=$B11)*Proj_18!N$95)+((Proj_19!$D$7=$B11)*Proj_19!N$95)+((Proj_20!$D$7=$B11)*Proj_20!N$95)+((Proj_21!$D$7=$B11)*Proj_21!N$95)+((Proj_22!$D$7=$B11)*Proj_22!N$95)+((Proj_23!$D$7=$B11)*Proj_23!N$95)+((Proj_24!$D$7=$B11)*Proj_24!N$95)+((Proj_25!$D$7=$B11)*Proj_25!N$95)+((Proj_26!$D$7=$B11)*Proj_26!N$95)+((Proj_27!$D$7=$B11)*Proj_27!N$95)+((Proj_28!$D$7=$B11)*Proj_28!N$95)+((Proj_29!$D$7=$B11)*Proj_29!N$95)+((Proj_30!$D$7=$B11)*Proj_30!N$95)+((Proj_31!$D$7=$B11)*Proj_31!N$95)+((Proj_32!$D$7=$B11)*Proj_32!N$95)+((Proj_33!$D$7=$B11)*Proj_33!N$95)+((Proj_34!$D$7=$B11)*Proj_34!N$95)+((Proj_35!$D$7=$B11)*Proj_35!N$95)+((Proj_36!$D$7=$B11)*Proj_36!N$95)+((Proj_37!$D$7=$B11)*Proj_37!N$95)+((Proj_38!$D$7=$B11)*Proj_38!N$95)+((Proj_39!$D$7=$B11)*Proj_39!N$95)+((Proj_40!$D$7=$B11)*Proj_40!N$95)+((Proj_41!$D$7=$B11)*Proj_41!N$95)+((Proj_42!$D$7=$B11)*Proj_42!N$95)+((Proj_43!$D$7=$B11)*Proj_43!N$95)+((Proj_44!$D$7=$B11)*Proj_44!N$95)+((Proj_45!$D$7=$B11)*Proj_45!N$95)+((Proj_46!$D$7=$B11)*Proj_46!N$95)</f>
        <v>0</v>
      </c>
      <c r="K11" s="193">
        <f t="shared" si="3"/>
        <v>221801.68920946534</v>
      </c>
      <c r="M11" s="77" t="s">
        <v>117</v>
      </c>
      <c r="N11" s="144">
        <f t="shared" si="0"/>
        <v>49.468226333861573</v>
      </c>
      <c r="O11" s="144">
        <f t="shared" si="0"/>
        <v>45.171609847878898</v>
      </c>
      <c r="P11" s="158">
        <f t="shared" si="1"/>
        <v>43.104369979239472</v>
      </c>
      <c r="Q11" s="158">
        <f t="shared" si="1"/>
        <v>49.801269260993635</v>
      </c>
      <c r="R11" s="158">
        <f t="shared" si="1"/>
        <v>45.678614381505916</v>
      </c>
      <c r="S11" s="158">
        <f t="shared" si="1"/>
        <v>43.640904513434201</v>
      </c>
      <c r="T11" s="158">
        <f t="shared" si="1"/>
        <v>39.576531074292078</v>
      </c>
      <c r="U11" s="144">
        <f t="shared" si="2"/>
        <v>0</v>
      </c>
      <c r="V11" s="158">
        <f t="shared" si="4"/>
        <v>221.80168920946534</v>
      </c>
    </row>
    <row r="12" spans="2:22">
      <c r="B12" s="80" t="s">
        <v>118</v>
      </c>
      <c r="C12" s="131">
        <f>((Proj_1!$D$7=$B12)*Proj_1!G$95)+((Proj_2!$D$7=$B12)*Proj_2!G$95)+((Proj_3!$D$7=$B12)*Proj_3!G$95)+((Proj_4!$D$7=$B12)*Proj_4!G$95)+((Proj_5!$D$7=$B12)*Proj_5!G$95)+((Proj_6!$D$7=$B12)*Proj_6!G$95)+((Proj_7!$D$7=$B12)*Proj_7!G$95)+((Proj_8!$D$7=$B12)*Proj_8!G$95)+((Proj_9!$D$7=$B12)*Proj_9!G$95)+((Proj_10!$D$7=$B12)*Proj_10!G$95)+((Proj_11!$D$7=$B12)*Proj_11!G$95)+((Proj_12!$D$7=$B12)*Proj_12!G$95)+((Proj_13!$D$7=$B12)*Proj_13!G$95)+((Proj_14!$D$7=$B12)*Proj_14!G$95)+((Proj_15!$D$7=$B12)*Proj_15!G$95)+((Proj_16!$D$7=$B12)*Proj_16!G$95)+((Proj_17!$D$7=$B12)*Proj_17!G$95)+((Proj_18!$D$7=$B12)*Proj_18!G$95)+((Proj_19!$D$7=$B12)*Proj_19!G$95)+((Proj_20!$D$7=$B12)*Proj_20!G$95)+((Proj_21!$D$7=$B12)*Proj_21!G$95)+((Proj_22!$D$7=$B12)*Proj_22!G$95)+((Proj_23!$D$7=$B12)*Proj_23!G$95)+((Proj_24!$D$7=$B12)*Proj_24!G$95)+((Proj_25!$D$7=$B12)*Proj_25!G$95)+((Proj_26!$D$7=$B12)*Proj_26!G$95)+((Proj_27!$D$7=$B12)*Proj_27!G$95)+((Proj_28!$D$7=$B12)*Proj_28!G$95)+((Proj_29!$D$7=$B12)*Proj_29!G$95)+((Proj_30!$D$7=$B12)*Proj_30!G$95)+((Proj_31!$D$7=$B12)*Proj_31!G$95)+((Proj_32!$D$7=$B12)*Proj_32!G$95)+((Proj_33!$D$7=$B12)*Proj_33!G$95)+((Proj_34!$D$7=$B12)*Proj_34!G$95)+((Proj_35!$D$7=$B12)*Proj_35!G$95)+((Proj_36!$D$7=$B12)*Proj_36!G$95)+((Proj_37!$D$7=$B12)*Proj_37!G$95)+((Proj_38!$D$7=$B12)*Proj_38!G$95)+((Proj_39!$D$7=$B12)*Proj_39!G$95)+((Proj_40!$D$7=$B12)*Proj_40!G$95)+((Proj_41!$D$7=$B12)*Proj_41!G$95)+((Proj_42!$D$7=$B12)*Proj_42!G$95)+((Proj_43!$D$7=$B12)*Proj_43!G$95)+((Proj_44!$D$7=$B12)*Proj_44!G$95)+((Proj_45!$D$7=$B12)*Proj_45!G$95)+((Proj_46!$D$7=$B12)*Proj_46!G$95)</f>
        <v>15212.453194749338</v>
      </c>
      <c r="D12" s="131">
        <f>((Proj_1!$D$7=$B12)*Proj_1!H$95)+((Proj_2!$D$7=$B12)*Proj_2!H$95)+((Proj_3!$D$7=$B12)*Proj_3!H$95)+((Proj_4!$D$7=$B12)*Proj_4!H$95)+((Proj_5!$D$7=$B12)*Proj_5!H$95)+((Proj_6!$D$7=$B12)*Proj_6!H$95)+((Proj_7!$D$7=$B12)*Proj_7!H$95)+((Proj_8!$D$7=$B12)*Proj_8!H$95)+((Proj_9!$D$7=$B12)*Proj_9!H$95)+((Proj_10!$D$7=$B12)*Proj_10!H$95)+((Proj_11!$D$7=$B12)*Proj_11!H$95)+((Proj_12!$D$7=$B12)*Proj_12!H$95)+((Proj_13!$D$7=$B12)*Proj_13!H$95)+((Proj_14!$D$7=$B12)*Proj_14!H$95)+((Proj_15!$D$7=$B12)*Proj_15!H$95)+((Proj_16!$D$7=$B12)*Proj_16!H$95)+((Proj_17!$D$7=$B12)*Proj_17!H$95)+((Proj_18!$D$7=$B12)*Proj_18!H$95)+((Proj_19!$D$7=$B12)*Proj_19!H$95)+((Proj_20!$D$7=$B12)*Proj_20!H$95)+((Proj_21!$D$7=$B12)*Proj_21!H$95)+((Proj_22!$D$7=$B12)*Proj_22!H$95)+((Proj_23!$D$7=$B12)*Proj_23!H$95)+((Proj_24!$D$7=$B12)*Proj_24!H$95)+((Proj_25!$D$7=$B12)*Proj_25!H$95)+((Proj_26!$D$7=$B12)*Proj_26!H$95)+((Proj_27!$D$7=$B12)*Proj_27!H$95)+((Proj_28!$D$7=$B12)*Proj_28!H$95)+((Proj_29!$D$7=$B12)*Proj_29!H$95)+((Proj_30!$D$7=$B12)*Proj_30!H$95)+((Proj_31!$D$7=$B12)*Proj_31!H$95)+((Proj_32!$D$7=$B12)*Proj_32!H$95)+((Proj_33!$D$7=$B12)*Proj_33!H$95)+((Proj_34!$D$7=$B12)*Proj_34!H$95)+((Proj_35!$D$7=$B12)*Proj_35!H$95)+((Proj_36!$D$7=$B12)*Proj_36!H$95)+((Proj_37!$D$7=$B12)*Proj_37!H$95)+((Proj_38!$D$7=$B12)*Proj_38!H$95)+((Proj_39!$D$7=$B12)*Proj_39!H$95)+((Proj_40!$D$7=$B12)*Proj_40!H$95)+((Proj_41!$D$7=$B12)*Proj_41!H$95)+((Proj_42!$D$7=$B12)*Proj_42!H$95)+((Proj_43!$D$7=$B12)*Proj_43!H$95)+((Proj_44!$D$7=$B12)*Proj_44!H$95)+((Proj_45!$D$7=$B12)*Proj_45!H$95)+((Proj_46!$D$7=$B12)*Proj_46!H$95)</f>
        <v>15443.712925932836</v>
      </c>
      <c r="E12" s="193">
        <f>((Proj_1!$D$7=$B12)*Proj_1!I$95)+((Proj_2!$D$7=$B12)*Proj_2!I$95)+((Proj_3!$D$7=$B12)*Proj_3!I$95)+((Proj_4!$D$7=$B12)*Proj_4!I$95)+((Proj_5!$D$7=$B12)*Proj_5!I$95)+((Proj_6!$D$7=$B12)*Proj_6!I$95)+((Proj_7!$D$7=$B12)*Proj_7!I$95)+((Proj_8!$D$7=$B12)*Proj_8!I$95)+((Proj_9!$D$7=$B12)*Proj_9!I$95)+((Proj_10!$D$7=$B12)*Proj_10!I$95)+((Proj_11!$D$7=$B12)*Proj_11!I$95)+((Proj_12!$D$7=$B12)*Proj_12!I$95)+((Proj_13!$D$7=$B12)*Proj_13!I$95)+((Proj_14!$D$7=$B12)*Proj_14!I$95)+((Proj_15!$D$7=$B12)*Proj_15!I$95)+((Proj_16!$D$7=$B12)*Proj_16!I$95)+((Proj_17!$D$7=$B12)*Proj_17!I$95)+((Proj_18!$D$7=$B12)*Proj_18!I$95)+((Proj_19!$D$7=$B12)*Proj_19!I$95)+((Proj_20!$D$7=$B12)*Proj_20!I$95)+((Proj_21!$D$7=$B12)*Proj_21!I$95)+((Proj_22!$D$7=$B12)*Proj_22!I$95)+((Proj_23!$D$7=$B12)*Proj_23!I$95)+((Proj_24!$D$7=$B12)*Proj_24!I$95)+((Proj_25!$D$7=$B12)*Proj_25!I$95)+((Proj_26!$D$7=$B12)*Proj_26!I$95)+((Proj_27!$D$7=$B12)*Proj_27!I$95)+((Proj_28!$D$7=$B12)*Proj_28!I$95)+((Proj_29!$D$7=$B12)*Proj_29!I$95)+((Proj_30!$D$7=$B12)*Proj_30!I$95)+((Proj_31!$D$7=$B12)*Proj_31!I$95)+((Proj_32!$D$7=$B12)*Proj_32!I$95)+((Proj_33!$D$7=$B12)*Proj_33!I$95)+((Proj_34!$D$7=$B12)*Proj_34!I$95)+((Proj_35!$D$7=$B12)*Proj_35!I$95)+((Proj_36!$D$7=$B12)*Proj_36!I$95)+((Proj_37!$D$7=$B12)*Proj_37!I$95)+((Proj_38!$D$7=$B12)*Proj_38!I$95)+((Proj_39!$D$7=$B12)*Proj_39!I$95)+((Proj_40!$D$7=$B12)*Proj_40!I$95)+((Proj_41!$D$7=$B12)*Proj_41!I$95)+((Proj_42!$D$7=$B12)*Proj_42!I$95)+((Proj_43!$D$7=$B12)*Proj_43!I$95)+((Proj_44!$D$7=$B12)*Proj_44!I$95)+((Proj_45!$D$7=$B12)*Proj_45!I$95)+((Proj_46!$D$7=$B12)*Proj_46!I$95)</f>
        <v>12719.479696891431</v>
      </c>
      <c r="F12" s="193">
        <f>((Proj_1!$D$7=$B12)*Proj_1!J$95)+((Proj_2!$D$7=$B12)*Proj_2!J$95)+((Proj_3!$D$7=$B12)*Proj_3!J$95)+((Proj_4!$D$7=$B12)*Proj_4!J$95)+((Proj_5!$D$7=$B12)*Proj_5!J$95)+((Proj_6!$D$7=$B12)*Proj_6!J$95)+((Proj_7!$D$7=$B12)*Proj_7!J$95)+((Proj_8!$D$7=$B12)*Proj_8!J$95)+((Proj_9!$D$7=$B12)*Proj_9!J$95)+((Proj_10!$D$7=$B12)*Proj_10!J$95)+((Proj_11!$D$7=$B12)*Proj_11!J$95)+((Proj_12!$D$7=$B12)*Proj_12!J$95)+((Proj_13!$D$7=$B12)*Proj_13!J$95)+((Proj_14!$D$7=$B12)*Proj_14!J$95)+((Proj_15!$D$7=$B12)*Proj_15!J$95)+((Proj_16!$D$7=$B12)*Proj_16!J$95)+((Proj_17!$D$7=$B12)*Proj_17!J$95)+((Proj_18!$D$7=$B12)*Proj_18!J$95)+((Proj_19!$D$7=$B12)*Proj_19!J$95)+((Proj_20!$D$7=$B12)*Proj_20!J$95)+((Proj_21!$D$7=$B12)*Proj_21!J$95)+((Proj_22!$D$7=$B12)*Proj_22!J$95)+((Proj_23!$D$7=$B12)*Proj_23!J$95)+((Proj_24!$D$7=$B12)*Proj_24!J$95)+((Proj_25!$D$7=$B12)*Proj_25!J$95)+((Proj_26!$D$7=$B12)*Proj_26!J$95)+((Proj_27!$D$7=$B12)*Proj_27!J$95)+((Proj_28!$D$7=$B12)*Proj_28!J$95)+((Proj_29!$D$7=$B12)*Proj_29!J$95)+((Proj_30!$D$7=$B12)*Proj_30!J$95)+((Proj_31!$D$7=$B12)*Proj_31!J$95)+((Proj_32!$D$7=$B12)*Proj_32!J$95)+((Proj_33!$D$7=$B12)*Proj_33!J$95)+((Proj_34!$D$7=$B12)*Proj_34!J$95)+((Proj_35!$D$7=$B12)*Proj_35!J$95)+((Proj_36!$D$7=$B12)*Proj_36!J$95)+((Proj_37!$D$7=$B12)*Proj_37!J$95)+((Proj_38!$D$7=$B12)*Proj_38!J$95)+((Proj_39!$D$7=$B12)*Proj_39!J$95)+((Proj_40!$D$7=$B12)*Proj_40!J$95)+((Proj_41!$D$7=$B12)*Proj_41!J$95)+((Proj_42!$D$7=$B12)*Proj_42!J$95)+((Proj_43!$D$7=$B12)*Proj_43!J$95)+((Proj_44!$D$7=$B12)*Proj_44!J$95)+((Proj_45!$D$7=$B12)*Proj_45!J$95)+((Proj_46!$D$7=$B12)*Proj_46!J$95)</f>
        <v>12399.710359207693</v>
      </c>
      <c r="G12" s="193">
        <f>((Proj_1!$D$7=$B12)*Proj_1!K$95)+((Proj_2!$D$7=$B12)*Proj_2!K$95)+((Proj_3!$D$7=$B12)*Proj_3!K$95)+((Proj_4!$D$7=$B12)*Proj_4!K$95)+((Proj_5!$D$7=$B12)*Proj_5!K$95)+((Proj_6!$D$7=$B12)*Proj_6!K$95)+((Proj_7!$D$7=$B12)*Proj_7!K$95)+((Proj_8!$D$7=$B12)*Proj_8!K$95)+((Proj_9!$D$7=$B12)*Proj_9!K$95)+((Proj_10!$D$7=$B12)*Proj_10!K$95)+((Proj_11!$D$7=$B12)*Proj_11!K$95)+((Proj_12!$D$7=$B12)*Proj_12!K$95)+((Proj_13!$D$7=$B12)*Proj_13!K$95)+((Proj_14!$D$7=$B12)*Proj_14!K$95)+((Proj_15!$D$7=$B12)*Proj_15!K$95)+((Proj_16!$D$7=$B12)*Proj_16!K$95)+((Proj_17!$D$7=$B12)*Proj_17!K$95)+((Proj_18!$D$7=$B12)*Proj_18!K$95)+((Proj_19!$D$7=$B12)*Proj_19!K$95)+((Proj_20!$D$7=$B12)*Proj_20!K$95)+((Proj_21!$D$7=$B12)*Proj_21!K$95)+((Proj_22!$D$7=$B12)*Proj_22!K$95)+((Proj_23!$D$7=$B12)*Proj_23!K$95)+((Proj_24!$D$7=$B12)*Proj_24!K$95)+((Proj_25!$D$7=$B12)*Proj_25!K$95)+((Proj_26!$D$7=$B12)*Proj_26!K$95)+((Proj_27!$D$7=$B12)*Proj_27!K$95)+((Proj_28!$D$7=$B12)*Proj_28!K$95)+((Proj_29!$D$7=$B12)*Proj_29!K$95)+((Proj_30!$D$7=$B12)*Proj_30!K$95)+((Proj_31!$D$7=$B12)*Proj_31!K$95)+((Proj_32!$D$7=$B12)*Proj_32!K$95)+((Proj_33!$D$7=$B12)*Proj_33!K$95)+((Proj_34!$D$7=$B12)*Proj_34!K$95)+((Proj_35!$D$7=$B12)*Proj_35!K$95)+((Proj_36!$D$7=$B12)*Proj_36!K$95)+((Proj_37!$D$7=$B12)*Proj_37!K$95)+((Proj_38!$D$7=$B12)*Proj_38!K$95)+((Proj_39!$D$7=$B12)*Proj_39!K$95)+((Proj_40!$D$7=$B12)*Proj_40!K$95)+((Proj_41!$D$7=$B12)*Proj_41!K$95)+((Proj_42!$D$7=$B12)*Proj_42!K$95)+((Proj_43!$D$7=$B12)*Proj_43!K$95)+((Proj_44!$D$7=$B12)*Proj_44!K$95)+((Proj_45!$D$7=$B12)*Proj_45!K$95)+((Proj_46!$D$7=$B12)*Proj_46!K$95)</f>
        <v>13256.86606401383</v>
      </c>
      <c r="H12" s="193">
        <f>((Proj_1!$D$7=$B12)*Proj_1!L$95)+((Proj_2!$D$7=$B12)*Proj_2!L$95)+((Proj_3!$D$7=$B12)*Proj_3!L$95)+((Proj_4!$D$7=$B12)*Proj_4!L$95)+((Proj_5!$D$7=$B12)*Proj_5!L$95)+((Proj_6!$D$7=$B12)*Proj_6!L$95)+((Proj_7!$D$7=$B12)*Proj_7!L$95)+((Proj_8!$D$7=$B12)*Proj_8!L$95)+((Proj_9!$D$7=$B12)*Proj_9!L$95)+((Proj_10!$D$7=$B12)*Proj_10!L$95)+((Proj_11!$D$7=$B12)*Proj_11!L$95)+((Proj_12!$D$7=$B12)*Proj_12!L$95)+((Proj_13!$D$7=$B12)*Proj_13!L$95)+((Proj_14!$D$7=$B12)*Proj_14!L$95)+((Proj_15!$D$7=$B12)*Proj_15!L$95)+((Proj_16!$D$7=$B12)*Proj_16!L$95)+((Proj_17!$D$7=$B12)*Proj_17!L$95)+((Proj_18!$D$7=$B12)*Proj_18!L$95)+((Proj_19!$D$7=$B12)*Proj_19!L$95)+((Proj_20!$D$7=$B12)*Proj_20!L$95)+((Proj_21!$D$7=$B12)*Proj_21!L$95)+((Proj_22!$D$7=$B12)*Proj_22!L$95)+((Proj_23!$D$7=$B12)*Proj_23!L$95)+((Proj_24!$D$7=$B12)*Proj_24!L$95)+((Proj_25!$D$7=$B12)*Proj_25!L$95)+((Proj_26!$D$7=$B12)*Proj_26!L$95)+((Proj_27!$D$7=$B12)*Proj_27!L$95)+((Proj_28!$D$7=$B12)*Proj_28!L$95)+((Proj_29!$D$7=$B12)*Proj_29!L$95)+((Proj_30!$D$7=$B12)*Proj_30!L$95)+((Proj_31!$D$7=$B12)*Proj_31!L$95)+((Proj_32!$D$7=$B12)*Proj_32!L$95)+((Proj_33!$D$7=$B12)*Proj_33!L$95)+((Proj_34!$D$7=$B12)*Proj_34!L$95)+((Proj_35!$D$7=$B12)*Proj_35!L$95)+((Proj_36!$D$7=$B12)*Proj_36!L$95)+((Proj_37!$D$7=$B12)*Proj_37!L$95)+((Proj_38!$D$7=$B12)*Proj_38!L$95)+((Proj_39!$D$7=$B12)*Proj_39!L$95)+((Proj_40!$D$7=$B12)*Proj_40!L$95)+((Proj_41!$D$7=$B12)*Proj_41!L$95)+((Proj_42!$D$7=$B12)*Proj_42!L$95)+((Proj_43!$D$7=$B12)*Proj_43!L$95)+((Proj_44!$D$7=$B12)*Proj_44!L$95)+((Proj_45!$D$7=$B12)*Proj_45!L$95)+((Proj_46!$D$7=$B12)*Proj_46!L$95)</f>
        <v>11880.679618294709</v>
      </c>
      <c r="I12" s="193">
        <f>((Proj_1!$D$7=$B12)*Proj_1!M$95)+((Proj_2!$D$7=$B12)*Proj_2!M$95)+((Proj_3!$D$7=$B12)*Proj_3!M$95)+((Proj_4!$D$7=$B12)*Proj_4!M$95)+((Proj_5!$D$7=$B12)*Proj_5!M$95)+((Proj_6!$D$7=$B12)*Proj_6!M$95)+((Proj_7!$D$7=$B12)*Proj_7!M$95)+((Proj_8!$D$7=$B12)*Proj_8!M$95)+((Proj_9!$D$7=$B12)*Proj_9!M$95)+((Proj_10!$D$7=$B12)*Proj_10!M$95)+((Proj_11!$D$7=$B12)*Proj_11!M$95)+((Proj_12!$D$7=$B12)*Proj_12!M$95)+((Proj_13!$D$7=$B12)*Proj_13!M$95)+((Proj_14!$D$7=$B12)*Proj_14!M$95)+((Proj_15!$D$7=$B12)*Proj_15!M$95)+((Proj_16!$D$7=$B12)*Proj_16!M$95)+((Proj_17!$D$7=$B12)*Proj_17!M$95)+((Proj_18!$D$7=$B12)*Proj_18!M$95)+((Proj_19!$D$7=$B12)*Proj_19!M$95)+((Proj_20!$D$7=$B12)*Proj_20!M$95)+((Proj_21!$D$7=$B12)*Proj_21!M$95)+((Proj_22!$D$7=$B12)*Proj_22!M$95)+((Proj_23!$D$7=$B12)*Proj_23!M$95)+((Proj_24!$D$7=$B12)*Proj_24!M$95)+((Proj_25!$D$7=$B12)*Proj_25!M$95)+((Proj_26!$D$7=$B12)*Proj_26!M$95)+((Proj_27!$D$7=$B12)*Proj_27!M$95)+((Proj_28!$D$7=$B12)*Proj_28!M$95)+((Proj_29!$D$7=$B12)*Proj_29!M$95)+((Proj_30!$D$7=$B12)*Proj_30!M$95)+((Proj_31!$D$7=$B12)*Proj_31!M$95)+((Proj_32!$D$7=$B12)*Proj_32!M$95)+((Proj_33!$D$7=$B12)*Proj_33!M$95)+((Proj_34!$D$7=$B12)*Proj_34!M$95)+((Proj_35!$D$7=$B12)*Proj_35!M$95)+((Proj_36!$D$7=$B12)*Proj_36!M$95)+((Proj_37!$D$7=$B12)*Proj_37!M$95)+((Proj_38!$D$7=$B12)*Proj_38!M$95)+((Proj_39!$D$7=$B12)*Proj_39!M$95)+((Proj_40!$D$7=$B12)*Proj_40!M$95)+((Proj_41!$D$7=$B12)*Proj_41!M$95)+((Proj_42!$D$7=$B12)*Proj_42!M$95)+((Proj_43!$D$7=$B12)*Proj_43!M$95)+((Proj_44!$D$7=$B12)*Proj_44!M$95)+((Proj_45!$D$7=$B12)*Proj_45!M$95)+((Proj_46!$D$7=$B12)*Proj_46!M$95)</f>
        <v>13107.676860822547</v>
      </c>
      <c r="J12" s="131">
        <f>((Proj_1!$D$7=$B12)*Proj_1!N$95)+((Proj_2!$D$7=$B12)*Proj_2!N$95)+((Proj_3!$D$7=$B12)*Proj_3!N$95)+((Proj_4!$D$7=$B12)*Proj_4!N$95)+((Proj_5!$D$7=$B12)*Proj_5!N$95)+((Proj_6!$D$7=$B12)*Proj_6!N$95)+((Proj_7!$D$7=$B12)*Proj_7!N$95)+((Proj_8!$D$7=$B12)*Proj_8!N$95)+((Proj_9!$D$7=$B12)*Proj_9!N$95)+((Proj_10!$D$7=$B12)*Proj_10!N$95)+((Proj_11!$D$7=$B12)*Proj_11!N$95)+((Proj_12!$D$7=$B12)*Proj_12!N$95)+((Proj_13!$D$7=$B12)*Proj_13!N$95)+((Proj_14!$D$7=$B12)*Proj_14!N$95)+((Proj_15!$D$7=$B12)*Proj_15!N$95)+((Proj_16!$D$7=$B12)*Proj_16!N$95)+((Proj_17!$D$7=$B12)*Proj_17!N$95)+((Proj_18!$D$7=$B12)*Proj_18!N$95)+((Proj_19!$D$7=$B12)*Proj_19!N$95)+((Proj_20!$D$7=$B12)*Proj_20!N$95)+((Proj_21!$D$7=$B12)*Proj_21!N$95)+((Proj_22!$D$7=$B12)*Proj_22!N$95)+((Proj_23!$D$7=$B12)*Proj_23!N$95)+((Proj_24!$D$7=$B12)*Proj_24!N$95)+((Proj_25!$D$7=$B12)*Proj_25!N$95)+((Proj_26!$D$7=$B12)*Proj_26!N$95)+((Proj_27!$D$7=$B12)*Proj_27!N$95)+((Proj_28!$D$7=$B12)*Proj_28!N$95)+((Proj_29!$D$7=$B12)*Proj_29!N$95)+((Proj_30!$D$7=$B12)*Proj_30!N$95)+((Proj_31!$D$7=$B12)*Proj_31!N$95)+((Proj_32!$D$7=$B12)*Proj_32!N$95)+((Proj_33!$D$7=$B12)*Proj_33!N$95)+((Proj_34!$D$7=$B12)*Proj_34!N$95)+((Proj_35!$D$7=$B12)*Proj_35!N$95)+((Proj_36!$D$7=$B12)*Proj_36!N$95)+((Proj_37!$D$7=$B12)*Proj_37!N$95)+((Proj_38!$D$7=$B12)*Proj_38!N$95)+((Proj_39!$D$7=$B12)*Proj_39!N$95)+((Proj_40!$D$7=$B12)*Proj_40!N$95)+((Proj_41!$D$7=$B12)*Proj_41!N$95)+((Proj_42!$D$7=$B12)*Proj_42!N$95)+((Proj_43!$D$7=$B12)*Proj_43!N$95)+((Proj_44!$D$7=$B12)*Proj_44!N$95)+((Proj_45!$D$7=$B12)*Proj_45!N$95)+((Proj_46!$D$7=$B12)*Proj_46!N$95)</f>
        <v>0</v>
      </c>
      <c r="K12" s="193">
        <f t="shared" si="3"/>
        <v>63364.412599230207</v>
      </c>
      <c r="M12" s="80" t="s">
        <v>118</v>
      </c>
      <c r="N12" s="144">
        <f t="shared" si="0"/>
        <v>15.212453194749338</v>
      </c>
      <c r="O12" s="144">
        <f t="shared" si="0"/>
        <v>15.443712925932836</v>
      </c>
      <c r="P12" s="158">
        <f t="shared" si="1"/>
        <v>12.719479696891431</v>
      </c>
      <c r="Q12" s="158">
        <f t="shared" si="1"/>
        <v>12.399710359207694</v>
      </c>
      <c r="R12" s="158">
        <f t="shared" si="1"/>
        <v>13.256866064013829</v>
      </c>
      <c r="S12" s="158">
        <f t="shared" si="1"/>
        <v>11.880679618294709</v>
      </c>
      <c r="T12" s="158">
        <f t="shared" si="1"/>
        <v>13.107676860822547</v>
      </c>
      <c r="U12" s="144">
        <f t="shared" si="2"/>
        <v>0</v>
      </c>
      <c r="V12" s="158">
        <f t="shared" ref="V12" si="5">SUM(P12:T12)</f>
        <v>63.364412599230207</v>
      </c>
    </row>
    <row r="13" spans="2:22">
      <c r="B13" s="80" t="s">
        <v>143</v>
      </c>
      <c r="C13" s="131">
        <f>((Proj_1!$D$7=$B13)*Proj_1!G$95)+((Proj_2!$D$7=$B13)*Proj_2!G$95)+((Proj_3!$D$7=$B13)*Proj_3!G$95)+((Proj_4!$D$7=$B13)*Proj_4!G$95)+((Proj_5!$D$7=$B13)*Proj_5!G$95)+((Proj_6!$D$7=$B13)*Proj_6!G$95)+((Proj_7!$D$7=$B13)*Proj_7!G$95)+((Proj_8!$D$7=$B13)*Proj_8!G$95)+((Proj_9!$D$7=$B13)*Proj_9!G$95)+((Proj_10!$D$7=$B13)*Proj_10!G$95)+((Proj_11!$D$7=$B13)*Proj_11!G$95)+((Proj_12!$D$7=$B13)*Proj_12!G$95)+((Proj_13!$D$7=$B13)*Proj_13!G$95)+((Proj_14!$D$7=$B13)*Proj_14!G$95)+((Proj_15!$D$7=$B13)*Proj_15!G$95)+((Proj_16!$D$7=$B13)*Proj_16!G$95)+((Proj_17!$D$7=$B13)*Proj_17!G$95)+((Proj_18!$D$7=$B13)*Proj_18!G$95)+((Proj_19!$D$7=$B13)*Proj_19!G$95)+((Proj_20!$D$7=$B13)*Proj_20!G$95)+((Proj_21!$D$7=$B13)*Proj_21!G$95)+((Proj_22!$D$7=$B13)*Proj_22!G$95)+((Proj_23!$D$7=$B13)*Proj_23!G$95)+((Proj_24!$D$7=$B13)*Proj_24!G$95)+((Proj_25!$D$7=$B13)*Proj_25!G$95)+((Proj_26!$D$7=$B13)*Proj_26!G$95)+((Proj_27!$D$7=$B13)*Proj_27!G$95)+((Proj_28!$D$7=$B13)*Proj_28!G$95)+((Proj_29!$D$7=$B13)*Proj_29!G$95)+((Proj_30!$D$7=$B13)*Proj_30!G$95)+((Proj_31!$D$7=$B13)*Proj_31!G$95)+((Proj_32!$D$7=$B13)*Proj_32!G$95)+((Proj_33!$D$7=$B13)*Proj_33!G$95)+((Proj_34!$D$7=$B13)*Proj_34!G$95)+((Proj_35!$D$7=$B13)*Proj_35!G$95)+((Proj_36!$D$7=$B13)*Proj_36!G$95)+((Proj_37!$D$7=$B13)*Proj_37!G$95)+((Proj_38!$D$7=$B13)*Proj_38!G$95)+((Proj_39!$D$7=$B13)*Proj_39!G$95)+((Proj_40!$D$7=$B13)*Proj_40!G$95)+((Proj_41!$D$7=$B13)*Proj_41!G$95)+((Proj_42!$D$7=$B13)*Proj_42!G$95)+((Proj_43!$D$7=$B13)*Proj_43!G$95)+((Proj_44!$D$7=$B13)*Proj_44!G$95)+((Proj_45!$D$7=$B13)*Proj_45!G$95)+((Proj_46!$D$7=$B13)*Proj_46!G$95)</f>
        <v>2058.5833129249436</v>
      </c>
      <c r="D13" s="131">
        <f>((Proj_1!$D$7=$B13)*Proj_1!H$95)+((Proj_2!$D$7=$B13)*Proj_2!H$95)+((Proj_3!$D$7=$B13)*Proj_3!H$95)+((Proj_4!$D$7=$B13)*Proj_4!H$95)+((Proj_5!$D$7=$B13)*Proj_5!H$95)+((Proj_6!$D$7=$B13)*Proj_6!H$95)+((Proj_7!$D$7=$B13)*Proj_7!H$95)+((Proj_8!$D$7=$B13)*Proj_8!H$95)+((Proj_9!$D$7=$B13)*Proj_9!H$95)+((Proj_10!$D$7=$B13)*Proj_10!H$95)+((Proj_11!$D$7=$B13)*Proj_11!H$95)+((Proj_12!$D$7=$B13)*Proj_12!H$95)+((Proj_13!$D$7=$B13)*Proj_13!H$95)+((Proj_14!$D$7=$B13)*Proj_14!H$95)+((Proj_15!$D$7=$B13)*Proj_15!H$95)+((Proj_16!$D$7=$B13)*Proj_16!H$95)+((Proj_17!$D$7=$B13)*Proj_17!H$95)+((Proj_18!$D$7=$B13)*Proj_18!H$95)+((Proj_19!$D$7=$B13)*Proj_19!H$95)+((Proj_20!$D$7=$B13)*Proj_20!H$95)+((Proj_21!$D$7=$B13)*Proj_21!H$95)+((Proj_22!$D$7=$B13)*Proj_22!H$95)+((Proj_23!$D$7=$B13)*Proj_23!H$95)+((Proj_24!$D$7=$B13)*Proj_24!H$95)+((Proj_25!$D$7=$B13)*Proj_25!H$95)+((Proj_26!$D$7=$B13)*Proj_26!H$95)+((Proj_27!$D$7=$B13)*Proj_27!H$95)+((Proj_28!$D$7=$B13)*Proj_28!H$95)+((Proj_29!$D$7=$B13)*Proj_29!H$95)+((Proj_30!$D$7=$B13)*Proj_30!H$95)+((Proj_31!$D$7=$B13)*Proj_31!H$95)+((Proj_32!$D$7=$B13)*Proj_32!H$95)+((Proj_33!$D$7=$B13)*Proj_33!H$95)+((Proj_34!$D$7=$B13)*Proj_34!H$95)+((Proj_35!$D$7=$B13)*Proj_35!H$95)+((Proj_36!$D$7=$B13)*Proj_36!H$95)+((Proj_37!$D$7=$B13)*Proj_37!H$95)+((Proj_38!$D$7=$B13)*Proj_38!H$95)+((Proj_39!$D$7=$B13)*Proj_39!H$95)+((Proj_40!$D$7=$B13)*Proj_40!H$95)+((Proj_41!$D$7=$B13)*Proj_41!H$95)+((Proj_42!$D$7=$B13)*Proj_42!H$95)+((Proj_43!$D$7=$B13)*Proj_43!H$95)+((Proj_44!$D$7=$B13)*Proj_44!H$95)+((Proj_45!$D$7=$B13)*Proj_45!H$95)+((Proj_46!$D$7=$B13)*Proj_46!H$95)</f>
        <v>2587.5614353020501</v>
      </c>
      <c r="E13" s="193">
        <f>((Proj_1!$D$7=$B13)*Proj_1!I$95)+((Proj_2!$D$7=$B13)*Proj_2!I$95)+((Proj_3!$D$7=$B13)*Proj_3!I$95)+((Proj_4!$D$7=$B13)*Proj_4!I$95)+((Proj_5!$D$7=$B13)*Proj_5!I$95)+((Proj_6!$D$7=$B13)*Proj_6!I$95)+((Proj_7!$D$7=$B13)*Proj_7!I$95)+((Proj_8!$D$7=$B13)*Proj_8!I$95)+((Proj_9!$D$7=$B13)*Proj_9!I$95)+((Proj_10!$D$7=$B13)*Proj_10!I$95)+((Proj_11!$D$7=$B13)*Proj_11!I$95)+((Proj_12!$D$7=$B13)*Proj_12!I$95)+((Proj_13!$D$7=$B13)*Proj_13!I$95)+((Proj_14!$D$7=$B13)*Proj_14!I$95)+((Proj_15!$D$7=$B13)*Proj_15!I$95)+((Proj_16!$D$7=$B13)*Proj_16!I$95)+((Proj_17!$D$7=$B13)*Proj_17!I$95)+((Proj_18!$D$7=$B13)*Proj_18!I$95)+((Proj_19!$D$7=$B13)*Proj_19!I$95)+((Proj_20!$D$7=$B13)*Proj_20!I$95)+((Proj_21!$D$7=$B13)*Proj_21!I$95)+((Proj_22!$D$7=$B13)*Proj_22!I$95)+((Proj_23!$D$7=$B13)*Proj_23!I$95)+((Proj_24!$D$7=$B13)*Proj_24!I$95)+((Proj_25!$D$7=$B13)*Proj_25!I$95)+((Proj_26!$D$7=$B13)*Proj_26!I$95)+((Proj_27!$D$7=$B13)*Proj_27!I$95)+((Proj_28!$D$7=$B13)*Proj_28!I$95)+((Proj_29!$D$7=$B13)*Proj_29!I$95)+((Proj_30!$D$7=$B13)*Proj_30!I$95)+((Proj_31!$D$7=$B13)*Proj_31!I$95)+((Proj_32!$D$7=$B13)*Proj_32!I$95)+((Proj_33!$D$7=$B13)*Proj_33!I$95)+((Proj_34!$D$7=$B13)*Proj_34!I$95)+((Proj_35!$D$7=$B13)*Proj_35!I$95)+((Proj_36!$D$7=$B13)*Proj_36!I$95)+((Proj_37!$D$7=$B13)*Proj_37!I$95)+((Proj_38!$D$7=$B13)*Proj_38!I$95)+((Proj_39!$D$7=$B13)*Proj_39!I$95)+((Proj_40!$D$7=$B13)*Proj_40!I$95)+((Proj_41!$D$7=$B13)*Proj_41!I$95)+((Proj_42!$D$7=$B13)*Proj_42!I$95)+((Proj_43!$D$7=$B13)*Proj_43!I$95)+((Proj_44!$D$7=$B13)*Proj_44!I$95)+((Proj_45!$D$7=$B13)*Proj_45!I$95)+((Proj_46!$D$7=$B13)*Proj_46!I$95)</f>
        <v>2923.3476343865623</v>
      </c>
      <c r="F13" s="193">
        <f>((Proj_1!$D$7=$B13)*Proj_1!J$95)+((Proj_2!$D$7=$B13)*Proj_2!J$95)+((Proj_3!$D$7=$B13)*Proj_3!J$95)+((Proj_4!$D$7=$B13)*Proj_4!J$95)+((Proj_5!$D$7=$B13)*Proj_5!J$95)+((Proj_6!$D$7=$B13)*Proj_6!J$95)+((Proj_7!$D$7=$B13)*Proj_7!J$95)+((Proj_8!$D$7=$B13)*Proj_8!J$95)+((Proj_9!$D$7=$B13)*Proj_9!J$95)+((Proj_10!$D$7=$B13)*Proj_10!J$95)+((Proj_11!$D$7=$B13)*Proj_11!J$95)+((Proj_12!$D$7=$B13)*Proj_12!J$95)+((Proj_13!$D$7=$B13)*Proj_13!J$95)+((Proj_14!$D$7=$B13)*Proj_14!J$95)+((Proj_15!$D$7=$B13)*Proj_15!J$95)+((Proj_16!$D$7=$B13)*Proj_16!J$95)+((Proj_17!$D$7=$B13)*Proj_17!J$95)+((Proj_18!$D$7=$B13)*Proj_18!J$95)+((Proj_19!$D$7=$B13)*Proj_19!J$95)+((Proj_20!$D$7=$B13)*Proj_20!J$95)+((Proj_21!$D$7=$B13)*Proj_21!J$95)+((Proj_22!$D$7=$B13)*Proj_22!J$95)+((Proj_23!$D$7=$B13)*Proj_23!J$95)+((Proj_24!$D$7=$B13)*Proj_24!J$95)+((Proj_25!$D$7=$B13)*Proj_25!J$95)+((Proj_26!$D$7=$B13)*Proj_26!J$95)+((Proj_27!$D$7=$B13)*Proj_27!J$95)+((Proj_28!$D$7=$B13)*Proj_28!J$95)+((Proj_29!$D$7=$B13)*Proj_29!J$95)+((Proj_30!$D$7=$B13)*Proj_30!J$95)+((Proj_31!$D$7=$B13)*Proj_31!J$95)+((Proj_32!$D$7=$B13)*Proj_32!J$95)+((Proj_33!$D$7=$B13)*Proj_33!J$95)+((Proj_34!$D$7=$B13)*Proj_34!J$95)+((Proj_35!$D$7=$B13)*Proj_35!J$95)+((Proj_36!$D$7=$B13)*Proj_36!J$95)+((Proj_37!$D$7=$B13)*Proj_37!J$95)+((Proj_38!$D$7=$B13)*Proj_38!J$95)+((Proj_39!$D$7=$B13)*Proj_39!J$95)+((Proj_40!$D$7=$B13)*Proj_40!J$95)+((Proj_41!$D$7=$B13)*Proj_41!J$95)+((Proj_42!$D$7=$B13)*Proj_42!J$95)+((Proj_43!$D$7=$B13)*Proj_43!J$95)+((Proj_44!$D$7=$B13)*Proj_44!J$95)+((Proj_45!$D$7=$B13)*Proj_45!J$95)+((Proj_46!$D$7=$B13)*Proj_46!J$95)</f>
        <v>2941.1008478565445</v>
      </c>
      <c r="G13" s="193">
        <f>((Proj_1!$D$7=$B13)*Proj_1!K$95)+((Proj_2!$D$7=$B13)*Proj_2!K$95)+((Proj_3!$D$7=$B13)*Proj_3!K$95)+((Proj_4!$D$7=$B13)*Proj_4!K$95)+((Proj_5!$D$7=$B13)*Proj_5!K$95)+((Proj_6!$D$7=$B13)*Proj_6!K$95)+((Proj_7!$D$7=$B13)*Proj_7!K$95)+((Proj_8!$D$7=$B13)*Proj_8!K$95)+((Proj_9!$D$7=$B13)*Proj_9!K$95)+((Proj_10!$D$7=$B13)*Proj_10!K$95)+((Proj_11!$D$7=$B13)*Proj_11!K$95)+((Proj_12!$D$7=$B13)*Proj_12!K$95)+((Proj_13!$D$7=$B13)*Proj_13!K$95)+((Proj_14!$D$7=$B13)*Proj_14!K$95)+((Proj_15!$D$7=$B13)*Proj_15!K$95)+((Proj_16!$D$7=$B13)*Proj_16!K$95)+((Proj_17!$D$7=$B13)*Proj_17!K$95)+((Proj_18!$D$7=$B13)*Proj_18!K$95)+((Proj_19!$D$7=$B13)*Proj_19!K$95)+((Proj_20!$D$7=$B13)*Proj_20!K$95)+((Proj_21!$D$7=$B13)*Proj_21!K$95)+((Proj_22!$D$7=$B13)*Proj_22!K$95)+((Proj_23!$D$7=$B13)*Proj_23!K$95)+((Proj_24!$D$7=$B13)*Proj_24!K$95)+((Proj_25!$D$7=$B13)*Proj_25!K$95)+((Proj_26!$D$7=$B13)*Proj_26!K$95)+((Proj_27!$D$7=$B13)*Proj_27!K$95)+((Proj_28!$D$7=$B13)*Proj_28!K$95)+((Proj_29!$D$7=$B13)*Proj_29!K$95)+((Proj_30!$D$7=$B13)*Proj_30!K$95)+((Proj_31!$D$7=$B13)*Proj_31!K$95)+((Proj_32!$D$7=$B13)*Proj_32!K$95)+((Proj_33!$D$7=$B13)*Proj_33!K$95)+((Proj_34!$D$7=$B13)*Proj_34!K$95)+((Proj_35!$D$7=$B13)*Proj_35!K$95)+((Proj_36!$D$7=$B13)*Proj_36!K$95)+((Proj_37!$D$7=$B13)*Proj_37!K$95)+((Proj_38!$D$7=$B13)*Proj_38!K$95)+((Proj_39!$D$7=$B13)*Proj_39!K$95)+((Proj_40!$D$7=$B13)*Proj_40!K$95)+((Proj_41!$D$7=$B13)*Proj_41!K$95)+((Proj_42!$D$7=$B13)*Proj_42!K$95)+((Proj_43!$D$7=$B13)*Proj_43!K$95)+((Proj_44!$D$7=$B13)*Proj_44!K$95)+((Proj_45!$D$7=$B13)*Proj_45!K$95)+((Proj_46!$D$7=$B13)*Proj_46!K$95)</f>
        <v>2958.5642842096154</v>
      </c>
      <c r="H13" s="193">
        <f>((Proj_1!$D$7=$B13)*Proj_1!L$95)+((Proj_2!$D$7=$B13)*Proj_2!L$95)+((Proj_3!$D$7=$B13)*Proj_3!L$95)+((Proj_4!$D$7=$B13)*Proj_4!L$95)+((Proj_5!$D$7=$B13)*Proj_5!L$95)+((Proj_6!$D$7=$B13)*Proj_6!L$95)+((Proj_7!$D$7=$B13)*Proj_7!L$95)+((Proj_8!$D$7=$B13)*Proj_8!L$95)+((Proj_9!$D$7=$B13)*Proj_9!L$95)+((Proj_10!$D$7=$B13)*Proj_10!L$95)+((Proj_11!$D$7=$B13)*Proj_11!L$95)+((Proj_12!$D$7=$B13)*Proj_12!L$95)+((Proj_13!$D$7=$B13)*Proj_13!L$95)+((Proj_14!$D$7=$B13)*Proj_14!L$95)+((Proj_15!$D$7=$B13)*Proj_15!L$95)+((Proj_16!$D$7=$B13)*Proj_16!L$95)+((Proj_17!$D$7=$B13)*Proj_17!L$95)+((Proj_18!$D$7=$B13)*Proj_18!L$95)+((Proj_19!$D$7=$B13)*Proj_19!L$95)+((Proj_20!$D$7=$B13)*Proj_20!L$95)+((Proj_21!$D$7=$B13)*Proj_21!L$95)+((Proj_22!$D$7=$B13)*Proj_22!L$95)+((Proj_23!$D$7=$B13)*Proj_23!L$95)+((Proj_24!$D$7=$B13)*Proj_24!L$95)+((Proj_25!$D$7=$B13)*Proj_25!L$95)+((Proj_26!$D$7=$B13)*Proj_26!L$95)+((Proj_27!$D$7=$B13)*Proj_27!L$95)+((Proj_28!$D$7=$B13)*Proj_28!L$95)+((Proj_29!$D$7=$B13)*Proj_29!L$95)+((Proj_30!$D$7=$B13)*Proj_30!L$95)+((Proj_31!$D$7=$B13)*Proj_31!L$95)+((Proj_32!$D$7=$B13)*Proj_32!L$95)+((Proj_33!$D$7=$B13)*Proj_33!L$95)+((Proj_34!$D$7=$B13)*Proj_34!L$95)+((Proj_35!$D$7=$B13)*Proj_35!L$95)+((Proj_36!$D$7=$B13)*Proj_36!L$95)+((Proj_37!$D$7=$B13)*Proj_37!L$95)+((Proj_38!$D$7=$B13)*Proj_38!L$95)+((Proj_39!$D$7=$B13)*Proj_39!L$95)+((Proj_40!$D$7=$B13)*Proj_40!L$95)+((Proj_41!$D$7=$B13)*Proj_41!L$95)+((Proj_42!$D$7=$B13)*Proj_42!L$95)+((Proj_43!$D$7=$B13)*Proj_43!L$95)+((Proj_44!$D$7=$B13)*Proj_44!L$95)+((Proj_45!$D$7=$B13)*Proj_45!L$95)+((Proj_46!$D$7=$B13)*Proj_46!L$95)</f>
        <v>2977.6425137068209</v>
      </c>
      <c r="I13" s="193">
        <f>((Proj_1!$D$7=$B13)*Proj_1!M$95)+((Proj_2!$D$7=$B13)*Proj_2!M$95)+((Proj_3!$D$7=$B13)*Proj_3!M$95)+((Proj_4!$D$7=$B13)*Proj_4!M$95)+((Proj_5!$D$7=$B13)*Proj_5!M$95)+((Proj_6!$D$7=$B13)*Proj_6!M$95)+((Proj_7!$D$7=$B13)*Proj_7!M$95)+((Proj_8!$D$7=$B13)*Proj_8!M$95)+((Proj_9!$D$7=$B13)*Proj_9!M$95)+((Proj_10!$D$7=$B13)*Proj_10!M$95)+((Proj_11!$D$7=$B13)*Proj_11!M$95)+((Proj_12!$D$7=$B13)*Proj_12!M$95)+((Proj_13!$D$7=$B13)*Proj_13!M$95)+((Proj_14!$D$7=$B13)*Proj_14!M$95)+((Proj_15!$D$7=$B13)*Proj_15!M$95)+((Proj_16!$D$7=$B13)*Proj_16!M$95)+((Proj_17!$D$7=$B13)*Proj_17!M$95)+((Proj_18!$D$7=$B13)*Proj_18!M$95)+((Proj_19!$D$7=$B13)*Proj_19!M$95)+((Proj_20!$D$7=$B13)*Proj_20!M$95)+((Proj_21!$D$7=$B13)*Proj_21!M$95)+((Proj_22!$D$7=$B13)*Proj_22!M$95)+((Proj_23!$D$7=$B13)*Proj_23!M$95)+((Proj_24!$D$7=$B13)*Proj_24!M$95)+((Proj_25!$D$7=$B13)*Proj_25!M$95)+((Proj_26!$D$7=$B13)*Proj_26!M$95)+((Proj_27!$D$7=$B13)*Proj_27!M$95)+((Proj_28!$D$7=$B13)*Proj_28!M$95)+((Proj_29!$D$7=$B13)*Proj_29!M$95)+((Proj_30!$D$7=$B13)*Proj_30!M$95)+((Proj_31!$D$7=$B13)*Proj_31!M$95)+((Proj_32!$D$7=$B13)*Proj_32!M$95)+((Proj_33!$D$7=$B13)*Proj_33!M$95)+((Proj_34!$D$7=$B13)*Proj_34!M$95)+((Proj_35!$D$7=$B13)*Proj_35!M$95)+((Proj_36!$D$7=$B13)*Proj_36!M$95)+((Proj_37!$D$7=$B13)*Proj_37!M$95)+((Proj_38!$D$7=$B13)*Proj_38!M$95)+((Proj_39!$D$7=$B13)*Proj_39!M$95)+((Proj_40!$D$7=$B13)*Proj_40!M$95)+((Proj_41!$D$7=$B13)*Proj_41!M$95)+((Proj_42!$D$7=$B13)*Proj_42!M$95)+((Proj_43!$D$7=$B13)*Proj_43!M$95)+((Proj_44!$D$7=$B13)*Proj_44!M$95)+((Proj_45!$D$7=$B13)*Proj_45!M$95)+((Proj_46!$D$7=$B13)*Proj_46!M$95)</f>
        <v>2997.3489908191082</v>
      </c>
      <c r="J13" s="131">
        <f>((Proj_1!$D$7=$B13)*Proj_1!N$95)+((Proj_2!$D$7=$B13)*Proj_2!N$95)+((Proj_3!$D$7=$B13)*Proj_3!N$95)+((Proj_4!$D$7=$B13)*Proj_4!N$95)+((Proj_5!$D$7=$B13)*Proj_5!N$95)+((Proj_6!$D$7=$B13)*Proj_6!N$95)+((Proj_7!$D$7=$B13)*Proj_7!N$95)+((Proj_8!$D$7=$B13)*Proj_8!N$95)+((Proj_9!$D$7=$B13)*Proj_9!N$95)+((Proj_10!$D$7=$B13)*Proj_10!N$95)+((Proj_11!$D$7=$B13)*Proj_11!N$95)+((Proj_12!$D$7=$B13)*Proj_12!N$95)+((Proj_13!$D$7=$B13)*Proj_13!N$95)+((Proj_14!$D$7=$B13)*Proj_14!N$95)+((Proj_15!$D$7=$B13)*Proj_15!N$95)+((Proj_16!$D$7=$B13)*Proj_16!N$95)+((Proj_17!$D$7=$B13)*Proj_17!N$95)+((Proj_18!$D$7=$B13)*Proj_18!N$95)+((Proj_19!$D$7=$B13)*Proj_19!N$95)+((Proj_20!$D$7=$B13)*Proj_20!N$95)+((Proj_21!$D$7=$B13)*Proj_21!N$95)+((Proj_22!$D$7=$B13)*Proj_22!N$95)+((Proj_23!$D$7=$B13)*Proj_23!N$95)+((Proj_24!$D$7=$B13)*Proj_24!N$95)+((Proj_25!$D$7=$B13)*Proj_25!N$95)+((Proj_26!$D$7=$B13)*Proj_26!N$95)+((Proj_27!$D$7=$B13)*Proj_27!N$95)+((Proj_28!$D$7=$B13)*Proj_28!N$95)+((Proj_29!$D$7=$B13)*Proj_29!N$95)+((Proj_30!$D$7=$B13)*Proj_30!N$95)+((Proj_31!$D$7=$B13)*Proj_31!N$95)+((Proj_32!$D$7=$B13)*Proj_32!N$95)+((Proj_33!$D$7=$B13)*Proj_33!N$95)+((Proj_34!$D$7=$B13)*Proj_34!N$95)+((Proj_35!$D$7=$B13)*Proj_35!N$95)+((Proj_36!$D$7=$B13)*Proj_36!N$95)+((Proj_37!$D$7=$B13)*Proj_37!N$95)+((Proj_38!$D$7=$B13)*Proj_38!N$95)+((Proj_39!$D$7=$B13)*Proj_39!N$95)+((Proj_40!$D$7=$B13)*Proj_40!N$95)+((Proj_41!$D$7=$B13)*Proj_41!N$95)+((Proj_42!$D$7=$B13)*Proj_42!N$95)+((Proj_43!$D$7=$B13)*Proj_43!N$95)+((Proj_44!$D$7=$B13)*Proj_44!N$95)+((Proj_45!$D$7=$B13)*Proj_45!N$95)+((Proj_46!$D$7=$B13)*Proj_46!N$95)</f>
        <v>0</v>
      </c>
      <c r="K13" s="193">
        <f t="shared" si="3"/>
        <v>14798.00427097865</v>
      </c>
      <c r="M13" s="80" t="s">
        <v>143</v>
      </c>
      <c r="N13" s="144">
        <f t="shared" si="0"/>
        <v>2.0585833129249438</v>
      </c>
      <c r="O13" s="144">
        <f t="shared" si="0"/>
        <v>2.58756143530205</v>
      </c>
      <c r="P13" s="158">
        <f t="shared" si="1"/>
        <v>2.9233476343865621</v>
      </c>
      <c r="Q13" s="158">
        <f t="shared" si="1"/>
        <v>2.9411008478565446</v>
      </c>
      <c r="R13" s="158">
        <f t="shared" si="1"/>
        <v>2.9585642842096154</v>
      </c>
      <c r="S13" s="158">
        <f t="shared" si="1"/>
        <v>2.977642513706821</v>
      </c>
      <c r="T13" s="158">
        <f t="shared" si="1"/>
        <v>2.9973489908191082</v>
      </c>
      <c r="U13" s="144">
        <f t="shared" si="2"/>
        <v>0</v>
      </c>
      <c r="V13" s="158">
        <f t="shared" si="4"/>
        <v>14.798004270978652</v>
      </c>
    </row>
    <row r="14" spans="2:22">
      <c r="B14" s="80" t="s">
        <v>144</v>
      </c>
      <c r="C14" s="131">
        <f>((Proj_1!$D$7=$B14)*Proj_1!G$95)+((Proj_2!$D$7=$B14)*Proj_2!G$95)+((Proj_3!$D$7=$B14)*Proj_3!G$95)+((Proj_4!$D$7=$B14)*Proj_4!G$95)+((Proj_5!$D$7=$B14)*Proj_5!G$95)+((Proj_6!$D$7=$B14)*Proj_6!G$95)+((Proj_7!$D$7=$B14)*Proj_7!G$95)+((Proj_8!$D$7=$B14)*Proj_8!G$95)+((Proj_9!$D$7=$B14)*Proj_9!G$95)+((Proj_10!$D$7=$B14)*Proj_10!G$95)+((Proj_11!$D$7=$B14)*Proj_11!G$95)+((Proj_12!$D$7=$B14)*Proj_12!G$95)+((Proj_13!$D$7=$B14)*Proj_13!G$95)+((Proj_14!$D$7=$B14)*Proj_14!G$95)+((Proj_15!$D$7=$B14)*Proj_15!G$95)+((Proj_16!$D$7=$B14)*Proj_16!G$95)+((Proj_17!$D$7=$B14)*Proj_17!G$95)+((Proj_18!$D$7=$B14)*Proj_18!G$95)+((Proj_19!$D$7=$B14)*Proj_19!G$95)+((Proj_20!$D$7=$B14)*Proj_20!G$95)+((Proj_21!$D$7=$B14)*Proj_21!G$95)+((Proj_22!$D$7=$B14)*Proj_22!G$95)+((Proj_23!$D$7=$B14)*Proj_23!G$95)+((Proj_24!$D$7=$B14)*Proj_24!G$95)+((Proj_25!$D$7=$B14)*Proj_25!G$95)+((Proj_26!$D$7=$B14)*Proj_26!G$95)+((Proj_27!$D$7=$B14)*Proj_27!G$95)+((Proj_28!$D$7=$B14)*Proj_28!G$95)+((Proj_29!$D$7=$B14)*Proj_29!G$95)+((Proj_30!$D$7=$B14)*Proj_30!G$95)+((Proj_31!$D$7=$B14)*Proj_31!G$95)+((Proj_32!$D$7=$B14)*Proj_32!G$95)+((Proj_33!$D$7=$B14)*Proj_33!G$95)+((Proj_34!$D$7=$B14)*Proj_34!G$95)+((Proj_35!$D$7=$B14)*Proj_35!G$95)+((Proj_36!$D$7=$B14)*Proj_36!G$95)+((Proj_37!$D$7=$B14)*Proj_37!G$95)+((Proj_38!$D$7=$B14)*Proj_38!G$95)+((Proj_39!$D$7=$B14)*Proj_39!G$95)+((Proj_40!$D$7=$B14)*Proj_40!G$95)+((Proj_41!$D$7=$B14)*Proj_41!G$95)+((Proj_42!$D$7=$B14)*Proj_42!G$95)+((Proj_43!$D$7=$B14)*Proj_43!G$95)+((Proj_44!$D$7=$B14)*Proj_44!G$95)+((Proj_45!$D$7=$B14)*Proj_45!G$95)+((Proj_46!$D$7=$B14)*Proj_46!G$95)</f>
        <v>1398.0264586988103</v>
      </c>
      <c r="D14" s="131">
        <f>((Proj_1!$D$7=$B14)*Proj_1!H$95)+((Proj_2!$D$7=$B14)*Proj_2!H$95)+((Proj_3!$D$7=$B14)*Proj_3!H$95)+((Proj_4!$D$7=$B14)*Proj_4!H$95)+((Proj_5!$D$7=$B14)*Proj_5!H$95)+((Proj_6!$D$7=$B14)*Proj_6!H$95)+((Proj_7!$D$7=$B14)*Proj_7!H$95)+((Proj_8!$D$7=$B14)*Proj_8!H$95)+((Proj_9!$D$7=$B14)*Proj_9!H$95)+((Proj_10!$D$7=$B14)*Proj_10!H$95)+((Proj_11!$D$7=$B14)*Proj_11!H$95)+((Proj_12!$D$7=$B14)*Proj_12!H$95)+((Proj_13!$D$7=$B14)*Proj_13!H$95)+((Proj_14!$D$7=$B14)*Proj_14!H$95)+((Proj_15!$D$7=$B14)*Proj_15!H$95)+((Proj_16!$D$7=$B14)*Proj_16!H$95)+((Proj_17!$D$7=$B14)*Proj_17!H$95)+((Proj_18!$D$7=$B14)*Proj_18!H$95)+((Proj_19!$D$7=$B14)*Proj_19!H$95)+((Proj_20!$D$7=$B14)*Proj_20!H$95)+((Proj_21!$D$7=$B14)*Proj_21!H$95)+((Proj_22!$D$7=$B14)*Proj_22!H$95)+((Proj_23!$D$7=$B14)*Proj_23!H$95)+((Proj_24!$D$7=$B14)*Proj_24!H$95)+((Proj_25!$D$7=$B14)*Proj_25!H$95)+((Proj_26!$D$7=$B14)*Proj_26!H$95)+((Proj_27!$D$7=$B14)*Proj_27!H$95)+((Proj_28!$D$7=$B14)*Proj_28!H$95)+((Proj_29!$D$7=$B14)*Proj_29!H$95)+((Proj_30!$D$7=$B14)*Proj_30!H$95)+((Proj_31!$D$7=$B14)*Proj_31!H$95)+((Proj_32!$D$7=$B14)*Proj_32!H$95)+((Proj_33!$D$7=$B14)*Proj_33!H$95)+((Proj_34!$D$7=$B14)*Proj_34!H$95)+((Proj_35!$D$7=$B14)*Proj_35!H$95)+((Proj_36!$D$7=$B14)*Proj_36!H$95)+((Proj_37!$D$7=$B14)*Proj_37!H$95)+((Proj_38!$D$7=$B14)*Proj_38!H$95)+((Proj_39!$D$7=$B14)*Proj_39!H$95)+((Proj_40!$D$7=$B14)*Proj_40!H$95)+((Proj_41!$D$7=$B14)*Proj_41!H$95)+((Proj_42!$D$7=$B14)*Proj_42!H$95)+((Proj_43!$D$7=$B14)*Proj_43!H$95)+((Proj_44!$D$7=$B14)*Proj_44!H$95)+((Proj_45!$D$7=$B14)*Proj_45!H$95)+((Proj_46!$D$7=$B14)*Proj_46!H$95)</f>
        <v>893.45859820672661</v>
      </c>
      <c r="E14" s="193">
        <f>((Proj_1!$D$7=$B14)*Proj_1!I$95)+((Proj_2!$D$7=$B14)*Proj_2!I$95)+((Proj_3!$D$7=$B14)*Proj_3!I$95)+((Proj_4!$D$7=$B14)*Proj_4!I$95)+((Proj_5!$D$7=$B14)*Proj_5!I$95)+((Proj_6!$D$7=$B14)*Proj_6!I$95)+((Proj_7!$D$7=$B14)*Proj_7!I$95)+((Proj_8!$D$7=$B14)*Proj_8!I$95)+((Proj_9!$D$7=$B14)*Proj_9!I$95)+((Proj_10!$D$7=$B14)*Proj_10!I$95)+((Proj_11!$D$7=$B14)*Proj_11!I$95)+((Proj_12!$D$7=$B14)*Proj_12!I$95)+((Proj_13!$D$7=$B14)*Proj_13!I$95)+((Proj_14!$D$7=$B14)*Proj_14!I$95)+((Proj_15!$D$7=$B14)*Proj_15!I$95)+((Proj_16!$D$7=$B14)*Proj_16!I$95)+((Proj_17!$D$7=$B14)*Proj_17!I$95)+((Proj_18!$D$7=$B14)*Proj_18!I$95)+((Proj_19!$D$7=$B14)*Proj_19!I$95)+((Proj_20!$D$7=$B14)*Proj_20!I$95)+((Proj_21!$D$7=$B14)*Proj_21!I$95)+((Proj_22!$D$7=$B14)*Proj_22!I$95)+((Proj_23!$D$7=$B14)*Proj_23!I$95)+((Proj_24!$D$7=$B14)*Proj_24!I$95)+((Proj_25!$D$7=$B14)*Proj_25!I$95)+((Proj_26!$D$7=$B14)*Proj_26!I$95)+((Proj_27!$D$7=$B14)*Proj_27!I$95)+((Proj_28!$D$7=$B14)*Proj_28!I$95)+((Proj_29!$D$7=$B14)*Proj_29!I$95)+((Proj_30!$D$7=$B14)*Proj_30!I$95)+((Proj_31!$D$7=$B14)*Proj_31!I$95)+((Proj_32!$D$7=$B14)*Proj_32!I$95)+((Proj_33!$D$7=$B14)*Proj_33!I$95)+((Proj_34!$D$7=$B14)*Proj_34!I$95)+((Proj_35!$D$7=$B14)*Proj_35!I$95)+((Proj_36!$D$7=$B14)*Proj_36!I$95)+((Proj_37!$D$7=$B14)*Proj_37!I$95)+((Proj_38!$D$7=$B14)*Proj_38!I$95)+((Proj_39!$D$7=$B14)*Proj_39!I$95)+((Proj_40!$D$7=$B14)*Proj_40!I$95)+((Proj_41!$D$7=$B14)*Proj_41!I$95)+((Proj_42!$D$7=$B14)*Proj_42!I$95)+((Proj_43!$D$7=$B14)*Proj_43!I$95)+((Proj_44!$D$7=$B14)*Proj_44!I$95)+((Proj_45!$D$7=$B14)*Proj_45!I$95)+((Proj_46!$D$7=$B14)*Proj_46!I$95)</f>
        <v>1923.5863548471418</v>
      </c>
      <c r="F14" s="193">
        <f>((Proj_1!$D$7=$B14)*Proj_1!J$95)+((Proj_2!$D$7=$B14)*Proj_2!J$95)+((Proj_3!$D$7=$B14)*Proj_3!J$95)+((Proj_4!$D$7=$B14)*Proj_4!J$95)+((Proj_5!$D$7=$B14)*Proj_5!J$95)+((Proj_6!$D$7=$B14)*Proj_6!J$95)+((Proj_7!$D$7=$B14)*Proj_7!J$95)+((Proj_8!$D$7=$B14)*Proj_8!J$95)+((Proj_9!$D$7=$B14)*Proj_9!J$95)+((Proj_10!$D$7=$B14)*Proj_10!J$95)+((Proj_11!$D$7=$B14)*Proj_11!J$95)+((Proj_12!$D$7=$B14)*Proj_12!J$95)+((Proj_13!$D$7=$B14)*Proj_13!J$95)+((Proj_14!$D$7=$B14)*Proj_14!J$95)+((Proj_15!$D$7=$B14)*Proj_15!J$95)+((Proj_16!$D$7=$B14)*Proj_16!J$95)+((Proj_17!$D$7=$B14)*Proj_17!J$95)+((Proj_18!$D$7=$B14)*Proj_18!J$95)+((Proj_19!$D$7=$B14)*Proj_19!J$95)+((Proj_20!$D$7=$B14)*Proj_20!J$95)+((Proj_21!$D$7=$B14)*Proj_21!J$95)+((Proj_22!$D$7=$B14)*Proj_22!J$95)+((Proj_23!$D$7=$B14)*Proj_23!J$95)+((Proj_24!$D$7=$B14)*Proj_24!J$95)+((Proj_25!$D$7=$B14)*Proj_25!J$95)+((Proj_26!$D$7=$B14)*Proj_26!J$95)+((Proj_27!$D$7=$B14)*Proj_27!J$95)+((Proj_28!$D$7=$B14)*Proj_28!J$95)+((Proj_29!$D$7=$B14)*Proj_29!J$95)+((Proj_30!$D$7=$B14)*Proj_30!J$95)+((Proj_31!$D$7=$B14)*Proj_31!J$95)+((Proj_32!$D$7=$B14)*Proj_32!J$95)+((Proj_33!$D$7=$B14)*Proj_33!J$95)+((Proj_34!$D$7=$B14)*Proj_34!J$95)+((Proj_35!$D$7=$B14)*Proj_35!J$95)+((Proj_36!$D$7=$B14)*Proj_36!J$95)+((Proj_37!$D$7=$B14)*Proj_37!J$95)+((Proj_38!$D$7=$B14)*Proj_38!J$95)+((Proj_39!$D$7=$B14)*Proj_39!J$95)+((Proj_40!$D$7=$B14)*Proj_40!J$95)+((Proj_41!$D$7=$B14)*Proj_41!J$95)+((Proj_42!$D$7=$B14)*Proj_42!J$95)+((Proj_43!$D$7=$B14)*Proj_43!J$95)+((Proj_44!$D$7=$B14)*Proj_44!J$95)+((Proj_45!$D$7=$B14)*Proj_45!J$95)+((Proj_46!$D$7=$B14)*Proj_46!J$95)</f>
        <v>1518.6098221472716</v>
      </c>
      <c r="G14" s="193">
        <f>((Proj_1!$D$7=$B14)*Proj_1!K$95)+((Proj_2!$D$7=$B14)*Proj_2!K$95)+((Proj_3!$D$7=$B14)*Proj_3!K$95)+((Proj_4!$D$7=$B14)*Proj_4!K$95)+((Proj_5!$D$7=$B14)*Proj_5!K$95)+((Proj_6!$D$7=$B14)*Proj_6!K$95)+((Proj_7!$D$7=$B14)*Proj_7!K$95)+((Proj_8!$D$7=$B14)*Proj_8!K$95)+((Proj_9!$D$7=$B14)*Proj_9!K$95)+((Proj_10!$D$7=$B14)*Proj_10!K$95)+((Proj_11!$D$7=$B14)*Proj_11!K$95)+((Proj_12!$D$7=$B14)*Proj_12!K$95)+((Proj_13!$D$7=$B14)*Proj_13!K$95)+((Proj_14!$D$7=$B14)*Proj_14!K$95)+((Proj_15!$D$7=$B14)*Proj_15!K$95)+((Proj_16!$D$7=$B14)*Proj_16!K$95)+((Proj_17!$D$7=$B14)*Proj_17!K$95)+((Proj_18!$D$7=$B14)*Proj_18!K$95)+((Proj_19!$D$7=$B14)*Proj_19!K$95)+((Proj_20!$D$7=$B14)*Proj_20!K$95)+((Proj_21!$D$7=$B14)*Proj_21!K$95)+((Proj_22!$D$7=$B14)*Proj_22!K$95)+((Proj_23!$D$7=$B14)*Proj_23!K$95)+((Proj_24!$D$7=$B14)*Proj_24!K$95)+((Proj_25!$D$7=$B14)*Proj_25!K$95)+((Proj_26!$D$7=$B14)*Proj_26!K$95)+((Proj_27!$D$7=$B14)*Proj_27!K$95)+((Proj_28!$D$7=$B14)*Proj_28!K$95)+((Proj_29!$D$7=$B14)*Proj_29!K$95)+((Proj_30!$D$7=$B14)*Proj_30!K$95)+((Proj_31!$D$7=$B14)*Proj_31!K$95)+((Proj_32!$D$7=$B14)*Proj_32!K$95)+((Proj_33!$D$7=$B14)*Proj_33!K$95)+((Proj_34!$D$7=$B14)*Proj_34!K$95)+((Proj_35!$D$7=$B14)*Proj_35!K$95)+((Proj_36!$D$7=$B14)*Proj_36!K$95)+((Proj_37!$D$7=$B14)*Proj_37!K$95)+((Proj_38!$D$7=$B14)*Proj_38!K$95)+((Proj_39!$D$7=$B14)*Proj_39!K$95)+((Proj_40!$D$7=$B14)*Proj_40!K$95)+((Proj_41!$D$7=$B14)*Proj_41!K$95)+((Proj_42!$D$7=$B14)*Proj_42!K$95)+((Proj_43!$D$7=$B14)*Proj_43!K$95)+((Proj_44!$D$7=$B14)*Proj_44!K$95)+((Proj_45!$D$7=$B14)*Proj_45!K$95)+((Proj_46!$D$7=$B14)*Proj_46!K$95)</f>
        <v>2106.6912533721465</v>
      </c>
      <c r="H14" s="193">
        <f>((Proj_1!$D$7=$B14)*Proj_1!L$95)+((Proj_2!$D$7=$B14)*Proj_2!L$95)+((Proj_3!$D$7=$B14)*Proj_3!L$95)+((Proj_4!$D$7=$B14)*Proj_4!L$95)+((Proj_5!$D$7=$B14)*Proj_5!L$95)+((Proj_6!$D$7=$B14)*Proj_6!L$95)+((Proj_7!$D$7=$B14)*Proj_7!L$95)+((Proj_8!$D$7=$B14)*Proj_8!L$95)+((Proj_9!$D$7=$B14)*Proj_9!L$95)+((Proj_10!$D$7=$B14)*Proj_10!L$95)+((Proj_11!$D$7=$B14)*Proj_11!L$95)+((Proj_12!$D$7=$B14)*Proj_12!L$95)+((Proj_13!$D$7=$B14)*Proj_13!L$95)+((Proj_14!$D$7=$B14)*Proj_14!L$95)+((Proj_15!$D$7=$B14)*Proj_15!L$95)+((Proj_16!$D$7=$B14)*Proj_16!L$95)+((Proj_17!$D$7=$B14)*Proj_17!L$95)+((Proj_18!$D$7=$B14)*Proj_18!L$95)+((Proj_19!$D$7=$B14)*Proj_19!L$95)+((Proj_20!$D$7=$B14)*Proj_20!L$95)+((Proj_21!$D$7=$B14)*Proj_21!L$95)+((Proj_22!$D$7=$B14)*Proj_22!L$95)+((Proj_23!$D$7=$B14)*Proj_23!L$95)+((Proj_24!$D$7=$B14)*Proj_24!L$95)+((Proj_25!$D$7=$B14)*Proj_25!L$95)+((Proj_26!$D$7=$B14)*Proj_26!L$95)+((Proj_27!$D$7=$B14)*Proj_27!L$95)+((Proj_28!$D$7=$B14)*Proj_28!L$95)+((Proj_29!$D$7=$B14)*Proj_29!L$95)+((Proj_30!$D$7=$B14)*Proj_30!L$95)+((Proj_31!$D$7=$B14)*Proj_31!L$95)+((Proj_32!$D$7=$B14)*Proj_32!L$95)+((Proj_33!$D$7=$B14)*Proj_33!L$95)+((Proj_34!$D$7=$B14)*Proj_34!L$95)+((Proj_35!$D$7=$B14)*Proj_35!L$95)+((Proj_36!$D$7=$B14)*Proj_36!L$95)+((Proj_37!$D$7=$B14)*Proj_37!L$95)+((Proj_38!$D$7=$B14)*Proj_38!L$95)+((Proj_39!$D$7=$B14)*Proj_39!L$95)+((Proj_40!$D$7=$B14)*Proj_40!L$95)+((Proj_41!$D$7=$B14)*Proj_41!L$95)+((Proj_42!$D$7=$B14)*Proj_42!L$95)+((Proj_43!$D$7=$B14)*Proj_43!L$95)+((Proj_44!$D$7=$B14)*Proj_44!L$95)+((Proj_45!$D$7=$B14)*Proj_45!L$95)+((Proj_46!$D$7=$B14)*Proj_46!L$95)</f>
        <v>1780.5879714728887</v>
      </c>
      <c r="I14" s="193">
        <f>((Proj_1!$D$7=$B14)*Proj_1!M$95)+((Proj_2!$D$7=$B14)*Proj_2!M$95)+((Proj_3!$D$7=$B14)*Proj_3!M$95)+((Proj_4!$D$7=$B14)*Proj_4!M$95)+((Proj_5!$D$7=$B14)*Proj_5!M$95)+((Proj_6!$D$7=$B14)*Proj_6!M$95)+((Proj_7!$D$7=$B14)*Proj_7!M$95)+((Proj_8!$D$7=$B14)*Proj_8!M$95)+((Proj_9!$D$7=$B14)*Proj_9!M$95)+((Proj_10!$D$7=$B14)*Proj_10!M$95)+((Proj_11!$D$7=$B14)*Proj_11!M$95)+((Proj_12!$D$7=$B14)*Proj_12!M$95)+((Proj_13!$D$7=$B14)*Proj_13!M$95)+((Proj_14!$D$7=$B14)*Proj_14!M$95)+((Proj_15!$D$7=$B14)*Proj_15!M$95)+((Proj_16!$D$7=$B14)*Proj_16!M$95)+((Proj_17!$D$7=$B14)*Proj_17!M$95)+((Proj_18!$D$7=$B14)*Proj_18!M$95)+((Proj_19!$D$7=$B14)*Proj_19!M$95)+((Proj_20!$D$7=$B14)*Proj_20!M$95)+((Proj_21!$D$7=$B14)*Proj_21!M$95)+((Proj_22!$D$7=$B14)*Proj_22!M$95)+((Proj_23!$D$7=$B14)*Proj_23!M$95)+((Proj_24!$D$7=$B14)*Proj_24!M$95)+((Proj_25!$D$7=$B14)*Proj_25!M$95)+((Proj_26!$D$7=$B14)*Proj_26!M$95)+((Proj_27!$D$7=$B14)*Proj_27!M$95)+((Proj_28!$D$7=$B14)*Proj_28!M$95)+((Proj_29!$D$7=$B14)*Proj_29!M$95)+((Proj_30!$D$7=$B14)*Proj_30!M$95)+((Proj_31!$D$7=$B14)*Proj_31!M$95)+((Proj_32!$D$7=$B14)*Proj_32!M$95)+((Proj_33!$D$7=$B14)*Proj_33!M$95)+((Proj_34!$D$7=$B14)*Proj_34!M$95)+((Proj_35!$D$7=$B14)*Proj_35!M$95)+((Proj_36!$D$7=$B14)*Proj_36!M$95)+((Proj_37!$D$7=$B14)*Proj_37!M$95)+((Proj_38!$D$7=$B14)*Proj_38!M$95)+((Proj_39!$D$7=$B14)*Proj_39!M$95)+((Proj_40!$D$7=$B14)*Proj_40!M$95)+((Proj_41!$D$7=$B14)*Proj_41!M$95)+((Proj_42!$D$7=$B14)*Proj_42!M$95)+((Proj_43!$D$7=$B14)*Proj_43!M$95)+((Proj_44!$D$7=$B14)*Proj_44!M$95)+((Proj_45!$D$7=$B14)*Proj_45!M$95)+((Proj_46!$D$7=$B14)*Proj_46!M$95)</f>
        <v>1792.3721651578999</v>
      </c>
      <c r="J14" s="131">
        <f>((Proj_1!$D$7=$B14)*Proj_1!N$95)+((Proj_2!$D$7=$B14)*Proj_2!N$95)+((Proj_3!$D$7=$B14)*Proj_3!N$95)+((Proj_4!$D$7=$B14)*Proj_4!N$95)+((Proj_5!$D$7=$B14)*Proj_5!N$95)+((Proj_6!$D$7=$B14)*Proj_6!N$95)+((Proj_7!$D$7=$B14)*Proj_7!N$95)+((Proj_8!$D$7=$B14)*Proj_8!N$95)+((Proj_9!$D$7=$B14)*Proj_9!N$95)+((Proj_10!$D$7=$B14)*Proj_10!N$95)+((Proj_11!$D$7=$B14)*Proj_11!N$95)+((Proj_12!$D$7=$B14)*Proj_12!N$95)+((Proj_13!$D$7=$B14)*Proj_13!N$95)+((Proj_14!$D$7=$B14)*Proj_14!N$95)+((Proj_15!$D$7=$B14)*Proj_15!N$95)+((Proj_16!$D$7=$B14)*Proj_16!N$95)+((Proj_17!$D$7=$B14)*Proj_17!N$95)+((Proj_18!$D$7=$B14)*Proj_18!N$95)+((Proj_19!$D$7=$B14)*Proj_19!N$95)+((Proj_20!$D$7=$B14)*Proj_20!N$95)+((Proj_21!$D$7=$B14)*Proj_21!N$95)+((Proj_22!$D$7=$B14)*Proj_22!N$95)+((Proj_23!$D$7=$B14)*Proj_23!N$95)+((Proj_24!$D$7=$B14)*Proj_24!N$95)+((Proj_25!$D$7=$B14)*Proj_25!N$95)+((Proj_26!$D$7=$B14)*Proj_26!N$95)+((Proj_27!$D$7=$B14)*Proj_27!N$95)+((Proj_28!$D$7=$B14)*Proj_28!N$95)+((Proj_29!$D$7=$B14)*Proj_29!N$95)+((Proj_30!$D$7=$B14)*Proj_30!N$95)+((Proj_31!$D$7=$B14)*Proj_31!N$95)+((Proj_32!$D$7=$B14)*Proj_32!N$95)+((Proj_33!$D$7=$B14)*Proj_33!N$95)+((Proj_34!$D$7=$B14)*Proj_34!N$95)+((Proj_35!$D$7=$B14)*Proj_35!N$95)+((Proj_36!$D$7=$B14)*Proj_36!N$95)+((Proj_37!$D$7=$B14)*Proj_37!N$95)+((Proj_38!$D$7=$B14)*Proj_38!N$95)+((Proj_39!$D$7=$B14)*Proj_39!N$95)+((Proj_40!$D$7=$B14)*Proj_40!N$95)+((Proj_41!$D$7=$B14)*Proj_41!N$95)+((Proj_42!$D$7=$B14)*Proj_42!N$95)+((Proj_43!$D$7=$B14)*Proj_43!N$95)+((Proj_44!$D$7=$B14)*Proj_44!N$95)+((Proj_45!$D$7=$B14)*Proj_45!N$95)+((Proj_46!$D$7=$B14)*Proj_46!N$95)</f>
        <v>0</v>
      </c>
      <c r="K14" s="193">
        <f t="shared" si="3"/>
        <v>9121.8475669973486</v>
      </c>
      <c r="M14" s="80" t="s">
        <v>144</v>
      </c>
      <c r="N14" s="144">
        <f t="shared" si="0"/>
        <v>1.3980264586988103</v>
      </c>
      <c r="O14" s="144">
        <f t="shared" si="0"/>
        <v>0.89345859820672657</v>
      </c>
      <c r="P14" s="158">
        <f t="shared" si="1"/>
        <v>1.9235863548471419</v>
      </c>
      <c r="Q14" s="158">
        <f t="shared" si="1"/>
        <v>1.5186098221472717</v>
      </c>
      <c r="R14" s="158">
        <f t="shared" si="1"/>
        <v>2.1066912533721465</v>
      </c>
      <c r="S14" s="158">
        <f t="shared" si="1"/>
        <v>1.7805879714728887</v>
      </c>
      <c r="T14" s="158">
        <f t="shared" si="1"/>
        <v>1.7923721651578999</v>
      </c>
      <c r="U14" s="144">
        <f t="shared" si="2"/>
        <v>0</v>
      </c>
      <c r="V14" s="158">
        <f t="shared" si="4"/>
        <v>9.1218475669973493</v>
      </c>
    </row>
    <row r="15" spans="2:22">
      <c r="B15" s="80" t="s">
        <v>145</v>
      </c>
      <c r="C15" s="131">
        <f>((Proj_1!$D$7=$B15)*Proj_1!G$95)+((Proj_2!$D$7=$B15)*Proj_2!G$95)+((Proj_3!$D$7=$B15)*Proj_3!G$95)+((Proj_4!$D$7=$B15)*Proj_4!G$95)+((Proj_5!$D$7=$B15)*Proj_5!G$95)+((Proj_6!$D$7=$B15)*Proj_6!G$95)+((Proj_7!$D$7=$B15)*Proj_7!G$95)+((Proj_8!$D$7=$B15)*Proj_8!G$95)+((Proj_9!$D$7=$B15)*Proj_9!G$95)+((Proj_10!$D$7=$B15)*Proj_10!G$95)+((Proj_11!$D$7=$B15)*Proj_11!G$95)+((Proj_12!$D$7=$B15)*Proj_12!G$95)+((Proj_13!$D$7=$B15)*Proj_13!G$95)+((Proj_14!$D$7=$B15)*Proj_14!G$95)+((Proj_15!$D$7=$B15)*Proj_15!G$95)+((Proj_16!$D$7=$B15)*Proj_16!G$95)+((Proj_17!$D$7=$B15)*Proj_17!G$95)+((Proj_18!$D$7=$B15)*Proj_18!G$95)+((Proj_19!$D$7=$B15)*Proj_19!G$95)+((Proj_20!$D$7=$B15)*Proj_20!G$95)+((Proj_21!$D$7=$B15)*Proj_21!G$95)+((Proj_22!$D$7=$B15)*Proj_22!G$95)+((Proj_23!$D$7=$B15)*Proj_23!G$95)+((Proj_24!$D$7=$B15)*Proj_24!G$95)+((Proj_25!$D$7=$B15)*Proj_25!G$95)+((Proj_26!$D$7=$B15)*Proj_26!G$95)+((Proj_27!$D$7=$B15)*Proj_27!G$95)+((Proj_28!$D$7=$B15)*Proj_28!G$95)+((Proj_29!$D$7=$B15)*Proj_29!G$95)+((Proj_30!$D$7=$B15)*Proj_30!G$95)+((Proj_31!$D$7=$B15)*Proj_31!G$95)+((Proj_32!$D$7=$B15)*Proj_32!G$95)+((Proj_33!$D$7=$B15)*Proj_33!G$95)+((Proj_34!$D$7=$B15)*Proj_34!G$95)+((Proj_35!$D$7=$B15)*Proj_35!G$95)+((Proj_36!$D$7=$B15)*Proj_36!G$95)+((Proj_37!$D$7=$B15)*Proj_37!G$95)+((Proj_38!$D$7=$B15)*Proj_38!G$95)+((Proj_39!$D$7=$B15)*Proj_39!G$95)+((Proj_40!$D$7=$B15)*Proj_40!G$95)+((Proj_41!$D$7=$B15)*Proj_41!G$95)+((Proj_42!$D$7=$B15)*Proj_42!G$95)+((Proj_43!$D$7=$B15)*Proj_43!G$95)+((Proj_44!$D$7=$B15)*Proj_44!G$95)+((Proj_45!$D$7=$B15)*Proj_45!G$95)+((Proj_46!$D$7=$B15)*Proj_46!G$95)</f>
        <v>2765.9766805265035</v>
      </c>
      <c r="D15" s="131">
        <f>((Proj_1!$D$7=$B15)*Proj_1!H$95)+((Proj_2!$D$7=$B15)*Proj_2!H$95)+((Proj_3!$D$7=$B15)*Proj_3!H$95)+((Proj_4!$D$7=$B15)*Proj_4!H$95)+((Proj_5!$D$7=$B15)*Proj_5!H$95)+((Proj_6!$D$7=$B15)*Proj_6!H$95)+((Proj_7!$D$7=$B15)*Proj_7!H$95)+((Proj_8!$D$7=$B15)*Proj_8!H$95)+((Proj_9!$D$7=$B15)*Proj_9!H$95)+((Proj_10!$D$7=$B15)*Proj_10!H$95)+((Proj_11!$D$7=$B15)*Proj_11!H$95)+((Proj_12!$D$7=$B15)*Proj_12!H$95)+((Proj_13!$D$7=$B15)*Proj_13!H$95)+((Proj_14!$D$7=$B15)*Proj_14!H$95)+((Proj_15!$D$7=$B15)*Proj_15!H$95)+((Proj_16!$D$7=$B15)*Proj_16!H$95)+((Proj_17!$D$7=$B15)*Proj_17!H$95)+((Proj_18!$D$7=$B15)*Proj_18!H$95)+((Proj_19!$D$7=$B15)*Proj_19!H$95)+((Proj_20!$D$7=$B15)*Proj_20!H$95)+((Proj_21!$D$7=$B15)*Proj_21!H$95)+((Proj_22!$D$7=$B15)*Proj_22!H$95)+((Proj_23!$D$7=$B15)*Proj_23!H$95)+((Proj_24!$D$7=$B15)*Proj_24!H$95)+((Proj_25!$D$7=$B15)*Proj_25!H$95)+((Proj_26!$D$7=$B15)*Proj_26!H$95)+((Proj_27!$D$7=$B15)*Proj_27!H$95)+((Proj_28!$D$7=$B15)*Proj_28!H$95)+((Proj_29!$D$7=$B15)*Proj_29!H$95)+((Proj_30!$D$7=$B15)*Proj_30!H$95)+((Proj_31!$D$7=$B15)*Proj_31!H$95)+((Proj_32!$D$7=$B15)*Proj_32!H$95)+((Proj_33!$D$7=$B15)*Proj_33!H$95)+((Proj_34!$D$7=$B15)*Proj_34!H$95)+((Proj_35!$D$7=$B15)*Proj_35!H$95)+((Proj_36!$D$7=$B15)*Proj_36!H$95)+((Proj_37!$D$7=$B15)*Proj_37!H$95)+((Proj_38!$D$7=$B15)*Proj_38!H$95)+((Proj_39!$D$7=$B15)*Proj_39!H$95)+((Proj_40!$D$7=$B15)*Proj_40!H$95)+((Proj_41!$D$7=$B15)*Proj_41!H$95)+((Proj_42!$D$7=$B15)*Proj_42!H$95)+((Proj_43!$D$7=$B15)*Proj_43!H$95)+((Proj_44!$D$7=$B15)*Proj_44!H$95)+((Proj_45!$D$7=$B15)*Proj_45!H$95)+((Proj_46!$D$7=$B15)*Proj_46!H$95)</f>
        <v>530.03546210632157</v>
      </c>
      <c r="E15" s="193">
        <f>((Proj_1!$D$7=$B15)*Proj_1!I$95)+((Proj_2!$D$7=$B15)*Proj_2!I$95)+((Proj_3!$D$7=$B15)*Proj_3!I$95)+((Proj_4!$D$7=$B15)*Proj_4!I$95)+((Proj_5!$D$7=$B15)*Proj_5!I$95)+((Proj_6!$D$7=$B15)*Proj_6!I$95)+((Proj_7!$D$7=$B15)*Proj_7!I$95)+((Proj_8!$D$7=$B15)*Proj_8!I$95)+((Proj_9!$D$7=$B15)*Proj_9!I$95)+((Proj_10!$D$7=$B15)*Proj_10!I$95)+((Proj_11!$D$7=$B15)*Proj_11!I$95)+((Proj_12!$D$7=$B15)*Proj_12!I$95)+((Proj_13!$D$7=$B15)*Proj_13!I$95)+((Proj_14!$D$7=$B15)*Proj_14!I$95)+((Proj_15!$D$7=$B15)*Proj_15!I$95)+((Proj_16!$D$7=$B15)*Proj_16!I$95)+((Proj_17!$D$7=$B15)*Proj_17!I$95)+((Proj_18!$D$7=$B15)*Proj_18!I$95)+((Proj_19!$D$7=$B15)*Proj_19!I$95)+((Proj_20!$D$7=$B15)*Proj_20!I$95)+((Proj_21!$D$7=$B15)*Proj_21!I$95)+((Proj_22!$D$7=$B15)*Proj_22!I$95)+((Proj_23!$D$7=$B15)*Proj_23!I$95)+((Proj_24!$D$7=$B15)*Proj_24!I$95)+((Proj_25!$D$7=$B15)*Proj_25!I$95)+((Proj_26!$D$7=$B15)*Proj_26!I$95)+((Proj_27!$D$7=$B15)*Proj_27!I$95)+((Proj_28!$D$7=$B15)*Proj_28!I$95)+((Proj_29!$D$7=$B15)*Proj_29!I$95)+((Proj_30!$D$7=$B15)*Proj_30!I$95)+((Proj_31!$D$7=$B15)*Proj_31!I$95)+((Proj_32!$D$7=$B15)*Proj_32!I$95)+((Proj_33!$D$7=$B15)*Proj_33!I$95)+((Proj_34!$D$7=$B15)*Proj_34!I$95)+((Proj_35!$D$7=$B15)*Proj_35!I$95)+((Proj_36!$D$7=$B15)*Proj_36!I$95)+((Proj_37!$D$7=$B15)*Proj_37!I$95)+((Proj_38!$D$7=$B15)*Proj_38!I$95)+((Proj_39!$D$7=$B15)*Proj_39!I$95)+((Proj_40!$D$7=$B15)*Proj_40!I$95)+((Proj_41!$D$7=$B15)*Proj_41!I$95)+((Proj_42!$D$7=$B15)*Proj_42!I$95)+((Proj_43!$D$7=$B15)*Proj_43!I$95)+((Proj_44!$D$7=$B15)*Proj_44!I$95)+((Proj_45!$D$7=$B15)*Proj_45!I$95)+((Proj_46!$D$7=$B15)*Proj_46!I$95)</f>
        <v>219.35117264934473</v>
      </c>
      <c r="F15" s="193">
        <f>((Proj_1!$D$7=$B15)*Proj_1!J$95)+((Proj_2!$D$7=$B15)*Proj_2!J$95)+((Proj_3!$D$7=$B15)*Proj_3!J$95)+((Proj_4!$D$7=$B15)*Proj_4!J$95)+((Proj_5!$D$7=$B15)*Proj_5!J$95)+((Proj_6!$D$7=$B15)*Proj_6!J$95)+((Proj_7!$D$7=$B15)*Proj_7!J$95)+((Proj_8!$D$7=$B15)*Proj_8!J$95)+((Proj_9!$D$7=$B15)*Proj_9!J$95)+((Proj_10!$D$7=$B15)*Proj_10!J$95)+((Proj_11!$D$7=$B15)*Proj_11!J$95)+((Proj_12!$D$7=$B15)*Proj_12!J$95)+((Proj_13!$D$7=$B15)*Proj_13!J$95)+((Proj_14!$D$7=$B15)*Proj_14!J$95)+((Proj_15!$D$7=$B15)*Proj_15!J$95)+((Proj_16!$D$7=$B15)*Proj_16!J$95)+((Proj_17!$D$7=$B15)*Proj_17!J$95)+((Proj_18!$D$7=$B15)*Proj_18!J$95)+((Proj_19!$D$7=$B15)*Proj_19!J$95)+((Proj_20!$D$7=$B15)*Proj_20!J$95)+((Proj_21!$D$7=$B15)*Proj_21!J$95)+((Proj_22!$D$7=$B15)*Proj_22!J$95)+((Proj_23!$D$7=$B15)*Proj_23!J$95)+((Proj_24!$D$7=$B15)*Proj_24!J$95)+((Proj_25!$D$7=$B15)*Proj_25!J$95)+((Proj_26!$D$7=$B15)*Proj_26!J$95)+((Proj_27!$D$7=$B15)*Proj_27!J$95)+((Proj_28!$D$7=$B15)*Proj_28!J$95)+((Proj_29!$D$7=$B15)*Proj_29!J$95)+((Proj_30!$D$7=$B15)*Proj_30!J$95)+((Proj_31!$D$7=$B15)*Proj_31!J$95)+((Proj_32!$D$7=$B15)*Proj_32!J$95)+((Proj_33!$D$7=$B15)*Proj_33!J$95)+((Proj_34!$D$7=$B15)*Proj_34!J$95)+((Proj_35!$D$7=$B15)*Proj_35!J$95)+((Proj_36!$D$7=$B15)*Proj_36!J$95)+((Proj_37!$D$7=$B15)*Proj_37!J$95)+((Proj_38!$D$7=$B15)*Proj_38!J$95)+((Proj_39!$D$7=$B15)*Proj_39!J$95)+((Proj_40!$D$7=$B15)*Proj_40!J$95)+((Proj_41!$D$7=$B15)*Proj_41!J$95)+((Proj_42!$D$7=$B15)*Proj_42!J$95)+((Proj_43!$D$7=$B15)*Proj_43!J$95)+((Proj_44!$D$7=$B15)*Proj_44!J$95)+((Proj_45!$D$7=$B15)*Proj_45!J$95)+((Proj_46!$D$7=$B15)*Proj_46!J$95)</f>
        <v>595.63761886669158</v>
      </c>
      <c r="G15" s="193">
        <f>((Proj_1!$D$7=$B15)*Proj_1!K$95)+((Proj_2!$D$7=$B15)*Proj_2!K$95)+((Proj_3!$D$7=$B15)*Proj_3!K$95)+((Proj_4!$D$7=$B15)*Proj_4!K$95)+((Proj_5!$D$7=$B15)*Proj_5!K$95)+((Proj_6!$D$7=$B15)*Proj_6!K$95)+((Proj_7!$D$7=$B15)*Proj_7!K$95)+((Proj_8!$D$7=$B15)*Proj_8!K$95)+((Proj_9!$D$7=$B15)*Proj_9!K$95)+((Proj_10!$D$7=$B15)*Proj_10!K$95)+((Proj_11!$D$7=$B15)*Proj_11!K$95)+((Proj_12!$D$7=$B15)*Proj_12!K$95)+((Proj_13!$D$7=$B15)*Proj_13!K$95)+((Proj_14!$D$7=$B15)*Proj_14!K$95)+((Proj_15!$D$7=$B15)*Proj_15!K$95)+((Proj_16!$D$7=$B15)*Proj_16!K$95)+((Proj_17!$D$7=$B15)*Proj_17!K$95)+((Proj_18!$D$7=$B15)*Proj_18!K$95)+((Proj_19!$D$7=$B15)*Proj_19!K$95)+((Proj_20!$D$7=$B15)*Proj_20!K$95)+((Proj_21!$D$7=$B15)*Proj_21!K$95)+((Proj_22!$D$7=$B15)*Proj_22!K$95)+((Proj_23!$D$7=$B15)*Proj_23!K$95)+((Proj_24!$D$7=$B15)*Proj_24!K$95)+((Proj_25!$D$7=$B15)*Proj_25!K$95)+((Proj_26!$D$7=$B15)*Proj_26!K$95)+((Proj_27!$D$7=$B15)*Proj_27!K$95)+((Proj_28!$D$7=$B15)*Proj_28!K$95)+((Proj_29!$D$7=$B15)*Proj_29!K$95)+((Proj_30!$D$7=$B15)*Proj_30!K$95)+((Proj_31!$D$7=$B15)*Proj_31!K$95)+((Proj_32!$D$7=$B15)*Proj_32!K$95)+((Proj_33!$D$7=$B15)*Proj_33!K$95)+((Proj_34!$D$7=$B15)*Proj_34!K$95)+((Proj_35!$D$7=$B15)*Proj_35!K$95)+((Proj_36!$D$7=$B15)*Proj_36!K$95)+((Proj_37!$D$7=$B15)*Proj_37!K$95)+((Proj_38!$D$7=$B15)*Proj_38!K$95)+((Proj_39!$D$7=$B15)*Proj_39!K$95)+((Proj_40!$D$7=$B15)*Proj_40!K$95)+((Proj_41!$D$7=$B15)*Proj_41!K$95)+((Proj_42!$D$7=$B15)*Proj_42!K$95)+((Proj_43!$D$7=$B15)*Proj_43!K$95)+((Proj_44!$D$7=$B15)*Proj_44!K$95)+((Proj_45!$D$7=$B15)*Proj_45!K$95)+((Proj_46!$D$7=$B15)*Proj_46!K$95)</f>
        <v>95.624015498209658</v>
      </c>
      <c r="H15" s="193">
        <f>((Proj_1!$D$7=$B15)*Proj_1!L$95)+((Proj_2!$D$7=$B15)*Proj_2!L$95)+((Proj_3!$D$7=$B15)*Proj_3!L$95)+((Proj_4!$D$7=$B15)*Proj_4!L$95)+((Proj_5!$D$7=$B15)*Proj_5!L$95)+((Proj_6!$D$7=$B15)*Proj_6!L$95)+((Proj_7!$D$7=$B15)*Proj_7!L$95)+((Proj_8!$D$7=$B15)*Proj_8!L$95)+((Proj_9!$D$7=$B15)*Proj_9!L$95)+((Proj_10!$D$7=$B15)*Proj_10!L$95)+((Proj_11!$D$7=$B15)*Proj_11!L$95)+((Proj_12!$D$7=$B15)*Proj_12!L$95)+((Proj_13!$D$7=$B15)*Proj_13!L$95)+((Proj_14!$D$7=$B15)*Proj_14!L$95)+((Proj_15!$D$7=$B15)*Proj_15!L$95)+((Proj_16!$D$7=$B15)*Proj_16!L$95)+((Proj_17!$D$7=$B15)*Proj_17!L$95)+((Proj_18!$D$7=$B15)*Proj_18!L$95)+((Proj_19!$D$7=$B15)*Proj_19!L$95)+((Proj_20!$D$7=$B15)*Proj_20!L$95)+((Proj_21!$D$7=$B15)*Proj_21!L$95)+((Proj_22!$D$7=$B15)*Proj_22!L$95)+((Proj_23!$D$7=$B15)*Proj_23!L$95)+((Proj_24!$D$7=$B15)*Proj_24!L$95)+((Proj_25!$D$7=$B15)*Proj_25!L$95)+((Proj_26!$D$7=$B15)*Proj_26!L$95)+((Proj_27!$D$7=$B15)*Proj_27!L$95)+((Proj_28!$D$7=$B15)*Proj_28!L$95)+((Proj_29!$D$7=$B15)*Proj_29!L$95)+((Proj_30!$D$7=$B15)*Proj_30!L$95)+((Proj_31!$D$7=$B15)*Proj_31!L$95)+((Proj_32!$D$7=$B15)*Proj_32!L$95)+((Proj_33!$D$7=$B15)*Proj_33!L$95)+((Proj_34!$D$7=$B15)*Proj_34!L$95)+((Proj_35!$D$7=$B15)*Proj_35!L$95)+((Proj_36!$D$7=$B15)*Proj_36!L$95)+((Proj_37!$D$7=$B15)*Proj_37!L$95)+((Proj_38!$D$7=$B15)*Proj_38!L$95)+((Proj_39!$D$7=$B15)*Proj_39!L$95)+((Proj_40!$D$7=$B15)*Proj_40!L$95)+((Proj_41!$D$7=$B15)*Proj_41!L$95)+((Proj_42!$D$7=$B15)*Proj_42!L$95)+((Proj_43!$D$7=$B15)*Proj_43!L$95)+((Proj_44!$D$7=$B15)*Proj_44!L$95)+((Proj_45!$D$7=$B15)*Proj_45!L$95)+((Proj_46!$D$7=$B15)*Proj_46!L$95)</f>
        <v>211.39375598269248</v>
      </c>
      <c r="I15" s="193">
        <f>((Proj_1!$D$7=$B15)*Proj_1!M$95)+((Proj_2!$D$7=$B15)*Proj_2!M$95)+((Proj_3!$D$7=$B15)*Proj_3!M$95)+((Proj_4!$D$7=$B15)*Proj_4!M$95)+((Proj_5!$D$7=$B15)*Proj_5!M$95)+((Proj_6!$D$7=$B15)*Proj_6!M$95)+((Proj_7!$D$7=$B15)*Proj_7!M$95)+((Proj_8!$D$7=$B15)*Proj_8!M$95)+((Proj_9!$D$7=$B15)*Proj_9!M$95)+((Proj_10!$D$7=$B15)*Proj_10!M$95)+((Proj_11!$D$7=$B15)*Proj_11!M$95)+((Proj_12!$D$7=$B15)*Proj_12!M$95)+((Proj_13!$D$7=$B15)*Proj_13!M$95)+((Proj_14!$D$7=$B15)*Proj_14!M$95)+((Proj_15!$D$7=$B15)*Proj_15!M$95)+((Proj_16!$D$7=$B15)*Proj_16!M$95)+((Proj_17!$D$7=$B15)*Proj_17!M$95)+((Proj_18!$D$7=$B15)*Proj_18!M$95)+((Proj_19!$D$7=$B15)*Proj_19!M$95)+((Proj_20!$D$7=$B15)*Proj_20!M$95)+((Proj_21!$D$7=$B15)*Proj_21!M$95)+((Proj_22!$D$7=$B15)*Proj_22!M$95)+((Proj_23!$D$7=$B15)*Proj_23!M$95)+((Proj_24!$D$7=$B15)*Proj_24!M$95)+((Proj_25!$D$7=$B15)*Proj_25!M$95)+((Proj_26!$D$7=$B15)*Proj_26!M$95)+((Proj_27!$D$7=$B15)*Proj_27!M$95)+((Proj_28!$D$7=$B15)*Proj_28!M$95)+((Proj_29!$D$7=$B15)*Proj_29!M$95)+((Proj_30!$D$7=$B15)*Proj_30!M$95)+((Proj_31!$D$7=$B15)*Proj_31!M$95)+((Proj_32!$D$7=$B15)*Proj_32!M$95)+((Proj_33!$D$7=$B15)*Proj_33!M$95)+((Proj_34!$D$7=$B15)*Proj_34!M$95)+((Proj_35!$D$7=$B15)*Proj_35!M$95)+((Proj_36!$D$7=$B15)*Proj_36!M$95)+((Proj_37!$D$7=$B15)*Proj_37!M$95)+((Proj_38!$D$7=$B15)*Proj_38!M$95)+((Proj_39!$D$7=$B15)*Proj_39!M$95)+((Proj_40!$D$7=$B15)*Proj_40!M$95)+((Proj_41!$D$7=$B15)*Proj_41!M$95)+((Proj_42!$D$7=$B15)*Proj_42!M$95)+((Proj_43!$D$7=$B15)*Proj_43!M$95)+((Proj_44!$D$7=$B15)*Proj_44!M$95)+((Proj_45!$D$7=$B15)*Proj_45!M$95)+((Proj_46!$D$7=$B15)*Proj_46!M$95)</f>
        <v>1034.0612515877467</v>
      </c>
      <c r="J15" s="131">
        <f>((Proj_1!$D$7=$B15)*Proj_1!N$95)+((Proj_2!$D$7=$B15)*Proj_2!N$95)+((Proj_3!$D$7=$B15)*Proj_3!N$95)+((Proj_4!$D$7=$B15)*Proj_4!N$95)+((Proj_5!$D$7=$B15)*Proj_5!N$95)+((Proj_6!$D$7=$B15)*Proj_6!N$95)+((Proj_7!$D$7=$B15)*Proj_7!N$95)+((Proj_8!$D$7=$B15)*Proj_8!N$95)+((Proj_9!$D$7=$B15)*Proj_9!N$95)+((Proj_10!$D$7=$B15)*Proj_10!N$95)+((Proj_11!$D$7=$B15)*Proj_11!N$95)+((Proj_12!$D$7=$B15)*Proj_12!N$95)+((Proj_13!$D$7=$B15)*Proj_13!N$95)+((Proj_14!$D$7=$B15)*Proj_14!N$95)+((Proj_15!$D$7=$B15)*Proj_15!N$95)+((Proj_16!$D$7=$B15)*Proj_16!N$95)+((Proj_17!$D$7=$B15)*Proj_17!N$95)+((Proj_18!$D$7=$B15)*Proj_18!N$95)+((Proj_19!$D$7=$B15)*Proj_19!N$95)+((Proj_20!$D$7=$B15)*Proj_20!N$95)+((Proj_21!$D$7=$B15)*Proj_21!N$95)+((Proj_22!$D$7=$B15)*Proj_22!N$95)+((Proj_23!$D$7=$B15)*Proj_23!N$95)+((Proj_24!$D$7=$B15)*Proj_24!N$95)+((Proj_25!$D$7=$B15)*Proj_25!N$95)+((Proj_26!$D$7=$B15)*Proj_26!N$95)+((Proj_27!$D$7=$B15)*Proj_27!N$95)+((Proj_28!$D$7=$B15)*Proj_28!N$95)+((Proj_29!$D$7=$B15)*Proj_29!N$95)+((Proj_30!$D$7=$B15)*Proj_30!N$95)+((Proj_31!$D$7=$B15)*Proj_31!N$95)+((Proj_32!$D$7=$B15)*Proj_32!N$95)+((Proj_33!$D$7=$B15)*Proj_33!N$95)+((Proj_34!$D$7=$B15)*Proj_34!N$95)+((Proj_35!$D$7=$B15)*Proj_35!N$95)+((Proj_36!$D$7=$B15)*Proj_36!N$95)+((Proj_37!$D$7=$B15)*Proj_37!N$95)+((Proj_38!$D$7=$B15)*Proj_38!N$95)+((Proj_39!$D$7=$B15)*Proj_39!N$95)+((Proj_40!$D$7=$B15)*Proj_40!N$95)+((Proj_41!$D$7=$B15)*Proj_41!N$95)+((Proj_42!$D$7=$B15)*Proj_42!N$95)+((Proj_43!$D$7=$B15)*Proj_43!N$95)+((Proj_44!$D$7=$B15)*Proj_44!N$95)+((Proj_45!$D$7=$B15)*Proj_45!N$95)+((Proj_46!$D$7=$B15)*Proj_46!N$95)</f>
        <v>0</v>
      </c>
      <c r="K15" s="193">
        <f t="shared" si="3"/>
        <v>2156.067814584685</v>
      </c>
      <c r="M15" s="80" t="s">
        <v>145</v>
      </c>
      <c r="N15" s="144">
        <f t="shared" si="0"/>
        <v>2.7659766805265034</v>
      </c>
      <c r="O15" s="144">
        <f t="shared" si="0"/>
        <v>0.53003546210632158</v>
      </c>
      <c r="P15" s="158">
        <f t="shared" si="1"/>
        <v>0.21935117264934473</v>
      </c>
      <c r="Q15" s="158">
        <f t="shared" si="1"/>
        <v>0.59563761886669153</v>
      </c>
      <c r="R15" s="158">
        <f t="shared" si="1"/>
        <v>9.5624015498209661E-2</v>
      </c>
      <c r="S15" s="158">
        <f t="shared" si="1"/>
        <v>0.21139375598269247</v>
      </c>
      <c r="T15" s="158">
        <f t="shared" si="1"/>
        <v>1.0340612515877468</v>
      </c>
      <c r="U15" s="144">
        <f t="shared" si="2"/>
        <v>0</v>
      </c>
      <c r="V15" s="158">
        <f t="shared" si="4"/>
        <v>2.1560678145846852</v>
      </c>
    </row>
    <row r="16" spans="2:22">
      <c r="B16" s="80" t="s">
        <v>179</v>
      </c>
      <c r="C16" s="131">
        <f>((Proj_1!$D$7=$B16)*Proj_1!G$95)+((Proj_2!$D$7=$B16)*Proj_2!G$95)+((Proj_3!$D$7=$B16)*Proj_3!G$95)+((Proj_4!$D$7=$B16)*Proj_4!G$95)+((Proj_5!$D$7=$B16)*Proj_5!G$95)+((Proj_6!$D$7=$B16)*Proj_6!G$95)+((Proj_7!$D$7=$B16)*Proj_7!G$95)+((Proj_8!$D$7=$B16)*Proj_8!G$95)+((Proj_9!$D$7=$B16)*Proj_9!G$95)+((Proj_10!$D$7=$B16)*Proj_10!G$95)+((Proj_11!$D$7=$B16)*Proj_11!G$95)+((Proj_12!$D$7=$B16)*Proj_12!G$95)+((Proj_13!$D$7=$B16)*Proj_13!G$95)+((Proj_14!$D$7=$B16)*Proj_14!G$95)+((Proj_15!$D$7=$B16)*Proj_15!G$95)+((Proj_16!$D$7=$B16)*Proj_16!G$95)+((Proj_17!$D$7=$B16)*Proj_17!G$95)+((Proj_18!$D$7=$B16)*Proj_18!G$95)+((Proj_19!$D$7=$B16)*Proj_19!G$95)+((Proj_20!$D$7=$B16)*Proj_20!G$95)+((Proj_21!$D$7=$B16)*Proj_21!G$95)+((Proj_22!$D$7=$B16)*Proj_22!G$95)+((Proj_23!$D$7=$B16)*Proj_23!G$95)+((Proj_24!$D$7=$B16)*Proj_24!G$95)+((Proj_25!$D$7=$B16)*Proj_25!G$95)+((Proj_26!$D$7=$B16)*Proj_26!G$95)+((Proj_27!$D$7=$B16)*Proj_27!G$95)+((Proj_28!$D$7=$B16)*Proj_28!G$95)+((Proj_29!$D$7=$B16)*Proj_29!G$95)+((Proj_30!$D$7=$B16)*Proj_30!G$95)+((Proj_31!$D$7=$B16)*Proj_31!G$95)+((Proj_32!$D$7=$B16)*Proj_32!G$95)+((Proj_33!$D$7=$B16)*Proj_33!G$95)+((Proj_34!$D$7=$B16)*Proj_34!G$95)+((Proj_35!$D$7=$B16)*Proj_35!G$95)+((Proj_36!$D$7=$B16)*Proj_36!G$95)+((Proj_37!$D$7=$B16)*Proj_37!G$95)+((Proj_38!$D$7=$B16)*Proj_38!G$95)+((Proj_39!$D$7=$B16)*Proj_39!G$95)+((Proj_40!$D$7=$B16)*Proj_40!G$95)+((Proj_41!$D$7=$B16)*Proj_41!G$95)+((Proj_42!$D$7=$B16)*Proj_42!G$95)+((Proj_43!$D$7=$B16)*Proj_43!G$95)+((Proj_44!$D$7=$B16)*Proj_44!G$95)+((Proj_45!$D$7=$B16)*Proj_45!G$95)+((Proj_46!$D$7=$B16)*Proj_46!G$95)</f>
        <v>33465.430752527762</v>
      </c>
      <c r="D16" s="131">
        <f>((Proj_1!$D$7=$B16)*Proj_1!H$95)+((Proj_2!$D$7=$B16)*Proj_2!H$95)+((Proj_3!$D$7=$B16)*Proj_3!H$95)+((Proj_4!$D$7=$B16)*Proj_4!H$95)+((Proj_5!$D$7=$B16)*Proj_5!H$95)+((Proj_6!$D$7=$B16)*Proj_6!H$95)+((Proj_7!$D$7=$B16)*Proj_7!H$95)+((Proj_8!$D$7=$B16)*Proj_8!H$95)+((Proj_9!$D$7=$B16)*Proj_9!H$95)+((Proj_10!$D$7=$B16)*Proj_10!H$95)+((Proj_11!$D$7=$B16)*Proj_11!H$95)+((Proj_12!$D$7=$B16)*Proj_12!H$95)+((Proj_13!$D$7=$B16)*Proj_13!H$95)+((Proj_14!$D$7=$B16)*Proj_14!H$95)+((Proj_15!$D$7=$B16)*Proj_15!H$95)+((Proj_16!$D$7=$B16)*Proj_16!H$95)+((Proj_17!$D$7=$B16)*Proj_17!H$95)+((Proj_18!$D$7=$B16)*Proj_18!H$95)+((Proj_19!$D$7=$B16)*Proj_19!H$95)+((Proj_20!$D$7=$B16)*Proj_20!H$95)+((Proj_21!$D$7=$B16)*Proj_21!H$95)+((Proj_22!$D$7=$B16)*Proj_22!H$95)+((Proj_23!$D$7=$B16)*Proj_23!H$95)+((Proj_24!$D$7=$B16)*Proj_24!H$95)+((Proj_25!$D$7=$B16)*Proj_25!H$95)+((Proj_26!$D$7=$B16)*Proj_26!H$95)+((Proj_27!$D$7=$B16)*Proj_27!H$95)+((Proj_28!$D$7=$B16)*Proj_28!H$95)+((Proj_29!$D$7=$B16)*Proj_29!H$95)+((Proj_30!$D$7=$B16)*Proj_30!H$95)+((Proj_31!$D$7=$B16)*Proj_31!H$95)+((Proj_32!$D$7=$B16)*Proj_32!H$95)+((Proj_33!$D$7=$B16)*Proj_33!H$95)+((Proj_34!$D$7=$B16)*Proj_34!H$95)+((Proj_35!$D$7=$B16)*Proj_35!H$95)+((Proj_36!$D$7=$B16)*Proj_36!H$95)+((Proj_37!$D$7=$B16)*Proj_37!H$95)+((Proj_38!$D$7=$B16)*Proj_38!H$95)+((Proj_39!$D$7=$B16)*Proj_39!H$95)+((Proj_40!$D$7=$B16)*Proj_40!H$95)+((Proj_41!$D$7=$B16)*Proj_41!H$95)+((Proj_42!$D$7=$B16)*Proj_42!H$95)+((Proj_43!$D$7=$B16)*Proj_43!H$95)+((Proj_44!$D$7=$B16)*Proj_44!H$95)+((Proj_45!$D$7=$B16)*Proj_45!H$95)+((Proj_46!$D$7=$B16)*Proj_46!H$95)</f>
        <v>19524.342843038816</v>
      </c>
      <c r="E16" s="193">
        <f>((Proj_1!$D$7=$B16)*Proj_1!I$95)+((Proj_2!$D$7=$B16)*Proj_2!I$95)+((Proj_3!$D$7=$B16)*Proj_3!I$95)+((Proj_4!$D$7=$B16)*Proj_4!I$95)+((Proj_5!$D$7=$B16)*Proj_5!I$95)+((Proj_6!$D$7=$B16)*Proj_6!I$95)+((Proj_7!$D$7=$B16)*Proj_7!I$95)+((Proj_8!$D$7=$B16)*Proj_8!I$95)+((Proj_9!$D$7=$B16)*Proj_9!I$95)+((Proj_10!$D$7=$B16)*Proj_10!I$95)+((Proj_11!$D$7=$B16)*Proj_11!I$95)+((Proj_12!$D$7=$B16)*Proj_12!I$95)+((Proj_13!$D$7=$B16)*Proj_13!I$95)+((Proj_14!$D$7=$B16)*Proj_14!I$95)+((Proj_15!$D$7=$B16)*Proj_15!I$95)+((Proj_16!$D$7=$B16)*Proj_16!I$95)+((Proj_17!$D$7=$B16)*Proj_17!I$95)+((Proj_18!$D$7=$B16)*Proj_18!I$95)+((Proj_19!$D$7=$B16)*Proj_19!I$95)+((Proj_20!$D$7=$B16)*Proj_20!I$95)+((Proj_21!$D$7=$B16)*Proj_21!I$95)+((Proj_22!$D$7=$B16)*Proj_22!I$95)+((Proj_23!$D$7=$B16)*Proj_23!I$95)+((Proj_24!$D$7=$B16)*Proj_24!I$95)+((Proj_25!$D$7=$B16)*Proj_25!I$95)+((Proj_26!$D$7=$B16)*Proj_26!I$95)+((Proj_27!$D$7=$B16)*Proj_27!I$95)+((Proj_28!$D$7=$B16)*Proj_28!I$95)+((Proj_29!$D$7=$B16)*Proj_29!I$95)+((Proj_30!$D$7=$B16)*Proj_30!I$95)+((Proj_31!$D$7=$B16)*Proj_31!I$95)+((Proj_32!$D$7=$B16)*Proj_32!I$95)+((Proj_33!$D$7=$B16)*Proj_33!I$95)+((Proj_34!$D$7=$B16)*Proj_34!I$95)+((Proj_35!$D$7=$B16)*Proj_35!I$95)+((Proj_36!$D$7=$B16)*Proj_36!I$95)+((Proj_37!$D$7=$B16)*Proj_37!I$95)+((Proj_38!$D$7=$B16)*Proj_38!I$95)+((Proj_39!$D$7=$B16)*Proj_39!I$95)+((Proj_40!$D$7=$B16)*Proj_40!I$95)+((Proj_41!$D$7=$B16)*Proj_41!I$95)+((Proj_42!$D$7=$B16)*Proj_42!I$95)+((Proj_43!$D$7=$B16)*Proj_43!I$95)+((Proj_44!$D$7=$B16)*Proj_44!I$95)+((Proj_45!$D$7=$B16)*Proj_45!I$95)+((Proj_46!$D$7=$B16)*Proj_46!I$95)</f>
        <v>23795.255544825348</v>
      </c>
      <c r="F16" s="193">
        <f>((Proj_1!$D$7=$B16)*Proj_1!J$95)+((Proj_2!$D$7=$B16)*Proj_2!J$95)+((Proj_3!$D$7=$B16)*Proj_3!J$95)+((Proj_4!$D$7=$B16)*Proj_4!J$95)+((Proj_5!$D$7=$B16)*Proj_5!J$95)+((Proj_6!$D$7=$B16)*Proj_6!J$95)+((Proj_7!$D$7=$B16)*Proj_7!J$95)+((Proj_8!$D$7=$B16)*Proj_8!J$95)+((Proj_9!$D$7=$B16)*Proj_9!J$95)+((Proj_10!$D$7=$B16)*Proj_10!J$95)+((Proj_11!$D$7=$B16)*Proj_11!J$95)+((Proj_12!$D$7=$B16)*Proj_12!J$95)+((Proj_13!$D$7=$B16)*Proj_13!J$95)+((Proj_14!$D$7=$B16)*Proj_14!J$95)+((Proj_15!$D$7=$B16)*Proj_15!J$95)+((Proj_16!$D$7=$B16)*Proj_16!J$95)+((Proj_17!$D$7=$B16)*Proj_17!J$95)+((Proj_18!$D$7=$B16)*Proj_18!J$95)+((Proj_19!$D$7=$B16)*Proj_19!J$95)+((Proj_20!$D$7=$B16)*Proj_20!J$95)+((Proj_21!$D$7=$B16)*Proj_21!J$95)+((Proj_22!$D$7=$B16)*Proj_22!J$95)+((Proj_23!$D$7=$B16)*Proj_23!J$95)+((Proj_24!$D$7=$B16)*Proj_24!J$95)+((Proj_25!$D$7=$B16)*Proj_25!J$95)+((Proj_26!$D$7=$B16)*Proj_26!J$95)+((Proj_27!$D$7=$B16)*Proj_27!J$95)+((Proj_28!$D$7=$B16)*Proj_28!J$95)+((Proj_29!$D$7=$B16)*Proj_29!J$95)+((Proj_30!$D$7=$B16)*Proj_30!J$95)+((Proj_31!$D$7=$B16)*Proj_31!J$95)+((Proj_32!$D$7=$B16)*Proj_32!J$95)+((Proj_33!$D$7=$B16)*Proj_33!J$95)+((Proj_34!$D$7=$B16)*Proj_34!J$95)+((Proj_35!$D$7=$B16)*Proj_35!J$95)+((Proj_36!$D$7=$B16)*Proj_36!J$95)+((Proj_37!$D$7=$B16)*Proj_37!J$95)+((Proj_38!$D$7=$B16)*Proj_38!J$95)+((Proj_39!$D$7=$B16)*Proj_39!J$95)+((Proj_40!$D$7=$B16)*Proj_40!J$95)+((Proj_41!$D$7=$B16)*Proj_41!J$95)+((Proj_42!$D$7=$B16)*Proj_42!J$95)+((Proj_43!$D$7=$B16)*Proj_43!J$95)+((Proj_44!$D$7=$B16)*Proj_44!J$95)+((Proj_45!$D$7=$B16)*Proj_45!J$95)+((Proj_46!$D$7=$B16)*Proj_46!J$95)</f>
        <v>21559.242947687449</v>
      </c>
      <c r="G16" s="193">
        <f>((Proj_1!$D$7=$B16)*Proj_1!K$95)+((Proj_2!$D$7=$B16)*Proj_2!K$95)+((Proj_3!$D$7=$B16)*Proj_3!K$95)+((Proj_4!$D$7=$B16)*Proj_4!K$95)+((Proj_5!$D$7=$B16)*Proj_5!K$95)+((Proj_6!$D$7=$B16)*Proj_6!K$95)+((Proj_7!$D$7=$B16)*Proj_7!K$95)+((Proj_8!$D$7=$B16)*Proj_8!K$95)+((Proj_9!$D$7=$B16)*Proj_9!K$95)+((Proj_10!$D$7=$B16)*Proj_10!K$95)+((Proj_11!$D$7=$B16)*Proj_11!K$95)+((Proj_12!$D$7=$B16)*Proj_12!K$95)+((Proj_13!$D$7=$B16)*Proj_13!K$95)+((Proj_14!$D$7=$B16)*Proj_14!K$95)+((Proj_15!$D$7=$B16)*Proj_15!K$95)+((Proj_16!$D$7=$B16)*Proj_16!K$95)+((Proj_17!$D$7=$B16)*Proj_17!K$95)+((Proj_18!$D$7=$B16)*Proj_18!K$95)+((Proj_19!$D$7=$B16)*Proj_19!K$95)+((Proj_20!$D$7=$B16)*Proj_20!K$95)+((Proj_21!$D$7=$B16)*Proj_21!K$95)+((Proj_22!$D$7=$B16)*Proj_22!K$95)+((Proj_23!$D$7=$B16)*Proj_23!K$95)+((Proj_24!$D$7=$B16)*Proj_24!K$95)+((Proj_25!$D$7=$B16)*Proj_25!K$95)+((Proj_26!$D$7=$B16)*Proj_26!K$95)+((Proj_27!$D$7=$B16)*Proj_27!K$95)+((Proj_28!$D$7=$B16)*Proj_28!K$95)+((Proj_29!$D$7=$B16)*Proj_29!K$95)+((Proj_30!$D$7=$B16)*Proj_30!K$95)+((Proj_31!$D$7=$B16)*Proj_31!K$95)+((Proj_32!$D$7=$B16)*Proj_32!K$95)+((Proj_33!$D$7=$B16)*Proj_33!K$95)+((Proj_34!$D$7=$B16)*Proj_34!K$95)+((Proj_35!$D$7=$B16)*Proj_35!K$95)+((Proj_36!$D$7=$B16)*Proj_36!K$95)+((Proj_37!$D$7=$B16)*Proj_37!K$95)+((Proj_38!$D$7=$B16)*Proj_38!K$95)+((Proj_39!$D$7=$B16)*Proj_39!K$95)+((Proj_40!$D$7=$B16)*Proj_40!K$95)+((Proj_41!$D$7=$B16)*Proj_41!K$95)+((Proj_42!$D$7=$B16)*Proj_42!K$95)+((Proj_43!$D$7=$B16)*Proj_43!K$95)+((Proj_44!$D$7=$B16)*Proj_44!K$95)+((Proj_45!$D$7=$B16)*Proj_45!K$95)+((Proj_46!$D$7=$B16)*Proj_46!K$95)</f>
        <v>13226.91578058304</v>
      </c>
      <c r="H16" s="193">
        <f>((Proj_1!$D$7=$B16)*Proj_1!L$95)+((Proj_2!$D$7=$B16)*Proj_2!L$95)+((Proj_3!$D$7=$B16)*Proj_3!L$95)+((Proj_4!$D$7=$B16)*Proj_4!L$95)+((Proj_5!$D$7=$B16)*Proj_5!L$95)+((Proj_6!$D$7=$B16)*Proj_6!L$95)+((Proj_7!$D$7=$B16)*Proj_7!L$95)+((Proj_8!$D$7=$B16)*Proj_8!L$95)+((Proj_9!$D$7=$B16)*Proj_9!L$95)+((Proj_10!$D$7=$B16)*Proj_10!L$95)+((Proj_11!$D$7=$B16)*Proj_11!L$95)+((Proj_12!$D$7=$B16)*Proj_12!L$95)+((Proj_13!$D$7=$B16)*Proj_13!L$95)+((Proj_14!$D$7=$B16)*Proj_14!L$95)+((Proj_15!$D$7=$B16)*Proj_15!L$95)+((Proj_16!$D$7=$B16)*Proj_16!L$95)+((Proj_17!$D$7=$B16)*Proj_17!L$95)+((Proj_18!$D$7=$B16)*Proj_18!L$95)+((Proj_19!$D$7=$B16)*Proj_19!L$95)+((Proj_20!$D$7=$B16)*Proj_20!L$95)+((Proj_21!$D$7=$B16)*Proj_21!L$95)+((Proj_22!$D$7=$B16)*Proj_22!L$95)+((Proj_23!$D$7=$B16)*Proj_23!L$95)+((Proj_24!$D$7=$B16)*Proj_24!L$95)+((Proj_25!$D$7=$B16)*Proj_25!L$95)+((Proj_26!$D$7=$B16)*Proj_26!L$95)+((Proj_27!$D$7=$B16)*Proj_27!L$95)+((Proj_28!$D$7=$B16)*Proj_28!L$95)+((Proj_29!$D$7=$B16)*Proj_29!L$95)+((Proj_30!$D$7=$B16)*Proj_30!L$95)+((Proj_31!$D$7=$B16)*Proj_31!L$95)+((Proj_32!$D$7=$B16)*Proj_32!L$95)+((Proj_33!$D$7=$B16)*Proj_33!L$95)+((Proj_34!$D$7=$B16)*Proj_34!L$95)+((Proj_35!$D$7=$B16)*Proj_35!L$95)+((Proj_36!$D$7=$B16)*Proj_36!L$95)+((Proj_37!$D$7=$B16)*Proj_37!L$95)+((Proj_38!$D$7=$B16)*Proj_38!L$95)+((Proj_39!$D$7=$B16)*Proj_39!L$95)+((Proj_40!$D$7=$B16)*Proj_40!L$95)+((Proj_41!$D$7=$B16)*Proj_41!L$95)+((Proj_42!$D$7=$B16)*Proj_42!L$95)+((Proj_43!$D$7=$B16)*Proj_43!L$95)+((Proj_44!$D$7=$B16)*Proj_44!L$95)+((Proj_45!$D$7=$B16)*Proj_45!L$95)+((Proj_46!$D$7=$B16)*Proj_46!L$95)</f>
        <v>10902.798057234042</v>
      </c>
      <c r="I16" s="193">
        <f>((Proj_1!$D$7=$B16)*Proj_1!M$95)+((Proj_2!$D$7=$B16)*Proj_2!M$95)+((Proj_3!$D$7=$B16)*Proj_3!M$95)+((Proj_4!$D$7=$B16)*Proj_4!M$95)+((Proj_5!$D$7=$B16)*Proj_5!M$95)+((Proj_6!$D$7=$B16)*Proj_6!M$95)+((Proj_7!$D$7=$B16)*Proj_7!M$95)+((Proj_8!$D$7=$B16)*Proj_8!M$95)+((Proj_9!$D$7=$B16)*Proj_9!M$95)+((Proj_10!$D$7=$B16)*Proj_10!M$95)+((Proj_11!$D$7=$B16)*Proj_11!M$95)+((Proj_12!$D$7=$B16)*Proj_12!M$95)+((Proj_13!$D$7=$B16)*Proj_13!M$95)+((Proj_14!$D$7=$B16)*Proj_14!M$95)+((Proj_15!$D$7=$B16)*Proj_15!M$95)+((Proj_16!$D$7=$B16)*Proj_16!M$95)+((Proj_17!$D$7=$B16)*Proj_17!M$95)+((Proj_18!$D$7=$B16)*Proj_18!M$95)+((Proj_19!$D$7=$B16)*Proj_19!M$95)+((Proj_20!$D$7=$B16)*Proj_20!M$95)+((Proj_21!$D$7=$B16)*Proj_21!M$95)+((Proj_22!$D$7=$B16)*Proj_22!M$95)+((Proj_23!$D$7=$B16)*Proj_23!M$95)+((Proj_24!$D$7=$B16)*Proj_24!M$95)+((Proj_25!$D$7=$B16)*Proj_25!M$95)+((Proj_26!$D$7=$B16)*Proj_26!M$95)+((Proj_27!$D$7=$B16)*Proj_27!M$95)+((Proj_28!$D$7=$B16)*Proj_28!M$95)+((Proj_29!$D$7=$B16)*Proj_29!M$95)+((Proj_30!$D$7=$B16)*Proj_30!M$95)+((Proj_31!$D$7=$B16)*Proj_31!M$95)+((Proj_32!$D$7=$B16)*Proj_32!M$95)+((Proj_33!$D$7=$B16)*Proj_33!M$95)+((Proj_34!$D$7=$B16)*Proj_34!M$95)+((Proj_35!$D$7=$B16)*Proj_35!M$95)+((Proj_36!$D$7=$B16)*Proj_36!M$95)+((Proj_37!$D$7=$B16)*Proj_37!M$95)+((Proj_38!$D$7=$B16)*Proj_38!M$95)+((Proj_39!$D$7=$B16)*Proj_39!M$95)+((Proj_40!$D$7=$B16)*Proj_40!M$95)+((Proj_41!$D$7=$B16)*Proj_41!M$95)+((Proj_42!$D$7=$B16)*Proj_42!M$95)+((Proj_43!$D$7=$B16)*Proj_43!M$95)+((Proj_44!$D$7=$B16)*Proj_44!M$95)+((Proj_45!$D$7=$B16)*Proj_45!M$95)+((Proj_46!$D$7=$B16)*Proj_46!M$95)</f>
        <v>9285.8427737434831</v>
      </c>
      <c r="J16" s="131">
        <f>((Proj_1!$D$7=$B16)*Proj_1!N$95)+((Proj_2!$D$7=$B16)*Proj_2!N$95)+((Proj_3!$D$7=$B16)*Proj_3!N$95)+((Proj_4!$D$7=$B16)*Proj_4!N$95)+((Proj_5!$D$7=$B16)*Proj_5!N$95)+((Proj_6!$D$7=$B16)*Proj_6!N$95)+((Proj_7!$D$7=$B16)*Proj_7!N$95)+((Proj_8!$D$7=$B16)*Proj_8!N$95)+((Proj_9!$D$7=$B16)*Proj_9!N$95)+((Proj_10!$D$7=$B16)*Proj_10!N$95)+((Proj_11!$D$7=$B16)*Proj_11!N$95)+((Proj_12!$D$7=$B16)*Proj_12!N$95)+((Proj_13!$D$7=$B16)*Proj_13!N$95)+((Proj_14!$D$7=$B16)*Proj_14!N$95)+((Proj_15!$D$7=$B16)*Proj_15!N$95)+((Proj_16!$D$7=$B16)*Proj_16!N$95)+((Proj_17!$D$7=$B16)*Proj_17!N$95)+((Proj_18!$D$7=$B16)*Proj_18!N$95)+((Proj_19!$D$7=$B16)*Proj_19!N$95)+((Proj_20!$D$7=$B16)*Proj_20!N$95)+((Proj_21!$D$7=$B16)*Proj_21!N$95)+((Proj_22!$D$7=$B16)*Proj_22!N$95)+((Proj_23!$D$7=$B16)*Proj_23!N$95)+((Proj_24!$D$7=$B16)*Proj_24!N$95)+((Proj_25!$D$7=$B16)*Proj_25!N$95)+((Proj_26!$D$7=$B16)*Proj_26!N$95)+((Proj_27!$D$7=$B16)*Proj_27!N$95)+((Proj_28!$D$7=$B16)*Proj_28!N$95)+((Proj_29!$D$7=$B16)*Proj_29!N$95)+((Proj_30!$D$7=$B16)*Proj_30!N$95)+((Proj_31!$D$7=$B16)*Proj_31!N$95)+((Proj_32!$D$7=$B16)*Proj_32!N$95)+((Proj_33!$D$7=$B16)*Proj_33!N$95)+((Proj_34!$D$7=$B16)*Proj_34!N$95)+((Proj_35!$D$7=$B16)*Proj_35!N$95)+((Proj_36!$D$7=$B16)*Proj_36!N$95)+((Proj_37!$D$7=$B16)*Proj_37!N$95)+((Proj_38!$D$7=$B16)*Proj_38!N$95)+((Proj_39!$D$7=$B16)*Proj_39!N$95)+((Proj_40!$D$7=$B16)*Proj_40!N$95)+((Proj_41!$D$7=$B16)*Proj_41!N$95)+((Proj_42!$D$7=$B16)*Proj_42!N$95)+((Proj_43!$D$7=$B16)*Proj_43!N$95)+((Proj_44!$D$7=$B16)*Proj_44!N$95)+((Proj_45!$D$7=$B16)*Proj_45!N$95)+((Proj_46!$D$7=$B16)*Proj_46!N$95)</f>
        <v>0</v>
      </c>
      <c r="K16" s="193">
        <f t="shared" si="3"/>
        <v>78770.055104073355</v>
      </c>
      <c r="M16" s="80" t="s">
        <v>179</v>
      </c>
      <c r="N16" s="144">
        <f t="shared" si="0"/>
        <v>33.465430752527759</v>
      </c>
      <c r="O16" s="144">
        <f t="shared" si="0"/>
        <v>19.524342843038816</v>
      </c>
      <c r="P16" s="158">
        <f t="shared" si="1"/>
        <v>23.795255544825348</v>
      </c>
      <c r="Q16" s="158">
        <f t="shared" si="1"/>
        <v>21.559242947687448</v>
      </c>
      <c r="R16" s="158">
        <f t="shared" si="1"/>
        <v>13.22691578058304</v>
      </c>
      <c r="S16" s="158">
        <f t="shared" si="1"/>
        <v>10.902798057234042</v>
      </c>
      <c r="T16" s="158">
        <f t="shared" si="1"/>
        <v>9.2858427737434823</v>
      </c>
      <c r="U16" s="144">
        <f t="shared" si="2"/>
        <v>0</v>
      </c>
      <c r="V16" s="158">
        <f t="shared" si="4"/>
        <v>78.770055104073364</v>
      </c>
    </row>
    <row r="17" spans="2:22">
      <c r="B17" s="155" t="s">
        <v>37</v>
      </c>
      <c r="C17" s="187">
        <f t="shared" ref="C17:K17" si="6">SUM(C9:C16)</f>
        <v>185975.30043628751</v>
      </c>
      <c r="D17" s="187">
        <f t="shared" si="6"/>
        <v>177864.30331510439</v>
      </c>
      <c r="E17" s="196">
        <f t="shared" si="6"/>
        <v>187646.77797995385</v>
      </c>
      <c r="F17" s="196">
        <f t="shared" si="6"/>
        <v>137000.53801639113</v>
      </c>
      <c r="G17" s="196">
        <f t="shared" si="6"/>
        <v>114196.50443750169</v>
      </c>
      <c r="H17" s="196">
        <f t="shared" si="6"/>
        <v>109344.55486712609</v>
      </c>
      <c r="I17" s="196">
        <f t="shared" si="6"/>
        <v>90000.20687857685</v>
      </c>
      <c r="J17" s="187">
        <f t="shared" si="6"/>
        <v>0</v>
      </c>
      <c r="K17" s="196">
        <f t="shared" si="6"/>
        <v>638188.58217954962</v>
      </c>
      <c r="M17" s="155" t="s">
        <v>37</v>
      </c>
      <c r="N17" s="186">
        <f>SUM(N9:N16)</f>
        <v>185.97530043628748</v>
      </c>
      <c r="O17" s="186">
        <f t="shared" ref="O17:V17" si="7">SUM(O9:O16)</f>
        <v>177.86430331510442</v>
      </c>
      <c r="P17" s="188">
        <f t="shared" si="7"/>
        <v>187.64677797995387</v>
      </c>
      <c r="Q17" s="188">
        <f t="shared" si="7"/>
        <v>137.00053801639109</v>
      </c>
      <c r="R17" s="188">
        <f t="shared" si="7"/>
        <v>114.19650443750167</v>
      </c>
      <c r="S17" s="188">
        <f t="shared" si="7"/>
        <v>109.34455486712608</v>
      </c>
      <c r="T17" s="188">
        <f t="shared" si="7"/>
        <v>90.000206878576833</v>
      </c>
      <c r="U17" s="186">
        <f t="shared" si="7"/>
        <v>0</v>
      </c>
      <c r="V17" s="188">
        <f t="shared" si="7"/>
        <v>638.1885821795496</v>
      </c>
    </row>
    <row r="18" spans="2:22">
      <c r="C18" s="189"/>
      <c r="D18" s="189"/>
      <c r="E18" s="189"/>
      <c r="F18" s="189"/>
      <c r="G18" s="189"/>
      <c r="H18" s="189"/>
      <c r="I18" s="189"/>
      <c r="J18" s="189"/>
      <c r="K18" s="189"/>
      <c r="M18" s="47" t="s">
        <v>50</v>
      </c>
      <c r="N18" s="385">
        <f>N17-'5.2(a)_Total_Fcast'!N23</f>
        <v>0</v>
      </c>
      <c r="O18" s="385">
        <f>O17-'5.2(a)_Total_Fcast'!O23</f>
        <v>0</v>
      </c>
      <c r="P18" s="385">
        <f>P17-'5.2(a)_Total_Fcast'!P23</f>
        <v>0</v>
      </c>
      <c r="Q18" s="385">
        <f>Q17-'5.2(a)_Total_Fcast'!Q23</f>
        <v>0</v>
      </c>
      <c r="R18" s="385">
        <f>R17-'5.2(a)_Total_Fcast'!R23</f>
        <v>0</v>
      </c>
      <c r="S18" s="385">
        <f>S17-'5.2(a)_Total_Fcast'!S23</f>
        <v>0</v>
      </c>
      <c r="T18" s="385">
        <f>T17-'5.2(a)_Total_Fcast'!T23</f>
        <v>0</v>
      </c>
      <c r="U18" s="385">
        <f>U17-'5.2(a)_Total_Fcast'!U23</f>
        <v>0</v>
      </c>
      <c r="V18" s="385">
        <f>V17-'5.2(a)_Total_Fcast'!V23</f>
        <v>0</v>
      </c>
    </row>
    <row r="19" spans="2:22">
      <c r="C19" s="43"/>
      <c r="D19" s="43"/>
      <c r="E19" s="148"/>
      <c r="F19" s="148"/>
      <c r="G19" s="148"/>
      <c r="H19" s="148"/>
      <c r="I19" s="148"/>
      <c r="J19" s="148"/>
      <c r="K19" s="148"/>
    </row>
    <row r="20" spans="2:22">
      <c r="G20" s="43"/>
      <c r="H20" s="43"/>
      <c r="I20" s="43"/>
      <c r="J20" s="43"/>
      <c r="K20" s="43"/>
      <c r="M20" s="143" t="s">
        <v>321</v>
      </c>
    </row>
    <row r="21" spans="2:22">
      <c r="G21" s="43"/>
      <c r="H21" s="43"/>
      <c r="I21" s="43"/>
      <c r="J21" s="43"/>
      <c r="K21" s="43"/>
      <c r="M21" s="903" t="s">
        <v>438</v>
      </c>
      <c r="P21" s="1016" t="s">
        <v>481</v>
      </c>
      <c r="Q21" s="1017"/>
      <c r="R21" s="1017"/>
      <c r="S21" s="1017"/>
      <c r="T21" s="1018"/>
      <c r="V21" s="139"/>
    </row>
    <row r="22" spans="2:22">
      <c r="G22" s="43"/>
      <c r="H22" s="43"/>
      <c r="I22" s="43"/>
      <c r="J22" s="43"/>
      <c r="K22" s="43"/>
      <c r="M22" s="900"/>
      <c r="N22" s="184" t="s">
        <v>72</v>
      </c>
      <c r="O22" s="184" t="s">
        <v>73</v>
      </c>
      <c r="P22" s="184" t="s">
        <v>74</v>
      </c>
      <c r="Q22" s="184" t="s">
        <v>75</v>
      </c>
      <c r="R22" s="184" t="s">
        <v>76</v>
      </c>
      <c r="S22" s="184" t="s">
        <v>77</v>
      </c>
      <c r="T22" s="184" t="s">
        <v>78</v>
      </c>
      <c r="U22" s="184" t="s">
        <v>79</v>
      </c>
      <c r="V22" s="140" t="s">
        <v>35</v>
      </c>
    </row>
    <row r="23" spans="2:22">
      <c r="G23" s="43"/>
      <c r="H23" s="43"/>
      <c r="I23" s="43"/>
      <c r="J23" s="43"/>
      <c r="K23" s="43"/>
      <c r="M23" s="901" t="s">
        <v>202</v>
      </c>
      <c r="N23" s="142" t="s">
        <v>56</v>
      </c>
      <c r="O23" s="142" t="s">
        <v>55</v>
      </c>
      <c r="P23" s="142" t="s">
        <v>38</v>
      </c>
      <c r="Q23" s="142" t="s">
        <v>39</v>
      </c>
      <c r="R23" s="142" t="s">
        <v>40</v>
      </c>
      <c r="S23" s="142" t="s">
        <v>123</v>
      </c>
      <c r="T23" s="142" t="s">
        <v>124</v>
      </c>
      <c r="U23" s="142" t="s">
        <v>125</v>
      </c>
      <c r="V23" s="185"/>
    </row>
    <row r="24" spans="2:22">
      <c r="G24" s="43"/>
      <c r="H24" s="43"/>
      <c r="I24" s="43"/>
      <c r="J24" s="43"/>
      <c r="K24" s="43"/>
      <c r="M24" s="80" t="s">
        <v>292</v>
      </c>
      <c r="N24" s="144">
        <f>N9/Assumptions!G$21</f>
        <v>38.435114241895761</v>
      </c>
      <c r="O24" s="144">
        <f>O9/Assumptions!H$21</f>
        <v>39.276311781589818</v>
      </c>
      <c r="P24" s="158">
        <f>P9/Assumptions!J$21</f>
        <v>49.130285950565046</v>
      </c>
      <c r="Q24" s="158">
        <f>Q9/Assumptions!K$21</f>
        <v>26.22473915579986</v>
      </c>
      <c r="R24" s="158">
        <f>R9/Assumptions!L$21</f>
        <v>28.064096433691596</v>
      </c>
      <c r="S24" s="158">
        <f>S9/Assumptions!M$21</f>
        <v>12.583724182141115</v>
      </c>
      <c r="T24" s="158">
        <f>T9/Assumptions!N$21</f>
        <v>5.760142229997677</v>
      </c>
      <c r="U24" s="144"/>
      <c r="V24" s="158">
        <f>SUM(P24:T24)</f>
        <v>121.76298795219529</v>
      </c>
    </row>
    <row r="25" spans="2:22">
      <c r="G25" s="43"/>
      <c r="H25" s="43"/>
      <c r="I25" s="43"/>
      <c r="J25" s="43"/>
      <c r="K25" s="43"/>
      <c r="M25" s="80" t="s">
        <v>67</v>
      </c>
      <c r="N25" s="144">
        <f>N10/Assumptions!G$21</f>
        <v>41.813893466043645</v>
      </c>
      <c r="O25" s="144">
        <f>O10/Assumptions!H$21</f>
        <v>54.264047533428531</v>
      </c>
      <c r="P25" s="158">
        <f>P10/Assumptions!J$21</f>
        <v>56.055905012557425</v>
      </c>
      <c r="Q25" s="158">
        <f>Q10/Assumptions!K$21</f>
        <v>24.158229814059951</v>
      </c>
      <c r="R25" s="158">
        <f>R10/Assumptions!L$21</f>
        <v>11.397186652611042</v>
      </c>
      <c r="S25" s="158">
        <f>S10/Assumptions!M$21</f>
        <v>28.984927609440298</v>
      </c>
      <c r="T25" s="158">
        <f>T10/Assumptions!N$21</f>
        <v>19.134929101452727</v>
      </c>
      <c r="U25" s="144"/>
      <c r="V25" s="158">
        <f t="shared" ref="V25:V31" si="8">SUM(P25:T25)</f>
        <v>139.73117819012145</v>
      </c>
    </row>
    <row r="26" spans="2:22">
      <c r="G26" s="43"/>
      <c r="H26" s="43"/>
      <c r="I26" s="43"/>
      <c r="J26" s="43"/>
      <c r="K26" s="43"/>
      <c r="M26" s="77" t="s">
        <v>117</v>
      </c>
      <c r="N26" s="144">
        <f>N11/Assumptions!G$21</f>
        <v>48.645279869897145</v>
      </c>
      <c r="O26" s="144">
        <f>O11/Assumptions!H$21</f>
        <v>45.088113341690587</v>
      </c>
      <c r="P26" s="158">
        <f>P11/Assumptions!J$21</f>
        <v>44.035774942376833</v>
      </c>
      <c r="Q26" s="158">
        <f>Q11/Assumptions!K$21</f>
        <v>52.073000185384942</v>
      </c>
      <c r="R26" s="158">
        <f>R11/Assumptions!L$21</f>
        <v>48.884700328296091</v>
      </c>
      <c r="S26" s="158">
        <f>S11/Assumptions!M$21</f>
        <v>47.801511132311049</v>
      </c>
      <c r="T26" s="158">
        <f>T11/Assumptions!N$21</f>
        <v>44.368368050484264</v>
      </c>
      <c r="U26" s="144"/>
      <c r="V26" s="158">
        <f t="shared" si="8"/>
        <v>237.16335463885318</v>
      </c>
    </row>
    <row r="27" spans="2:22">
      <c r="G27" s="43"/>
      <c r="H27" s="43"/>
      <c r="I27" s="43"/>
      <c r="J27" s="43"/>
      <c r="K27" s="43"/>
      <c r="M27" s="80" t="s">
        <v>118</v>
      </c>
      <c r="N27" s="144">
        <f>N12/Assumptions!G$21</f>
        <v>14.95938096045591</v>
      </c>
      <c r="O27" s="144">
        <f>O12/Assumptions!H$21</f>
        <v>15.415166321633516</v>
      </c>
      <c r="P27" s="158">
        <f>P12/Assumptions!J$21</f>
        <v>12.994323906977682</v>
      </c>
      <c r="Q27" s="158">
        <f>Q12/Assumptions!K$21</f>
        <v>12.965334607234045</v>
      </c>
      <c r="R27" s="158">
        <f>R12/Assumptions!L$21</f>
        <v>14.187337632860771</v>
      </c>
      <c r="S27" s="158">
        <f>S12/Assumptions!M$21</f>
        <v>13.013351702151624</v>
      </c>
      <c r="T27" s="158">
        <f>T12/Assumptions!N$21</f>
        <v>14.694724763928635</v>
      </c>
      <c r="U27" s="144"/>
      <c r="V27" s="158">
        <f t="shared" si="8"/>
        <v>67.855072613152757</v>
      </c>
    </row>
    <row r="28" spans="2:22">
      <c r="G28" s="43"/>
      <c r="H28" s="43"/>
      <c r="I28" s="43"/>
      <c r="J28" s="43"/>
      <c r="K28" s="43"/>
      <c r="M28" s="80" t="s">
        <v>143</v>
      </c>
      <c r="N28" s="144">
        <f>N13/Assumptions!G$21</f>
        <v>2.0243370101221259</v>
      </c>
      <c r="O28" s="144">
        <f>O13/Assumptions!H$21</f>
        <v>2.5827785121314366</v>
      </c>
      <c r="P28" s="158">
        <f>P13/Assumptions!J$21</f>
        <v>2.9865157191295917</v>
      </c>
      <c r="Q28" s="158">
        <f>Q13/Assumptions!K$21</f>
        <v>3.0752618812393289</v>
      </c>
      <c r="R28" s="158">
        <f>R13/Assumptions!L$21</f>
        <v>3.1662196936985723</v>
      </c>
      <c r="S28" s="158">
        <f>S13/Assumptions!M$21</f>
        <v>3.2615229531547243</v>
      </c>
      <c r="T28" s="158">
        <f>T13/Assumptions!N$21</f>
        <v>3.3602612353965275</v>
      </c>
      <c r="U28" s="144"/>
      <c r="V28" s="158">
        <f t="shared" si="8"/>
        <v>15.849781482618745</v>
      </c>
    </row>
    <row r="29" spans="2:22">
      <c r="G29" s="43"/>
      <c r="H29" s="43"/>
      <c r="I29" s="43"/>
      <c r="J29" s="43"/>
      <c r="K29" s="43"/>
      <c r="M29" s="80" t="s">
        <v>144</v>
      </c>
      <c r="N29" s="144">
        <f>N14/Assumptions!G$21</f>
        <v>1.3747690869274807</v>
      </c>
      <c r="O29" s="144">
        <f>O14/Assumptions!H$21</f>
        <v>0.89180710357048498</v>
      </c>
      <c r="P29" s="158">
        <f>P14/Assumptions!J$21</f>
        <v>1.9651514648067783</v>
      </c>
      <c r="Q29" s="158">
        <f>Q14/Assumptions!K$21</f>
        <v>1.5878826127056123</v>
      </c>
      <c r="R29" s="158">
        <f>R14/Assumptions!L$21</f>
        <v>2.2545554850944822</v>
      </c>
      <c r="S29" s="158">
        <f>S14/Assumptions!M$21</f>
        <v>1.9503444460968749</v>
      </c>
      <c r="T29" s="158">
        <f>T14/Assumptions!N$21</f>
        <v>2.009388537815187</v>
      </c>
      <c r="U29" s="144"/>
      <c r="V29" s="158">
        <f t="shared" si="8"/>
        <v>9.7673225465189351</v>
      </c>
    </row>
    <row r="30" spans="2:22">
      <c r="G30" s="43"/>
      <c r="H30" s="43"/>
      <c r="I30" s="43"/>
      <c r="J30" s="43"/>
      <c r="K30" s="43"/>
      <c r="M30" s="80" t="s">
        <v>145</v>
      </c>
      <c r="N30" s="144">
        <f>N15/Assumptions!G$21</f>
        <v>2.7199622810353046</v>
      </c>
      <c r="O30" s="144">
        <f>O15/Assumptions!H$21</f>
        <v>0.52905572927433209</v>
      </c>
      <c r="P30" s="158">
        <f>P15/Assumptions!J$21</f>
        <v>0.22409094198071414</v>
      </c>
      <c r="Q30" s="158">
        <f>Q15/Assumptions!K$21</f>
        <v>0.6228081793481709</v>
      </c>
      <c r="R30" s="158">
        <f>R15/Assumptions!L$21</f>
        <v>0.10233566418579729</v>
      </c>
      <c r="S30" s="158">
        <f>S15/Assumptions!M$21</f>
        <v>0.23154746888431388</v>
      </c>
      <c r="T30" s="158">
        <f>T15/Assumptions!N$21</f>
        <v>1.1592630519098677</v>
      </c>
      <c r="U30" s="144"/>
      <c r="V30" s="158">
        <f t="shared" si="8"/>
        <v>2.340045306308864</v>
      </c>
    </row>
    <row r="31" spans="2:22">
      <c r="G31" s="43"/>
      <c r="H31" s="43"/>
      <c r="I31" s="43"/>
      <c r="J31" s="43"/>
      <c r="K31" s="43"/>
      <c r="M31" s="80" t="s">
        <v>179</v>
      </c>
      <c r="N31" s="144">
        <f>N16/Assumptions!G$21</f>
        <v>32.90870454777221</v>
      </c>
      <c r="O31" s="144">
        <f>O16/Assumptions!H$21</f>
        <v>19.488253484733754</v>
      </c>
      <c r="P31" s="158">
        <f>P16/Assumptions!J$21</f>
        <v>24.309426593474164</v>
      </c>
      <c r="Q31" s="158">
        <f>Q16/Assumptions!K$21</f>
        <v>22.542687740109383</v>
      </c>
      <c r="R31" s="158">
        <f>R16/Assumptions!L$21</f>
        <v>14.155285201978488</v>
      </c>
      <c r="S31" s="158">
        <f>S16/Assumptions!M$21</f>
        <v>11.942241539603696</v>
      </c>
      <c r="T31" s="158">
        <f>T16/Assumptions!N$21</f>
        <v>10.41015163938923</v>
      </c>
      <c r="U31" s="144"/>
      <c r="V31" s="158">
        <f t="shared" si="8"/>
        <v>83.359792714554956</v>
      </c>
    </row>
    <row r="32" spans="2:22">
      <c r="G32" s="43"/>
      <c r="H32" s="43"/>
      <c r="I32" s="43"/>
      <c r="J32" s="43"/>
      <c r="K32" s="43"/>
      <c r="M32" s="155" t="s">
        <v>37</v>
      </c>
      <c r="N32" s="186">
        <f>SUM(N24:N31)</f>
        <v>182.88144146414956</v>
      </c>
      <c r="O32" s="186">
        <f t="shared" ref="O32:V32" si="9">SUM(O24:O31)</f>
        <v>177.53553380805241</v>
      </c>
      <c r="P32" s="188">
        <f t="shared" si="9"/>
        <v>191.70147453186823</v>
      </c>
      <c r="Q32" s="188">
        <f t="shared" si="9"/>
        <v>143.2499441758813</v>
      </c>
      <c r="R32" s="188">
        <f t="shared" si="9"/>
        <v>122.21171709241685</v>
      </c>
      <c r="S32" s="188">
        <f t="shared" si="9"/>
        <v>119.76917103378371</v>
      </c>
      <c r="T32" s="188">
        <f t="shared" si="9"/>
        <v>100.8972286103741</v>
      </c>
      <c r="U32" s="186">
        <f t="shared" si="9"/>
        <v>0</v>
      </c>
      <c r="V32" s="188">
        <f t="shared" si="9"/>
        <v>677.82953544432416</v>
      </c>
    </row>
    <row r="33" spans="7:22">
      <c r="G33" s="43"/>
      <c r="H33" s="43"/>
      <c r="I33" s="43"/>
      <c r="J33" s="43"/>
      <c r="K33" s="43"/>
      <c r="M33" s="47" t="s">
        <v>50</v>
      </c>
      <c r="N33" s="385">
        <f>N32-'5.2(a)_Total_Fcast'!N45</f>
        <v>0</v>
      </c>
      <c r="O33" s="385">
        <f>O32-'5.2(a)_Total_Fcast'!O45</f>
        <v>0</v>
      </c>
      <c r="P33" s="385">
        <f>P32-'5.2(a)_Total_Fcast'!P45</f>
        <v>0</v>
      </c>
      <c r="Q33" s="385">
        <f>Q32-'5.2(a)_Total_Fcast'!Q45</f>
        <v>0</v>
      </c>
      <c r="R33" s="385">
        <f>R32-'5.2(a)_Total_Fcast'!R45</f>
        <v>0</v>
      </c>
      <c r="S33" s="385">
        <f>S32-'5.2(a)_Total_Fcast'!S45</f>
        <v>0</v>
      </c>
      <c r="T33" s="385">
        <f>T32-'5.2(a)_Total_Fcast'!T45</f>
        <v>0</v>
      </c>
      <c r="U33" s="385">
        <f>U32-'5.2(a)_Total_Fcast'!U45</f>
        <v>0</v>
      </c>
      <c r="V33" s="385">
        <f>V32-'5.2(a)_Total_Fcast'!V45</f>
        <v>0</v>
      </c>
    </row>
  </sheetData>
  <mergeCells count="3">
    <mergeCell ref="P6:T6"/>
    <mergeCell ref="E6:I6"/>
    <mergeCell ref="P21:T21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&amp;L&amp;D&amp;R&amp;F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C1:C3"/>
  <sheetViews>
    <sheetView workbookViewId="0">
      <selection activeCell="C3" sqref="C3"/>
    </sheetView>
  </sheetViews>
  <sheetFormatPr defaultRowHeight="15"/>
  <cols>
    <col min="1" max="16384" width="9.140625" style="154"/>
  </cols>
  <sheetData>
    <row r="1" spans="3:3">
      <c r="C1" s="914" t="s">
        <v>290</v>
      </c>
    </row>
    <row r="3" spans="3:3" ht="21">
      <c r="C3" s="915" t="s">
        <v>458</v>
      </c>
    </row>
  </sheetData>
  <hyperlinks>
    <hyperlink ref="C1" location="Contents!A1" display="Table of Contents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workbookViewId="0">
      <selection activeCell="F24" sqref="F24"/>
    </sheetView>
  </sheetViews>
  <sheetFormatPr defaultRowHeight="15"/>
  <cols>
    <col min="1" max="2" width="9.140625" style="236"/>
    <col min="3" max="3" width="36.7109375" style="236" customWidth="1"/>
    <col min="4" max="10" width="16" style="236" customWidth="1"/>
    <col min="11" max="16384" width="9.140625" style="236"/>
  </cols>
  <sheetData>
    <row r="1" spans="2:10">
      <c r="B1" s="483" t="s">
        <v>290</v>
      </c>
    </row>
    <row r="4" spans="2:10" ht="18">
      <c r="C4" s="635" t="s">
        <v>333</v>
      </c>
      <c r="D4" s="636"/>
      <c r="E4" s="636"/>
      <c r="F4" s="636"/>
      <c r="G4" s="636"/>
      <c r="H4" s="636"/>
      <c r="I4" s="636"/>
      <c r="J4" s="636"/>
    </row>
    <row r="5" spans="2:10">
      <c r="C5" s="637"/>
      <c r="D5" s="37"/>
      <c r="E5" s="37"/>
      <c r="F5" s="37"/>
      <c r="G5" s="37"/>
      <c r="H5" s="37"/>
      <c r="I5" s="37"/>
      <c r="J5" s="37"/>
    </row>
    <row r="6" spans="2:10" ht="30" customHeight="1" thickBot="1">
      <c r="C6" s="1019"/>
      <c r="D6" s="1021" t="s">
        <v>342</v>
      </c>
      <c r="E6" s="1022"/>
      <c r="F6" s="1022"/>
      <c r="G6" s="1022"/>
      <c r="H6" s="1022"/>
      <c r="I6" s="1022"/>
      <c r="J6" s="1022"/>
    </row>
    <row r="7" spans="2:10" ht="15.75" thickBot="1">
      <c r="C7" s="1020"/>
      <c r="D7" s="638" t="s">
        <v>72</v>
      </c>
      <c r="E7" s="639" t="s">
        <v>73</v>
      </c>
      <c r="F7" s="640" t="s">
        <v>74</v>
      </c>
      <c r="G7" s="641" t="s">
        <v>75</v>
      </c>
      <c r="H7" s="641" t="s">
        <v>76</v>
      </c>
      <c r="I7" s="641" t="s">
        <v>77</v>
      </c>
      <c r="J7" s="642" t="s">
        <v>78</v>
      </c>
    </row>
    <row r="8" spans="2:10">
      <c r="C8" s="643" t="s">
        <v>334</v>
      </c>
      <c r="D8" s="644">
        <f>'5.1(a)_Direct_Fcast'!M29*Thousands</f>
        <v>125785802.57350628</v>
      </c>
      <c r="E8" s="645">
        <f>'5.1(a)_Direct_Fcast'!N29*Thousands</f>
        <v>142038275.85062692</v>
      </c>
      <c r="F8" s="646">
        <f>'5.1(a)_Direct_Fcast'!O29*Thousands</f>
        <v>117308641.89790931</v>
      </c>
      <c r="G8" s="647">
        <f>'5.1(a)_Direct_Fcast'!P29*Thousands</f>
        <v>85022850.217658266</v>
      </c>
      <c r="H8" s="647">
        <f>'5.1(a)_Direct_Fcast'!Q29*Thousands</f>
        <v>77769402.925996602</v>
      </c>
      <c r="I8" s="647">
        <f>'5.1(a)_Direct_Fcast'!R29*Thousands</f>
        <v>74351992.252013013</v>
      </c>
      <c r="J8" s="645">
        <f>'5.1(a)_Direct_Fcast'!S29*Thousands</f>
        <v>66887256.48594591</v>
      </c>
    </row>
    <row r="9" spans="2:10">
      <c r="C9" s="643" t="s">
        <v>335</v>
      </c>
      <c r="D9" s="648"/>
      <c r="E9" s="649"/>
      <c r="F9" s="650"/>
      <c r="G9" s="651"/>
      <c r="H9" s="651"/>
      <c r="I9" s="651"/>
      <c r="J9" s="649"/>
    </row>
    <row r="10" spans="2:10">
      <c r="C10" s="643" t="s">
        <v>336</v>
      </c>
      <c r="D10" s="648"/>
      <c r="E10" s="649"/>
      <c r="F10" s="650"/>
      <c r="G10" s="651"/>
      <c r="H10" s="651"/>
      <c r="I10" s="651"/>
      <c r="J10" s="649"/>
    </row>
    <row r="11" spans="2:10">
      <c r="C11" s="643" t="s">
        <v>337</v>
      </c>
      <c r="D11" s="652">
        <f>'5.1(a)_Direct_Fcast'!M21*Thousands</f>
        <v>13686952.950042691</v>
      </c>
      <c r="E11" s="653">
        <f>'5.1(a)_Direct_Fcast'!N21*Thousands</f>
        <v>21964156.398800693</v>
      </c>
      <c r="F11" s="654">
        <f>'5.1(a)_Direct_Fcast'!O21*Thousands</f>
        <v>27361899.066008102</v>
      </c>
      <c r="G11" s="655">
        <f>'5.1(a)_Direct_Fcast'!P21*Thousands</f>
        <v>25293888.925864048</v>
      </c>
      <c r="H11" s="655">
        <f>'5.1(a)_Direct_Fcast'!Q21*Thousands</f>
        <v>17230666.407405451</v>
      </c>
      <c r="I11" s="655">
        <f>'5.1(a)_Direct_Fcast'!R21*Thousands</f>
        <v>15062825.773083562</v>
      </c>
      <c r="J11" s="653">
        <f>'5.1(a)_Direct_Fcast'!S21*Thousands</f>
        <v>14420097.043232122</v>
      </c>
    </row>
    <row r="12" spans="2:10">
      <c r="C12" s="643" t="s">
        <v>338</v>
      </c>
      <c r="D12" s="652">
        <f>'2.10 Overheads - Submission'!H30</f>
        <v>3858370.4985563387</v>
      </c>
      <c r="E12" s="653">
        <f>'2.10 Overheads - Submission'!I30</f>
        <v>5703515.5419634404</v>
      </c>
      <c r="F12" s="960">
        <f>(Assumptions!I$91*(1-Assumptions!$I$71)*Assumptions!$I$23*F19)*Millions</f>
        <v>5685453.9458531942</v>
      </c>
      <c r="G12" s="961">
        <f>(Assumptions!J$91*(1-Assumptions!$I$71)*Assumptions!$I$23*G19)*Millions</f>
        <v>5543481.7823518906</v>
      </c>
      <c r="H12" s="961">
        <f>(Assumptions!K$91*(1-Assumptions!$I$71)*Assumptions!$I$23*H19)*Millions</f>
        <v>5426190.3542335397</v>
      </c>
      <c r="I12" s="961">
        <f>(Assumptions!L$91*(1-Assumptions!$I$71)*Assumptions!$I$23*I19)*Millions</f>
        <v>4596705.6783908131</v>
      </c>
      <c r="J12" s="962">
        <f>(Assumptions!M$91*(1-Assumptions!$I$71)*Assumptions!$I$23*J19)*Millions</f>
        <v>3895940.3771312959</v>
      </c>
    </row>
    <row r="13" spans="2:10">
      <c r="C13" s="643" t="s">
        <v>339</v>
      </c>
      <c r="D13" s="652">
        <f>'2.10 Overheads - Submission'!H31</f>
        <v>4179901.3734360333</v>
      </c>
      <c r="E13" s="653">
        <f>'2.10 Overheads - Submission'!I31</f>
        <v>6178808.5037937285</v>
      </c>
      <c r="F13" s="960">
        <f>(Assumptions!I$91*(1-Assumptions!$I$71)*Assumptions!$I$23*F20)*Millions</f>
        <v>6159241.7746742945</v>
      </c>
      <c r="G13" s="961">
        <f>(Assumptions!J$91*(1-Assumptions!$I$71)*Assumptions!$I$23*G20)*Millions</f>
        <v>6005438.5975478822</v>
      </c>
      <c r="H13" s="961">
        <f>(Assumptions!K$91*(1-Assumptions!$I$71)*Assumptions!$I$23*H20)*Millions</f>
        <v>5878372.8837529998</v>
      </c>
      <c r="I13" s="961">
        <f>(Assumptions!L$91*(1-Assumptions!$I$71)*Assumptions!$I$23*I20)*Millions</f>
        <v>4979764.4849233814</v>
      </c>
      <c r="J13" s="962">
        <f>(Assumptions!M$91*(1-Assumptions!$I$71)*Assumptions!$I$23*J20)*Millions</f>
        <v>4220602.0752255712</v>
      </c>
    </row>
    <row r="14" spans="2:10" ht="15.75" thickBot="1">
      <c r="C14" s="643" t="s">
        <v>340</v>
      </c>
      <c r="D14" s="656"/>
      <c r="E14" s="657"/>
      <c r="F14" s="658"/>
      <c r="G14" s="659"/>
      <c r="H14" s="659"/>
      <c r="I14" s="659"/>
      <c r="J14" s="657"/>
    </row>
    <row r="15" spans="2:10" ht="15.75" thickBot="1">
      <c r="C15" s="660" t="s">
        <v>341</v>
      </c>
      <c r="D15" s="755">
        <f>SUM(D8:D14)</f>
        <v>147511027.39554134</v>
      </c>
      <c r="E15" s="755">
        <f t="shared" ref="E15:J15" si="0">SUM(E8:E14)</f>
        <v>175884756.29518476</v>
      </c>
      <c r="F15" s="755">
        <f t="shared" si="0"/>
        <v>156515236.6844449</v>
      </c>
      <c r="G15" s="755">
        <f t="shared" si="0"/>
        <v>121865659.52342211</v>
      </c>
      <c r="H15" s="755">
        <f t="shared" si="0"/>
        <v>106304632.57138859</v>
      </c>
      <c r="I15" s="755">
        <f t="shared" si="0"/>
        <v>98991288.188410774</v>
      </c>
      <c r="J15" s="755">
        <f t="shared" si="0"/>
        <v>89423895.981534913</v>
      </c>
    </row>
    <row r="16" spans="2:10" ht="15.75" thickTop="1">
      <c r="C16" s="547" t="s">
        <v>50</v>
      </c>
      <c r="D16" s="811">
        <f>D15-'5.1(b)_Total_Fcast'!N23*Millions</f>
        <v>-1.5289783477783203E-3</v>
      </c>
      <c r="E16" s="811">
        <f>E15-'5.1(b)_Total_Fcast'!O23*Millions</f>
        <v>-7.9992711544036865E-3</v>
      </c>
      <c r="F16" s="811">
        <f>F15-'5.1(b)_Total_Fcast'!P23*Millions</f>
        <v>-1.2732058763504028E-2</v>
      </c>
      <c r="G16" s="811">
        <f>G15-'5.1(b)_Total_Fcast'!Q23*Millions</f>
        <v>-1.3825684785842896E-2</v>
      </c>
      <c r="H16" s="811">
        <f>H15-'5.1(b)_Total_Fcast'!R23*Millions</f>
        <v>-1.666143536567688E-2</v>
      </c>
      <c r="I16" s="811">
        <f>I15-'5.1(b)_Total_Fcast'!S23*Millions</f>
        <v>-1.0206535458564758E-2</v>
      </c>
      <c r="J16" s="811">
        <f>J15-'5.1(b)_Total_Fcast'!T23*Millions</f>
        <v>-4.5617073774337769E-3</v>
      </c>
    </row>
    <row r="19" spans="3:10">
      <c r="C19" s="963" t="s">
        <v>492</v>
      </c>
      <c r="D19" s="964">
        <f>D12/SUM(D$12:D$13)</f>
        <v>0.48000000000000004</v>
      </c>
      <c r="E19" s="965">
        <f t="shared" ref="E19:E20" si="1">E12/SUM(E$12:E$13)</f>
        <v>0.47999999999999993</v>
      </c>
      <c r="F19" s="964">
        <f>'2.10 Overheads - Submission'!J30/'2.10 Overheads - Submission'!J$32</f>
        <v>0.48</v>
      </c>
      <c r="G19" s="965">
        <f>'2.10 Overheads - Submission'!K30/'2.10 Overheads - Submission'!K$32</f>
        <v>0.48</v>
      </c>
      <c r="H19" s="965">
        <f>'2.10 Overheads - Submission'!L30/'2.10 Overheads - Submission'!L$32</f>
        <v>0.48000000000000004</v>
      </c>
      <c r="I19" s="965">
        <f>'2.10 Overheads - Submission'!M30/'2.10 Overheads - Submission'!M$32</f>
        <v>0.47999999999999993</v>
      </c>
      <c r="J19" s="966">
        <f>'2.10 Overheads - Submission'!N30/'2.10 Overheads - Submission'!N$32</f>
        <v>0.47999999999999993</v>
      </c>
    </row>
    <row r="20" spans="3:10">
      <c r="C20" s="963" t="s">
        <v>493</v>
      </c>
      <c r="D20" s="967">
        <f t="shared" ref="D20" si="2">D13/SUM(D$12:D$13)</f>
        <v>0.52</v>
      </c>
      <c r="E20" s="967">
        <f t="shared" si="1"/>
        <v>0.52</v>
      </c>
      <c r="F20" s="968">
        <f>'2.10 Overheads - Submission'!J31/'2.10 Overheads - Submission'!J$32</f>
        <v>0.52</v>
      </c>
      <c r="G20" s="967">
        <f>'2.10 Overheads - Submission'!K31/'2.10 Overheads - Submission'!K$32</f>
        <v>0.52</v>
      </c>
      <c r="H20" s="967">
        <f>'2.10 Overheads - Submission'!L31/'2.10 Overheads - Submission'!L$32</f>
        <v>0.52</v>
      </c>
      <c r="I20" s="967">
        <f>'2.10 Overheads - Submission'!M31/'2.10 Overheads - Submission'!M$32</f>
        <v>0.52</v>
      </c>
      <c r="J20" s="969">
        <f>'2.10 Overheads - Submission'!N31/'2.10 Overheads - Submission'!N$32</f>
        <v>0.52</v>
      </c>
    </row>
  </sheetData>
  <mergeCells count="2">
    <mergeCell ref="C6:C7"/>
    <mergeCell ref="D6:J6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  <ignoredErrors>
    <ignoredError sqref="D8:J10 D13:E13 D11:E11 G11:J11 D12:E12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D7" sqref="D7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Project_Inputs!B6</f>
        <v>XC28</v>
      </c>
      <c r="F3" s="249" t="s">
        <v>63</v>
      </c>
      <c r="G3" s="249" t="str">
        <f>Project_Inputs!F6</f>
        <v>Yes</v>
      </c>
    </row>
    <row r="4" spans="1:21" ht="18.75">
      <c r="A4" s="6"/>
      <c r="B4" s="6"/>
      <c r="C4" s="13" t="s">
        <v>15</v>
      </c>
      <c r="D4" s="339" t="str">
        <f>Project_Inputs!D6</f>
        <v>HWPS 220kV Switchyard Redevelopment Stage 4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Project_Inputs!H6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Project_Inputs!I6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Project_Inputs!J6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54.55336134849631</v>
      </c>
      <c r="G11" s="319">
        <f>IF(G$10="Prior",SUMIFS(Project_Inputs!$W$5:$W$50,Project_Inputs!$D$5:$D$50,$D$4),SUMIFS(Project_Inputs!M$5:M$50,Project_Inputs!$D$5:$D$50,$D$4))</f>
        <v>1134.6000000000013</v>
      </c>
      <c r="H11" s="389">
        <f>IF(H$10="Prior",SUMIFS(Project_Inputs!$W$5:$W$50,Project_Inputs!$D$5:$D$50,$D$4),SUMIFS(Project_Inputs!N$5:N$50,Project_Inputs!$D$5:$D$50,$D$4))</f>
        <v>7604.2596948441605</v>
      </c>
      <c r="I11" s="399">
        <f>IF(I$10="Prior",SUMIFS(Project_Inputs!$W$5:$W$50,Project_Inputs!$D$5:$D$50,$D$4),SUMIFS(Project_Inputs!O$5:O$50,Project_Inputs!$D$5:$D$50,$D$4))</f>
        <v>7713.2460000000001</v>
      </c>
      <c r="J11" s="320">
        <f>IF(J$10="Prior",SUMIFS(Project_Inputs!$W$5:$W$50,Project_Inputs!$D$5:$D$50,$D$4),SUMIFS(Project_Inputs!P$5:P$50,Project_Inputs!$D$5:$D$50,$D$4))</f>
        <v>3649.6019999999999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20156.261056192656</v>
      </c>
      <c r="P11" s="300">
        <f t="shared" ref="P11" si="0">SUM(I11:M11)</f>
        <v>11362.848</v>
      </c>
      <c r="R11" s="608" t="str">
        <f>IF(O11=Project_Inputs!V6,"ok","error")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/>
      <c r="J13" s="10"/>
      <c r="K13" s="10"/>
      <c r="L13" s="10"/>
      <c r="M13" s="10"/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8159.254475546787</v>
      </c>
      <c r="I14" s="448">
        <f>IF($G$3="Yes",SUMIFS(Project_Inputs!AM$5:AM$50,Project_Inputs!$D$5:$D$50,$D$4),IF(AND(I$13="X",I$10="Prior"),I11,IF(I$13="X",SUM($F11:I11)-SUM($F14:H14),0)))</f>
        <v>8344.6920772637586</v>
      </c>
      <c r="J14" s="447">
        <f>IF($G$3="Yes",SUMIFS(Project_Inputs!AN$5:AN$50,Project_Inputs!$D$5:$D$50,$D$4),IF(AND(J$13="X",J$10="Prior"),J11,IF(J$13="X",SUM($F11:J11)-SUM($F14:I14),0)))</f>
        <v>3652.3145033821093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20156.261056192656</v>
      </c>
      <c r="P14" s="451">
        <f>SUM(I14:M14)</f>
        <v>11997.006580645868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5.5776829999999999E-2</v>
      </c>
      <c r="G17" s="341">
        <v>5.5776829999999999E-2</v>
      </c>
      <c r="H17" s="392">
        <v>5.5776829999999999E-2</v>
      </c>
      <c r="I17" s="404">
        <v>5.5776829999999999E-2</v>
      </c>
      <c r="J17" s="341">
        <v>5.5776829999999999E-2</v>
      </c>
      <c r="K17" s="341">
        <v>5.5776829999999999E-2</v>
      </c>
      <c r="L17" s="341">
        <v>5.5776829999999999E-2</v>
      </c>
      <c r="M17" s="341">
        <v>5.5776829999999999E-2</v>
      </c>
      <c r="N17" s="342">
        <v>5.5776829999999999E-2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0.64392229000000001</v>
      </c>
      <c r="G18" s="341">
        <v>0.64392229000000001</v>
      </c>
      <c r="H18" s="392">
        <v>0.64392229000000001</v>
      </c>
      <c r="I18" s="404">
        <v>0.64392229000000001</v>
      </c>
      <c r="J18" s="341">
        <v>0.64392229000000001</v>
      </c>
      <c r="K18" s="341">
        <v>0.64392229000000001</v>
      </c>
      <c r="L18" s="341">
        <v>0.64392229000000001</v>
      </c>
      <c r="M18" s="341">
        <v>0.64392229000000001</v>
      </c>
      <c r="N18" s="342">
        <v>0.64392229000000001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/>
      <c r="G19" s="341"/>
      <c r="H19" s="392"/>
      <c r="I19" s="404"/>
      <c r="J19" s="341"/>
      <c r="K19" s="341"/>
      <c r="L19" s="341"/>
      <c r="M19" s="341"/>
      <c r="N19" s="342"/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/>
      <c r="G20" s="341"/>
      <c r="H20" s="392"/>
      <c r="I20" s="404"/>
      <c r="J20" s="341"/>
      <c r="K20" s="341"/>
      <c r="L20" s="341"/>
      <c r="M20" s="341"/>
      <c r="N20" s="342"/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/>
      <c r="G21" s="341"/>
      <c r="H21" s="392"/>
      <c r="I21" s="404"/>
      <c r="J21" s="341"/>
      <c r="K21" s="341"/>
      <c r="L21" s="341"/>
      <c r="M21" s="341"/>
      <c r="N21" s="342"/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0.30030087999999999</v>
      </c>
      <c r="G22" s="341">
        <v>0.30030087999999999</v>
      </c>
      <c r="H22" s="392">
        <v>0.30030087999999999</v>
      </c>
      <c r="I22" s="404">
        <v>0.30030087999999999</v>
      </c>
      <c r="J22" s="341">
        <v>0.30030087999999999</v>
      </c>
      <c r="K22" s="341">
        <v>0.30030087999999999</v>
      </c>
      <c r="L22" s="341">
        <v>0.30030087999999999</v>
      </c>
      <c r="M22" s="341">
        <v>0.30030087999999999</v>
      </c>
      <c r="N22" s="342">
        <v>0.30030087999999999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0.66657750000000926</v>
      </c>
      <c r="H46" s="290">
        <f>IF(H$10="Prior",0,(H11*H29)*(Assumptions!H28-1))</f>
        <v>9.515799486284811</v>
      </c>
      <c r="I46" s="407">
        <f>IF(I$10="Prior",0,(I11*I29)*(Assumptions!I28-1))</f>
        <v>15.939045595460557</v>
      </c>
      <c r="J46" s="282">
        <f>IF(J$10="Prior",0,(J11*J29)*(Assumptions!J28-1))</f>
        <v>10.558989611477877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36.680412193223255</v>
      </c>
      <c r="P46" s="300">
        <f t="shared" ref="P46:P47" si="7">SUM(I46:M46)</f>
        <v>26.498035206938432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2.3259299999999983</v>
      </c>
      <c r="H47" s="290">
        <f>IF(H$10="Prior",0,(H11*H30)*(Assumptions!H30-1))</f>
        <v>40.881117965582398</v>
      </c>
      <c r="I47" s="407">
        <f>IF(I$10="Prior",0,(I11*I30)*(Assumptions!I30-1))</f>
        <v>81.90972133315897</v>
      </c>
      <c r="J47" s="282">
        <f>IF(J$10="Prior",0,(J11*J30)*(Assumptions!J30-1))</f>
        <v>58.184016748140266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183.30078604688163</v>
      </c>
      <c r="P47" s="300">
        <f t="shared" si="7"/>
        <v>140.09373808129925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2.9925075000000074</v>
      </c>
      <c r="H48" s="253">
        <f t="shared" si="8"/>
        <v>50.396917451867211</v>
      </c>
      <c r="I48" s="408">
        <f t="shared" si="8"/>
        <v>97.848766928619526</v>
      </c>
      <c r="J48" s="5">
        <f t="shared" si="8"/>
        <v>68.743006359618136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219.98119824010487</v>
      </c>
      <c r="P48" s="434">
        <f>SUM(P46:P47)</f>
        <v>166.59177328823768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2.9925075000000074</v>
      </c>
      <c r="H49" s="253">
        <f t="shared" si="9"/>
        <v>50.396917451867211</v>
      </c>
      <c r="I49" s="408">
        <f t="shared" si="9"/>
        <v>97.848766928619526</v>
      </c>
      <c r="J49" s="5">
        <f t="shared" si="9"/>
        <v>68.743006359618136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219.98119824010487</v>
      </c>
      <c r="P49" s="371">
        <f>P44+P48</f>
        <v>166.59177328823768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6.6274587499999937E-3</v>
      </c>
      <c r="I50" s="442">
        <f t="shared" si="10"/>
        <v>1.2685809181843742E-2</v>
      </c>
      <c r="J50" s="443">
        <f t="shared" si="10"/>
        <v>1.8835754243782785E-2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1.0913789895200803E-2</v>
      </c>
      <c r="P50" s="444">
        <f t="shared" si="10"/>
        <v>1.4661093177365189E-2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5.5476256559279147</v>
      </c>
      <c r="G51" s="280">
        <f>(G29*G$11+G46)*Assumptions!$G$21</f>
        <v>116.05729027725579</v>
      </c>
      <c r="H51" s="280">
        <f>(H29*H$11+H46)*Assumptions!$G$21</f>
        <v>782.96709964877675</v>
      </c>
      <c r="I51" s="410">
        <f>(I29*I$11+I46)*Assumptions!$G$21</f>
        <v>800.58201553974482</v>
      </c>
      <c r="J51" s="280">
        <f>(J29*J$11+J46)*Assumptions!$G$21</f>
        <v>381.87195785678489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2087.0259889784902</v>
      </c>
      <c r="P51" s="375">
        <f>SUM(I51:M51)</f>
        <v>1182.4539733965298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27.738128279639572</v>
      </c>
      <c r="G52" s="282">
        <f>(G30*G$11+G47)*Assumptions!$G$21</f>
        <v>579.26245889097811</v>
      </c>
      <c r="H52" s="282">
        <f>(H30*H$11+H47)*Assumptions!$G$21</f>
        <v>3908.0243087870781</v>
      </c>
      <c r="I52" s="407">
        <f>(I30*I$11+I47)*Assumptions!$G$21</f>
        <v>4005.1620342880433</v>
      </c>
      <c r="J52" s="282">
        <f>(J30*J$11+J47)*Assumptions!$G$21</f>
        <v>1914.8400264299698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10435.026956675709</v>
      </c>
      <c r="P52" s="376">
        <f>SUM(I52:M52)</f>
        <v>5920.0020607180131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22.190502623711659</v>
      </c>
      <c r="G53" s="282">
        <f>(G31*G$11+G$44)*Assumptions!$G$21</f>
        <v>461.51774436090284</v>
      </c>
      <c r="H53" s="282">
        <f>(H31*H$11+H$44)*Assumptions!$G$21</f>
        <v>3093.1612743689407</v>
      </c>
      <c r="I53" s="407">
        <f>(I31*I$11+I$44)*Assumptions!$G$21</f>
        <v>3137.4932977443614</v>
      </c>
      <c r="J53" s="282">
        <f>(J31*J$11+J$44)*Assumptions!$G$21</f>
        <v>1484.537354887218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8198.9001739851337</v>
      </c>
      <c r="P53" s="376">
        <f>SUM(I53:M53)</f>
        <v>4622.0306526315799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55.476256559279143</v>
      </c>
      <c r="G54" s="5">
        <f t="shared" si="12"/>
        <v>1156.8374935291367</v>
      </c>
      <c r="H54" s="5">
        <f t="shared" si="12"/>
        <v>7784.1526828047954</v>
      </c>
      <c r="I54" s="411">
        <f t="shared" si="12"/>
        <v>7943.2373475721497</v>
      </c>
      <c r="J54" s="382">
        <f t="shared" si="12"/>
        <v>3781.2493391739727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20720.953119639333</v>
      </c>
      <c r="P54" s="428">
        <f t="shared" si="12"/>
        <v>11724.486686746122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4.4426339810208626</v>
      </c>
      <c r="G57" s="290">
        <f t="shared" ref="G57:N57" si="13">G54*G56</f>
        <v>68.767956325953477</v>
      </c>
      <c r="H57" s="290">
        <f t="shared" si="13"/>
        <v>565.08034159539159</v>
      </c>
      <c r="I57" s="407">
        <f t="shared" si="13"/>
        <v>700.48735199790542</v>
      </c>
      <c r="J57" s="282">
        <f t="shared" si="13"/>
        <v>454.88292519132142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1793.6612090915928</v>
      </c>
      <c r="P57" s="300">
        <f>SUM(I57:M57)</f>
        <v>1155.3702771892267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59.918890540300005</v>
      </c>
      <c r="G59" s="5">
        <f t="shared" si="14"/>
        <v>1225.6054498550902</v>
      </c>
      <c r="H59" s="5">
        <f t="shared" si="14"/>
        <v>8349.2330244001878</v>
      </c>
      <c r="I59" s="411">
        <f t="shared" si="14"/>
        <v>8643.7246995700552</v>
      </c>
      <c r="J59" s="382">
        <f t="shared" si="14"/>
        <v>4236.1322643652938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22514.614328730924</v>
      </c>
      <c r="P59" s="429">
        <f t="shared" si="15"/>
        <v>12879.856963935348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4.4426339810208626</v>
      </c>
      <c r="G60" s="290">
        <f t="shared" ref="G60:N60" si="16">G57+F60</f>
        <v>73.210590306974339</v>
      </c>
      <c r="H60" s="290">
        <f t="shared" si="16"/>
        <v>638.29093190236597</v>
      </c>
      <c r="I60" s="290">
        <f t="shared" si="16"/>
        <v>1338.7782839002714</v>
      </c>
      <c r="J60" s="290">
        <f t="shared" si="16"/>
        <v>1793.6612090915928</v>
      </c>
      <c r="K60" s="290">
        <f t="shared" si="16"/>
        <v>1793.6612090915928</v>
      </c>
      <c r="L60" s="290">
        <f t="shared" si="16"/>
        <v>1793.6612090915928</v>
      </c>
      <c r="M60" s="290">
        <f t="shared" si="16"/>
        <v>1793.6612090915928</v>
      </c>
      <c r="N60" s="290">
        <f t="shared" si="16"/>
        <v>1793.6612090915928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2.9925075000000074</v>
      </c>
      <c r="H61" s="252">
        <f t="shared" ref="H61:N61" si="17">H49+G61</f>
        <v>53.38942495186722</v>
      </c>
      <c r="I61" s="252">
        <f t="shared" si="17"/>
        <v>151.23819188048674</v>
      </c>
      <c r="J61" s="252">
        <f t="shared" si="17"/>
        <v>219.98119824010487</v>
      </c>
      <c r="K61" s="252">
        <f t="shared" si="17"/>
        <v>219.98119824010487</v>
      </c>
      <c r="L61" s="252">
        <f t="shared" si="17"/>
        <v>219.98119824010487</v>
      </c>
      <c r="M61" s="252">
        <f t="shared" si="17"/>
        <v>219.98119824010487</v>
      </c>
      <c r="N61" s="252">
        <f t="shared" si="17"/>
        <v>219.98119824010487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3.3420857714549217</v>
      </c>
      <c r="G64" s="280">
        <f t="shared" si="18"/>
        <v>68.360386823640894</v>
      </c>
      <c r="H64" s="280">
        <f t="shared" si="18"/>
        <v>465.69375103235512</v>
      </c>
      <c r="I64" s="415">
        <f t="shared" si="18"/>
        <v>482.11956313472007</v>
      </c>
      <c r="J64" s="380">
        <f t="shared" si="18"/>
        <v>236.27802916701805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1255.7938159291891</v>
      </c>
      <c r="P64" s="430">
        <f>SUM(I64:M64)</f>
        <v>718.39759230173809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38.583109210969319</v>
      </c>
      <c r="G65" s="282">
        <f t="shared" si="19"/>
        <v>789.1946679071699</v>
      </c>
      <c r="H65" s="282">
        <f t="shared" si="19"/>
        <v>5376.2572488153946</v>
      </c>
      <c r="I65" s="416">
        <f t="shared" si="19"/>
        <v>5565.8870026767117</v>
      </c>
      <c r="J65" s="381">
        <f t="shared" si="19"/>
        <v>2727.7399884129854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14497.662017023231</v>
      </c>
      <c r="P65" s="431">
        <f t="shared" ref="P65:P73" si="21">SUM(I65:M65)</f>
        <v>8293.6269910896972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0</v>
      </c>
      <c r="G66" s="282">
        <f t="shared" si="22"/>
        <v>0</v>
      </c>
      <c r="H66" s="282">
        <f t="shared" si="22"/>
        <v>0</v>
      </c>
      <c r="I66" s="416">
        <f t="shared" si="22"/>
        <v>0</v>
      </c>
      <c r="J66" s="381">
        <f t="shared" si="22"/>
        <v>0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0</v>
      </c>
      <c r="P66" s="431">
        <f t="shared" si="21"/>
        <v>0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0</v>
      </c>
      <c r="G68" s="282">
        <f t="shared" si="24"/>
        <v>0</v>
      </c>
      <c r="H68" s="282">
        <f t="shared" si="24"/>
        <v>0</v>
      </c>
      <c r="I68" s="416">
        <f t="shared" si="24"/>
        <v>0</v>
      </c>
      <c r="J68" s="381">
        <f t="shared" si="24"/>
        <v>0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0</v>
      </c>
      <c r="P68" s="431">
        <f t="shared" si="21"/>
        <v>0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17.993695557875768</v>
      </c>
      <c r="G69" s="282">
        <f t="shared" si="25"/>
        <v>368.05039512427948</v>
      </c>
      <c r="H69" s="282">
        <f t="shared" si="25"/>
        <v>2507.2820245524376</v>
      </c>
      <c r="I69" s="416">
        <f t="shared" si="25"/>
        <v>2595.718133758623</v>
      </c>
      <c r="J69" s="381">
        <f t="shared" si="25"/>
        <v>1272.1142467852903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6761.1584957785062</v>
      </c>
      <c r="P69" s="431">
        <f t="shared" si="21"/>
        <v>3867.8323805439131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59.918890540300005</v>
      </c>
      <c r="G74" s="5">
        <f t="shared" ref="G74:N74" si="30">+SUM(G64:G73)</f>
        <v>1225.6054498550902</v>
      </c>
      <c r="H74" s="5">
        <f t="shared" si="30"/>
        <v>8349.2330244001878</v>
      </c>
      <c r="I74" s="411">
        <f t="shared" si="30"/>
        <v>8643.7246995700552</v>
      </c>
      <c r="J74" s="382">
        <f t="shared" si="30"/>
        <v>4236.1322643652938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22514.614328730928</v>
      </c>
      <c r="P74" s="428">
        <f>SUM(P64:P73)</f>
        <v>12879.856963935348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8159.254475546787</v>
      </c>
      <c r="I76" s="410">
        <f t="shared" si="32"/>
        <v>8344.6920772637586</v>
      </c>
      <c r="J76" s="280">
        <f t="shared" si="32"/>
        <v>3652.3145033821093</v>
      </c>
      <c r="K76" s="280">
        <f t="shared" si="32"/>
        <v>0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20156.261056192656</v>
      </c>
      <c r="P76" s="378">
        <f t="shared" ref="P76:P80" si="33">SUM(I76:M76)</f>
        <v>11997.006580645868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53.38942495186722</v>
      </c>
      <c r="I77" s="407">
        <f>IF(I$10="Prior",0,IF(AND(I76&lt;&gt;0,SUM($F76:H76)=0),I76/SUM($F$76:I76)*I61,IF(I76&lt;&gt;0,SUM($F$76:I76)/SUM($F$11:I11)*I61-H83,0)))</f>
        <v>97.823914285478139</v>
      </c>
      <c r="J77" s="282">
        <f>IF(J$10="Prior",0,IF(AND(J76&lt;&gt;0,SUM($F76:I76)=0),J76/SUM($F$76:J76)*J61,IF(J76&lt;&gt;0,SUM($F$76:J76)/SUM($F$11:J11)*J61-I83,0)))</f>
        <v>68.767859002759508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219.98119824010487</v>
      </c>
      <c r="P77" s="455">
        <f t="shared" si="33"/>
        <v>166.59177328823765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8212.6439004986551</v>
      </c>
      <c r="I78" s="458">
        <f t="shared" si="34"/>
        <v>8442.5159915492368</v>
      </c>
      <c r="J78" s="457">
        <f t="shared" si="34"/>
        <v>3721.0823623848687</v>
      </c>
      <c r="K78" s="457">
        <f t="shared" si="34"/>
        <v>0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20376.242254432764</v>
      </c>
      <c r="P78" s="461">
        <f t="shared" si="33"/>
        <v>12163.598353934105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8351.5796055822793</v>
      </c>
      <c r="I79" s="458">
        <f>I78*Assumptions!$G$21</f>
        <v>8585.3405102032666</v>
      </c>
      <c r="J79" s="457">
        <f>J78*Assumptions!$G$21</f>
        <v>3784.0330038537859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20720.953119639333</v>
      </c>
      <c r="P79" s="461">
        <f t="shared" si="33"/>
        <v>12369.373514057053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592.53681087648681</v>
      </c>
      <c r="I80" s="407">
        <f>IF(I$10="Prior",I79*I56,IF(AND(I79&lt;&gt;0,SUM($F79:H79)=0),I79/SUM($F$54:I54)*I60,IF(I79&lt;&gt;0,SUM($F$79:I79)/SUM($F$54:I54)*I60-H82,0)))</f>
        <v>746.02147450012114</v>
      </c>
      <c r="J80" s="282">
        <f>IF(J$10="Prior",J79*J56,IF(AND(J79&lt;&gt;0,SUM($F79:I79)=0),J79/SUM($F$54:J54)*J60,IF(J79&lt;&gt;0,SUM($F$79:J79)/SUM($F$54:J54)*J60-I82,0)))</f>
        <v>455.1029237149844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1793.6612090915924</v>
      </c>
      <c r="P80" s="300">
        <f t="shared" si="33"/>
        <v>1201.1243982151054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8944.1164164587663</v>
      </c>
      <c r="I81" s="417">
        <f t="shared" si="35"/>
        <v>9331.3619847033879</v>
      </c>
      <c r="J81" s="387">
        <f t="shared" si="35"/>
        <v>4239.1359275687701</v>
      </c>
      <c r="K81" s="387">
        <f t="shared" si="35"/>
        <v>0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22514.614328730924</v>
      </c>
      <c r="P81" s="388">
        <f t="shared" si="35"/>
        <v>13570.49791227216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592.53681087648681</v>
      </c>
      <c r="I82" s="252">
        <f t="shared" si="36"/>
        <v>1338.558285376608</v>
      </c>
      <c r="J82" s="252">
        <f t="shared" si="36"/>
        <v>1793.6612090915924</v>
      </c>
      <c r="K82" s="252">
        <f t="shared" si="36"/>
        <v>1793.6612090915924</v>
      </c>
      <c r="L82" s="252">
        <f t="shared" si="36"/>
        <v>1793.6612090915924</v>
      </c>
      <c r="M82" s="252">
        <f t="shared" si="36"/>
        <v>1793.6612090915924</v>
      </c>
      <c r="N82" s="252">
        <f t="shared" si="36"/>
        <v>1793.6612090915924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53.38942495186722</v>
      </c>
      <c r="I83" s="252">
        <f t="shared" si="37"/>
        <v>151.21333923734537</v>
      </c>
      <c r="J83" s="252">
        <f t="shared" si="37"/>
        <v>219.98119824010487</v>
      </c>
      <c r="K83" s="252">
        <f t="shared" si="37"/>
        <v>219.98119824010487</v>
      </c>
      <c r="L83" s="252">
        <f t="shared" si="37"/>
        <v>219.98119824010487</v>
      </c>
      <c r="M83" s="252">
        <f t="shared" si="37"/>
        <v>219.98119824010487</v>
      </c>
      <c r="N83" s="252">
        <f t="shared" si="37"/>
        <v>219.98119824010487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498.87446086102989</v>
      </c>
      <c r="I85" s="415">
        <f t="shared" si="38"/>
        <v>520.47379108926361</v>
      </c>
      <c r="J85" s="380">
        <f t="shared" si="38"/>
        <v>236.44556397889565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1255.7938159291891</v>
      </c>
      <c r="P85" s="430">
        <f t="shared" ref="P85:P94" si="39">SUM(I85:M85)</f>
        <v>756.91935506815923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5759.3159249127239</v>
      </c>
      <c r="I86" s="416">
        <f t="shared" si="40"/>
        <v>6008.6719780091516</v>
      </c>
      <c r="J86" s="381">
        <f t="shared" si="40"/>
        <v>2729.6741141013572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14497.662017023233</v>
      </c>
      <c r="P86" s="431">
        <f t="shared" si="39"/>
        <v>8738.3460921105088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0</v>
      </c>
      <c r="I87" s="416">
        <f t="shared" si="42"/>
        <v>0</v>
      </c>
      <c r="J87" s="381">
        <f t="shared" si="42"/>
        <v>0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0</v>
      </c>
      <c r="P87" s="431">
        <f t="shared" si="39"/>
        <v>0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0</v>
      </c>
      <c r="I89" s="416">
        <f t="shared" si="44"/>
        <v>0</v>
      </c>
      <c r="J89" s="381">
        <f t="shared" si="44"/>
        <v>0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0</v>
      </c>
      <c r="P89" s="431">
        <f t="shared" si="39"/>
        <v>0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2685.9260306850147</v>
      </c>
      <c r="I90" s="416">
        <f t="shared" si="45"/>
        <v>2802.2162156049744</v>
      </c>
      <c r="J90" s="381">
        <f t="shared" si="45"/>
        <v>1273.016249488518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6761.1584957785071</v>
      </c>
      <c r="P90" s="431">
        <f t="shared" si="39"/>
        <v>4075.2324650934925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8944.1164164587681</v>
      </c>
      <c r="I95" s="411">
        <f t="shared" si="51"/>
        <v>9331.3619847033897</v>
      </c>
      <c r="J95" s="382">
        <f t="shared" si="51"/>
        <v>4239.135927568771</v>
      </c>
      <c r="K95" s="382">
        <f t="shared" si="51"/>
        <v>0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22514.614328730931</v>
      </c>
      <c r="P95" s="428">
        <f>SUM(P85:P94)</f>
        <v>13570.49791227216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0.64392229000000001</v>
      </c>
      <c r="H103" s="2">
        <f t="shared" ref="H103:N105" si="55">H18</f>
        <v>0.64392229000000001</v>
      </c>
      <c r="I103" s="2">
        <f t="shared" si="55"/>
        <v>0.64392229000000001</v>
      </c>
      <c r="J103" s="2">
        <f t="shared" si="55"/>
        <v>0.64392229000000001</v>
      </c>
      <c r="K103" s="2">
        <f t="shared" si="55"/>
        <v>0.64392229000000001</v>
      </c>
      <c r="L103" s="2">
        <f t="shared" si="55"/>
        <v>0.64392229000000001</v>
      </c>
      <c r="M103" s="2">
        <f t="shared" si="55"/>
        <v>0.64392229000000001</v>
      </c>
      <c r="N103" s="2">
        <f t="shared" si="55"/>
        <v>0.64392229000000001</v>
      </c>
    </row>
    <row r="104" spans="3:16" hidden="1" outlineLevel="1">
      <c r="D104" s="248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5.5776829999999999E-2</v>
      </c>
      <c r="H106" s="2">
        <f t="shared" ref="H106:N106" si="56">H17+H23</f>
        <v>5.5776829999999999E-2</v>
      </c>
      <c r="I106" s="2">
        <f t="shared" si="56"/>
        <v>5.5776829999999999E-2</v>
      </c>
      <c r="J106" s="2">
        <f t="shared" si="56"/>
        <v>5.5776829999999999E-2</v>
      </c>
      <c r="K106" s="2">
        <f t="shared" si="56"/>
        <v>5.5776829999999999E-2</v>
      </c>
      <c r="L106" s="2">
        <f t="shared" si="56"/>
        <v>5.5776829999999999E-2</v>
      </c>
      <c r="M106" s="2">
        <f t="shared" si="56"/>
        <v>5.5776829999999999E-2</v>
      </c>
      <c r="N106" s="2">
        <f t="shared" si="56"/>
        <v>5.5776829999999999E-2</v>
      </c>
    </row>
    <row r="107" spans="3:16" hidden="1" outlineLevel="1">
      <c r="D107" s="248" t="s">
        <v>387</v>
      </c>
      <c r="G107" s="2">
        <f>G22</f>
        <v>0.30030087999999999</v>
      </c>
      <c r="H107" s="2">
        <f t="shared" ref="H107:N107" si="57">H22</f>
        <v>0.30030087999999999</v>
      </c>
      <c r="I107" s="2">
        <f t="shared" si="57"/>
        <v>0.30030087999999999</v>
      </c>
      <c r="J107" s="2">
        <f t="shared" si="57"/>
        <v>0.30030087999999999</v>
      </c>
      <c r="K107" s="2">
        <f t="shared" si="57"/>
        <v>0.30030087999999999</v>
      </c>
      <c r="L107" s="2">
        <f t="shared" si="57"/>
        <v>0.30030087999999999</v>
      </c>
      <c r="M107" s="2">
        <f t="shared" si="57"/>
        <v>0.30030087999999999</v>
      </c>
      <c r="N107" s="2">
        <f t="shared" si="57"/>
        <v>0.30030087999999999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0</v>
      </c>
      <c r="H111" s="191">
        <f t="shared" ref="H111:N111" si="59">H99*H$53</f>
        <v>0</v>
      </c>
      <c r="I111" s="191">
        <f t="shared" si="59"/>
        <v>0</v>
      </c>
      <c r="J111" s="191">
        <f t="shared" si="59"/>
        <v>0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0</v>
      </c>
      <c r="P111" s="191">
        <f t="shared" ref="P111:P119" si="61">SUM(I111:M111)</f>
        <v>0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0</v>
      </c>
      <c r="H113" s="191">
        <f t="shared" si="62"/>
        <v>0</v>
      </c>
      <c r="I113" s="191">
        <f t="shared" si="62"/>
        <v>0</v>
      </c>
      <c r="J113" s="191">
        <f t="shared" si="62"/>
        <v>0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0</v>
      </c>
      <c r="P113" s="191">
        <f t="shared" si="61"/>
        <v>0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297.18156282450713</v>
      </c>
      <c r="H115" s="191">
        <f t="shared" si="62"/>
        <v>1991.7554911309667</v>
      </c>
      <c r="I115" s="191">
        <f t="shared" si="62"/>
        <v>2020.301869143201</v>
      </c>
      <c r="J115" s="191">
        <f t="shared" si="62"/>
        <v>955.92669314952013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5265.165616248195</v>
      </c>
      <c r="P115" s="191">
        <f t="shared" si="61"/>
        <v>2976.2285622927211</v>
      </c>
    </row>
    <row r="116" spans="4:16" hidden="1" outlineLevel="1">
      <c r="D116" s="248" t="s">
        <v>384</v>
      </c>
      <c r="G116" s="191">
        <f t="shared" si="62"/>
        <v>0</v>
      </c>
      <c r="H116" s="191">
        <f t="shared" si="62"/>
        <v>0</v>
      </c>
      <c r="I116" s="191">
        <f t="shared" si="62"/>
        <v>0</v>
      </c>
      <c r="J116" s="191">
        <f t="shared" si="62"/>
        <v>0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0</v>
      </c>
      <c r="P116" s="191">
        <f t="shared" si="61"/>
        <v>0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25.741996769201535</v>
      </c>
      <c r="H118" s="191">
        <f t="shared" si="62"/>
        <v>172.52673056305977</v>
      </c>
      <c r="I118" s="191">
        <f t="shared" si="62"/>
        <v>174.99943029442662</v>
      </c>
      <c r="J118" s="191">
        <f t="shared" si="62"/>
        <v>82.802787672194029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456.07094529888195</v>
      </c>
      <c r="P118" s="191">
        <f t="shared" si="61"/>
        <v>257.80221796662067</v>
      </c>
    </row>
    <row r="119" spans="4:16" hidden="1" outlineLevel="1">
      <c r="D119" s="248" t="s">
        <v>387</v>
      </c>
      <c r="G119" s="912">
        <f t="shared" si="62"/>
        <v>138.59418476719415</v>
      </c>
      <c r="H119" s="912">
        <f t="shared" si="62"/>
        <v>928.87905267491431</v>
      </c>
      <c r="I119" s="912">
        <f t="shared" si="62"/>
        <v>942.19199830673369</v>
      </c>
      <c r="J119" s="912">
        <f t="shared" si="62"/>
        <v>445.80787406550388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2455.4731098143461</v>
      </c>
      <c r="P119" s="912">
        <f t="shared" si="61"/>
        <v>1387.9998723722376</v>
      </c>
    </row>
    <row r="120" spans="4:16" hidden="1" outlineLevel="1">
      <c r="D120" s="248" t="s">
        <v>440</v>
      </c>
      <c r="G120" s="191">
        <f>SUM(G111:G119)</f>
        <v>461.51774436090284</v>
      </c>
      <c r="H120" s="191">
        <f t="shared" ref="H120:P120" si="63">SUM(H111:H119)</f>
        <v>3093.1612743689407</v>
      </c>
      <c r="I120" s="191">
        <f t="shared" si="63"/>
        <v>3137.4932977443614</v>
      </c>
      <c r="J120" s="191">
        <f t="shared" si="63"/>
        <v>1484.537354887218</v>
      </c>
      <c r="K120" s="191">
        <f t="shared" si="63"/>
        <v>0</v>
      </c>
      <c r="L120" s="191">
        <f t="shared" si="63"/>
        <v>0</v>
      </c>
      <c r="M120" s="191">
        <f t="shared" si="63"/>
        <v>0</v>
      </c>
      <c r="N120" s="191">
        <f t="shared" si="63"/>
        <v>0</v>
      </c>
      <c r="O120" s="191">
        <f t="shared" si="63"/>
        <v>8176.7096713614228</v>
      </c>
      <c r="P120" s="191">
        <f t="shared" si="63"/>
        <v>4622.030652631579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0</v>
      </c>
      <c r="H123" s="191">
        <f t="shared" ref="H123:N123" si="64">H99*H$51</f>
        <v>0</v>
      </c>
      <c r="I123" s="191">
        <f t="shared" si="64"/>
        <v>0</v>
      </c>
      <c r="J123" s="191">
        <f t="shared" si="64"/>
        <v>0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0</v>
      </c>
      <c r="P123" s="191">
        <f t="shared" ref="P123:P131" si="66">SUM(I123:M123)</f>
        <v>0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0</v>
      </c>
      <c r="H125" s="191">
        <f t="shared" si="67"/>
        <v>0</v>
      </c>
      <c r="I125" s="191">
        <f t="shared" si="67"/>
        <v>0</v>
      </c>
      <c r="J125" s="191">
        <f t="shared" si="67"/>
        <v>0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0</v>
      </c>
      <c r="P125" s="191">
        <f t="shared" si="66"/>
        <v>0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74.731876126525279</v>
      </c>
      <c r="H127" s="191">
        <f t="shared" si="67"/>
        <v>504.16996780049851</v>
      </c>
      <c r="I127" s="191">
        <f t="shared" si="67"/>
        <v>515.5126047791681</v>
      </c>
      <c r="J127" s="191">
        <f t="shared" si="67"/>
        <v>245.89586558992443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1340.3103142961163</v>
      </c>
      <c r="P127" s="191">
        <f t="shared" si="66"/>
        <v>761.40847036909258</v>
      </c>
    </row>
    <row r="128" spans="4:16" hidden="1" outlineLevel="1">
      <c r="D128" s="248" t="s">
        <v>384</v>
      </c>
      <c r="G128" s="191">
        <f t="shared" si="67"/>
        <v>0</v>
      </c>
      <c r="H128" s="191">
        <f t="shared" si="67"/>
        <v>0</v>
      </c>
      <c r="I128" s="191">
        <f t="shared" si="67"/>
        <v>0</v>
      </c>
      <c r="J128" s="191">
        <f t="shared" si="67"/>
        <v>0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0</v>
      </c>
      <c r="P128" s="191">
        <f t="shared" si="66"/>
        <v>0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6.4733077500551488</v>
      </c>
      <c r="H130" s="191">
        <f t="shared" si="67"/>
        <v>43.671422812702879</v>
      </c>
      <c r="I130" s="191">
        <f t="shared" si="67"/>
        <v>44.653926981817705</v>
      </c>
      <c r="J130" s="191">
        <f t="shared" si="67"/>
        <v>21.299607275145053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116.09826481972078</v>
      </c>
      <c r="P130" s="191">
        <f t="shared" si="66"/>
        <v>65.953534256962755</v>
      </c>
    </row>
    <row r="131" spans="4:16" hidden="1" outlineLevel="1">
      <c r="D131" s="248" t="s">
        <v>387</v>
      </c>
      <c r="G131" s="912">
        <f t="shared" si="67"/>
        <v>34.852106400675353</v>
      </c>
      <c r="H131" s="912">
        <f t="shared" si="67"/>
        <v>235.12570903557534</v>
      </c>
      <c r="I131" s="912">
        <f t="shared" si="67"/>
        <v>240.41548377875904</v>
      </c>
      <c r="J131" s="912">
        <f t="shared" si="67"/>
        <v>114.67648499171541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625.0697842067251</v>
      </c>
      <c r="P131" s="912">
        <f t="shared" si="66"/>
        <v>355.09196877047447</v>
      </c>
    </row>
    <row r="132" spans="4:16" hidden="1" outlineLevel="1">
      <c r="D132" s="248" t="s">
        <v>441</v>
      </c>
      <c r="G132" s="191">
        <f>SUM(G123:G131)</f>
        <v>116.05729027725579</v>
      </c>
      <c r="H132" s="191">
        <f t="shared" ref="H132:P132" si="68">SUM(H123:H131)</f>
        <v>782.96709964877675</v>
      </c>
      <c r="I132" s="191">
        <f t="shared" si="68"/>
        <v>800.58201553974482</v>
      </c>
      <c r="J132" s="191">
        <f t="shared" si="68"/>
        <v>381.87195785678489</v>
      </c>
      <c r="K132" s="191">
        <f t="shared" si="68"/>
        <v>0</v>
      </c>
      <c r="L132" s="191">
        <f t="shared" si="68"/>
        <v>0</v>
      </c>
      <c r="M132" s="191">
        <f t="shared" si="68"/>
        <v>0</v>
      </c>
      <c r="N132" s="191">
        <f t="shared" si="68"/>
        <v>0</v>
      </c>
      <c r="O132" s="191">
        <f t="shared" si="68"/>
        <v>2081.478363322562</v>
      </c>
      <c r="P132" s="191">
        <f t="shared" si="68"/>
        <v>1182.4539733965298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0</v>
      </c>
      <c r="H135" s="191">
        <f t="shared" ref="H135:N135" si="69">H99*H$52</f>
        <v>0</v>
      </c>
      <c r="I135" s="191">
        <f t="shared" si="69"/>
        <v>0</v>
      </c>
      <c r="J135" s="191">
        <f t="shared" si="69"/>
        <v>0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0</v>
      </c>
      <c r="P135" s="191">
        <f t="shared" ref="P135:P143" si="71">SUM(I135:M135)</f>
        <v>0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0</v>
      </c>
      <c r="H137" s="191">
        <f t="shared" si="72"/>
        <v>0</v>
      </c>
      <c r="I137" s="191">
        <f t="shared" si="72"/>
        <v>0</v>
      </c>
      <c r="J137" s="191">
        <f t="shared" si="72"/>
        <v>0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0</v>
      </c>
      <c r="P137" s="191">
        <f t="shared" si="71"/>
        <v>0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373.00000904010949</v>
      </c>
      <c r="H139" s="191">
        <f t="shared" si="72"/>
        <v>2516.4639622898426</v>
      </c>
      <c r="I139" s="191">
        <f t="shared" si="72"/>
        <v>2579.0131089398155</v>
      </c>
      <c r="J139" s="191">
        <f t="shared" si="72"/>
        <v>1233.0081748024468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6701.4852550722144</v>
      </c>
      <c r="P139" s="191">
        <f t="shared" si="71"/>
        <v>3812.0212837422623</v>
      </c>
    </row>
    <row r="140" spans="4:16" hidden="1" outlineLevel="1">
      <c r="D140" s="248" t="s">
        <v>384</v>
      </c>
      <c r="G140" s="191">
        <f t="shared" si="72"/>
        <v>0</v>
      </c>
      <c r="H140" s="191">
        <f t="shared" si="72"/>
        <v>0</v>
      </c>
      <c r="I140" s="191">
        <f t="shared" si="72"/>
        <v>0</v>
      </c>
      <c r="J140" s="191">
        <f t="shared" si="72"/>
        <v>0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0</v>
      </c>
      <c r="P140" s="191">
        <f t="shared" si="71"/>
        <v>0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32.309423694944073</v>
      </c>
      <c r="H142" s="191">
        <f t="shared" si="72"/>
        <v>217.97720750708436</v>
      </c>
      <c r="I142" s="191">
        <f t="shared" si="72"/>
        <v>223.39524190893835</v>
      </c>
      <c r="J142" s="191">
        <f t="shared" si="72"/>
        <v>106.80370663137994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580.48557974234666</v>
      </c>
      <c r="P142" s="191">
        <f t="shared" si="71"/>
        <v>330.19894854031827</v>
      </c>
    </row>
    <row r="143" spans="4:16" hidden="1" outlineLevel="1">
      <c r="D143" s="248" t="s">
        <v>387</v>
      </c>
      <c r="G143" s="912">
        <f t="shared" si="72"/>
        <v>173.95302615592453</v>
      </c>
      <c r="H143" s="912">
        <f t="shared" si="72"/>
        <v>1173.5831389901512</v>
      </c>
      <c r="I143" s="912">
        <f t="shared" si="72"/>
        <v>1202.7536834392895</v>
      </c>
      <c r="J143" s="912">
        <f t="shared" si="72"/>
        <v>575.02814499614317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3125.3179935815083</v>
      </c>
      <c r="P143" s="912">
        <f t="shared" si="71"/>
        <v>1777.7818284354325</v>
      </c>
    </row>
    <row r="144" spans="4:16" hidden="1" outlineLevel="1">
      <c r="D144" s="248" t="s">
        <v>442</v>
      </c>
      <c r="G144" s="191">
        <f>SUM(G135:G143)</f>
        <v>579.26245889097811</v>
      </c>
      <c r="H144" s="191">
        <f t="shared" ref="H144:P144" si="73">SUM(H135:H143)</f>
        <v>3908.0243087870786</v>
      </c>
      <c r="I144" s="191">
        <f t="shared" si="73"/>
        <v>4005.1620342880433</v>
      </c>
      <c r="J144" s="191">
        <f t="shared" si="73"/>
        <v>1914.8400264299698</v>
      </c>
      <c r="K144" s="191">
        <f t="shared" si="73"/>
        <v>0</v>
      </c>
      <c r="L144" s="191">
        <f t="shared" si="73"/>
        <v>0</v>
      </c>
      <c r="M144" s="191">
        <f t="shared" si="73"/>
        <v>0</v>
      </c>
      <c r="N144" s="191">
        <f t="shared" si="73"/>
        <v>0</v>
      </c>
      <c r="O144" s="191">
        <f t="shared" si="73"/>
        <v>10407.288828396069</v>
      </c>
      <c r="P144" s="191">
        <f t="shared" si="73"/>
        <v>5920.0020607180131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0</v>
      </c>
      <c r="H147" s="191">
        <f t="shared" si="74"/>
        <v>0</v>
      </c>
      <c r="I147" s="191">
        <f t="shared" si="74"/>
        <v>0</v>
      </c>
      <c r="J147" s="191">
        <f t="shared" si="74"/>
        <v>0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0</v>
      </c>
      <c r="P147" s="191">
        <f t="shared" ref="P147:P155" si="76">SUM(I147:M147)</f>
        <v>0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0</v>
      </c>
      <c r="H149" s="191">
        <f t="shared" si="74"/>
        <v>0</v>
      </c>
      <c r="I149" s="191">
        <f t="shared" si="74"/>
        <v>0</v>
      </c>
      <c r="J149" s="191">
        <f t="shared" si="74"/>
        <v>0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0</v>
      </c>
      <c r="P149" s="191">
        <f t="shared" si="76"/>
        <v>0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744.91344799114188</v>
      </c>
      <c r="H151" s="191">
        <f t="shared" si="74"/>
        <v>5012.3894212213072</v>
      </c>
      <c r="I151" s="191">
        <f t="shared" si="74"/>
        <v>5114.8275828621845</v>
      </c>
      <c r="J151" s="191">
        <f t="shared" si="74"/>
        <v>2434.8307335418913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13306.961185616525</v>
      </c>
      <c r="P151" s="191">
        <f t="shared" si="76"/>
        <v>7549.6583164040758</v>
      </c>
    </row>
    <row r="152" spans="4:16" hidden="1" outlineLevel="1">
      <c r="D152" s="248" t="s">
        <v>384</v>
      </c>
      <c r="G152" s="191">
        <f t="shared" si="74"/>
        <v>0</v>
      </c>
      <c r="H152" s="191">
        <f t="shared" si="74"/>
        <v>0</v>
      </c>
      <c r="I152" s="191">
        <f t="shared" si="74"/>
        <v>0</v>
      </c>
      <c r="J152" s="191">
        <f t="shared" si="74"/>
        <v>0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0</v>
      </c>
      <c r="P152" s="191">
        <f t="shared" si="76"/>
        <v>0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64.524728214200763</v>
      </c>
      <c r="H154" s="191">
        <f t="shared" si="74"/>
        <v>434.17536088284703</v>
      </c>
      <c r="I154" s="191">
        <f t="shared" si="74"/>
        <v>443.04859918518264</v>
      </c>
      <c r="J154" s="191">
        <f t="shared" si="74"/>
        <v>210.90610157871902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1152.6547898609494</v>
      </c>
      <c r="P154" s="191">
        <f t="shared" si="76"/>
        <v>653.95470076390166</v>
      </c>
    </row>
    <row r="155" spans="4:16" hidden="1" outlineLevel="1">
      <c r="D155" s="248" t="s">
        <v>387</v>
      </c>
      <c r="G155" s="912">
        <f t="shared" si="74"/>
        <v>347.39931732379404</v>
      </c>
      <c r="H155" s="912">
        <f t="shared" si="74"/>
        <v>2337.5879007006406</v>
      </c>
      <c r="I155" s="912">
        <f t="shared" si="74"/>
        <v>2385.3611655247823</v>
      </c>
      <c r="J155" s="912">
        <f t="shared" si="74"/>
        <v>1135.5125040533626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6205.8608876025792</v>
      </c>
      <c r="P155" s="912">
        <f t="shared" si="76"/>
        <v>3520.8736695781449</v>
      </c>
    </row>
    <row r="156" spans="4:16" hidden="1" outlineLevel="1">
      <c r="D156" s="248" t="s">
        <v>454</v>
      </c>
      <c r="G156" s="191">
        <f>SUM(G147:G155)</f>
        <v>1156.8374935291367</v>
      </c>
      <c r="H156" s="191">
        <f t="shared" ref="H156:N156" si="77">SUM(H147:H155)</f>
        <v>7784.1526828047945</v>
      </c>
      <c r="I156" s="191">
        <f t="shared" si="77"/>
        <v>7943.2373475721497</v>
      </c>
      <c r="J156" s="191">
        <f t="shared" si="77"/>
        <v>3781.2493391739731</v>
      </c>
      <c r="K156" s="191">
        <f t="shared" si="77"/>
        <v>0</v>
      </c>
      <c r="L156" s="191">
        <f t="shared" si="77"/>
        <v>0</v>
      </c>
      <c r="M156" s="191">
        <f t="shared" si="77"/>
        <v>0</v>
      </c>
      <c r="N156" s="191">
        <f t="shared" si="77"/>
        <v>0</v>
      </c>
      <c r="O156" s="191">
        <f t="shared" ref="O156:P156" si="78">SUM(O147:O155)</f>
        <v>20665.476863080054</v>
      </c>
      <c r="P156" s="191">
        <f t="shared" si="78"/>
        <v>11724.486686746122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5" priority="4" operator="equal">
      <formula>"Error"</formula>
    </cfRule>
  </conditionalFormatting>
  <conditionalFormatting sqref="R11">
    <cfRule type="cellIs" dxfId="134" priority="3" operator="equal">
      <formula>"Error"</formula>
    </cfRule>
  </conditionalFormatting>
  <conditionalFormatting sqref="R54">
    <cfRule type="cellIs" dxfId="13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O53"/>
  <sheetViews>
    <sheetView topLeftCell="A41" zoomScale="85" zoomScaleNormal="85" workbookViewId="0"/>
  </sheetViews>
  <sheetFormatPr defaultRowHeight="15"/>
  <cols>
    <col min="1" max="2" width="9.140625" style="236"/>
    <col min="3" max="3" width="29.7109375" style="236" customWidth="1"/>
    <col min="4" max="4" width="38.7109375" style="236" bestFit="1" customWidth="1"/>
    <col min="5" max="5" width="12.140625" style="236" customWidth="1"/>
    <col min="6" max="6" width="13.42578125" style="236" customWidth="1"/>
    <col min="7" max="7" width="14.42578125" style="236" bestFit="1" customWidth="1"/>
    <col min="8" max="8" width="14.5703125" style="236" bestFit="1" customWidth="1"/>
    <col min="9" max="9" width="15.28515625" style="236" customWidth="1"/>
    <col min="10" max="12" width="14.28515625" style="236" bestFit="1" customWidth="1"/>
    <col min="13" max="13" width="3.7109375" style="236" customWidth="1"/>
    <col min="14" max="14" width="12" style="236" customWidth="1"/>
    <col min="15" max="16384" width="9.140625" style="236"/>
  </cols>
  <sheetData>
    <row r="1" spans="2:14">
      <c r="B1" s="483" t="s">
        <v>290</v>
      </c>
    </row>
    <row r="2" spans="2:14">
      <c r="F2" s="808" t="s">
        <v>409</v>
      </c>
      <c r="G2" s="808"/>
      <c r="I2" s="756" t="s">
        <v>413</v>
      </c>
      <c r="J2" s="810">
        <f>E_factor</f>
        <v>0</v>
      </c>
    </row>
    <row r="4" spans="2:14" ht="18.75" thickBot="1">
      <c r="C4" s="661" t="s">
        <v>343</v>
      </c>
      <c r="D4" s="662"/>
      <c r="E4" s="663"/>
      <c r="F4" s="664"/>
      <c r="G4" s="664"/>
      <c r="H4" s="664"/>
      <c r="I4" s="664"/>
      <c r="J4" s="664"/>
      <c r="K4" s="664"/>
      <c r="L4" s="664"/>
    </row>
    <row r="5" spans="2:14" ht="38.25" customHeight="1" thickBot="1">
      <c r="C5" s="665"/>
      <c r="D5" s="666"/>
      <c r="E5" s="248"/>
      <c r="F5" s="1023" t="s">
        <v>344</v>
      </c>
      <c r="G5" s="1024"/>
      <c r="H5" s="1024"/>
      <c r="I5" s="1024"/>
      <c r="J5" s="1024"/>
      <c r="K5" s="1024"/>
      <c r="L5" s="1025"/>
    </row>
    <row r="6" spans="2:14" ht="45.75" thickBot="1">
      <c r="C6" s="667" t="s">
        <v>345</v>
      </c>
      <c r="D6" s="667" t="s">
        <v>346</v>
      </c>
      <c r="E6" s="668" t="s">
        <v>347</v>
      </c>
      <c r="F6" s="669" t="s">
        <v>72</v>
      </c>
      <c r="G6" s="670" t="s">
        <v>73</v>
      </c>
      <c r="H6" s="641" t="s">
        <v>74</v>
      </c>
      <c r="I6" s="641" t="s">
        <v>75</v>
      </c>
      <c r="J6" s="641" t="s">
        <v>76</v>
      </c>
      <c r="K6" s="641" t="s">
        <v>77</v>
      </c>
      <c r="L6" s="671" t="s">
        <v>78</v>
      </c>
      <c r="N6" s="805" t="s">
        <v>414</v>
      </c>
    </row>
    <row r="7" spans="2:14">
      <c r="C7" s="672" t="s">
        <v>348</v>
      </c>
      <c r="D7" s="673" t="s">
        <v>349</v>
      </c>
      <c r="E7" s="674" t="s">
        <v>350</v>
      </c>
      <c r="F7" s="769"/>
      <c r="G7" s="770"/>
      <c r="H7" s="771"/>
      <c r="I7" s="772"/>
      <c r="J7" s="772"/>
      <c r="K7" s="772"/>
      <c r="L7" s="770"/>
    </row>
    <row r="8" spans="2:14">
      <c r="C8" s="675"/>
      <c r="D8" s="676"/>
      <c r="E8" s="677" t="s">
        <v>351</v>
      </c>
      <c r="F8" s="773">
        <v>0</v>
      </c>
      <c r="G8" s="774"/>
      <c r="H8" s="775">
        <v>967743.11816328287</v>
      </c>
      <c r="I8" s="776">
        <v>570996.18471019529</v>
      </c>
      <c r="J8" s="776">
        <v>0</v>
      </c>
      <c r="K8" s="776">
        <v>0</v>
      </c>
      <c r="L8" s="774">
        <v>93280.951648232571</v>
      </c>
    </row>
    <row r="9" spans="2:14">
      <c r="C9" s="675"/>
      <c r="D9" s="678" t="s">
        <v>352</v>
      </c>
      <c r="E9" s="677" t="s">
        <v>350</v>
      </c>
      <c r="F9" s="777"/>
      <c r="G9" s="778"/>
      <c r="H9" s="779"/>
      <c r="I9" s="780"/>
      <c r="J9" s="780"/>
      <c r="K9" s="780"/>
      <c r="L9" s="778"/>
    </row>
    <row r="10" spans="2:14">
      <c r="C10" s="675"/>
      <c r="D10" s="679"/>
      <c r="E10" s="677" t="s">
        <v>351</v>
      </c>
      <c r="F10" s="773">
        <v>5244307.9199228082</v>
      </c>
      <c r="G10" s="774">
        <v>15903944.888078602</v>
      </c>
      <c r="H10" s="775">
        <v>13790339.43382678</v>
      </c>
      <c r="I10" s="776">
        <v>17766765.901174925</v>
      </c>
      <c r="J10" s="776">
        <v>8644187.9585502706</v>
      </c>
      <c r="K10" s="776">
        <v>4709535.4010483129</v>
      </c>
      <c r="L10" s="774">
        <v>6063261.8571351171</v>
      </c>
    </row>
    <row r="11" spans="2:14">
      <c r="C11" s="675"/>
      <c r="D11" s="678" t="s">
        <v>353</v>
      </c>
      <c r="E11" s="677" t="s">
        <v>350</v>
      </c>
      <c r="F11" s="777"/>
      <c r="G11" s="778"/>
      <c r="H11" s="779"/>
      <c r="I11" s="780"/>
      <c r="J11" s="780"/>
      <c r="K11" s="780"/>
      <c r="L11" s="778"/>
    </row>
    <row r="12" spans="2:14" ht="15.75" thickBot="1">
      <c r="C12" s="680"/>
      <c r="D12" s="681"/>
      <c r="E12" s="682" t="s">
        <v>351</v>
      </c>
      <c r="F12" s="781">
        <v>2356138.3408348849</v>
      </c>
      <c r="G12" s="782">
        <v>2376451.5350002511</v>
      </c>
      <c r="H12" s="783">
        <v>9435495.4020920079</v>
      </c>
      <c r="I12" s="784">
        <v>3623629.6337377778</v>
      </c>
      <c r="J12" s="784">
        <v>4453066.5241016541</v>
      </c>
      <c r="K12" s="784">
        <v>6242872.5083663687</v>
      </c>
      <c r="L12" s="782">
        <v>3171552.3560399078</v>
      </c>
    </row>
    <row r="13" spans="2:14">
      <c r="C13" s="672" t="s">
        <v>354</v>
      </c>
      <c r="D13" s="683" t="s">
        <v>355</v>
      </c>
      <c r="E13" s="674" t="s">
        <v>350</v>
      </c>
      <c r="F13" s="769"/>
      <c r="G13" s="770"/>
      <c r="H13" s="771"/>
      <c r="I13" s="772"/>
      <c r="J13" s="772"/>
      <c r="K13" s="772"/>
      <c r="L13" s="770"/>
    </row>
    <row r="14" spans="2:14">
      <c r="C14" s="675"/>
      <c r="D14" s="679"/>
      <c r="E14" s="677" t="s">
        <v>351</v>
      </c>
      <c r="F14" s="773">
        <f>$N$14*Proj_46!G$54*Thousands</f>
        <v>349506.61467470252</v>
      </c>
      <c r="G14" s="774">
        <f>$N$14*Proj_46!H$54*Thousands</f>
        <v>223364.64955168171</v>
      </c>
      <c r="H14" s="775">
        <f>$N$14*Proj_46!I$54*Thousands*(1-$J$2)</f>
        <v>480896.58871178544</v>
      </c>
      <c r="I14" s="776">
        <f>$N$14*Proj_46!J$54*Thousands*(1-$J$2)</f>
        <v>379652.45553681778</v>
      </c>
      <c r="J14" s="776">
        <f>$N$14*Proj_46!K$54*Thousands*(1-$J$2)</f>
        <v>526672.8133430368</v>
      </c>
      <c r="K14" s="776">
        <f>$N$14*Proj_46!L$54*Thousands*(1-$J$2)</f>
        <v>445146.99286822235</v>
      </c>
      <c r="L14" s="774">
        <f>$N$14*Proj_46!M$54*Thousands*(1-$J$2)</f>
        <v>448093.04128947522</v>
      </c>
      <c r="N14" s="806">
        <v>0.25</v>
      </c>
    </row>
    <row r="15" spans="2:14">
      <c r="C15" s="675"/>
      <c r="D15" s="678" t="s">
        <v>356</v>
      </c>
      <c r="E15" s="677" t="s">
        <v>350</v>
      </c>
      <c r="F15" s="777"/>
      <c r="G15" s="778"/>
      <c r="H15" s="779"/>
      <c r="I15" s="780"/>
      <c r="J15" s="780"/>
      <c r="K15" s="780"/>
      <c r="L15" s="778"/>
      <c r="N15" s="807"/>
    </row>
    <row r="16" spans="2:14">
      <c r="C16" s="675"/>
      <c r="D16" s="679"/>
      <c r="E16" s="677" t="s">
        <v>351</v>
      </c>
      <c r="F16" s="773">
        <f>$N$16*Proj_46!G$54*Thousands</f>
        <v>1048519.8440241074</v>
      </c>
      <c r="G16" s="774">
        <f>$N$16*Proj_46!H$54*Thousands</f>
        <v>670093.94865504513</v>
      </c>
      <c r="H16" s="775">
        <f>$N$16*Proj_46!I$54*Thousands*(1-$J$2)</f>
        <v>1442689.7661353564</v>
      </c>
      <c r="I16" s="776">
        <f>$N$16*Proj_46!J$54*Thousands*(1-$J$2)</f>
        <v>1138957.3666104535</v>
      </c>
      <c r="J16" s="776">
        <f>$N$16*Proj_46!K$54*Thousands*(1-$J$2)</f>
        <v>1580018.4400291103</v>
      </c>
      <c r="K16" s="776">
        <f>$N$16*Proj_46!L$54*Thousands*(1-$J$2)</f>
        <v>1335440.9786046671</v>
      </c>
      <c r="L16" s="774">
        <f>$N$16*Proj_46!M$54*Thousands*(1-$J$2)</f>
        <v>1344279.1238684256</v>
      </c>
      <c r="N16" s="806">
        <v>0.75</v>
      </c>
    </row>
    <row r="17" spans="3:15">
      <c r="C17" s="675"/>
      <c r="D17" s="678" t="s">
        <v>357</v>
      </c>
      <c r="E17" s="677" t="s">
        <v>350</v>
      </c>
      <c r="F17" s="777"/>
      <c r="G17" s="778"/>
      <c r="H17" s="779"/>
      <c r="I17" s="780"/>
      <c r="J17" s="780"/>
      <c r="K17" s="780"/>
      <c r="L17" s="778"/>
    </row>
    <row r="18" spans="3:15">
      <c r="C18" s="675"/>
      <c r="D18" s="679"/>
      <c r="E18" s="677" t="s">
        <v>351</v>
      </c>
      <c r="F18" s="773"/>
      <c r="G18" s="774"/>
      <c r="H18" s="775"/>
      <c r="I18" s="776"/>
      <c r="J18" s="776"/>
      <c r="K18" s="776"/>
      <c r="L18" s="774"/>
    </row>
    <row r="19" spans="3:15">
      <c r="C19" s="675"/>
      <c r="D19" s="678" t="s">
        <v>358</v>
      </c>
      <c r="E19" s="677" t="s">
        <v>350</v>
      </c>
      <c r="F19" s="777"/>
      <c r="G19" s="778"/>
      <c r="H19" s="779"/>
      <c r="I19" s="780"/>
      <c r="J19" s="780"/>
      <c r="K19" s="780"/>
      <c r="L19" s="778"/>
    </row>
    <row r="20" spans="3:15">
      <c r="C20" s="675"/>
      <c r="D20" s="679"/>
      <c r="E20" s="677" t="s">
        <v>351</v>
      </c>
      <c r="F20" s="773"/>
      <c r="G20" s="774"/>
      <c r="H20" s="775"/>
      <c r="I20" s="776"/>
      <c r="J20" s="776"/>
      <c r="K20" s="776"/>
      <c r="L20" s="774"/>
    </row>
    <row r="21" spans="3:15">
      <c r="C21" s="675"/>
      <c r="D21" s="678" t="s">
        <v>359</v>
      </c>
      <c r="E21" s="677" t="s">
        <v>350</v>
      </c>
      <c r="F21" s="777"/>
      <c r="G21" s="778"/>
      <c r="H21" s="779"/>
      <c r="I21" s="780"/>
      <c r="J21" s="780"/>
      <c r="K21" s="780"/>
      <c r="L21" s="778"/>
    </row>
    <row r="22" spans="3:15" ht="15.75" thickBot="1">
      <c r="C22" s="680"/>
      <c r="D22" s="681"/>
      <c r="E22" s="682" t="s">
        <v>351</v>
      </c>
      <c r="F22" s="781"/>
      <c r="G22" s="782"/>
      <c r="H22" s="783"/>
      <c r="I22" s="784"/>
      <c r="J22" s="784"/>
      <c r="K22" s="784"/>
      <c r="L22" s="782"/>
    </row>
    <row r="23" spans="3:15">
      <c r="C23" s="672" t="s">
        <v>360</v>
      </c>
      <c r="D23" s="683" t="s">
        <v>361</v>
      </c>
      <c r="E23" s="674" t="s">
        <v>350</v>
      </c>
      <c r="F23" s="769"/>
      <c r="G23" s="770"/>
      <c r="H23" s="771"/>
      <c r="I23" s="772"/>
      <c r="J23" s="772"/>
      <c r="K23" s="772"/>
      <c r="L23" s="770"/>
    </row>
    <row r="24" spans="3:15" ht="15.75" thickBot="1">
      <c r="C24" s="680"/>
      <c r="D24" s="681"/>
      <c r="E24" s="682" t="s">
        <v>351</v>
      </c>
      <c r="F24" s="781">
        <f>'5.1(b)_Total_Fcast'!N20*Millions</f>
        <v>2765976.6805265029</v>
      </c>
      <c r="G24" s="782">
        <f>'5.1(b)_Total_Fcast'!O20*Millions</f>
        <v>530035.46210632171</v>
      </c>
      <c r="H24" s="783">
        <f>'5.1(b)_Total_Fcast'!P20*Millions</f>
        <v>219351.17264934472</v>
      </c>
      <c r="I24" s="784">
        <f>'5.1(b)_Total_Fcast'!Q20*Millions</f>
        <v>595637.61886669206</v>
      </c>
      <c r="J24" s="784">
        <f>'5.1(b)_Total_Fcast'!R20*Millions</f>
        <v>95624.015498209657</v>
      </c>
      <c r="K24" s="784">
        <f>'5.1(b)_Total_Fcast'!S20*Millions</f>
        <v>211393.75598269279</v>
      </c>
      <c r="L24" s="782">
        <f>'5.1(b)_Total_Fcast'!T20*Millions</f>
        <v>1034061.2515877468</v>
      </c>
    </row>
    <row r="25" spans="3:15">
      <c r="C25" s="672" t="s">
        <v>362</v>
      </c>
      <c r="D25" s="683" t="s">
        <v>363</v>
      </c>
      <c r="E25" s="674" t="s">
        <v>350</v>
      </c>
      <c r="F25" s="769"/>
      <c r="G25" s="770"/>
      <c r="H25" s="771"/>
      <c r="I25" s="772"/>
      <c r="J25" s="772"/>
      <c r="K25" s="772"/>
      <c r="L25" s="770"/>
    </row>
    <row r="26" spans="3:15" ht="15.75" thickBot="1">
      <c r="C26" s="680"/>
      <c r="D26" s="681"/>
      <c r="E26" s="682" t="s">
        <v>351</v>
      </c>
      <c r="F26" s="781">
        <f>'5.1(b)_Total_Fcast'!N19*Millions-F28</f>
        <v>469356.99534688727</v>
      </c>
      <c r="G26" s="782">
        <f>'5.1(b)_Total_Fcast'!O19*Millions-G28</f>
        <v>970335.53823826928</v>
      </c>
      <c r="H26" s="783">
        <f>'5.1(b)_Total_Fcast'!P19*Millions-H28</f>
        <v>365418.45429832023</v>
      </c>
      <c r="I26" s="784">
        <f>'5.1(b)_Total_Fcast'!Q19*Millions-I28</f>
        <v>367637.60598206799</v>
      </c>
      <c r="J26" s="784">
        <f>'5.1(b)_Total_Fcast'!R19*Millions-J28</f>
        <v>369820.53552620206</v>
      </c>
      <c r="K26" s="784">
        <f>'5.1(b)_Total_Fcast'!S19*Millions-K28</f>
        <v>372205.31421335228</v>
      </c>
      <c r="L26" s="782">
        <f>'5.1(b)_Total_Fcast'!T19*Millions-L28</f>
        <v>374668.62385238847</v>
      </c>
    </row>
    <row r="27" spans="3:15">
      <c r="C27" s="684" t="s">
        <v>364</v>
      </c>
      <c r="D27" s="685" t="s">
        <v>412</v>
      </c>
      <c r="E27" s="686" t="s">
        <v>350</v>
      </c>
      <c r="F27" s="769"/>
      <c r="G27" s="770"/>
      <c r="H27" s="771"/>
      <c r="I27" s="772"/>
      <c r="J27" s="772"/>
      <c r="K27" s="772"/>
      <c r="L27" s="770"/>
    </row>
    <row r="28" spans="3:15">
      <c r="C28" s="687"/>
      <c r="D28" s="688"/>
      <c r="E28" s="689" t="s">
        <v>351</v>
      </c>
      <c r="F28" s="773">
        <f>'5.1(b)_Total_Fcast'!N19*Millions*$N$28</f>
        <v>1589226.3175780571</v>
      </c>
      <c r="G28" s="774">
        <f>'5.1(b)_Total_Fcast'!O19*Millions*N29</f>
        <v>1617225.897063782</v>
      </c>
      <c r="H28" s="775">
        <f>'5.1(b)_Total_Fcast'!P19*Millions*$N$30</f>
        <v>2557929.1800882425</v>
      </c>
      <c r="I28" s="776">
        <f>'5.1(b)_Total_Fcast'!Q19*Millions*$N$30</f>
        <v>2573463.2418744764</v>
      </c>
      <c r="J28" s="776">
        <f>'5.1(b)_Total_Fcast'!R19*Millions*$N$30</f>
        <v>2588743.748683414</v>
      </c>
      <c r="K28" s="776">
        <f>'5.1(b)_Total_Fcast'!S19*Millions*$N$30</f>
        <v>2605437.1994934673</v>
      </c>
      <c r="L28" s="774">
        <f>'5.1(b)_Total_Fcast'!T19*Millions*$N$30</f>
        <v>2622680.3669667183</v>
      </c>
      <c r="N28" s="809">
        <v>0.77200000000000002</v>
      </c>
      <c r="O28" s="236" t="s">
        <v>483</v>
      </c>
    </row>
    <row r="29" spans="3:15">
      <c r="C29" s="687"/>
      <c r="D29" s="690"/>
      <c r="E29" s="689" t="s">
        <v>350</v>
      </c>
      <c r="F29" s="777"/>
      <c r="G29" s="778"/>
      <c r="H29" s="779"/>
      <c r="I29" s="780"/>
      <c r="J29" s="780"/>
      <c r="K29" s="780"/>
      <c r="L29" s="778"/>
      <c r="N29" s="809">
        <v>0.625</v>
      </c>
      <c r="O29" s="236" t="s">
        <v>484</v>
      </c>
    </row>
    <row r="30" spans="3:15">
      <c r="C30" s="687"/>
      <c r="D30" s="688"/>
      <c r="E30" s="689" t="s">
        <v>351</v>
      </c>
      <c r="F30" s="773"/>
      <c r="G30" s="774"/>
      <c r="H30" s="775"/>
      <c r="I30" s="776"/>
      <c r="J30" s="776"/>
      <c r="K30" s="776"/>
      <c r="L30" s="774"/>
      <c r="N30" s="806">
        <v>0.875</v>
      </c>
      <c r="O30" s="236" t="s">
        <v>485</v>
      </c>
    </row>
    <row r="31" spans="3:15">
      <c r="C31" s="687"/>
      <c r="D31" s="690"/>
      <c r="E31" s="689" t="s">
        <v>350</v>
      </c>
      <c r="F31" s="777"/>
      <c r="G31" s="778"/>
      <c r="H31" s="779"/>
      <c r="I31" s="780"/>
      <c r="J31" s="780"/>
      <c r="K31" s="780"/>
      <c r="L31" s="778"/>
    </row>
    <row r="32" spans="3:15">
      <c r="C32" s="687"/>
      <c r="D32" s="688"/>
      <c r="E32" s="689" t="s">
        <v>351</v>
      </c>
      <c r="F32" s="773"/>
      <c r="G32" s="774"/>
      <c r="H32" s="775"/>
      <c r="I32" s="776"/>
      <c r="J32" s="776"/>
      <c r="K32" s="776"/>
      <c r="L32" s="774"/>
    </row>
    <row r="33" spans="3:12">
      <c r="C33" s="687"/>
      <c r="D33" s="690"/>
      <c r="E33" s="689" t="s">
        <v>350</v>
      </c>
      <c r="F33" s="777"/>
      <c r="G33" s="778"/>
      <c r="H33" s="779"/>
      <c r="I33" s="780"/>
      <c r="J33" s="780"/>
      <c r="K33" s="780"/>
      <c r="L33" s="778"/>
    </row>
    <row r="34" spans="3:12">
      <c r="C34" s="687"/>
      <c r="D34" s="688"/>
      <c r="E34" s="689" t="s">
        <v>351</v>
      </c>
      <c r="F34" s="773"/>
      <c r="G34" s="774"/>
      <c r="H34" s="775"/>
      <c r="I34" s="776"/>
      <c r="J34" s="776"/>
      <c r="K34" s="776"/>
      <c r="L34" s="774"/>
    </row>
    <row r="35" spans="3:12">
      <c r="C35" s="687"/>
      <c r="D35" s="690"/>
      <c r="E35" s="689" t="s">
        <v>350</v>
      </c>
      <c r="F35" s="777"/>
      <c r="G35" s="778"/>
      <c r="H35" s="779"/>
      <c r="I35" s="780"/>
      <c r="J35" s="780"/>
      <c r="K35" s="780"/>
      <c r="L35" s="778"/>
    </row>
    <row r="36" spans="3:12">
      <c r="C36" s="687"/>
      <c r="D36" s="688"/>
      <c r="E36" s="689" t="s">
        <v>351</v>
      </c>
      <c r="F36" s="773"/>
      <c r="G36" s="774"/>
      <c r="H36" s="775"/>
      <c r="I36" s="776"/>
      <c r="J36" s="776"/>
      <c r="K36" s="776"/>
      <c r="L36" s="774"/>
    </row>
    <row r="37" spans="3:12">
      <c r="C37" s="687"/>
      <c r="D37" s="690"/>
      <c r="E37" s="689" t="s">
        <v>350</v>
      </c>
      <c r="F37" s="777"/>
      <c r="G37" s="778"/>
      <c r="H37" s="779"/>
      <c r="I37" s="780"/>
      <c r="J37" s="780"/>
      <c r="K37" s="780"/>
      <c r="L37" s="778"/>
    </row>
    <row r="38" spans="3:12">
      <c r="C38" s="687"/>
      <c r="D38" s="688"/>
      <c r="E38" s="689" t="s">
        <v>351</v>
      </c>
      <c r="F38" s="773"/>
      <c r="G38" s="774"/>
      <c r="H38" s="775"/>
      <c r="I38" s="776"/>
      <c r="J38" s="776"/>
      <c r="K38" s="776"/>
      <c r="L38" s="774"/>
    </row>
    <row r="39" spans="3:12">
      <c r="C39" s="687"/>
      <c r="D39" s="690"/>
      <c r="E39" s="689" t="s">
        <v>350</v>
      </c>
      <c r="F39" s="777"/>
      <c r="G39" s="778"/>
      <c r="H39" s="779"/>
      <c r="I39" s="780"/>
      <c r="J39" s="780"/>
      <c r="K39" s="780"/>
      <c r="L39" s="778"/>
    </row>
    <row r="40" spans="3:12">
      <c r="C40" s="687"/>
      <c r="D40" s="688"/>
      <c r="E40" s="689" t="s">
        <v>351</v>
      </c>
      <c r="F40" s="773"/>
      <c r="G40" s="774"/>
      <c r="H40" s="775"/>
      <c r="I40" s="776"/>
      <c r="J40" s="776"/>
      <c r="K40" s="776"/>
      <c r="L40" s="774"/>
    </row>
    <row r="41" spans="3:12">
      <c r="C41" s="687"/>
      <c r="D41" s="690"/>
      <c r="E41" s="689" t="s">
        <v>350</v>
      </c>
      <c r="F41" s="777"/>
      <c r="G41" s="778"/>
      <c r="H41" s="779"/>
      <c r="I41" s="780"/>
      <c r="J41" s="780"/>
      <c r="K41" s="780"/>
      <c r="L41" s="778"/>
    </row>
    <row r="42" spans="3:12">
      <c r="C42" s="687"/>
      <c r="D42" s="688"/>
      <c r="E42" s="689" t="s">
        <v>351</v>
      </c>
      <c r="F42" s="773"/>
      <c r="G42" s="774"/>
      <c r="H42" s="775"/>
      <c r="I42" s="776"/>
      <c r="J42" s="776"/>
      <c r="K42" s="776"/>
      <c r="L42" s="774"/>
    </row>
    <row r="43" spans="3:12">
      <c r="C43" s="687"/>
      <c r="D43" s="690"/>
      <c r="E43" s="689" t="s">
        <v>350</v>
      </c>
      <c r="F43" s="777"/>
      <c r="G43" s="778"/>
      <c r="H43" s="779"/>
      <c r="I43" s="780"/>
      <c r="J43" s="780"/>
      <c r="K43" s="780"/>
      <c r="L43" s="778"/>
    </row>
    <row r="44" spans="3:12">
      <c r="C44" s="687"/>
      <c r="D44" s="688"/>
      <c r="E44" s="689" t="s">
        <v>351</v>
      </c>
      <c r="F44" s="773"/>
      <c r="G44" s="774"/>
      <c r="H44" s="775"/>
      <c r="I44" s="776"/>
      <c r="J44" s="776"/>
      <c r="K44" s="776"/>
      <c r="L44" s="774"/>
    </row>
    <row r="45" spans="3:12">
      <c r="C45" s="687"/>
      <c r="D45" s="690"/>
      <c r="E45" s="689" t="s">
        <v>350</v>
      </c>
      <c r="F45" s="777"/>
      <c r="G45" s="778"/>
      <c r="H45" s="779"/>
      <c r="I45" s="780"/>
      <c r="J45" s="780"/>
      <c r="K45" s="780"/>
      <c r="L45" s="778"/>
    </row>
    <row r="46" spans="3:12">
      <c r="C46" s="687"/>
      <c r="D46" s="688"/>
      <c r="E46" s="689" t="s">
        <v>351</v>
      </c>
      <c r="F46" s="773"/>
      <c r="G46" s="774"/>
      <c r="H46" s="775"/>
      <c r="I46" s="776"/>
      <c r="J46" s="776"/>
      <c r="K46" s="776"/>
      <c r="L46" s="774"/>
    </row>
    <row r="47" spans="3:12">
      <c r="C47" s="687"/>
      <c r="D47" s="690"/>
      <c r="E47" s="689" t="s">
        <v>350</v>
      </c>
      <c r="F47" s="777"/>
      <c r="G47" s="778"/>
      <c r="H47" s="779"/>
      <c r="I47" s="780"/>
      <c r="J47" s="780"/>
      <c r="K47" s="780"/>
      <c r="L47" s="778"/>
    </row>
    <row r="48" spans="3:12" ht="15.75" thickBot="1">
      <c r="C48" s="691"/>
      <c r="D48" s="692"/>
      <c r="E48" s="693" t="s">
        <v>351</v>
      </c>
      <c r="F48" s="785"/>
      <c r="G48" s="786"/>
      <c r="H48" s="787"/>
      <c r="I48" s="788"/>
      <c r="J48" s="788"/>
      <c r="K48" s="788"/>
      <c r="L48" s="786"/>
    </row>
    <row r="50" spans="4:12">
      <c r="D50" s="879" t="s">
        <v>16</v>
      </c>
      <c r="E50" s="756" t="s">
        <v>350</v>
      </c>
      <c r="F50" s="852">
        <f>SUMIFS(F$7:F$48,$E$7:$E$48,$E50)</f>
        <v>0</v>
      </c>
      <c r="G50" s="852">
        <f t="shared" ref="G50:L51" si="0">SUMIFS(G$7:G$48,$E$7:$E$48,$E50)</f>
        <v>0</v>
      </c>
      <c r="H50" s="852">
        <f t="shared" si="0"/>
        <v>0</v>
      </c>
      <c r="I50" s="852">
        <f t="shared" si="0"/>
        <v>0</v>
      </c>
      <c r="J50" s="852">
        <f t="shared" si="0"/>
        <v>0</v>
      </c>
      <c r="K50" s="852">
        <f t="shared" si="0"/>
        <v>0</v>
      </c>
      <c r="L50" s="852">
        <f t="shared" si="0"/>
        <v>0</v>
      </c>
    </row>
    <row r="51" spans="4:12">
      <c r="D51" s="879" t="s">
        <v>16</v>
      </c>
      <c r="E51" s="756" t="s">
        <v>351</v>
      </c>
      <c r="F51" s="852">
        <f t="shared" ref="F51" si="1">SUMIFS(F$7:F$48,$E$7:$E$48,$E51)</f>
        <v>13823032.712907949</v>
      </c>
      <c r="G51" s="852">
        <f t="shared" si="0"/>
        <v>22291451.918693952</v>
      </c>
      <c r="H51" s="852">
        <f t="shared" si="0"/>
        <v>29259863.115965128</v>
      </c>
      <c r="I51" s="852">
        <f t="shared" si="0"/>
        <v>27016740.008493405</v>
      </c>
      <c r="J51" s="852">
        <f t="shared" si="0"/>
        <v>18258134.0357319</v>
      </c>
      <c r="K51" s="852">
        <f t="shared" si="0"/>
        <v>15922032.150577085</v>
      </c>
      <c r="L51" s="852">
        <f t="shared" si="0"/>
        <v>15151877.572388012</v>
      </c>
    </row>
    <row r="53" spans="4:12">
      <c r="E53" s="756" t="s">
        <v>50</v>
      </c>
      <c r="F53" s="852">
        <f>F51-'2.1 Exp Summary'!D11</f>
        <v>136079.76286525838</v>
      </c>
      <c r="G53" s="852">
        <f>G51-'2.1 Exp Summary'!E11</f>
        <v>327295.51989325881</v>
      </c>
      <c r="H53" s="852">
        <f>H51-'2.1 Exp Summary'!F11</f>
        <v>1897964.0499570258</v>
      </c>
      <c r="I53" s="852">
        <f>I51-'2.1 Exp Summary'!G11</f>
        <v>1722851.0826293565</v>
      </c>
      <c r="J53" s="852">
        <f>J51-'2.1 Exp Summary'!H11</f>
        <v>1027467.6283264495</v>
      </c>
      <c r="K53" s="852">
        <f>K51-'2.1 Exp Summary'!I11</f>
        <v>859206.37749352306</v>
      </c>
      <c r="L53" s="852">
        <f>L51-'2.1 Exp Summary'!J11</f>
        <v>731780.52915588953</v>
      </c>
    </row>
  </sheetData>
  <mergeCells count="1">
    <mergeCell ref="F5:L5"/>
  </mergeCells>
  <hyperlinks>
    <hyperlink ref="B1" location="Contents!A1" display="Table of Contents"/>
  </hyperlinks>
  <pageMargins left="0.7" right="0.7" top="0.75" bottom="0.75" header="0.3" footer="0.3"/>
  <ignoredErrors>
    <ignoredError sqref="F14:L28" unlocked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P64"/>
  <sheetViews>
    <sheetView topLeftCell="A31" zoomScaleNormal="100" workbookViewId="0">
      <selection activeCell="O42" sqref="O42"/>
    </sheetView>
  </sheetViews>
  <sheetFormatPr defaultRowHeight="15"/>
  <cols>
    <col min="1" max="1" width="9.140625" style="236"/>
    <col min="2" max="2" width="6.140625" style="236" customWidth="1"/>
    <col min="3" max="3" width="32.42578125" style="236" customWidth="1"/>
    <col min="4" max="7" width="11.28515625" style="236" bestFit="1" customWidth="1"/>
    <col min="8" max="8" width="10.5703125" style="236" bestFit="1" customWidth="1"/>
    <col min="9" max="13" width="11.28515625" style="236" bestFit="1" customWidth="1"/>
    <col min="14" max="14" width="10.28515625" style="236" bestFit="1" customWidth="1"/>
    <col min="15" max="15" width="11.28515625" style="236" bestFit="1" customWidth="1"/>
    <col min="16" max="16384" width="9.140625" style="236"/>
  </cols>
  <sheetData>
    <row r="1" spans="2:8">
      <c r="B1" s="483" t="s">
        <v>290</v>
      </c>
    </row>
    <row r="3" spans="2:8" s="756" customFormat="1" ht="14.25">
      <c r="C3" s="764" t="s">
        <v>403</v>
      </c>
    </row>
    <row r="4" spans="2:8" s="756" customFormat="1" ht="14.25">
      <c r="C4" s="764"/>
    </row>
    <row r="5" spans="2:8" s="756" customFormat="1" ht="14.25">
      <c r="C5" s="757" t="s">
        <v>402</v>
      </c>
    </row>
    <row r="6" spans="2:8" s="756" customFormat="1" ht="14.25">
      <c r="C6" s="757" t="s">
        <v>404</v>
      </c>
      <c r="D6" s="758" t="s">
        <v>394</v>
      </c>
      <c r="E6" s="758" t="s">
        <v>31</v>
      </c>
      <c r="F6" s="758" t="s">
        <v>32</v>
      </c>
      <c r="G6" s="758" t="s">
        <v>27</v>
      </c>
      <c r="H6" s="757"/>
    </row>
    <row r="7" spans="2:8" s="756" customFormat="1" ht="14.25">
      <c r="C7" s="757" t="s">
        <v>398</v>
      </c>
      <c r="D7" s="759">
        <v>6678145.0878320271</v>
      </c>
      <c r="E7" s="759">
        <v>6590621.7074397737</v>
      </c>
      <c r="F7" s="759">
        <v>6323658.362309468</v>
      </c>
      <c r="G7" s="759">
        <v>7312340.3576935902</v>
      </c>
      <c r="H7" s="757"/>
    </row>
    <row r="8" spans="2:8" s="756" customFormat="1" ht="14.25">
      <c r="C8" s="757" t="s">
        <v>401</v>
      </c>
      <c r="D8" s="768">
        <v>6912989.5438999822</v>
      </c>
      <c r="E8" s="768">
        <v>9325225.6388527025</v>
      </c>
      <c r="F8" s="768">
        <v>7912417.322942703</v>
      </c>
      <c r="G8" s="768">
        <v>5664015.5063293297</v>
      </c>
      <c r="H8" s="757"/>
    </row>
    <row r="9" spans="2:8" s="756" customFormat="1" ht="14.25">
      <c r="C9" s="757" t="s">
        <v>399</v>
      </c>
      <c r="D9" s="767">
        <f>SUM(D7:D8)</f>
        <v>13591134.631732009</v>
      </c>
      <c r="E9" s="767">
        <f t="shared" ref="E9:G9" si="0">SUM(E7:E8)</f>
        <v>15915847.346292477</v>
      </c>
      <c r="F9" s="767">
        <f t="shared" si="0"/>
        <v>14236075.685252171</v>
      </c>
      <c r="G9" s="767">
        <f t="shared" si="0"/>
        <v>12976355.86402292</v>
      </c>
      <c r="H9" s="757"/>
    </row>
    <row r="10" spans="2:8" s="756" customFormat="1" ht="14.25">
      <c r="C10" s="757"/>
      <c r="D10" s="757"/>
      <c r="E10" s="757"/>
      <c r="F10" s="757"/>
      <c r="G10" s="757"/>
      <c r="H10" s="757"/>
    </row>
    <row r="11" spans="2:8" s="756" customFormat="1" ht="14.25">
      <c r="C11" s="757" t="s">
        <v>395</v>
      </c>
      <c r="D11" s="758" t="s">
        <v>394</v>
      </c>
      <c r="E11" s="758" t="s">
        <v>31</v>
      </c>
      <c r="F11" s="758" t="s">
        <v>32</v>
      </c>
      <c r="G11" s="758" t="s">
        <v>27</v>
      </c>
      <c r="H11" s="758" t="s">
        <v>396</v>
      </c>
    </row>
    <row r="12" spans="2:8" s="756" customFormat="1" ht="14.25">
      <c r="C12" s="757" t="s">
        <v>398</v>
      </c>
      <c r="D12" s="761">
        <f t="shared" ref="D12:G13" si="1">D19/D$21</f>
        <v>0.49136038077646399</v>
      </c>
      <c r="E12" s="761">
        <f t="shared" si="1"/>
        <v>0.41409178939976632</v>
      </c>
      <c r="F12" s="761">
        <f t="shared" si="1"/>
        <v>0.44419954642840559</v>
      </c>
      <c r="G12" s="761">
        <f t="shared" si="1"/>
        <v>0.563512625140555</v>
      </c>
      <c r="H12" s="762">
        <f>ROUND(AVERAGE(D12:G12),2)</f>
        <v>0.48</v>
      </c>
    </row>
    <row r="13" spans="2:8" s="756" customFormat="1" ht="14.25">
      <c r="C13" s="757" t="s">
        <v>401</v>
      </c>
      <c r="D13" s="766">
        <f t="shared" si="1"/>
        <v>0.50863961922353595</v>
      </c>
      <c r="E13" s="766">
        <f t="shared" si="1"/>
        <v>0.58590821060023368</v>
      </c>
      <c r="F13" s="766">
        <f t="shared" si="1"/>
        <v>0.55580045357159436</v>
      </c>
      <c r="G13" s="766">
        <f t="shared" si="1"/>
        <v>0.436487374859445</v>
      </c>
      <c r="H13" s="804">
        <f>ROUND(AVERAGE(D13:G13),2)</f>
        <v>0.52</v>
      </c>
    </row>
    <row r="14" spans="2:8" s="756" customFormat="1" ht="14.25">
      <c r="C14" s="757" t="s">
        <v>397</v>
      </c>
      <c r="D14" s="765">
        <f>SUM(D12:D13)</f>
        <v>1</v>
      </c>
      <c r="E14" s="765">
        <f t="shared" ref="E14:H14" si="2">SUM(E12:E13)</f>
        <v>1</v>
      </c>
      <c r="F14" s="765">
        <f t="shared" si="2"/>
        <v>1</v>
      </c>
      <c r="G14" s="765">
        <f t="shared" si="2"/>
        <v>1</v>
      </c>
      <c r="H14" s="765">
        <f t="shared" si="2"/>
        <v>1</v>
      </c>
    </row>
    <row r="15" spans="2:8" s="756" customFormat="1" ht="14.25">
      <c r="C15" s="757"/>
      <c r="D15" s="757"/>
      <c r="E15" s="757"/>
      <c r="F15" s="757"/>
      <c r="G15" s="757"/>
      <c r="H15" s="757"/>
    </row>
    <row r="16" spans="2:8" s="756" customFormat="1" ht="14.25">
      <c r="C16" s="757" t="s">
        <v>405</v>
      </c>
      <c r="D16" s="757"/>
      <c r="E16" s="757"/>
      <c r="F16" s="757"/>
      <c r="G16" s="757"/>
      <c r="H16" s="757"/>
    </row>
    <row r="17" spans="3:15" s="756" customFormat="1" ht="14.25">
      <c r="C17" s="757"/>
      <c r="D17" s="758" t="s">
        <v>161</v>
      </c>
      <c r="E17" s="758" t="s">
        <v>161</v>
      </c>
      <c r="F17" s="758" t="s">
        <v>161</v>
      </c>
      <c r="G17" s="758" t="s">
        <v>161</v>
      </c>
      <c r="H17" s="758" t="s">
        <v>162</v>
      </c>
      <c r="I17" s="758" t="s">
        <v>162</v>
      </c>
      <c r="J17" s="758" t="s">
        <v>162</v>
      </c>
      <c r="K17" s="758" t="s">
        <v>162</v>
      </c>
      <c r="L17" s="758" t="s">
        <v>162</v>
      </c>
      <c r="M17" s="758" t="s">
        <v>162</v>
      </c>
      <c r="N17" s="758" t="s">
        <v>162</v>
      </c>
    </row>
    <row r="18" spans="3:15" s="756" customFormat="1" ht="14.25">
      <c r="C18" s="757" t="s">
        <v>406</v>
      </c>
      <c r="D18" s="758" t="s">
        <v>394</v>
      </c>
      <c r="E18" s="758" t="s">
        <v>31</v>
      </c>
      <c r="F18" s="758" t="s">
        <v>32</v>
      </c>
      <c r="G18" s="758" t="s">
        <v>27</v>
      </c>
      <c r="H18" s="758" t="s">
        <v>28</v>
      </c>
      <c r="I18" s="758" t="s">
        <v>29</v>
      </c>
      <c r="J18" s="758" t="s">
        <v>89</v>
      </c>
      <c r="K18" s="758" t="s">
        <v>90</v>
      </c>
      <c r="L18" s="758" t="s">
        <v>91</v>
      </c>
      <c r="M18" s="758" t="s">
        <v>92</v>
      </c>
      <c r="N18" s="758" t="s">
        <v>93</v>
      </c>
    </row>
    <row r="19" spans="3:15" s="756" customFormat="1" ht="14.25">
      <c r="C19" s="757" t="s">
        <v>398</v>
      </c>
      <c r="D19" s="759">
        <f>D7*((173.3/168.6)*Assumptions!D$22)</f>
        <v>7318261.5915071741</v>
      </c>
      <c r="E19" s="759">
        <f>E7*Assumptions!D$22</f>
        <v>7026474.4456071351</v>
      </c>
      <c r="F19" s="759">
        <f>F7*Assumptions!E$22</f>
        <v>6609403.2391918218</v>
      </c>
      <c r="G19" s="759">
        <f>G7*Assumptions!F$22</f>
        <v>7481086.6736403666</v>
      </c>
      <c r="H19" s="759">
        <f>Assumptions!G$91*Millions*$H12</f>
        <v>3794183.1889685257</v>
      </c>
      <c r="I19" s="759">
        <f>Assumptions!H$91*Millions*$H12</f>
        <v>5608632.6586405747</v>
      </c>
      <c r="J19" s="759">
        <f>Assumptions!I$91*Millions*$H12</f>
        <v>5590871.5327059142</v>
      </c>
      <c r="K19" s="759">
        <f>Assumptions!J$91*Millions*$H12</f>
        <v>5451261.1981722862</v>
      </c>
      <c r="L19" s="759">
        <f>Assumptions!K$91*Millions*$H12</f>
        <v>5335921.0137749407</v>
      </c>
      <c r="M19" s="759">
        <f>Assumptions!L$91*Millions*$H12</f>
        <v>4520235.5284730373</v>
      </c>
      <c r="N19" s="759">
        <f>Assumptions!M$91*Millions*$H12</f>
        <v>3831128.0603213497</v>
      </c>
    </row>
    <row r="20" spans="3:15" s="756" customFormat="1" ht="14.25">
      <c r="C20" s="757" t="s">
        <v>401</v>
      </c>
      <c r="D20" s="759">
        <f>D8*((173.3/168.6)*Assumptions!D$22)</f>
        <v>7575616.4617917379</v>
      </c>
      <c r="E20" s="759">
        <f>E8*Assumptions!D$22</f>
        <v>9941923.9275944661</v>
      </c>
      <c r="F20" s="759">
        <f>F8*Assumptions!E$22</f>
        <v>8269952.8797750855</v>
      </c>
      <c r="G20" s="759">
        <f>G8*Assumptions!F$22</f>
        <v>5794723.5564753916</v>
      </c>
      <c r="H20" s="759">
        <f>Assumptions!G$91*Millions*$H13</f>
        <v>4110365.1213825694</v>
      </c>
      <c r="I20" s="759">
        <f>Assumptions!H$91*Millions*$H13</f>
        <v>6076018.7135272902</v>
      </c>
      <c r="J20" s="759">
        <f>Assumptions!I$91*Millions*$H13</f>
        <v>6056777.4937647413</v>
      </c>
      <c r="K20" s="759">
        <f>Assumptions!J$91*Millions*$H13</f>
        <v>5905532.9646866433</v>
      </c>
      <c r="L20" s="759">
        <f>Assumptions!K$91*Millions*$H13</f>
        <v>5780581.0982561857</v>
      </c>
      <c r="M20" s="759">
        <f>Assumptions!L$91*Millions*$H13</f>
        <v>4896921.8225124581</v>
      </c>
      <c r="N20" s="759">
        <f>Assumptions!M$91*Millions*$H13</f>
        <v>4150388.7320147958</v>
      </c>
    </row>
    <row r="21" spans="3:15" s="756" customFormat="1" ht="14.25">
      <c r="C21" s="757" t="s">
        <v>400</v>
      </c>
      <c r="D21" s="760">
        <f t="shared" ref="D21" si="3">SUM(D19:D20)</f>
        <v>14893878.053298913</v>
      </c>
      <c r="E21" s="760">
        <f>SUM(E19:E20)</f>
        <v>16968398.373201601</v>
      </c>
      <c r="F21" s="760">
        <f t="shared" ref="F21:G21" si="4">SUM(F19:F20)</f>
        <v>14879356.118966907</v>
      </c>
      <c r="G21" s="760">
        <f t="shared" si="4"/>
        <v>13275810.230115758</v>
      </c>
      <c r="H21" s="760">
        <f t="shared" ref="H21" si="5">SUM(H19:H20)</f>
        <v>7904548.3103510952</v>
      </c>
      <c r="I21" s="760">
        <f t="shared" ref="I21" si="6">SUM(I19:I20)</f>
        <v>11684651.372167865</v>
      </c>
      <c r="J21" s="760">
        <f t="shared" ref="J21" si="7">SUM(J19:J20)</f>
        <v>11647649.026470656</v>
      </c>
      <c r="K21" s="760">
        <f t="shared" ref="K21" si="8">SUM(K19:K20)</f>
        <v>11356794.162858929</v>
      </c>
      <c r="L21" s="760">
        <f t="shared" ref="L21" si="9">SUM(L19:L20)</f>
        <v>11116502.112031126</v>
      </c>
      <c r="M21" s="760">
        <f t="shared" ref="M21" si="10">SUM(M19:M20)</f>
        <v>9417157.3509854954</v>
      </c>
      <c r="N21" s="760">
        <f t="shared" ref="N21" si="11">SUM(N19:N20)</f>
        <v>7981516.7923361454</v>
      </c>
    </row>
    <row r="22" spans="3:15" s="756" customFormat="1" ht="14.25">
      <c r="C22" s="757" t="s">
        <v>50</v>
      </c>
      <c r="D22" s="757"/>
      <c r="E22" s="757"/>
      <c r="F22" s="757"/>
      <c r="G22" s="757"/>
      <c r="H22" s="763">
        <f>H21-Assumptions!G91*Millions</f>
        <v>0</v>
      </c>
      <c r="I22" s="763">
        <f>I21-Assumptions!H91*Millions</f>
        <v>0</v>
      </c>
      <c r="J22" s="763">
        <f>J21-Assumptions!I91*Millions</f>
        <v>0</v>
      </c>
      <c r="K22" s="763">
        <f>K21-Assumptions!J91*Millions</f>
        <v>0</v>
      </c>
      <c r="L22" s="763">
        <f>L21-Assumptions!K91*Millions</f>
        <v>0</v>
      </c>
      <c r="M22" s="763">
        <f>M21-Assumptions!L91*Millions</f>
        <v>0</v>
      </c>
      <c r="N22" s="763">
        <f>N21-Assumptions!M91*Millions</f>
        <v>0</v>
      </c>
    </row>
    <row r="23" spans="3:15" s="756" customFormat="1" ht="14.25">
      <c r="C23" s="757"/>
      <c r="D23" s="757"/>
      <c r="E23" s="757"/>
      <c r="F23" s="757"/>
      <c r="G23" s="757"/>
      <c r="H23" s="763"/>
      <c r="I23" s="763"/>
      <c r="J23" s="763"/>
      <c r="K23" s="763"/>
      <c r="L23" s="763"/>
      <c r="M23" s="763"/>
      <c r="N23" s="763"/>
    </row>
    <row r="24" spans="3:15" s="756" customFormat="1" ht="14.25">
      <c r="C24" s="764" t="s">
        <v>407</v>
      </c>
      <c r="D24" s="757"/>
      <c r="E24" s="757"/>
      <c r="F24" s="757"/>
      <c r="G24" s="757"/>
      <c r="H24" s="757"/>
    </row>
    <row r="25" spans="3:15" s="756" customFormat="1" ht="14.25">
      <c r="C25" s="757"/>
      <c r="D25" s="757"/>
      <c r="E25" s="757"/>
      <c r="F25" s="757"/>
      <c r="G25" s="757"/>
      <c r="H25" s="757"/>
    </row>
    <row r="26" spans="3:15" s="756" customFormat="1" ht="14.25">
      <c r="C26" s="757" t="s">
        <v>408</v>
      </c>
      <c r="D26" s="790">
        <f>E_factor</f>
        <v>0</v>
      </c>
      <c r="E26" s="757"/>
      <c r="F26" s="757"/>
      <c r="G26" s="757"/>
      <c r="H26" s="757"/>
    </row>
    <row r="27" spans="3:15" s="756" customFormat="1" ht="6" customHeight="1">
      <c r="C27" s="757"/>
      <c r="D27" s="789"/>
      <c r="E27" s="757"/>
      <c r="F27" s="757"/>
      <c r="G27" s="757"/>
      <c r="H27" s="757"/>
    </row>
    <row r="28" spans="3:15" s="756" customFormat="1" ht="14.25">
      <c r="C28" s="757"/>
      <c r="D28" s="758" t="s">
        <v>161</v>
      </c>
      <c r="E28" s="758" t="s">
        <v>161</v>
      </c>
      <c r="F28" s="758" t="s">
        <v>161</v>
      </c>
      <c r="G28" s="758" t="s">
        <v>161</v>
      </c>
      <c r="H28" s="758" t="s">
        <v>162</v>
      </c>
      <c r="I28" s="758" t="s">
        <v>162</v>
      </c>
      <c r="J28" s="791" t="s">
        <v>162</v>
      </c>
      <c r="K28" s="792" t="s">
        <v>162</v>
      </c>
      <c r="L28" s="792" t="s">
        <v>162</v>
      </c>
      <c r="M28" s="792" t="s">
        <v>162</v>
      </c>
      <c r="N28" s="793" t="s">
        <v>162</v>
      </c>
      <c r="O28" s="793" t="s">
        <v>16</v>
      </c>
    </row>
    <row r="29" spans="3:15" s="756" customFormat="1" ht="14.25">
      <c r="C29" s="757" t="s">
        <v>410</v>
      </c>
      <c r="D29" s="758" t="s">
        <v>394</v>
      </c>
      <c r="E29" s="758" t="s">
        <v>31</v>
      </c>
      <c r="F29" s="758" t="s">
        <v>32</v>
      </c>
      <c r="G29" s="758" t="s">
        <v>27</v>
      </c>
      <c r="H29" s="758" t="s">
        <v>28</v>
      </c>
      <c r="I29" s="758" t="s">
        <v>29</v>
      </c>
      <c r="J29" s="794" t="s">
        <v>89</v>
      </c>
      <c r="K29" s="795" t="s">
        <v>90</v>
      </c>
      <c r="L29" s="795" t="s">
        <v>91</v>
      </c>
      <c r="M29" s="795" t="s">
        <v>92</v>
      </c>
      <c r="N29" s="796" t="s">
        <v>93</v>
      </c>
      <c r="O29" s="796" t="s">
        <v>231</v>
      </c>
    </row>
    <row r="30" spans="3:15" s="756" customFormat="1" ht="14.25">
      <c r="C30" s="757" t="s">
        <v>398</v>
      </c>
      <c r="D30" s="759">
        <f>D19*Assumptions!$I$23</f>
        <v>7442066.7688071067</v>
      </c>
      <c r="E30" s="759">
        <f>E19*Assumptions!$I$23</f>
        <v>7145343.3741982318</v>
      </c>
      <c r="F30" s="759">
        <f>F19*Assumptions!$I$23</f>
        <v>6721216.4518849151</v>
      </c>
      <c r="G30" s="759">
        <f>G19*Assumptions!$I$23</f>
        <v>7607646.4106004471</v>
      </c>
      <c r="H30" s="759">
        <f>H19*Assumptions!$I$23</f>
        <v>3858370.4985563387</v>
      </c>
      <c r="I30" s="759">
        <f>I19*Assumptions!$I$23</f>
        <v>5703515.5419634404</v>
      </c>
      <c r="J30" s="797">
        <f>J19*Assumptions!$I$23*(1-$D$26)</f>
        <v>5685453.9458531942</v>
      </c>
      <c r="K30" s="798">
        <f>K19*Assumptions!$I$23*(1-$D$26)</f>
        <v>5543481.7823518915</v>
      </c>
      <c r="L30" s="798">
        <f>L19*Assumptions!$I$23*(1-$D$26)</f>
        <v>5426190.3542335387</v>
      </c>
      <c r="M30" s="798">
        <f>M19*Assumptions!$I$23*(1-$D$26)</f>
        <v>4596705.678390814</v>
      </c>
      <c r="N30" s="799">
        <f>N19*Assumptions!$I$23*(1-$D$26)</f>
        <v>3895940.3771312968</v>
      </c>
      <c r="O30" s="799">
        <f>SUM(J30:N30)</f>
        <v>25147772.137960736</v>
      </c>
    </row>
    <row r="31" spans="3:15" s="756" customFormat="1" ht="14.25">
      <c r="C31" s="757" t="s">
        <v>401</v>
      </c>
      <c r="D31" s="759">
        <f>D20*Assumptions!$I$23</f>
        <v>7703775.3868972361</v>
      </c>
      <c r="E31" s="759">
        <f>E20*Assumptions!$I$23</f>
        <v>10110114.369978581</v>
      </c>
      <c r="F31" s="759">
        <f>F20*Assumptions!$I$23</f>
        <v>8409858.0976660158</v>
      </c>
      <c r="G31" s="759">
        <f>G20*Assumptions!$I$23</f>
        <v>5892754.5940849371</v>
      </c>
      <c r="H31" s="759">
        <f>H20*Assumptions!$I$23</f>
        <v>4179901.3734360333</v>
      </c>
      <c r="I31" s="759">
        <f>I20*Assumptions!$I$23</f>
        <v>6178808.5037937285</v>
      </c>
      <c r="J31" s="797">
        <f>J20*Assumptions!$I$23*(1-$D$26)</f>
        <v>6159241.7746742945</v>
      </c>
      <c r="K31" s="798">
        <f>K20*Assumptions!$I$23*(1-$D$26)</f>
        <v>6005438.5975478822</v>
      </c>
      <c r="L31" s="798">
        <f>L20*Assumptions!$I$23*(1-$D$26)</f>
        <v>5878372.8837529998</v>
      </c>
      <c r="M31" s="798">
        <f>M20*Assumptions!$I$23*(1-$D$26)</f>
        <v>4979764.4849233823</v>
      </c>
      <c r="N31" s="799">
        <f>N20*Assumptions!$I$23*(1-$D$26)</f>
        <v>4220602.0752255721</v>
      </c>
      <c r="O31" s="799">
        <f>SUM(J31:N31)</f>
        <v>27243419.816124134</v>
      </c>
    </row>
    <row r="32" spans="3:15" s="756" customFormat="1" ht="14.25">
      <c r="C32" s="764" t="s">
        <v>411</v>
      </c>
      <c r="D32" s="803">
        <f>SUM(D30:D31)</f>
        <v>15145842.155704342</v>
      </c>
      <c r="E32" s="803">
        <f t="shared" ref="E32:O32" si="12">SUM(E30:E31)</f>
        <v>17255457.744176812</v>
      </c>
      <c r="F32" s="803">
        <f t="shared" si="12"/>
        <v>15131074.549550932</v>
      </c>
      <c r="G32" s="803">
        <f t="shared" si="12"/>
        <v>13500401.004685383</v>
      </c>
      <c r="H32" s="803">
        <f t="shared" si="12"/>
        <v>8038271.871992372</v>
      </c>
      <c r="I32" s="803">
        <f t="shared" si="12"/>
        <v>11882324.045757169</v>
      </c>
      <c r="J32" s="800">
        <f t="shared" si="12"/>
        <v>11844695.720527489</v>
      </c>
      <c r="K32" s="801">
        <f t="shared" si="12"/>
        <v>11548920.379899774</v>
      </c>
      <c r="L32" s="801">
        <f t="shared" si="12"/>
        <v>11304563.237986539</v>
      </c>
      <c r="M32" s="801">
        <f t="shared" si="12"/>
        <v>9576470.1633141972</v>
      </c>
      <c r="N32" s="802">
        <f t="shared" si="12"/>
        <v>8116542.4523568694</v>
      </c>
      <c r="O32" s="802">
        <f t="shared" si="12"/>
        <v>52391191.954084873</v>
      </c>
    </row>
    <row r="33" spans="3:16" s="756" customFormat="1" ht="14.25"/>
    <row r="34" spans="3:16" s="756" customFormat="1" ht="14.25"/>
    <row r="35" spans="3:16" s="756" customFormat="1" ht="14.25"/>
    <row r="36" spans="3:16" s="756" customFormat="1" ht="14.25"/>
    <row r="37" spans="3:16" s="756" customFormat="1" ht="18.75" thickBot="1">
      <c r="C37" s="812" t="s">
        <v>419</v>
      </c>
      <c r="D37" s="812"/>
      <c r="E37" s="813"/>
      <c r="F37" s="812"/>
      <c r="G37" s="812"/>
      <c r="H37" s="812"/>
      <c r="I37" s="812"/>
      <c r="J37" s="812"/>
      <c r="K37" s="812"/>
      <c r="L37" s="812"/>
      <c r="M37" s="812"/>
      <c r="N37" s="812"/>
    </row>
    <row r="38" spans="3:16" s="756" customFormat="1" ht="39" customHeight="1" thickBot="1">
      <c r="C38" s="816"/>
      <c r="E38" s="817"/>
      <c r="F38" s="817"/>
      <c r="G38" s="818"/>
      <c r="H38" s="1032" t="s">
        <v>344</v>
      </c>
      <c r="I38" s="1033"/>
      <c r="J38" s="1033"/>
      <c r="K38" s="1033"/>
      <c r="L38" s="1033"/>
      <c r="M38" s="1033"/>
      <c r="N38" s="1034"/>
      <c r="O38" s="758" t="s">
        <v>414</v>
      </c>
    </row>
    <row r="39" spans="3:16" s="756" customFormat="1" thickBot="1">
      <c r="C39" s="822"/>
      <c r="D39" s="820"/>
      <c r="E39" s="820"/>
      <c r="F39" s="820"/>
      <c r="G39" s="821"/>
      <c r="H39" s="669" t="s">
        <v>72</v>
      </c>
      <c r="I39" s="670" t="s">
        <v>73</v>
      </c>
      <c r="J39" s="641" t="s">
        <v>74</v>
      </c>
      <c r="K39" s="641" t="s">
        <v>75</v>
      </c>
      <c r="L39" s="641" t="s">
        <v>76</v>
      </c>
      <c r="M39" s="641" t="s">
        <v>77</v>
      </c>
      <c r="N39" s="671" t="s">
        <v>78</v>
      </c>
    </row>
    <row r="40" spans="3:16" s="756" customFormat="1" ht="14.25" customHeight="1">
      <c r="C40" s="880" t="s">
        <v>420</v>
      </c>
      <c r="E40" s="823" t="s">
        <v>424</v>
      </c>
      <c r="F40" s="832"/>
      <c r="G40" s="834"/>
      <c r="H40" s="838">
        <f t="shared" ref="H40:N43" si="13">$O40*H$30</f>
        <v>1230820.189039472</v>
      </c>
      <c r="I40" s="839">
        <f t="shared" si="13"/>
        <v>1819421.4578863375</v>
      </c>
      <c r="J40" s="838">
        <f t="shared" si="13"/>
        <v>1813659.8087271689</v>
      </c>
      <c r="K40" s="840">
        <f t="shared" si="13"/>
        <v>1768370.6885702533</v>
      </c>
      <c r="L40" s="840">
        <f t="shared" si="13"/>
        <v>1730954.723000499</v>
      </c>
      <c r="M40" s="840">
        <f t="shared" si="13"/>
        <v>1466349.1114066697</v>
      </c>
      <c r="N40" s="841">
        <f t="shared" si="13"/>
        <v>1242804.9803048838</v>
      </c>
      <c r="O40" s="882">
        <v>0.31900000000000001</v>
      </c>
      <c r="P40" s="836" t="s">
        <v>431</v>
      </c>
    </row>
    <row r="41" spans="3:16" s="756" customFormat="1" ht="14.25">
      <c r="C41" s="825" t="s">
        <v>422</v>
      </c>
      <c r="D41" s="826"/>
      <c r="E41" s="827" t="s">
        <v>423</v>
      </c>
      <c r="F41" s="833"/>
      <c r="G41" s="835"/>
      <c r="H41" s="842">
        <f t="shared" si="13"/>
        <v>733090.39472570433</v>
      </c>
      <c r="I41" s="843">
        <f t="shared" si="13"/>
        <v>1083667.9529730538</v>
      </c>
      <c r="J41" s="842">
        <f t="shared" si="13"/>
        <v>1080236.249712107</v>
      </c>
      <c r="K41" s="844">
        <f t="shared" si="13"/>
        <v>1053261.5386468593</v>
      </c>
      <c r="L41" s="844">
        <f t="shared" si="13"/>
        <v>1030976.1673043724</v>
      </c>
      <c r="M41" s="844">
        <f t="shared" si="13"/>
        <v>873374.07889425464</v>
      </c>
      <c r="N41" s="843">
        <f t="shared" si="13"/>
        <v>740228.6716549464</v>
      </c>
      <c r="O41" s="882">
        <v>0.19</v>
      </c>
    </row>
    <row r="42" spans="3:16" s="756" customFormat="1" ht="14.25">
      <c r="C42" s="824" t="s">
        <v>421</v>
      </c>
      <c r="E42" s="828" t="s">
        <v>421</v>
      </c>
      <c r="F42" s="829"/>
      <c r="G42" s="829"/>
      <c r="H42" s="845">
        <f t="shared" si="13"/>
        <v>1875168.0622983805</v>
      </c>
      <c r="I42" s="846">
        <f t="shared" si="13"/>
        <v>2771908.5533942319</v>
      </c>
      <c r="J42" s="845">
        <f t="shared" si="13"/>
        <v>2763130.6176846521</v>
      </c>
      <c r="K42" s="847">
        <f t="shared" si="13"/>
        <v>2694132.1462230193</v>
      </c>
      <c r="L42" s="847">
        <f t="shared" si="13"/>
        <v>2637128.5121574998</v>
      </c>
      <c r="M42" s="847">
        <f t="shared" si="13"/>
        <v>2233998.9596979357</v>
      </c>
      <c r="N42" s="846">
        <f t="shared" si="13"/>
        <v>1893427.0232858101</v>
      </c>
      <c r="O42" s="882">
        <v>0.48599999999999999</v>
      </c>
    </row>
    <row r="43" spans="3:16" s="756" customFormat="1" ht="14.25">
      <c r="C43" s="814"/>
      <c r="D43" s="815"/>
      <c r="E43" s="830" t="s">
        <v>425</v>
      </c>
      <c r="F43" s="831"/>
      <c r="G43" s="831"/>
      <c r="H43" s="848">
        <f t="shared" si="13"/>
        <v>19291.852492781694</v>
      </c>
      <c r="I43" s="849">
        <f t="shared" si="13"/>
        <v>28517.577709817204</v>
      </c>
      <c r="J43" s="848">
        <f t="shared" si="13"/>
        <v>28427.269729265972</v>
      </c>
      <c r="K43" s="850">
        <f t="shared" si="13"/>
        <v>27717.408911759459</v>
      </c>
      <c r="L43" s="850">
        <f t="shared" si="13"/>
        <v>27130.951771167693</v>
      </c>
      <c r="M43" s="850">
        <f t="shared" si="13"/>
        <v>22983.528391954071</v>
      </c>
      <c r="N43" s="849">
        <f t="shared" si="13"/>
        <v>19479.701885656483</v>
      </c>
      <c r="O43" s="882">
        <v>5.0000000000000001E-3</v>
      </c>
    </row>
    <row r="44" spans="3:16" s="756" customFormat="1">
      <c r="C44" s="881" t="s">
        <v>418</v>
      </c>
      <c r="E44" s="837"/>
      <c r="F44" s="837"/>
      <c r="G44" s="837"/>
      <c r="H44" s="851">
        <f t="shared" ref="H44:N44" si="14">SUM(H40:H43)</f>
        <v>3858370.4985563387</v>
      </c>
      <c r="I44" s="851">
        <f t="shared" si="14"/>
        <v>5703515.5419634404</v>
      </c>
      <c r="J44" s="851">
        <f t="shared" si="14"/>
        <v>5685453.9458531942</v>
      </c>
      <c r="K44" s="851">
        <f t="shared" si="14"/>
        <v>5543481.7823518906</v>
      </c>
      <c r="L44" s="851">
        <f t="shared" si="14"/>
        <v>5426190.3542335387</v>
      </c>
      <c r="M44" s="851">
        <f t="shared" si="14"/>
        <v>4596705.6783908149</v>
      </c>
      <c r="N44" s="851">
        <f t="shared" si="14"/>
        <v>3895940.3771312968</v>
      </c>
      <c r="O44" s="883"/>
    </row>
    <row r="45" spans="3:16" s="756" customFormat="1" ht="14.25">
      <c r="H45" s="852">
        <f>H44-H30</f>
        <v>0</v>
      </c>
      <c r="I45" s="852">
        <f t="shared" ref="I45:N45" si="15">I44-I30</f>
        <v>0</v>
      </c>
      <c r="J45" s="852">
        <f t="shared" si="15"/>
        <v>0</v>
      </c>
      <c r="K45" s="852">
        <f t="shared" si="15"/>
        <v>0</v>
      </c>
      <c r="L45" s="852">
        <f t="shared" si="15"/>
        <v>0</v>
      </c>
      <c r="M45" s="852">
        <f t="shared" si="15"/>
        <v>0</v>
      </c>
      <c r="N45" s="852">
        <f t="shared" si="15"/>
        <v>0</v>
      </c>
      <c r="O45" s="883"/>
    </row>
    <row r="46" spans="3:16" s="756" customFormat="1" ht="14.25">
      <c r="O46" s="883"/>
    </row>
    <row r="47" spans="3:16" s="756" customFormat="1" ht="14.25">
      <c r="O47" s="883"/>
    </row>
    <row r="48" spans="3:16" s="756" customFormat="1" ht="18.75" thickBot="1">
      <c r="C48" s="812" t="s">
        <v>416</v>
      </c>
      <c r="D48" s="812"/>
      <c r="E48" s="813"/>
      <c r="F48" s="812"/>
      <c r="G48" s="812"/>
      <c r="H48" s="812"/>
      <c r="I48" s="812"/>
      <c r="J48" s="812"/>
      <c r="K48" s="812"/>
      <c r="L48" s="812"/>
      <c r="M48" s="812"/>
      <c r="N48" s="812"/>
      <c r="O48" s="883"/>
    </row>
    <row r="49" spans="3:16" s="756" customFormat="1" ht="39" customHeight="1" thickBot="1">
      <c r="C49" s="816"/>
      <c r="E49" s="817"/>
      <c r="F49" s="817"/>
      <c r="G49" s="818"/>
      <c r="H49" s="1032" t="s">
        <v>344</v>
      </c>
      <c r="I49" s="1033"/>
      <c r="J49" s="1033"/>
      <c r="K49" s="1033"/>
      <c r="L49" s="1033"/>
      <c r="M49" s="1033"/>
      <c r="N49" s="1034"/>
      <c r="O49" s="883"/>
    </row>
    <row r="50" spans="3:16" s="756" customFormat="1" thickBot="1">
      <c r="C50" s="819"/>
      <c r="D50" s="864"/>
      <c r="E50" s="820"/>
      <c r="F50" s="820"/>
      <c r="G50" s="821"/>
      <c r="H50" s="669" t="s">
        <v>72</v>
      </c>
      <c r="I50" s="670" t="s">
        <v>73</v>
      </c>
      <c r="J50" s="641" t="s">
        <v>74</v>
      </c>
      <c r="K50" s="641" t="s">
        <v>75</v>
      </c>
      <c r="L50" s="641" t="s">
        <v>76</v>
      </c>
      <c r="M50" s="641" t="s">
        <v>77</v>
      </c>
      <c r="N50" s="671" t="s">
        <v>78</v>
      </c>
      <c r="O50" s="883"/>
    </row>
    <row r="51" spans="3:16" s="756" customFormat="1" ht="15" customHeight="1">
      <c r="C51" s="1026" t="s">
        <v>417</v>
      </c>
      <c r="D51" s="1027"/>
      <c r="E51" s="869" t="s">
        <v>426</v>
      </c>
      <c r="F51" s="875"/>
      <c r="G51" s="865"/>
      <c r="H51" s="853">
        <f>$O51*H$31</f>
        <v>87777.928842156703</v>
      </c>
      <c r="I51" s="854">
        <f t="shared" ref="I51:N55" si="16">$O51*I$31</f>
        <v>129754.97857966831</v>
      </c>
      <c r="J51" s="853">
        <f t="shared" si="16"/>
        <v>129344.0772681602</v>
      </c>
      <c r="K51" s="855">
        <f t="shared" si="16"/>
        <v>126114.21054850554</v>
      </c>
      <c r="L51" s="855">
        <f t="shared" si="16"/>
        <v>123445.830558813</v>
      </c>
      <c r="M51" s="855">
        <f t="shared" si="16"/>
        <v>104575.05418339104</v>
      </c>
      <c r="N51" s="856">
        <f t="shared" si="16"/>
        <v>88632.643579737021</v>
      </c>
      <c r="O51" s="884">
        <v>2.1000000000000001E-2</v>
      </c>
      <c r="P51" s="836" t="s">
        <v>431</v>
      </c>
    </row>
    <row r="52" spans="3:16" s="756" customFormat="1" ht="15" customHeight="1">
      <c r="C52" s="1028"/>
      <c r="D52" s="1029"/>
      <c r="E52" s="870" t="s">
        <v>427</v>
      </c>
      <c r="F52" s="876"/>
      <c r="G52" s="866"/>
      <c r="H52" s="857">
        <f t="shared" ref="H52:H55" si="17">$O52*H$31</f>
        <v>229894.57553898182</v>
      </c>
      <c r="I52" s="858">
        <f t="shared" si="16"/>
        <v>339834.46770865505</v>
      </c>
      <c r="J52" s="857">
        <f t="shared" si="16"/>
        <v>338758.29760708619</v>
      </c>
      <c r="K52" s="859">
        <f t="shared" si="16"/>
        <v>330299.12286513351</v>
      </c>
      <c r="L52" s="859">
        <f t="shared" si="16"/>
        <v>323310.50860641501</v>
      </c>
      <c r="M52" s="859">
        <f t="shared" si="16"/>
        <v>273887.04667078605</v>
      </c>
      <c r="N52" s="860">
        <f t="shared" si="16"/>
        <v>232133.11413740646</v>
      </c>
      <c r="O52" s="884">
        <v>5.5E-2</v>
      </c>
    </row>
    <row r="53" spans="3:16" s="756" customFormat="1" ht="15" customHeight="1">
      <c r="C53" s="1028"/>
      <c r="D53" s="1029"/>
      <c r="E53" s="871" t="s">
        <v>428</v>
      </c>
      <c r="F53" s="877"/>
      <c r="G53" s="867"/>
      <c r="H53" s="857">
        <f t="shared" si="17"/>
        <v>317672.50438113854</v>
      </c>
      <c r="I53" s="858">
        <f t="shared" si="16"/>
        <v>469589.44628832338</v>
      </c>
      <c r="J53" s="857">
        <f t="shared" si="16"/>
        <v>468102.37487524637</v>
      </c>
      <c r="K53" s="859">
        <f t="shared" si="16"/>
        <v>456413.33341363905</v>
      </c>
      <c r="L53" s="859">
        <f t="shared" si="16"/>
        <v>446756.33916522795</v>
      </c>
      <c r="M53" s="859">
        <f t="shared" si="16"/>
        <v>378462.10085417703</v>
      </c>
      <c r="N53" s="860">
        <f t="shared" si="16"/>
        <v>320765.75771714345</v>
      </c>
      <c r="O53" s="884">
        <v>7.5999999999999998E-2</v>
      </c>
    </row>
    <row r="54" spans="3:16" s="756" customFormat="1" ht="15" customHeight="1">
      <c r="C54" s="1028"/>
      <c r="D54" s="1029"/>
      <c r="E54" s="870" t="s">
        <v>429</v>
      </c>
      <c r="F54" s="876"/>
      <c r="G54" s="866"/>
      <c r="H54" s="857">
        <f t="shared" si="17"/>
        <v>1136933.1735746011</v>
      </c>
      <c r="I54" s="858">
        <f t="shared" si="16"/>
        <v>1680635.9130318942</v>
      </c>
      <c r="J54" s="857">
        <f t="shared" si="16"/>
        <v>1675313.7627114083</v>
      </c>
      <c r="K54" s="859">
        <f t="shared" si="16"/>
        <v>1633479.298533024</v>
      </c>
      <c r="L54" s="859">
        <f t="shared" si="16"/>
        <v>1598917.4243808161</v>
      </c>
      <c r="M54" s="859">
        <f t="shared" si="16"/>
        <v>1354495.9398991601</v>
      </c>
      <c r="N54" s="860">
        <f t="shared" si="16"/>
        <v>1148003.7644613557</v>
      </c>
      <c r="O54" s="884">
        <v>0.27200000000000002</v>
      </c>
    </row>
    <row r="55" spans="3:16" s="756" customFormat="1" ht="15" customHeight="1">
      <c r="C55" s="1028"/>
      <c r="D55" s="1029"/>
      <c r="E55" s="871" t="s">
        <v>430</v>
      </c>
      <c r="F55" s="877"/>
      <c r="G55" s="867"/>
      <c r="H55" s="857">
        <f t="shared" si="17"/>
        <v>2407623.1910991548</v>
      </c>
      <c r="I55" s="858">
        <f t="shared" si="16"/>
        <v>3558993.6981851873</v>
      </c>
      <c r="J55" s="857">
        <f t="shared" si="16"/>
        <v>3547723.2622123933</v>
      </c>
      <c r="K55" s="859">
        <f t="shared" si="16"/>
        <v>3459132.6321875798</v>
      </c>
      <c r="L55" s="859">
        <f t="shared" si="16"/>
        <v>3385942.7810417279</v>
      </c>
      <c r="M55" s="859">
        <f t="shared" si="16"/>
        <v>2868344.3433158682</v>
      </c>
      <c r="N55" s="860">
        <f t="shared" si="16"/>
        <v>2431066.7953299293</v>
      </c>
      <c r="O55" s="884">
        <v>0.57599999999999996</v>
      </c>
    </row>
    <row r="56" spans="3:16" s="756" customFormat="1" ht="15" customHeight="1">
      <c r="C56" s="1028"/>
      <c r="D56" s="1029"/>
      <c r="E56" s="872"/>
      <c r="F56" s="876"/>
      <c r="G56" s="866"/>
      <c r="H56" s="857"/>
      <c r="I56" s="858"/>
      <c r="J56" s="857"/>
      <c r="K56" s="859"/>
      <c r="L56" s="859"/>
      <c r="M56" s="859"/>
      <c r="N56" s="860"/>
    </row>
    <row r="57" spans="3:16" s="756" customFormat="1" ht="15" customHeight="1">
      <c r="C57" s="1028"/>
      <c r="D57" s="1029"/>
      <c r="E57" s="873"/>
      <c r="F57" s="877"/>
      <c r="G57" s="867"/>
      <c r="H57" s="857"/>
      <c r="I57" s="858"/>
      <c r="J57" s="857"/>
      <c r="K57" s="859"/>
      <c r="L57" s="859"/>
      <c r="M57" s="859"/>
      <c r="N57" s="860"/>
    </row>
    <row r="58" spans="3:16" s="756" customFormat="1" ht="15" customHeight="1">
      <c r="C58" s="1028"/>
      <c r="D58" s="1029"/>
      <c r="E58" s="872"/>
      <c r="F58" s="876"/>
      <c r="G58" s="866"/>
      <c r="H58" s="857"/>
      <c r="I58" s="858"/>
      <c r="J58" s="857"/>
      <c r="K58" s="859"/>
      <c r="L58" s="859"/>
      <c r="M58" s="859"/>
      <c r="N58" s="860"/>
    </row>
    <row r="59" spans="3:16" s="756" customFormat="1" ht="15" customHeight="1">
      <c r="C59" s="1030"/>
      <c r="D59" s="1031"/>
      <c r="E59" s="874"/>
      <c r="F59" s="878"/>
      <c r="G59" s="868"/>
      <c r="H59" s="848"/>
      <c r="I59" s="849"/>
      <c r="J59" s="848"/>
      <c r="K59" s="850"/>
      <c r="L59" s="850"/>
      <c r="M59" s="850"/>
      <c r="N59" s="861"/>
    </row>
    <row r="60" spans="3:16">
      <c r="C60" s="881" t="s">
        <v>418</v>
      </c>
      <c r="E60" s="491"/>
      <c r="F60" s="491"/>
      <c r="G60" s="491"/>
      <c r="H60" s="851">
        <f>SUM(H51:H59)</f>
        <v>4179901.3734360328</v>
      </c>
      <c r="I60" s="851">
        <f t="shared" ref="I60:N60" si="18">SUM(I51:I59)</f>
        <v>6178808.5037937276</v>
      </c>
      <c r="J60" s="851">
        <f t="shared" si="18"/>
        <v>6159241.7746742945</v>
      </c>
      <c r="K60" s="851">
        <f t="shared" si="18"/>
        <v>6005438.5975478813</v>
      </c>
      <c r="L60" s="851">
        <f t="shared" si="18"/>
        <v>5878372.8837529998</v>
      </c>
      <c r="M60" s="851">
        <f t="shared" si="18"/>
        <v>4979764.4849233823</v>
      </c>
      <c r="N60" s="851">
        <f t="shared" si="18"/>
        <v>4220602.0752255721</v>
      </c>
    </row>
    <row r="61" spans="3:16">
      <c r="H61" s="852">
        <f>H60-H31</f>
        <v>0</v>
      </c>
      <c r="I61" s="852">
        <f t="shared" ref="I61:N61" si="19">I60-I31</f>
        <v>0</v>
      </c>
      <c r="J61" s="852">
        <f t="shared" si="19"/>
        <v>0</v>
      </c>
      <c r="K61" s="852">
        <f t="shared" si="19"/>
        <v>0</v>
      </c>
      <c r="L61" s="852">
        <f t="shared" si="19"/>
        <v>0</v>
      </c>
      <c r="M61" s="852">
        <f t="shared" si="19"/>
        <v>0</v>
      </c>
      <c r="N61" s="852">
        <f t="shared" si="19"/>
        <v>0</v>
      </c>
    </row>
    <row r="63" spans="3:16">
      <c r="H63" s="862"/>
      <c r="I63" s="862"/>
      <c r="J63" s="862"/>
      <c r="K63" s="862"/>
      <c r="L63" s="862"/>
      <c r="M63" s="862"/>
      <c r="N63" s="862"/>
    </row>
    <row r="64" spans="3:16">
      <c r="H64" s="863"/>
      <c r="I64" s="863"/>
      <c r="J64" s="863"/>
      <c r="K64" s="863"/>
      <c r="L64" s="863"/>
      <c r="M64" s="863"/>
      <c r="N64" s="863"/>
    </row>
  </sheetData>
  <mergeCells count="3">
    <mergeCell ref="C51:D59"/>
    <mergeCell ref="H38:N38"/>
    <mergeCell ref="H49:N49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  <ignoredErrors>
    <ignoredError sqref="H40:N43 H51:N55" unlocked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34"/>
  <sheetViews>
    <sheetView zoomScaleNormal="100" workbookViewId="0">
      <pane xSplit="5" topLeftCell="AG1" activePane="topRight" state="frozen"/>
      <selection pane="topRight" activeCell="AY14" sqref="AY14"/>
    </sheetView>
  </sheetViews>
  <sheetFormatPr defaultRowHeight="15" outlineLevelCol="1"/>
  <cols>
    <col min="1" max="1" width="8" style="236" customWidth="1"/>
    <col min="2" max="2" width="6.42578125" style="236" customWidth="1"/>
    <col min="3" max="3" width="17.5703125" style="236" customWidth="1"/>
    <col min="4" max="4" width="63.140625" style="236" bestFit="1" customWidth="1"/>
    <col min="5" max="5" width="19.28515625" style="236" hidden="1" customWidth="1" outlineLevel="1"/>
    <col min="6" max="6" width="11.5703125" style="236" bestFit="1" customWidth="1" collapsed="1"/>
    <col min="7" max="18" width="11.5703125" style="236" bestFit="1" customWidth="1"/>
    <col min="19" max="19" width="10.5703125" style="236" bestFit="1" customWidth="1"/>
    <col min="20" max="27" width="11.5703125" style="236" bestFit="1" customWidth="1"/>
    <col min="28" max="33" width="9.140625" style="236"/>
    <col min="34" max="47" width="9.140625" style="236" hidden="1" customWidth="1" outlineLevel="1"/>
    <col min="48" max="48" width="6.85546875" style="236" customWidth="1" collapsed="1"/>
    <col min="49" max="54" width="12.5703125" style="236" bestFit="1" customWidth="1"/>
    <col min="55" max="55" width="11.5703125" style="236" bestFit="1" customWidth="1"/>
    <col min="56" max="56" width="4.85546875" style="236" customWidth="1"/>
    <col min="57" max="57" width="10.5703125" style="236" bestFit="1" customWidth="1"/>
    <col min="58" max="16384" width="9.140625" style="236"/>
  </cols>
  <sheetData>
    <row r="1" spans="2:63">
      <c r="B1" s="483" t="s">
        <v>290</v>
      </c>
    </row>
    <row r="2" spans="2:63">
      <c r="G2" s="236" t="s">
        <v>413</v>
      </c>
      <c r="H2" s="890">
        <f>E_factor</f>
        <v>0</v>
      </c>
    </row>
    <row r="3" spans="2:63">
      <c r="C3" s="491" t="s">
        <v>392</v>
      </c>
      <c r="D3" s="491" t="s">
        <v>415</v>
      </c>
    </row>
    <row r="4" spans="2:63" ht="15.75" thickBot="1">
      <c r="F4" s="807">
        <v>-2</v>
      </c>
      <c r="G4" s="807">
        <v>-1</v>
      </c>
      <c r="H4" s="807">
        <v>1</v>
      </c>
      <c r="I4" s="807">
        <v>2</v>
      </c>
      <c r="J4" s="807">
        <v>3</v>
      </c>
      <c r="K4" s="807">
        <v>4</v>
      </c>
      <c r="L4" s="807">
        <v>5</v>
      </c>
      <c r="M4" s="807">
        <v>-2</v>
      </c>
      <c r="N4" s="807">
        <v>-1</v>
      </c>
      <c r="O4" s="807">
        <v>1</v>
      </c>
      <c r="P4" s="807">
        <v>2</v>
      </c>
      <c r="Q4" s="807">
        <v>3</v>
      </c>
      <c r="R4" s="807">
        <v>4</v>
      </c>
      <c r="S4" s="807">
        <v>5</v>
      </c>
      <c r="T4" s="807">
        <v>-2</v>
      </c>
      <c r="U4" s="807">
        <v>-1</v>
      </c>
      <c r="V4" s="807">
        <v>1</v>
      </c>
      <c r="W4" s="807">
        <v>2</v>
      </c>
      <c r="X4" s="807">
        <v>3</v>
      </c>
      <c r="Y4" s="807">
        <v>4</v>
      </c>
      <c r="Z4" s="807">
        <v>5</v>
      </c>
      <c r="AA4" s="807">
        <v>-2</v>
      </c>
      <c r="AB4" s="807">
        <v>-1</v>
      </c>
      <c r="AC4" s="807">
        <v>1</v>
      </c>
      <c r="AD4" s="807">
        <v>2</v>
      </c>
      <c r="AE4" s="807">
        <v>3</v>
      </c>
      <c r="AF4" s="807">
        <v>4</v>
      </c>
      <c r="AG4" s="807">
        <v>5</v>
      </c>
    </row>
    <row r="5" spans="2:63" ht="46.5" customHeight="1" thickBot="1">
      <c r="C5" s="694"/>
      <c r="D5" s="695"/>
      <c r="E5" s="886"/>
      <c r="F5" s="1041" t="s">
        <v>365</v>
      </c>
      <c r="G5" s="1042"/>
      <c r="H5" s="1042"/>
      <c r="I5" s="1042"/>
      <c r="J5" s="1042"/>
      <c r="K5" s="1042"/>
      <c r="L5" s="1043"/>
      <c r="M5" s="1038" t="s">
        <v>366</v>
      </c>
      <c r="N5" s="1039"/>
      <c r="O5" s="1039"/>
      <c r="P5" s="1039"/>
      <c r="Q5" s="1039"/>
      <c r="R5" s="1039"/>
      <c r="S5" s="1040"/>
      <c r="T5" s="1041" t="s">
        <v>367</v>
      </c>
      <c r="U5" s="1042"/>
      <c r="V5" s="1042"/>
      <c r="W5" s="1042"/>
      <c r="X5" s="1042"/>
      <c r="Y5" s="1042"/>
      <c r="Z5" s="1043"/>
      <c r="AA5" s="1038" t="s">
        <v>368</v>
      </c>
      <c r="AB5" s="1039"/>
      <c r="AC5" s="1039"/>
      <c r="AD5" s="1039"/>
      <c r="AE5" s="1039"/>
      <c r="AF5" s="1039"/>
      <c r="AG5" s="1040"/>
      <c r="AH5" s="1041" t="s">
        <v>369</v>
      </c>
      <c r="AI5" s="1042"/>
      <c r="AJ5" s="1042"/>
      <c r="AK5" s="1042"/>
      <c r="AL5" s="1042"/>
      <c r="AM5" s="1042"/>
      <c r="AN5" s="1042"/>
      <c r="AO5" s="1038" t="s">
        <v>370</v>
      </c>
      <c r="AP5" s="1039"/>
      <c r="AQ5" s="1039"/>
      <c r="AR5" s="1039"/>
      <c r="AS5" s="1039"/>
      <c r="AT5" s="1039"/>
      <c r="AU5" s="1040"/>
      <c r="AW5" s="1036" t="s">
        <v>436</v>
      </c>
      <c r="AX5" s="1037"/>
      <c r="AY5" s="1037"/>
      <c r="AZ5" s="1037"/>
      <c r="BA5" s="1037"/>
      <c r="BB5" s="1037"/>
      <c r="BC5" s="1037"/>
      <c r="BE5" s="1035" t="s">
        <v>455</v>
      </c>
      <c r="BF5" s="1035"/>
      <c r="BG5" s="1035"/>
      <c r="BH5" s="1035"/>
      <c r="BI5" s="1035"/>
      <c r="BJ5" s="1035"/>
      <c r="BK5" s="1035"/>
    </row>
    <row r="6" spans="2:63" ht="15.75" thickBot="1">
      <c r="C6" s="696"/>
      <c r="D6" s="697"/>
      <c r="E6" s="887"/>
      <c r="F6" s="698" t="s">
        <v>72</v>
      </c>
      <c r="G6" s="699" t="s">
        <v>73</v>
      </c>
      <c r="H6" s="699" t="s">
        <v>74</v>
      </c>
      <c r="I6" s="699" t="s">
        <v>75</v>
      </c>
      <c r="J6" s="699" t="s">
        <v>76</v>
      </c>
      <c r="K6" s="699" t="s">
        <v>77</v>
      </c>
      <c r="L6" s="700" t="s">
        <v>78</v>
      </c>
      <c r="M6" s="701" t="s">
        <v>72</v>
      </c>
      <c r="N6" s="702" t="s">
        <v>73</v>
      </c>
      <c r="O6" s="702" t="s">
        <v>74</v>
      </c>
      <c r="P6" s="702" t="s">
        <v>75</v>
      </c>
      <c r="Q6" s="702" t="s">
        <v>76</v>
      </c>
      <c r="R6" s="702" t="s">
        <v>77</v>
      </c>
      <c r="S6" s="703" t="s">
        <v>78</v>
      </c>
      <c r="T6" s="704" t="s">
        <v>72</v>
      </c>
      <c r="U6" s="705" t="s">
        <v>73</v>
      </c>
      <c r="V6" s="699" t="s">
        <v>74</v>
      </c>
      <c r="W6" s="699" t="s">
        <v>75</v>
      </c>
      <c r="X6" s="699" t="s">
        <v>76</v>
      </c>
      <c r="Y6" s="699" t="s">
        <v>77</v>
      </c>
      <c r="Z6" s="700" t="s">
        <v>78</v>
      </c>
      <c r="AA6" s="701" t="s">
        <v>72</v>
      </c>
      <c r="AB6" s="699" t="s">
        <v>73</v>
      </c>
      <c r="AC6" s="705" t="s">
        <v>74</v>
      </c>
      <c r="AD6" s="702" t="s">
        <v>75</v>
      </c>
      <c r="AE6" s="702" t="s">
        <v>76</v>
      </c>
      <c r="AF6" s="702" t="s">
        <v>77</v>
      </c>
      <c r="AG6" s="706" t="s">
        <v>78</v>
      </c>
      <c r="AH6" s="707" t="s">
        <v>72</v>
      </c>
      <c r="AI6" s="705" t="s">
        <v>73</v>
      </c>
      <c r="AJ6" s="699" t="s">
        <v>74</v>
      </c>
      <c r="AK6" s="699" t="s">
        <v>75</v>
      </c>
      <c r="AL6" s="699" t="s">
        <v>76</v>
      </c>
      <c r="AM6" s="699" t="s">
        <v>77</v>
      </c>
      <c r="AN6" s="700" t="s">
        <v>78</v>
      </c>
      <c r="AO6" s="701" t="s">
        <v>72</v>
      </c>
      <c r="AP6" s="699" t="s">
        <v>73</v>
      </c>
      <c r="AQ6" s="705" t="s">
        <v>74</v>
      </c>
      <c r="AR6" s="702" t="s">
        <v>75</v>
      </c>
      <c r="AS6" s="702" t="s">
        <v>76</v>
      </c>
      <c r="AT6" s="702" t="s">
        <v>77</v>
      </c>
      <c r="AU6" s="703" t="s">
        <v>78</v>
      </c>
      <c r="AW6" s="892" t="s">
        <v>72</v>
      </c>
      <c r="AX6" s="892" t="s">
        <v>73</v>
      </c>
      <c r="AY6" s="892" t="s">
        <v>74</v>
      </c>
      <c r="AZ6" s="892" t="s">
        <v>75</v>
      </c>
      <c r="BA6" s="892" t="s">
        <v>76</v>
      </c>
      <c r="BB6" s="892" t="s">
        <v>77</v>
      </c>
      <c r="BC6" s="892" t="s">
        <v>78</v>
      </c>
      <c r="BE6" s="807" t="s">
        <v>72</v>
      </c>
      <c r="BF6" s="807" t="s">
        <v>73</v>
      </c>
      <c r="BG6" s="807" t="s">
        <v>74</v>
      </c>
      <c r="BH6" s="807" t="s">
        <v>75</v>
      </c>
      <c r="BI6" s="807" t="s">
        <v>76</v>
      </c>
      <c r="BJ6" s="807" t="s">
        <v>77</v>
      </c>
      <c r="BK6" s="807" t="s">
        <v>78</v>
      </c>
    </row>
    <row r="7" spans="2:63">
      <c r="C7" s="708" t="s">
        <v>371</v>
      </c>
      <c r="D7" s="709" t="s">
        <v>372</v>
      </c>
      <c r="E7" s="888"/>
      <c r="F7" s="710"/>
      <c r="G7" s="711"/>
      <c r="H7" s="711"/>
      <c r="I7" s="711"/>
      <c r="J7" s="711"/>
      <c r="K7" s="711"/>
      <c r="L7" s="712"/>
      <c r="M7" s="710"/>
      <c r="N7" s="711"/>
      <c r="O7" s="711"/>
      <c r="P7" s="711"/>
      <c r="Q7" s="711"/>
      <c r="R7" s="711"/>
      <c r="S7" s="713"/>
      <c r="T7" s="714"/>
      <c r="U7" s="715"/>
      <c r="V7" s="715"/>
      <c r="W7" s="715"/>
      <c r="X7" s="715"/>
      <c r="Y7" s="715"/>
      <c r="Z7" s="716"/>
      <c r="AA7" s="714"/>
      <c r="AB7" s="715"/>
      <c r="AC7" s="715"/>
      <c r="AD7" s="715"/>
      <c r="AE7" s="715"/>
      <c r="AF7" s="715"/>
      <c r="AG7" s="717"/>
      <c r="AH7" s="714"/>
      <c r="AI7" s="715"/>
      <c r="AJ7" s="715"/>
      <c r="AK7" s="715"/>
      <c r="AL7" s="715"/>
      <c r="AM7" s="715"/>
      <c r="AN7" s="717"/>
      <c r="AO7" s="714"/>
      <c r="AP7" s="715"/>
      <c r="AQ7" s="715"/>
      <c r="AR7" s="715"/>
      <c r="AS7" s="715"/>
      <c r="AT7" s="715"/>
      <c r="AU7" s="717"/>
      <c r="AW7" s="937"/>
      <c r="AX7" s="937"/>
      <c r="AY7" s="937"/>
      <c r="AZ7" s="937"/>
      <c r="BA7" s="937"/>
      <c r="BB7" s="937"/>
      <c r="BC7" s="937"/>
    </row>
    <row r="8" spans="2:63">
      <c r="C8" s="718"/>
      <c r="D8" s="719" t="s">
        <v>373</v>
      </c>
      <c r="E8" s="730"/>
      <c r="F8" s="720"/>
      <c r="G8" s="721"/>
      <c r="H8" s="721"/>
      <c r="I8" s="721"/>
      <c r="J8" s="721"/>
      <c r="K8" s="721"/>
      <c r="L8" s="722"/>
      <c r="M8" s="720"/>
      <c r="N8" s="721"/>
      <c r="O8" s="721"/>
      <c r="P8" s="721"/>
      <c r="Q8" s="721"/>
      <c r="R8" s="721"/>
      <c r="S8" s="723"/>
      <c r="T8" s="720"/>
      <c r="U8" s="721"/>
      <c r="V8" s="721"/>
      <c r="W8" s="721"/>
      <c r="X8" s="721"/>
      <c r="Y8" s="721"/>
      <c r="Z8" s="722"/>
      <c r="AA8" s="720"/>
      <c r="AB8" s="721"/>
      <c r="AC8" s="721"/>
      <c r="AD8" s="721"/>
      <c r="AE8" s="721"/>
      <c r="AF8" s="721"/>
      <c r="AG8" s="723"/>
      <c r="AH8" s="720"/>
      <c r="AI8" s="721"/>
      <c r="AJ8" s="721"/>
      <c r="AK8" s="721"/>
      <c r="AL8" s="721"/>
      <c r="AM8" s="721"/>
      <c r="AN8" s="723"/>
      <c r="AO8" s="720"/>
      <c r="AP8" s="721"/>
      <c r="AQ8" s="721"/>
      <c r="AR8" s="721"/>
      <c r="AS8" s="721"/>
      <c r="AT8" s="721"/>
      <c r="AU8" s="723"/>
      <c r="AW8" s="937"/>
      <c r="AX8" s="937"/>
      <c r="AY8" s="937"/>
      <c r="AZ8" s="937"/>
      <c r="BA8" s="937"/>
      <c r="BB8" s="937"/>
      <c r="BC8" s="937"/>
    </row>
    <row r="9" spans="2:63">
      <c r="C9" s="718"/>
      <c r="D9" s="719" t="s">
        <v>374</v>
      </c>
      <c r="E9" s="730"/>
      <c r="F9" s="720"/>
      <c r="G9" s="721"/>
      <c r="H9" s="721"/>
      <c r="I9" s="721"/>
      <c r="J9" s="721"/>
      <c r="K9" s="721"/>
      <c r="L9" s="722"/>
      <c r="M9" s="720"/>
      <c r="N9" s="721"/>
      <c r="O9" s="721"/>
      <c r="P9" s="721"/>
      <c r="Q9" s="721"/>
      <c r="R9" s="721"/>
      <c r="S9" s="723"/>
      <c r="T9" s="720"/>
      <c r="U9" s="721"/>
      <c r="V9" s="721"/>
      <c r="W9" s="721"/>
      <c r="X9" s="721"/>
      <c r="Y9" s="721"/>
      <c r="Z9" s="722"/>
      <c r="AA9" s="720"/>
      <c r="AB9" s="721"/>
      <c r="AC9" s="721"/>
      <c r="AD9" s="721"/>
      <c r="AE9" s="721"/>
      <c r="AF9" s="721"/>
      <c r="AG9" s="723"/>
      <c r="AH9" s="720"/>
      <c r="AI9" s="721"/>
      <c r="AJ9" s="721"/>
      <c r="AK9" s="721"/>
      <c r="AL9" s="721"/>
      <c r="AM9" s="721"/>
      <c r="AN9" s="723"/>
      <c r="AO9" s="720"/>
      <c r="AP9" s="721"/>
      <c r="AQ9" s="721"/>
      <c r="AR9" s="721"/>
      <c r="AS9" s="721"/>
      <c r="AT9" s="721"/>
      <c r="AU9" s="723"/>
      <c r="AW9" s="937"/>
      <c r="AX9" s="937"/>
      <c r="AY9" s="937"/>
      <c r="AZ9" s="937"/>
      <c r="BA9" s="937"/>
      <c r="BB9" s="937"/>
      <c r="BC9" s="937"/>
    </row>
    <row r="10" spans="2:63" ht="15.75" thickBot="1">
      <c r="C10" s="718"/>
      <c r="D10" s="724" t="s">
        <v>375</v>
      </c>
      <c r="E10" s="730"/>
      <c r="F10" s="725"/>
      <c r="G10" s="726"/>
      <c r="H10" s="726"/>
      <c r="I10" s="726"/>
      <c r="J10" s="726"/>
      <c r="K10" s="726"/>
      <c r="L10" s="727"/>
      <c r="M10" s="725"/>
      <c r="N10" s="726"/>
      <c r="O10" s="726"/>
      <c r="P10" s="726"/>
      <c r="Q10" s="726"/>
      <c r="R10" s="726"/>
      <c r="S10" s="728"/>
      <c r="T10" s="725"/>
      <c r="U10" s="726"/>
      <c r="V10" s="726"/>
      <c r="W10" s="726"/>
      <c r="X10" s="726"/>
      <c r="Y10" s="726"/>
      <c r="Z10" s="727"/>
      <c r="AA10" s="725"/>
      <c r="AB10" s="726"/>
      <c r="AC10" s="726"/>
      <c r="AD10" s="726"/>
      <c r="AE10" s="726"/>
      <c r="AF10" s="726"/>
      <c r="AG10" s="728"/>
      <c r="AH10" s="725"/>
      <c r="AI10" s="726"/>
      <c r="AJ10" s="726"/>
      <c r="AK10" s="726"/>
      <c r="AL10" s="726"/>
      <c r="AM10" s="726"/>
      <c r="AN10" s="728"/>
      <c r="AO10" s="725"/>
      <c r="AP10" s="726"/>
      <c r="AQ10" s="726"/>
      <c r="AR10" s="726"/>
      <c r="AS10" s="726"/>
      <c r="AT10" s="726"/>
      <c r="AU10" s="728"/>
      <c r="AW10" s="937"/>
      <c r="AX10" s="937"/>
      <c r="AY10" s="937"/>
      <c r="AZ10" s="937"/>
      <c r="BA10" s="937"/>
      <c r="BB10" s="937"/>
      <c r="BC10" s="937"/>
    </row>
    <row r="11" spans="2:63" ht="15.75" thickBot="1">
      <c r="C11" s="729" t="s">
        <v>376</v>
      </c>
      <c r="D11" s="730" t="s">
        <v>377</v>
      </c>
      <c r="E11" s="730"/>
      <c r="F11" s="731"/>
      <c r="G11" s="732"/>
      <c r="H11" s="732"/>
      <c r="I11" s="732"/>
      <c r="J11" s="732"/>
      <c r="K11" s="732"/>
      <c r="L11" s="733"/>
      <c r="M11" s="731"/>
      <c r="N11" s="732"/>
      <c r="O11" s="732"/>
      <c r="P11" s="732"/>
      <c r="Q11" s="732"/>
      <c r="R11" s="732"/>
      <c r="S11" s="734"/>
      <c r="T11" s="731"/>
      <c r="U11" s="732"/>
      <c r="V11" s="732"/>
      <c r="W11" s="732"/>
      <c r="X11" s="732"/>
      <c r="Y11" s="732"/>
      <c r="Z11" s="733"/>
      <c r="AA11" s="731"/>
      <c r="AB11" s="732"/>
      <c r="AC11" s="732"/>
      <c r="AD11" s="732"/>
      <c r="AE11" s="732"/>
      <c r="AF11" s="732"/>
      <c r="AG11" s="734"/>
      <c r="AH11" s="731"/>
      <c r="AI11" s="732"/>
      <c r="AJ11" s="732"/>
      <c r="AK11" s="732"/>
      <c r="AL11" s="732"/>
      <c r="AM11" s="732"/>
      <c r="AN11" s="734"/>
      <c r="AO11" s="731"/>
      <c r="AP11" s="732"/>
      <c r="AQ11" s="732"/>
      <c r="AR11" s="732"/>
      <c r="AS11" s="732"/>
      <c r="AT11" s="732"/>
      <c r="AU11" s="734"/>
      <c r="AW11" s="937"/>
      <c r="AX11" s="937"/>
      <c r="AY11" s="937"/>
      <c r="AZ11" s="937"/>
      <c r="BA11" s="937"/>
      <c r="BB11" s="937"/>
      <c r="BC11" s="937"/>
    </row>
    <row r="12" spans="2:63">
      <c r="C12" s="735" t="s">
        <v>378</v>
      </c>
      <c r="D12" s="709" t="s">
        <v>379</v>
      </c>
      <c r="E12" s="730" t="s">
        <v>378</v>
      </c>
      <c r="F12" s="736">
        <f>SUM(Proj_1!G111,Proj_2!G111,Proj_3!G111,Proj_4!G111,Proj_5!G111,Proj_6!G111,Proj_7!G111,Proj_8!G111,Proj_9!G111,Proj_10!G111,Proj_11!G111,Proj_12!G111,Proj_13!G111,Proj_14!G111,Proj_15!G111,Proj_16!G111,Proj_17!G111,Proj_18!G111,Proj_19!G111,Proj_20!G111,Proj_21!G111,Proj_22!G111,Proj_23!G111,Proj_24!G111,Proj_25!G111,Proj_26!G111,Proj_27!G111,Proj_28!G111,Proj_29!G111,Proj_30!G111,Proj_31!G111,Proj_32!G111,Proj_33!G111,Proj_34!G111,Proj_35!G111,Proj_36!G111,Proj_37!G111,Proj_38!G111,Proj_39!G111,Proj_40!G111,Proj_41!G111)*Thousands</f>
        <v>614379.66799252562</v>
      </c>
      <c r="G12" s="737">
        <f>SUM(Proj_1!H111,Proj_2!H111,Proj_3!H111,Proj_4!H111,Proj_5!H111,Proj_6!H111,Proj_7!H111,Proj_8!H111,Proj_9!H111,Proj_10!H111,Proj_11!H111,Proj_12!H111,Proj_13!H111,Proj_14!H111,Proj_15!H111,Proj_16!H111,Proj_17!H111,Proj_18!H111,Proj_19!H111,Proj_20!H111,Proj_21!H111,Proj_22!H111,Proj_23!H111,Proj_24!H111,Proj_25!H111,Proj_26!H111,Proj_27!H111,Proj_28!H111,Proj_29!H111,Proj_30!H111,Proj_31!H111,Proj_32!H111,Proj_33!H111,Proj_34!H111,Proj_35!H111,Proj_36!H111,Proj_37!H111,Proj_38!H111,Proj_39!H111,Proj_40!H111,Proj_41!H111)*Thousands</f>
        <v>542808.80965532607</v>
      </c>
      <c r="H12" s="737">
        <f>SUM(Proj_1!I111,Proj_2!I111,Proj_3!I111,Proj_4!I111,Proj_5!I111,Proj_6!I111,Proj_7!I111,Proj_8!I111,Proj_9!I111,Proj_10!I111,Proj_11!I111,Proj_12!I111,Proj_13!I111,Proj_14!I111,Proj_15!I111,Proj_16!I111,Proj_17!I111,Proj_18!I111,Proj_19!I111,Proj_20!I111,Proj_21!I111,Proj_22!I111,Proj_23!I111,Proj_24!I111,Proj_25!I111,Proj_26!I111,Proj_27!I111,Proj_28!I111,Proj_29!I111,Proj_30!I111,Proj_31!I111,Proj_32!I111,Proj_33!I111,Proj_34!I111,Proj_35!I111,Proj_36!I111,Proj_37!I111,Proj_38!I111,Proj_39!I111,Proj_40!I111,Proj_41!I111)*Thousands*(1-$H$2)</f>
        <v>325746.60505678697</v>
      </c>
      <c r="I12" s="737">
        <f>SUM(Proj_1!J111,Proj_2!J111,Proj_3!J111,Proj_4!J111,Proj_5!J111,Proj_6!J111,Proj_7!J111,Proj_8!J111,Proj_9!J111,Proj_10!J111,Proj_11!J111,Proj_12!J111,Proj_13!J111,Proj_14!J111,Proj_15!J111,Proj_16!J111,Proj_17!J111,Proj_18!J111,Proj_19!J111,Proj_20!J111,Proj_21!J111,Proj_22!J111,Proj_23!J111,Proj_24!J111,Proj_25!J111,Proj_26!J111,Proj_27!J111,Proj_28!J111,Proj_29!J111,Proj_30!J111,Proj_31!J111,Proj_32!J111,Proj_33!J111,Proj_34!J111,Proj_35!J111,Proj_36!J111,Proj_37!J111,Proj_38!J111,Proj_39!J111,Proj_40!J111,Proj_41!J111)*Thousands*(1-$H$2)</f>
        <v>1304348.0118482269</v>
      </c>
      <c r="J12" s="737">
        <f>SUM(Proj_1!K111,Proj_2!K111,Proj_3!K111,Proj_4!K111,Proj_5!K111,Proj_6!K111,Proj_7!K111,Proj_8!K111,Proj_9!K111,Proj_10!K111,Proj_11!K111,Proj_12!K111,Proj_13!K111,Proj_14!K111,Proj_15!K111,Proj_16!K111,Proj_17!K111,Proj_18!K111,Proj_19!K111,Proj_20!K111,Proj_21!K111,Proj_22!K111,Proj_23!K111,Proj_24!K111,Proj_25!K111,Proj_26!K111,Proj_27!K111,Proj_28!K111,Proj_29!K111,Proj_30!K111,Proj_31!K111,Proj_32!K111,Proj_33!K111,Proj_34!K111,Proj_35!K111,Proj_36!K111,Proj_37!K111,Proj_38!K111,Proj_39!K111,Proj_40!K111,Proj_41!K111)*Thousands*(1-$H$2)</f>
        <v>30128.486421099733</v>
      </c>
      <c r="K12" s="737">
        <f>SUM(Proj_1!L111,Proj_2!L111,Proj_3!L111,Proj_4!L111,Proj_5!L111,Proj_6!L111,Proj_7!L111,Proj_8!L111,Proj_9!L111,Proj_10!L111,Proj_11!L111,Proj_12!L111,Proj_13!L111,Proj_14!L111,Proj_15!L111,Proj_16!L111,Proj_17!L111,Proj_18!L111,Proj_19!L111,Proj_20!L111,Proj_21!L111,Proj_22!L111,Proj_23!L111,Proj_24!L111,Proj_25!L111,Proj_26!L111,Proj_27!L111,Proj_28!L111,Proj_29!L111,Proj_30!L111,Proj_31!L111,Proj_32!L111,Proj_33!L111,Proj_34!L111,Proj_35!L111,Proj_36!L111,Proj_37!L111,Proj_38!L111,Proj_39!L111,Proj_40!L111,Proj_41!L111)*Thousands*(1-$H$2)</f>
        <v>42731.981714750647</v>
      </c>
      <c r="L12" s="738">
        <f>SUM(Proj_1!M111,Proj_2!M111,Proj_3!M111,Proj_4!M111,Proj_5!M111,Proj_6!M111,Proj_7!M111,Proj_8!M111,Proj_9!M111,Proj_10!M111,Proj_11!M111,Proj_12!M111,Proj_13!M111,Proj_14!M111,Proj_15!M111,Proj_16!M111,Proj_17!M111,Proj_18!M111,Proj_19!M111,Proj_20!M111,Proj_21!M111,Proj_22!M111,Proj_23!M111,Proj_24!M111,Proj_25!M111,Proj_26!M111,Proj_27!M111,Proj_28!M111,Proj_29!M111,Proj_30!M111,Proj_31!M111,Proj_32!M111,Proj_33!M111,Proj_34!M111,Proj_35!M111,Proj_36!M111,Proj_37!M111,Proj_38!M111,Proj_39!M111,Proj_40!M111,Proj_41!M111)*Thousands*(1-$H$2)</f>
        <v>41921.743619078516</v>
      </c>
      <c r="M12" s="739">
        <f>SUM(Proj_1!G123,Proj_2!G123,Proj_3!G123,Proj_4!G123,Proj_5!G123,Proj_6!G123,Proj_7!G123,Proj_8!G123,Proj_9!G123,Proj_10!G123,Proj_11!G123,Proj_12!G123,Proj_13!G123,Proj_14!G123,Proj_15!G123,Proj_16!G123,Proj_17!G123,Proj_18!G123,Proj_19!G123,Proj_20!G123,Proj_21!G123,Proj_22!G123,Proj_23!G123,Proj_24!G123,Proj_25!G123,Proj_26!G123,Proj_27!G123,Proj_28!G123,Proj_29!G123,Proj_30!G123,Proj_31!G123,Proj_32!G123,Proj_33!G123,Proj_34!G123,Proj_35!G123,Proj_36!G123,Proj_37!G123,Proj_38!G123,Proj_39!G123,Proj_40!G123,Proj_41!G123)*Thousands</f>
        <v>154497.28713549543</v>
      </c>
      <c r="N12" s="740">
        <f>SUM(Proj_1!H123,Proj_2!H123,Proj_3!H123,Proj_4!H123,Proj_5!H123,Proj_6!H123,Proj_7!H123,Proj_8!H123,Proj_9!H123,Proj_10!H123,Proj_11!H123,Proj_12!H123,Proj_13!H123,Proj_14!H123,Proj_15!H123,Proj_16!H123,Proj_17!H123,Proj_18!H123,Proj_19!H123,Proj_20!H123,Proj_21!H123,Proj_22!H123,Proj_23!H123,Proj_24!H123,Proj_25!H123,Proj_26!H123,Proj_27!H123,Proj_28!H123,Proj_29!H123,Proj_30!H123,Proj_31!H123,Proj_32!H123,Proj_33!H123,Proj_34!H123,Proj_35!H123,Proj_36!H123,Proj_37!H123,Proj_38!H123,Proj_39!H123,Proj_40!H123,Proj_41!H123)*Thousands</f>
        <v>137400.34924184266</v>
      </c>
      <c r="O12" s="740">
        <f>SUM(Proj_1!I123,Proj_2!I123,Proj_3!I123,Proj_4!I123,Proj_5!I123,Proj_6!I123,Proj_7!I123,Proj_8!I123,Proj_9!I123,Proj_10!I123,Proj_11!I123,Proj_12!I123,Proj_13!I123,Proj_14!I123,Proj_15!I123,Proj_16!I123,Proj_17!I123,Proj_18!I123,Proj_19!I123,Proj_20!I123,Proj_21!I123,Proj_22!I123,Proj_23!I123,Proj_24!I123,Proj_25!I123,Proj_26!I123,Proj_27!I123,Proj_28!I123,Proj_29!I123,Proj_30!I123,Proj_31!I123,Proj_32!I123,Proj_33!I123,Proj_34!I123,Proj_35!I123,Proj_36!I123,Proj_37!I123,Proj_38!I123,Proj_39!I123,Proj_40!I123,Proj_41!I123)*Thousands*(1-$H$2)</f>
        <v>83119.499830989065</v>
      </c>
      <c r="P12" s="740">
        <f>SUM(Proj_1!J123,Proj_2!J123,Proj_3!J123,Proj_4!J123,Proj_5!J123,Proj_6!J123,Proj_7!J123,Proj_8!J123,Proj_9!J123,Proj_10!J123,Proj_11!J123,Proj_12!J123,Proj_13!J123,Proj_14!J123,Proj_15!J123,Proj_16!J123,Proj_17!J123,Proj_18!J123,Proj_19!J123,Proj_20!J123,Proj_21!J123,Proj_22!J123,Proj_23!J123,Proj_24!J123,Proj_25!J123,Proj_26!J123,Proj_27!J123,Proj_28!J123,Proj_29!J123,Proj_30!J123,Proj_31!J123,Proj_32!J123,Proj_33!J123,Proj_34!J123,Proj_35!J123,Proj_36!J123,Proj_37!J123,Proj_38!J123,Proj_39!J123,Proj_40!J123,Proj_41!J123)*Thousands*(1-$H$2)</f>
        <v>335521.31737966812</v>
      </c>
      <c r="Q12" s="740">
        <f>SUM(Proj_1!K123,Proj_2!K123,Proj_3!K123,Proj_4!K123,Proj_5!K123,Proj_6!K123,Proj_7!K123,Proj_8!K123,Proj_9!K123,Proj_10!K123,Proj_11!K123,Proj_12!K123,Proj_13!K123,Proj_14!K123,Proj_15!K123,Proj_16!K123,Proj_17!K123,Proj_18!K123,Proj_19!K123,Proj_20!K123,Proj_21!K123,Proj_22!K123,Proj_23!K123,Proj_24!K123,Proj_25!K123,Proj_26!K123,Proj_27!K123,Proj_28!K123,Proj_29!K123,Proj_30!K123,Proj_31!K123,Proj_32!K123,Proj_33!K123,Proj_34!K123,Proj_35!K123,Proj_36!K123,Proj_37!K123,Proj_38!K123,Proj_39!K123,Proj_40!K123,Proj_41!K123)*Thousands*(1-$H$2)</f>
        <v>7814.1717270360978</v>
      </c>
      <c r="R12" s="740">
        <f>SUM(Proj_1!L123,Proj_2!L123,Proj_3!L123,Proj_4!L123,Proj_5!L123,Proj_6!L123,Proj_7!L123,Proj_8!L123,Proj_9!L123,Proj_10!L123,Proj_11!L123,Proj_12!L123,Proj_13!L123,Proj_14!L123,Proj_15!L123,Proj_16!L123,Proj_17!L123,Proj_18!L123,Proj_19!L123,Proj_20!L123,Proj_21!L123,Proj_22!L123,Proj_23!L123,Proj_24!L123,Proj_25!L123,Proj_26!L123,Proj_27!L123,Proj_28!L123,Proj_29!L123,Proj_30!L123,Proj_31!L123,Proj_32!L123,Proj_33!L123,Proj_34!L123,Proj_35!L123,Proj_36!L123,Proj_37!L123,Proj_38!L123,Proj_39!L123,Proj_40!L123,Proj_41!L123)*Thousands*(1-$H$2)</f>
        <v>11182.227287651553</v>
      </c>
      <c r="S12" s="741">
        <f>SUM(Proj_1!M123,Proj_2!M123,Proj_3!M123,Proj_4!M123,Proj_5!M123,Proj_6!M123,Proj_7!M123,Proj_8!M123,Proj_9!M123,Proj_10!M123,Proj_11!M123,Proj_12!M123,Proj_13!M123,Proj_14!M123,Proj_15!M123,Proj_16!M123,Proj_17!M123,Proj_18!M123,Proj_19!M123,Proj_20!M123,Proj_21!M123,Proj_22!M123,Proj_23!M123,Proj_24!M123,Proj_25!M123,Proj_26!M123,Proj_27!M123,Proj_28!M123,Proj_29!M123,Proj_30!M123,Proj_31!M123,Proj_32!M123,Proj_33!M123,Proj_34!M123,Proj_35!M123,Proj_36!M123,Proj_37!M123,Proj_38!M123,Proj_39!M123,Proj_40!M123,Proj_41!M123)*Thousands*(1-$H$2)</f>
        <v>11070.030700575611</v>
      </c>
      <c r="T12" s="739">
        <f>SUM(Proj_1!G135,Proj_2!G135,Proj_3!G135,Proj_4!G135,Proj_5!G135,Proj_6!G135,Proj_7!G135,Proj_8!G135,Proj_9!G135,Proj_10!G135,Proj_11!G135,Proj_12!G135,Proj_13!G135,Proj_14!G135,Proj_15!G135,Proj_16!G135,Proj_17!G135,Proj_18!G135,Proj_19!G135,Proj_20!G135,Proj_21!G135,Proj_22!G135,Proj_23!G135,Proj_24!G135,Proj_25!G135,Proj_26!G135,Proj_27!G135,Proj_28!G135,Proj_29!G135,Proj_30!G135,Proj_31!G135,Proj_32!G135,Proj_33!G135,Proj_34!G135,Proj_35!G135,Proj_36!G135,Proj_37!G135,Proj_38!G135,Proj_39!G135,Proj_40!G135,Proj_41!G135)*Thousands</f>
        <v>771123.28078911873</v>
      </c>
      <c r="U12" s="740">
        <f>SUM(Proj_1!H135,Proj_2!H135,Proj_3!H135,Proj_4!H135,Proj_5!H135,Proj_6!H135,Proj_7!H135,Proj_8!H135,Proj_9!H135,Proj_10!H135,Proj_11!H135,Proj_12!H135,Proj_13!H135,Proj_14!H135,Proj_15!H135,Proj_16!H135,Proj_17!H135,Proj_18!H135,Proj_19!H135,Proj_20!H135,Proj_21!H135,Proj_22!H135,Proj_23!H135,Proj_24!H135,Proj_25!H135,Proj_26!H135,Proj_27!H135,Proj_28!H135,Proj_29!H135,Proj_30!H135,Proj_31!H135,Proj_32!H135,Proj_33!H135,Proj_34!H135,Proj_35!H135,Proj_36!H135,Proj_37!H135,Proj_38!H135,Proj_39!H135,Proj_40!H135,Proj_41!H135)*Thousands</f>
        <v>685806.47272896452</v>
      </c>
      <c r="V12" s="740">
        <f>SUM(Proj_1!I135,Proj_2!I135,Proj_3!I135,Proj_4!I135,Proj_5!I135,Proj_6!I135,Proj_7!I135,Proj_8!I135,Proj_9!I135,Proj_10!I135,Proj_11!I135,Proj_12!I135,Proj_13!I135,Proj_14!I135,Proj_15!I135,Proj_16!I135,Proj_17!I135,Proj_18!I135,Proj_19!I135,Proj_20!I135,Proj_21!I135,Proj_22!I135,Proj_23!I135,Proj_24!I135,Proj_25!I135,Proj_26!I135,Proj_27!I135,Proj_28!I135,Proj_29!I135,Proj_30!I135,Proj_31!I135,Proj_32!I135,Proj_33!I135,Proj_34!I135,Proj_35!I135,Proj_36!I135,Proj_37!I135,Proj_38!I135,Proj_39!I135,Proj_40!I135,Proj_41!I135)*Thousands*(1-$H$2)</f>
        <v>415831.30593765096</v>
      </c>
      <c r="W12" s="740">
        <f>SUM(Proj_1!J135,Proj_2!J135,Proj_3!J135,Proj_4!J135,Proj_5!J135,Proj_6!J135,Proj_7!J135,Proj_8!J135,Proj_9!J135,Proj_10!J135,Proj_11!J135,Proj_12!J135,Proj_13!J135,Proj_14!J135,Proj_15!J135,Proj_16!J135,Proj_17!J135,Proj_18!J135,Proj_19!J135,Proj_20!J135,Proj_21!J135,Proj_22!J135,Proj_23!J135,Proj_24!J135,Proj_25!J135,Proj_26!J135,Proj_27!J135,Proj_28!J135,Proj_29!J135,Proj_30!J135,Proj_31!J135,Proj_32!J135,Proj_33!J135,Proj_34!J135,Proj_35!J135,Proj_36!J135,Proj_37!J135,Proj_38!J135,Proj_39!J135,Proj_40!J135,Proj_41!J135)*Thousands*(1-$H$2)</f>
        <v>1682421.646891522</v>
      </c>
      <c r="X12" s="740">
        <f>SUM(Proj_1!K135,Proj_2!K135,Proj_3!K135,Proj_4!K135,Proj_5!K135,Proj_6!K135,Proj_7!K135,Proj_8!K135,Proj_9!K135,Proj_10!K135,Proj_11!K135,Proj_12!K135,Proj_13!K135,Proj_14!K135,Proj_15!K135,Proj_16!K135,Proj_17!K135,Proj_18!K135,Proj_19!K135,Proj_20!K135,Proj_21!K135,Proj_22!K135,Proj_23!K135,Proj_24!K135,Proj_25!K135,Proj_26!K135,Proj_27!K135,Proj_28!K135,Proj_29!K135,Proj_30!K135,Proj_31!K135,Proj_32!K135,Proj_33!K135,Proj_34!K135,Proj_35!K135,Proj_36!K135,Proj_37!K135,Proj_38!K135,Proj_39!K135,Proj_40!K135,Proj_41!K135)*Thousands*(1-$H$2)</f>
        <v>39252.950222346866</v>
      </c>
      <c r="Y12" s="740">
        <f>SUM(Proj_1!L135,Proj_2!L135,Proj_3!L135,Proj_4!L135,Proj_5!L135,Proj_6!L135,Proj_7!L135,Proj_8!L135,Proj_9!L135,Proj_10!L135,Proj_11!L135,Proj_12!L135,Proj_13!L135,Proj_14!L135,Proj_15!L135,Proj_16!L135,Proj_17!L135,Proj_18!L135,Proj_19!L135,Proj_20!L135,Proj_21!L135,Proj_22!L135,Proj_23!L135,Proj_24!L135,Proj_25!L135,Proj_26!L135,Proj_27!L135,Proj_28!L135,Proj_29!L135,Proj_30!L135,Proj_31!L135,Proj_32!L135,Proj_33!L135,Proj_34!L135,Proj_35!L135,Proj_36!L135,Proj_37!L135,Proj_38!L135,Proj_39!L135,Proj_40!L135,Proj_41!L135)*Thousands*(1-$H$2)</f>
        <v>56280.276137316818</v>
      </c>
      <c r="Z12" s="742">
        <f>SUM(Proj_1!M135,Proj_2!M135,Proj_3!M135,Proj_4!M135,Proj_5!M135,Proj_6!M135,Proj_7!M135,Proj_8!M135,Proj_9!M135,Proj_10!M135,Proj_11!M135,Proj_12!M135,Proj_13!M135,Proj_14!M135,Proj_15!M135,Proj_16!M135,Proj_17!M135,Proj_18!M135,Proj_19!M135,Proj_20!M135,Proj_21!M135,Proj_22!M135,Proj_23!M135,Proj_24!M135,Proj_25!M135,Proj_26!M135,Proj_27!M135,Proj_28!M135,Proj_29!M135,Proj_30!M135,Proj_31!M135,Proj_32!M135,Proj_33!M135,Proj_34!M135,Proj_35!M135,Proj_36!M135,Proj_37!M135,Proj_38!M135,Proj_39!M135,Proj_40!M135,Proj_41!M135)*Thousands*(1-$H$2)</f>
        <v>55828.776405413424</v>
      </c>
      <c r="AA12" s="739">
        <v>0</v>
      </c>
      <c r="AB12" s="740">
        <v>0</v>
      </c>
      <c r="AC12" s="740">
        <v>0</v>
      </c>
      <c r="AD12" s="740">
        <v>0</v>
      </c>
      <c r="AE12" s="740">
        <v>0</v>
      </c>
      <c r="AF12" s="740">
        <v>0</v>
      </c>
      <c r="AG12" s="741">
        <v>0</v>
      </c>
      <c r="AH12" s="739"/>
      <c r="AI12" s="740"/>
      <c r="AJ12" s="740"/>
      <c r="AK12" s="740"/>
      <c r="AL12" s="740"/>
      <c r="AM12" s="740"/>
      <c r="AN12" s="741"/>
      <c r="AO12" s="739"/>
      <c r="AP12" s="740"/>
      <c r="AQ12" s="740"/>
      <c r="AR12" s="740"/>
      <c r="AS12" s="740"/>
      <c r="AT12" s="740"/>
      <c r="AU12" s="741"/>
      <c r="AW12" s="891">
        <f t="shared" ref="AW12:AW20" si="0">F12+M12+T12+AA12</f>
        <v>1540000.2359171398</v>
      </c>
      <c r="AX12" s="891">
        <f t="shared" ref="AX12:AX20" si="1">G12+N12+U12+AB12</f>
        <v>1366015.6316261333</v>
      </c>
      <c r="AY12" s="891">
        <f t="shared" ref="AY12:AY20" si="2">H12+O12+V12+AC12</f>
        <v>824697.41082542692</v>
      </c>
      <c r="AZ12" s="891">
        <f t="shared" ref="AZ12:AZ20" si="3">I12+P12+W12+AD12</f>
        <v>3322290.9761194168</v>
      </c>
      <c r="BA12" s="891">
        <f t="shared" ref="BA12:BA20" si="4">J12+Q12+X12+AE12</f>
        <v>77195.608370482689</v>
      </c>
      <c r="BB12" s="891">
        <f t="shared" ref="BB12:BB20" si="5">K12+R12+Y12+AF12</f>
        <v>110194.48513971902</v>
      </c>
      <c r="BC12" s="891">
        <f t="shared" ref="BC12:BC20" si="6">L12+S12+Z12+AG12</f>
        <v>108820.55072506756</v>
      </c>
      <c r="BE12" s="862">
        <f>SUM(Proj_1!G147,Proj_2!G147,Proj_3!G147,Proj_4!G147,Proj_5!G147,Proj_6!G147,Proj_7!G147,Proj_8!G147,Proj_9!G147,Proj_10!G147,Proj_11!G147,Proj_12!G147,Proj_13!G147,Proj_14!G147,Proj_15!G147,Proj_16!G147,Proj_17!G147,Proj_18!G147,Proj_19!G147,Proj_20!G147,Proj_21!G147,Proj_22!G147,Proj_23!G147,Proj_24!G147,Proj_25!G147,Proj_26!G147,Proj_27!G147,Proj_28!G147,Proj_29!G147,Proj_30!G147,Proj_31!G147,Proj_32!G147,Proj_33!G147,Proj_34!G147,Proj_35!G147,Proj_36!G147,Proj_37!G147,Proj_38!G147,Proj_39!G147,Proj_40!G147,Proj_41!G147)*Thousands-AW12</f>
        <v>0</v>
      </c>
      <c r="BF12" s="862">
        <f>SUM(Proj_1!H147,Proj_2!H147,Proj_3!H147,Proj_4!H147,Proj_5!H147,Proj_6!H147,Proj_7!H147,Proj_8!H147,Proj_9!H147,Proj_10!H147,Proj_11!H147,Proj_12!H147,Proj_13!H147,Proj_14!H147,Proj_15!H147,Proj_16!H147,Proj_17!H147,Proj_18!H147,Proj_19!H147,Proj_20!H147,Proj_21!H147,Proj_22!H147,Proj_23!H147,Proj_24!H147,Proj_25!H147,Proj_26!H147,Proj_27!H147,Proj_28!H147,Proj_29!H147,Proj_30!H147,Proj_31!H147,Proj_32!H147,Proj_33!H147,Proj_34!H147,Proj_35!H147,Proj_36!H147,Proj_37!H147,Proj_38!H147,Proj_39!H147,Proj_40!H147,Proj_41!H147)*Thousands-AX12</f>
        <v>0</v>
      </c>
      <c r="BG12" s="862">
        <f>SUM(Proj_1!I147,Proj_2!I147,Proj_3!I147,Proj_4!I147,Proj_5!I147,Proj_6!I147,Proj_7!I147,Proj_8!I147,Proj_9!I147,Proj_10!I147,Proj_11!I147,Proj_12!I147,Proj_13!I147,Proj_14!I147,Proj_15!I147,Proj_16!I147,Proj_17!I147,Proj_18!I147,Proj_19!I147,Proj_20!I147,Proj_21!I147,Proj_22!I147,Proj_23!I147,Proj_24!I147,Proj_25!I147,Proj_26!I147,Proj_27!I147,Proj_28!I147,Proj_29!I147,Proj_30!I147,Proj_31!I147,Proj_32!I147,Proj_33!I147,Proj_34!I147,Proj_35!I147,Proj_36!I147,Proj_37!I147,Proj_38!I147,Proj_39!I147,Proj_40!I147,Proj_41!I147)*Thousands*(1-$H$2)-AY12</f>
        <v>0</v>
      </c>
      <c r="BH12" s="862">
        <f>SUM(Proj_1!J147,Proj_2!J147,Proj_3!J147,Proj_4!J147,Proj_5!J147,Proj_6!J147,Proj_7!J147,Proj_8!J147,Proj_9!J147,Proj_10!J147,Proj_11!J147,Proj_12!J147,Proj_13!J147,Proj_14!J147,Proj_15!J147,Proj_16!J147,Proj_17!J147,Proj_18!J147,Proj_19!J147,Proj_20!J147,Proj_21!J147,Proj_22!J147,Proj_23!J147,Proj_24!J147,Proj_25!J147,Proj_26!J147,Proj_27!J147,Proj_28!J147,Proj_29!J147,Proj_30!J147,Proj_31!J147,Proj_32!J147,Proj_33!J147,Proj_34!J147,Proj_35!J147,Proj_36!J147,Proj_37!J147,Proj_38!J147,Proj_39!J147,Proj_40!J147,Proj_41!J147)*Thousands*(1-$H$2)-AZ12</f>
        <v>0</v>
      </c>
      <c r="BI12" s="862">
        <f>SUM(Proj_1!K147,Proj_2!K147,Proj_3!K147,Proj_4!K147,Proj_5!K147,Proj_6!K147,Proj_7!K147,Proj_8!K147,Proj_9!K147,Proj_10!K147,Proj_11!K147,Proj_12!K147,Proj_13!K147,Proj_14!K147,Proj_15!K147,Proj_16!K147,Proj_17!K147,Proj_18!K147,Proj_19!K147,Proj_20!K147,Proj_21!K147,Proj_22!K147,Proj_23!K147,Proj_24!K147,Proj_25!K147,Proj_26!K147,Proj_27!K147,Proj_28!K147,Proj_29!K147,Proj_30!K147,Proj_31!K147,Proj_32!K147,Proj_33!K147,Proj_34!K147,Proj_35!K147,Proj_36!K147,Proj_37!K147,Proj_38!K147,Proj_39!K147,Proj_40!K147,Proj_41!K147)*Thousands*(1-$H$2)-BA12</f>
        <v>0</v>
      </c>
      <c r="BJ12" s="862">
        <f>SUM(Proj_1!L147,Proj_2!L147,Proj_3!L147,Proj_4!L147,Proj_5!L147,Proj_6!L147,Proj_7!L147,Proj_8!L147,Proj_9!L147,Proj_10!L147,Proj_11!L147,Proj_12!L147,Proj_13!L147,Proj_14!L147,Proj_15!L147,Proj_16!L147,Proj_17!L147,Proj_18!L147,Proj_19!L147,Proj_20!L147,Proj_21!L147,Proj_22!L147,Proj_23!L147,Proj_24!L147,Proj_25!L147,Proj_26!L147,Proj_27!L147,Proj_28!L147,Proj_29!L147,Proj_30!L147,Proj_31!L147,Proj_32!L147,Proj_33!L147,Proj_34!L147,Proj_35!L147,Proj_36!L147,Proj_37!L147,Proj_38!L147,Proj_39!L147,Proj_40!L147,Proj_41!L147)*Thousands*(1-$H$2)-BB12</f>
        <v>0</v>
      </c>
      <c r="BK12" s="862">
        <f>SUM(Proj_1!M147,Proj_2!M147,Proj_3!M147,Proj_4!M147,Proj_5!M147,Proj_6!M147,Proj_7!M147,Proj_8!M147,Proj_9!M147,Proj_10!M147,Proj_11!M147,Proj_12!M147,Proj_13!M147,Proj_14!M147,Proj_15!M147,Proj_16!M147,Proj_17!M147,Proj_18!M147,Proj_19!M147,Proj_20!M147,Proj_21!M147,Proj_22!M147,Proj_23!M147,Proj_24!M147,Proj_25!M147,Proj_26!M147,Proj_27!M147,Proj_28!M147,Proj_29!M147,Proj_30!M147,Proj_31!M147,Proj_32!M147,Proj_33!M147,Proj_34!M147,Proj_35!M147,Proj_36!M147,Proj_37!M147,Proj_38!M147,Proj_39!M147,Proj_40!M147,Proj_41!M147)*Thousands*(1-$H$2)-BC12</f>
        <v>0</v>
      </c>
    </row>
    <row r="13" spans="2:63">
      <c r="C13" s="735"/>
      <c r="D13" s="719" t="s">
        <v>380</v>
      </c>
      <c r="E13" s="730" t="s">
        <v>378</v>
      </c>
      <c r="F13" s="743">
        <f>SUM(Proj_1!G112,Proj_2!G112,Proj_3!G112,Proj_4!G112,Proj_5!G112,Proj_6!G112,Proj_7!G112,Proj_8!G112,Proj_9!G112,Proj_10!G112,Proj_11!G112,Proj_12!G112,Proj_13!G112,Proj_14!G112,Proj_15!G112,Proj_16!G112,Proj_17!G112,Proj_18!G112,Proj_19!G112,Proj_20!G112,Proj_21!G112,Proj_22!G112,Proj_23!G112,Proj_24!G112,Proj_25!G112,Proj_26!G112,Proj_27!G112,Proj_28!G112,Proj_29!G112,Proj_30!G112,Proj_31!G112,Proj_32!G112,Proj_33!G112,Proj_34!G112,Proj_35!G112,Proj_36!G112,Proj_37!G112,Proj_38!G112,Proj_39!G112,Proj_40!G112,Proj_41!G112)*Thousands</f>
        <v>0</v>
      </c>
      <c r="G13" s="744">
        <f>SUM(Proj_1!H112,Proj_2!H112,Proj_3!H112,Proj_4!H112,Proj_5!H112,Proj_6!H112,Proj_7!H112,Proj_8!H112,Proj_9!H112,Proj_10!H112,Proj_11!H112,Proj_12!H112,Proj_13!H112,Proj_14!H112,Proj_15!H112,Proj_16!H112,Proj_17!H112,Proj_18!H112,Proj_19!H112,Proj_20!H112,Proj_21!H112,Proj_22!H112,Proj_23!H112,Proj_24!H112,Proj_25!H112,Proj_26!H112,Proj_27!H112,Proj_28!H112,Proj_29!H112,Proj_30!H112,Proj_31!H112,Proj_32!H112,Proj_33!H112,Proj_34!H112,Proj_35!H112,Proj_36!H112,Proj_37!H112,Proj_38!H112,Proj_39!H112,Proj_40!H112,Proj_41!H112)*Thousands</f>
        <v>0</v>
      </c>
      <c r="H13" s="744">
        <f>SUM(Proj_1!I112,Proj_2!I112,Proj_3!I112,Proj_4!I112,Proj_5!I112,Proj_6!I112,Proj_7!I112,Proj_8!I112,Proj_9!I112,Proj_10!I112,Proj_11!I112,Proj_12!I112,Proj_13!I112,Proj_14!I112,Proj_15!I112,Proj_16!I112,Proj_17!I112,Proj_18!I112,Proj_19!I112,Proj_20!I112,Proj_21!I112,Proj_22!I112,Proj_23!I112,Proj_24!I112,Proj_25!I112,Proj_26!I112,Proj_27!I112,Proj_28!I112,Proj_29!I112,Proj_30!I112,Proj_31!I112,Proj_32!I112,Proj_33!I112,Proj_34!I112,Proj_35!I112,Proj_36!I112,Proj_37!I112,Proj_38!I112,Proj_39!I112,Proj_40!I112,Proj_41!I112)*Thousands*(1-$H$2)</f>
        <v>0</v>
      </c>
      <c r="I13" s="744">
        <f>SUM(Proj_1!J112,Proj_2!J112,Proj_3!J112,Proj_4!J112,Proj_5!J112,Proj_6!J112,Proj_7!J112,Proj_8!J112,Proj_9!J112,Proj_10!J112,Proj_11!J112,Proj_12!J112,Proj_13!J112,Proj_14!J112,Proj_15!J112,Proj_16!J112,Proj_17!J112,Proj_18!J112,Proj_19!J112,Proj_20!J112,Proj_21!J112,Proj_22!J112,Proj_23!J112,Proj_24!J112,Proj_25!J112,Proj_26!J112,Proj_27!J112,Proj_28!J112,Proj_29!J112,Proj_30!J112,Proj_31!J112,Proj_32!J112,Proj_33!J112,Proj_34!J112,Proj_35!J112,Proj_36!J112,Proj_37!J112,Proj_38!J112,Proj_39!J112,Proj_40!J112,Proj_41!J112)*Thousands*(1-$H$2)</f>
        <v>0</v>
      </c>
      <c r="J13" s="744">
        <f>SUM(Proj_1!K112,Proj_2!K112,Proj_3!K112,Proj_4!K112,Proj_5!K112,Proj_6!K112,Proj_7!K112,Proj_8!K112,Proj_9!K112,Proj_10!K112,Proj_11!K112,Proj_12!K112,Proj_13!K112,Proj_14!K112,Proj_15!K112,Proj_16!K112,Proj_17!K112,Proj_18!K112,Proj_19!K112,Proj_20!K112,Proj_21!K112,Proj_22!K112,Proj_23!K112,Proj_24!K112,Proj_25!K112,Proj_26!K112,Proj_27!K112,Proj_28!K112,Proj_29!K112,Proj_30!K112,Proj_31!K112,Proj_32!K112,Proj_33!K112,Proj_34!K112,Proj_35!K112,Proj_36!K112,Proj_37!K112,Proj_38!K112,Proj_39!K112,Proj_40!K112,Proj_41!K112)*Thousands*(1-$H$2)</f>
        <v>0</v>
      </c>
      <c r="K13" s="744">
        <f>SUM(Proj_1!L112,Proj_2!L112,Proj_3!L112,Proj_4!L112,Proj_5!L112,Proj_6!L112,Proj_7!L112,Proj_8!L112,Proj_9!L112,Proj_10!L112,Proj_11!L112,Proj_12!L112,Proj_13!L112,Proj_14!L112,Proj_15!L112,Proj_16!L112,Proj_17!L112,Proj_18!L112,Proj_19!L112,Proj_20!L112,Proj_21!L112,Proj_22!L112,Proj_23!L112,Proj_24!L112,Proj_25!L112,Proj_26!L112,Proj_27!L112,Proj_28!L112,Proj_29!L112,Proj_30!L112,Proj_31!L112,Proj_32!L112,Proj_33!L112,Proj_34!L112,Proj_35!L112,Proj_36!L112,Proj_37!L112,Proj_38!L112,Proj_39!L112,Proj_40!L112,Proj_41!L112)*Thousands*(1-$H$2)</f>
        <v>0</v>
      </c>
      <c r="L13" s="745">
        <f>SUM(Proj_1!M112,Proj_2!M112,Proj_3!M112,Proj_4!M112,Proj_5!M112,Proj_6!M112,Proj_7!M112,Proj_8!M112,Proj_9!M112,Proj_10!M112,Proj_11!M112,Proj_12!M112,Proj_13!M112,Proj_14!M112,Proj_15!M112,Proj_16!M112,Proj_17!M112,Proj_18!M112,Proj_19!M112,Proj_20!M112,Proj_21!M112,Proj_22!M112,Proj_23!M112,Proj_24!M112,Proj_25!M112,Proj_26!M112,Proj_27!M112,Proj_28!M112,Proj_29!M112,Proj_30!M112,Proj_31!M112,Proj_32!M112,Proj_33!M112,Proj_34!M112,Proj_35!M112,Proj_36!M112,Proj_37!M112,Proj_38!M112,Proj_39!M112,Proj_40!M112,Proj_41!M112)*Thousands*(1-$H$2)</f>
        <v>0</v>
      </c>
      <c r="M13" s="736">
        <f>SUM(Proj_1!G124,Proj_2!G124,Proj_3!G124,Proj_4!G124,Proj_5!G124,Proj_6!G124,Proj_7!G124,Proj_8!G124,Proj_9!G124,Proj_10!G124,Proj_11!G124,Proj_12!G124,Proj_13!G124,Proj_14!G124,Proj_15!G124,Proj_16!G124,Proj_17!G124,Proj_18!G124,Proj_19!G124,Proj_20!G124,Proj_21!G124,Proj_22!G124,Proj_23!G124,Proj_24!G124,Proj_25!G124,Proj_26!G124,Proj_27!G124,Proj_28!G124,Proj_29!G124,Proj_30!G124,Proj_31!G124,Proj_32!G124,Proj_33!G124,Proj_34!G124,Proj_35!G124,Proj_36!G124,Proj_37!G124,Proj_38!G124,Proj_39!G124,Proj_40!G124,Proj_41!G124)*Thousands</f>
        <v>0</v>
      </c>
      <c r="N13" s="737">
        <f>SUM(Proj_1!H124,Proj_2!H124,Proj_3!H124,Proj_4!H124,Proj_5!H124,Proj_6!H124,Proj_7!H124,Proj_8!H124,Proj_9!H124,Proj_10!H124,Proj_11!H124,Proj_12!H124,Proj_13!H124,Proj_14!H124,Proj_15!H124,Proj_16!H124,Proj_17!H124,Proj_18!H124,Proj_19!H124,Proj_20!H124,Proj_21!H124,Proj_22!H124,Proj_23!H124,Proj_24!H124,Proj_25!H124,Proj_26!H124,Proj_27!H124,Proj_28!H124,Proj_29!H124,Proj_30!H124,Proj_31!H124,Proj_32!H124,Proj_33!H124,Proj_34!H124,Proj_35!H124,Proj_36!H124,Proj_37!H124,Proj_38!H124,Proj_39!H124,Proj_40!H124,Proj_41!H124)*Thousands</f>
        <v>0</v>
      </c>
      <c r="O13" s="737">
        <f>SUM(Proj_1!I124,Proj_2!I124,Proj_3!I124,Proj_4!I124,Proj_5!I124,Proj_6!I124,Proj_7!I124,Proj_8!I124,Proj_9!I124,Proj_10!I124,Proj_11!I124,Proj_12!I124,Proj_13!I124,Proj_14!I124,Proj_15!I124,Proj_16!I124,Proj_17!I124,Proj_18!I124,Proj_19!I124,Proj_20!I124,Proj_21!I124,Proj_22!I124,Proj_23!I124,Proj_24!I124,Proj_25!I124,Proj_26!I124,Proj_27!I124,Proj_28!I124,Proj_29!I124,Proj_30!I124,Proj_31!I124,Proj_32!I124,Proj_33!I124,Proj_34!I124,Proj_35!I124,Proj_36!I124,Proj_37!I124,Proj_38!I124,Proj_39!I124,Proj_40!I124,Proj_41!I124)*Thousands*(1-$H$2)</f>
        <v>0</v>
      </c>
      <c r="P13" s="737">
        <f>SUM(Proj_1!J124,Proj_2!J124,Proj_3!J124,Proj_4!J124,Proj_5!J124,Proj_6!J124,Proj_7!J124,Proj_8!J124,Proj_9!J124,Proj_10!J124,Proj_11!J124,Proj_12!J124,Proj_13!J124,Proj_14!J124,Proj_15!J124,Proj_16!J124,Proj_17!J124,Proj_18!J124,Proj_19!J124,Proj_20!J124,Proj_21!J124,Proj_22!J124,Proj_23!J124,Proj_24!J124,Proj_25!J124,Proj_26!J124,Proj_27!J124,Proj_28!J124,Proj_29!J124,Proj_30!J124,Proj_31!J124,Proj_32!J124,Proj_33!J124,Proj_34!J124,Proj_35!J124,Proj_36!J124,Proj_37!J124,Proj_38!J124,Proj_39!J124,Proj_40!J124,Proj_41!J124)*Thousands*(1-$H$2)</f>
        <v>0</v>
      </c>
      <c r="Q13" s="737">
        <f>SUM(Proj_1!K124,Proj_2!K124,Proj_3!K124,Proj_4!K124,Proj_5!K124,Proj_6!K124,Proj_7!K124,Proj_8!K124,Proj_9!K124,Proj_10!K124,Proj_11!K124,Proj_12!K124,Proj_13!K124,Proj_14!K124,Proj_15!K124,Proj_16!K124,Proj_17!K124,Proj_18!K124,Proj_19!K124,Proj_20!K124,Proj_21!K124,Proj_22!K124,Proj_23!K124,Proj_24!K124,Proj_25!K124,Proj_26!K124,Proj_27!K124,Proj_28!K124,Proj_29!K124,Proj_30!K124,Proj_31!K124,Proj_32!K124,Proj_33!K124,Proj_34!K124,Proj_35!K124,Proj_36!K124,Proj_37!K124,Proj_38!K124,Proj_39!K124,Proj_40!K124,Proj_41!K124)*Thousands*(1-$H$2)</f>
        <v>0</v>
      </c>
      <c r="R13" s="737">
        <f>SUM(Proj_1!L124,Proj_2!L124,Proj_3!L124,Proj_4!L124,Proj_5!L124,Proj_6!L124,Proj_7!L124,Proj_8!L124,Proj_9!L124,Proj_10!L124,Proj_11!L124,Proj_12!L124,Proj_13!L124,Proj_14!L124,Proj_15!L124,Proj_16!L124,Proj_17!L124,Proj_18!L124,Proj_19!L124,Proj_20!L124,Proj_21!L124,Proj_22!L124,Proj_23!L124,Proj_24!L124,Proj_25!L124,Proj_26!L124,Proj_27!L124,Proj_28!L124,Proj_29!L124,Proj_30!L124,Proj_31!L124,Proj_32!L124,Proj_33!L124,Proj_34!L124,Proj_35!L124,Proj_36!L124,Proj_37!L124,Proj_38!L124,Proj_39!L124,Proj_40!L124,Proj_41!L124)*Thousands*(1-$H$2)</f>
        <v>0</v>
      </c>
      <c r="S13" s="746">
        <f>SUM(Proj_1!M124,Proj_2!M124,Proj_3!M124,Proj_4!M124,Proj_5!M124,Proj_6!M124,Proj_7!M124,Proj_8!M124,Proj_9!M124,Proj_10!M124,Proj_11!M124,Proj_12!M124,Proj_13!M124,Proj_14!M124,Proj_15!M124,Proj_16!M124,Proj_17!M124,Proj_18!M124,Proj_19!M124,Proj_20!M124,Proj_21!M124,Proj_22!M124,Proj_23!M124,Proj_24!M124,Proj_25!M124,Proj_26!M124,Proj_27!M124,Proj_28!M124,Proj_29!M124,Proj_30!M124,Proj_31!M124,Proj_32!M124,Proj_33!M124,Proj_34!M124,Proj_35!M124,Proj_36!M124,Proj_37!M124,Proj_38!M124,Proj_39!M124,Proj_40!M124,Proj_41!M124)*Thousands*(1-$H$2)</f>
        <v>0</v>
      </c>
      <c r="T13" s="736">
        <f>SUM(Proj_1!G136,Proj_2!G136,Proj_3!G136,Proj_4!G136,Proj_5!G136,Proj_6!G136,Proj_7!G136,Proj_8!G136,Proj_9!G136,Proj_10!G136,Proj_11!G136,Proj_12!G136,Proj_13!G136,Proj_14!G136,Proj_15!G136,Proj_16!G136,Proj_17!G136,Proj_18!G136,Proj_19!G136,Proj_20!G136,Proj_21!G136,Proj_22!G136,Proj_23!G136,Proj_24!G136,Proj_25!G136,Proj_26!G136,Proj_27!G136,Proj_28!G136,Proj_29!G136,Proj_30!G136,Proj_31!G136,Proj_32!G136,Proj_33!G136,Proj_34!G136,Proj_35!G136,Proj_36!G136,Proj_37!G136,Proj_38!G136,Proj_39!G136,Proj_40!G136,Proj_41!G136)*Thousands</f>
        <v>0</v>
      </c>
      <c r="U13" s="737">
        <f>SUM(Proj_1!H136,Proj_2!H136,Proj_3!H136,Proj_4!H136,Proj_5!H136,Proj_6!H136,Proj_7!H136,Proj_8!H136,Proj_9!H136,Proj_10!H136,Proj_11!H136,Proj_12!H136,Proj_13!H136,Proj_14!H136,Proj_15!H136,Proj_16!H136,Proj_17!H136,Proj_18!H136,Proj_19!H136,Proj_20!H136,Proj_21!H136,Proj_22!H136,Proj_23!H136,Proj_24!H136,Proj_25!H136,Proj_26!H136,Proj_27!H136,Proj_28!H136,Proj_29!H136,Proj_30!H136,Proj_31!H136,Proj_32!H136,Proj_33!H136,Proj_34!H136,Proj_35!H136,Proj_36!H136,Proj_37!H136,Proj_38!H136,Proj_39!H136,Proj_40!H136,Proj_41!H136)*Thousands</f>
        <v>0</v>
      </c>
      <c r="V13" s="737">
        <f>SUM(Proj_1!I136,Proj_2!I136,Proj_3!I136,Proj_4!I136,Proj_5!I136,Proj_6!I136,Proj_7!I136,Proj_8!I136,Proj_9!I136,Proj_10!I136,Proj_11!I136,Proj_12!I136,Proj_13!I136,Proj_14!I136,Proj_15!I136,Proj_16!I136,Proj_17!I136,Proj_18!I136,Proj_19!I136,Proj_20!I136,Proj_21!I136,Proj_22!I136,Proj_23!I136,Proj_24!I136,Proj_25!I136,Proj_26!I136,Proj_27!I136,Proj_28!I136,Proj_29!I136,Proj_30!I136,Proj_31!I136,Proj_32!I136,Proj_33!I136,Proj_34!I136,Proj_35!I136,Proj_36!I136,Proj_37!I136,Proj_38!I136,Proj_39!I136,Proj_40!I136,Proj_41!I136)*Thousands*(1-$H$2)</f>
        <v>0</v>
      </c>
      <c r="W13" s="737">
        <f>SUM(Proj_1!J136,Proj_2!J136,Proj_3!J136,Proj_4!J136,Proj_5!J136,Proj_6!J136,Proj_7!J136,Proj_8!J136,Proj_9!J136,Proj_10!J136,Proj_11!J136,Proj_12!J136,Proj_13!J136,Proj_14!J136,Proj_15!J136,Proj_16!J136,Proj_17!J136,Proj_18!J136,Proj_19!J136,Proj_20!J136,Proj_21!J136,Proj_22!J136,Proj_23!J136,Proj_24!J136,Proj_25!J136,Proj_26!J136,Proj_27!J136,Proj_28!J136,Proj_29!J136,Proj_30!J136,Proj_31!J136,Proj_32!J136,Proj_33!J136,Proj_34!J136,Proj_35!J136,Proj_36!J136,Proj_37!J136,Proj_38!J136,Proj_39!J136,Proj_40!J136,Proj_41!J136)*Thousands*(1-$H$2)</f>
        <v>0</v>
      </c>
      <c r="X13" s="737">
        <f>SUM(Proj_1!K136,Proj_2!K136,Proj_3!K136,Proj_4!K136,Proj_5!K136,Proj_6!K136,Proj_7!K136,Proj_8!K136,Proj_9!K136,Proj_10!K136,Proj_11!K136,Proj_12!K136,Proj_13!K136,Proj_14!K136,Proj_15!K136,Proj_16!K136,Proj_17!K136,Proj_18!K136,Proj_19!K136,Proj_20!K136,Proj_21!K136,Proj_22!K136,Proj_23!K136,Proj_24!K136,Proj_25!K136,Proj_26!K136,Proj_27!K136,Proj_28!K136,Proj_29!K136,Proj_30!K136,Proj_31!K136,Proj_32!K136,Proj_33!K136,Proj_34!K136,Proj_35!K136,Proj_36!K136,Proj_37!K136,Proj_38!K136,Proj_39!K136,Proj_40!K136,Proj_41!K136)*Thousands*(1-$H$2)</f>
        <v>0</v>
      </c>
      <c r="Y13" s="737">
        <f>SUM(Proj_1!L136,Proj_2!L136,Proj_3!L136,Proj_4!L136,Proj_5!L136,Proj_6!L136,Proj_7!L136,Proj_8!L136,Proj_9!L136,Proj_10!L136,Proj_11!L136,Proj_12!L136,Proj_13!L136,Proj_14!L136,Proj_15!L136,Proj_16!L136,Proj_17!L136,Proj_18!L136,Proj_19!L136,Proj_20!L136,Proj_21!L136,Proj_22!L136,Proj_23!L136,Proj_24!L136,Proj_25!L136,Proj_26!L136,Proj_27!L136,Proj_28!L136,Proj_29!L136,Proj_30!L136,Proj_31!L136,Proj_32!L136,Proj_33!L136,Proj_34!L136,Proj_35!L136,Proj_36!L136,Proj_37!L136,Proj_38!L136,Proj_39!L136,Proj_40!L136,Proj_41!L136)*Thousands*(1-$H$2)</f>
        <v>0</v>
      </c>
      <c r="Z13" s="738">
        <f>SUM(Proj_1!M136,Proj_2!M136,Proj_3!M136,Proj_4!M136,Proj_5!M136,Proj_6!M136,Proj_7!M136,Proj_8!M136,Proj_9!M136,Proj_10!M136,Proj_11!M136,Proj_12!M136,Proj_13!M136,Proj_14!M136,Proj_15!M136,Proj_16!M136,Proj_17!M136,Proj_18!M136,Proj_19!M136,Proj_20!M136,Proj_21!M136,Proj_22!M136,Proj_23!M136,Proj_24!M136,Proj_25!M136,Proj_26!M136,Proj_27!M136,Proj_28!M136,Proj_29!M136,Proj_30!M136,Proj_31!M136,Proj_32!M136,Proj_33!M136,Proj_34!M136,Proj_35!M136,Proj_36!M136,Proj_37!M136,Proj_38!M136,Proj_39!M136,Proj_40!M136,Proj_41!M136)*Thousands*(1-$H$2)</f>
        <v>0</v>
      </c>
      <c r="AA13" s="736">
        <v>0</v>
      </c>
      <c r="AB13" s="737">
        <v>0</v>
      </c>
      <c r="AC13" s="737">
        <v>0</v>
      </c>
      <c r="AD13" s="737">
        <v>0</v>
      </c>
      <c r="AE13" s="737">
        <v>0</v>
      </c>
      <c r="AF13" s="737">
        <v>0</v>
      </c>
      <c r="AG13" s="746">
        <v>0</v>
      </c>
      <c r="AH13" s="736"/>
      <c r="AI13" s="737"/>
      <c r="AJ13" s="737"/>
      <c r="AK13" s="737"/>
      <c r="AL13" s="737"/>
      <c r="AM13" s="737"/>
      <c r="AN13" s="746"/>
      <c r="AO13" s="736"/>
      <c r="AP13" s="737"/>
      <c r="AQ13" s="737"/>
      <c r="AR13" s="737"/>
      <c r="AS13" s="737"/>
      <c r="AT13" s="737"/>
      <c r="AU13" s="746"/>
      <c r="AW13" s="891">
        <f t="shared" si="0"/>
        <v>0</v>
      </c>
      <c r="AX13" s="891">
        <f t="shared" si="1"/>
        <v>0</v>
      </c>
      <c r="AY13" s="891">
        <f t="shared" si="2"/>
        <v>0</v>
      </c>
      <c r="AZ13" s="891">
        <f t="shared" si="3"/>
        <v>0</v>
      </c>
      <c r="BA13" s="891">
        <f t="shared" si="4"/>
        <v>0</v>
      </c>
      <c r="BB13" s="891">
        <f t="shared" si="5"/>
        <v>0</v>
      </c>
      <c r="BC13" s="891">
        <f t="shared" si="6"/>
        <v>0</v>
      </c>
      <c r="BE13" s="862">
        <f>SUM(Proj_1!G148,Proj_2!G148,Proj_3!G148,Proj_4!G148,Proj_5!G148,Proj_6!G148,Proj_7!G148,Proj_8!G148,Proj_9!G148,Proj_10!G148,Proj_11!G148,Proj_12!G148,Proj_13!G148,Proj_14!G148,Proj_15!G148,Proj_16!G148,Proj_17!G148,Proj_18!G148,Proj_19!G148,Proj_20!G148,Proj_21!G148,Proj_22!G148,Proj_23!G148,Proj_24!G148,Proj_25!G148,Proj_26!G148,Proj_27!G148,Proj_28!G148,Proj_29!G148,Proj_30!G148,Proj_31!G148,Proj_32!G148,Proj_33!G148,Proj_34!G148,Proj_35!G148,Proj_36!G148,Proj_37!G148,Proj_38!G148,Proj_39!G148,Proj_40!G148,Proj_41!G148)*Thousands-AW13</f>
        <v>0</v>
      </c>
      <c r="BF13" s="862">
        <f>SUM(Proj_1!H148,Proj_2!H148,Proj_3!H148,Proj_4!H148,Proj_5!H148,Proj_6!H148,Proj_7!H148,Proj_8!H148,Proj_9!H148,Proj_10!H148,Proj_11!H148,Proj_12!H148,Proj_13!H148,Proj_14!H148,Proj_15!H148,Proj_16!H148,Proj_17!H148,Proj_18!H148,Proj_19!H148,Proj_20!H148,Proj_21!H148,Proj_22!H148,Proj_23!H148,Proj_24!H148,Proj_25!H148,Proj_26!H148,Proj_27!H148,Proj_28!H148,Proj_29!H148,Proj_30!H148,Proj_31!H148,Proj_32!H148,Proj_33!H148,Proj_34!H148,Proj_35!H148,Proj_36!H148,Proj_37!H148,Proj_38!H148,Proj_39!H148,Proj_40!H148,Proj_41!H148)*Thousands-AX13</f>
        <v>0</v>
      </c>
      <c r="BG13" s="862">
        <f>SUM(Proj_1!I148,Proj_2!I148,Proj_3!I148,Proj_4!I148,Proj_5!I148,Proj_6!I148,Proj_7!I148,Proj_8!I148,Proj_9!I148,Proj_10!I148,Proj_11!I148,Proj_12!I148,Proj_13!I148,Proj_14!I148,Proj_15!I148,Proj_16!I148,Proj_17!I148,Proj_18!I148,Proj_19!I148,Proj_20!I148,Proj_21!I148,Proj_22!I148,Proj_23!I148,Proj_24!I148,Proj_25!I148,Proj_26!I148,Proj_27!I148,Proj_28!I148,Proj_29!I148,Proj_30!I148,Proj_31!I148,Proj_32!I148,Proj_33!I148,Proj_34!I148,Proj_35!I148,Proj_36!I148,Proj_37!I148,Proj_38!I148,Proj_39!I148,Proj_40!I148,Proj_41!I148)*Thousands*(1-$H$2)-AY13</f>
        <v>0</v>
      </c>
      <c r="BH13" s="862">
        <f>SUM(Proj_1!J148,Proj_2!J148,Proj_3!J148,Proj_4!J148,Proj_5!J148,Proj_6!J148,Proj_7!J148,Proj_8!J148,Proj_9!J148,Proj_10!J148,Proj_11!J148,Proj_12!J148,Proj_13!J148,Proj_14!J148,Proj_15!J148,Proj_16!J148,Proj_17!J148,Proj_18!J148,Proj_19!J148,Proj_20!J148,Proj_21!J148,Proj_22!J148,Proj_23!J148,Proj_24!J148,Proj_25!J148,Proj_26!J148,Proj_27!J148,Proj_28!J148,Proj_29!J148,Proj_30!J148,Proj_31!J148,Proj_32!J148,Proj_33!J148,Proj_34!J148,Proj_35!J148,Proj_36!J148,Proj_37!J148,Proj_38!J148,Proj_39!J148,Proj_40!J148,Proj_41!J148)*Thousands*(1-$H$2)-AZ13</f>
        <v>0</v>
      </c>
      <c r="BI13" s="862">
        <f>SUM(Proj_1!K148,Proj_2!K148,Proj_3!K148,Proj_4!K148,Proj_5!K148,Proj_6!K148,Proj_7!K148,Proj_8!K148,Proj_9!K148,Proj_10!K148,Proj_11!K148,Proj_12!K148,Proj_13!K148,Proj_14!K148,Proj_15!K148,Proj_16!K148,Proj_17!K148,Proj_18!K148,Proj_19!K148,Proj_20!K148,Proj_21!K148,Proj_22!K148,Proj_23!K148,Proj_24!K148,Proj_25!K148,Proj_26!K148,Proj_27!K148,Proj_28!K148,Proj_29!K148,Proj_30!K148,Proj_31!K148,Proj_32!K148,Proj_33!K148,Proj_34!K148,Proj_35!K148,Proj_36!K148,Proj_37!K148,Proj_38!K148,Proj_39!K148,Proj_40!K148,Proj_41!K148)*Thousands*(1-$H$2)-BA13</f>
        <v>0</v>
      </c>
      <c r="BJ13" s="862">
        <f>SUM(Proj_1!L148,Proj_2!L148,Proj_3!L148,Proj_4!L148,Proj_5!L148,Proj_6!L148,Proj_7!L148,Proj_8!L148,Proj_9!L148,Proj_10!L148,Proj_11!L148,Proj_12!L148,Proj_13!L148,Proj_14!L148,Proj_15!L148,Proj_16!L148,Proj_17!L148,Proj_18!L148,Proj_19!L148,Proj_20!L148,Proj_21!L148,Proj_22!L148,Proj_23!L148,Proj_24!L148,Proj_25!L148,Proj_26!L148,Proj_27!L148,Proj_28!L148,Proj_29!L148,Proj_30!L148,Proj_31!L148,Proj_32!L148,Proj_33!L148,Proj_34!L148,Proj_35!L148,Proj_36!L148,Proj_37!L148,Proj_38!L148,Proj_39!L148,Proj_40!L148,Proj_41!L148)*Thousands*(1-$H$2)-BB13</f>
        <v>0</v>
      </c>
      <c r="BK13" s="862">
        <f>SUM(Proj_1!M148,Proj_2!M148,Proj_3!M148,Proj_4!M148,Proj_5!M148,Proj_6!M148,Proj_7!M148,Proj_8!M148,Proj_9!M148,Proj_10!M148,Proj_11!M148,Proj_12!M148,Proj_13!M148,Proj_14!M148,Proj_15!M148,Proj_16!M148,Proj_17!M148,Proj_18!M148,Proj_19!M148,Proj_20!M148,Proj_21!M148,Proj_22!M148,Proj_23!M148,Proj_24!M148,Proj_25!M148,Proj_26!M148,Proj_27!M148,Proj_28!M148,Proj_29!M148,Proj_30!M148,Proj_31!M148,Proj_32!M148,Proj_33!M148,Proj_34!M148,Proj_35!M148,Proj_36!M148,Proj_37!M148,Proj_38!M148,Proj_39!M148,Proj_40!M148,Proj_41!M148)*Thousands*(1-$H$2)-BC13</f>
        <v>0</v>
      </c>
    </row>
    <row r="14" spans="2:63">
      <c r="C14" s="735"/>
      <c r="D14" s="719" t="s">
        <v>381</v>
      </c>
      <c r="E14" s="730" t="s">
        <v>378</v>
      </c>
      <c r="F14" s="743">
        <f>SUM(Proj_1!G113,Proj_2!G113,Proj_3!G113,Proj_4!G113,Proj_5!G113,Proj_6!G113,Proj_7!G113,Proj_8!G113,Proj_9!G113,Proj_10!G113,Proj_11!G113,Proj_12!G113,Proj_13!G113,Proj_14!G113,Proj_15!G113,Proj_16!G113,Proj_17!G113,Proj_18!G113,Proj_19!G113,Proj_20!G113,Proj_21!G113,Proj_22!G113,Proj_23!G113,Proj_24!G113,Proj_25!G113,Proj_26!G113,Proj_27!G113,Proj_28!G113,Proj_29!G113,Proj_30!G113,Proj_31!G113,Proj_32!G113,Proj_33!G113,Proj_34!G113,Proj_35!G113,Proj_36!G113,Proj_37!G113,Proj_38!G113,Proj_39!G113,Proj_40!G113,Proj_41!G113)*Thousands</f>
        <v>6447549.335127864</v>
      </c>
      <c r="G14" s="744">
        <f>SUM(Proj_1!H113,Proj_2!H113,Proj_3!H113,Proj_4!H113,Proj_5!H113,Proj_6!H113,Proj_7!H113,Proj_8!H113,Proj_9!H113,Proj_10!H113,Proj_11!H113,Proj_12!H113,Proj_13!H113,Proj_14!H113,Proj_15!H113,Proj_16!H113,Proj_17!H113,Proj_18!H113,Proj_19!H113,Proj_20!H113,Proj_21!H113,Proj_22!H113,Proj_23!H113,Proj_24!H113,Proj_25!H113,Proj_26!H113,Proj_27!H113,Proj_28!H113,Proj_29!H113,Proj_30!H113,Proj_31!H113,Proj_32!H113,Proj_33!H113,Proj_34!H113,Proj_35!H113,Proj_36!H113,Proj_37!H113,Proj_38!H113,Proj_39!H113,Proj_40!H113,Proj_41!H113)*Thousands</f>
        <v>969035.32010908693</v>
      </c>
      <c r="H14" s="744">
        <f>SUM(Proj_1!I113,Proj_2!I113,Proj_3!I113,Proj_4!I113,Proj_5!I113,Proj_6!I113,Proj_7!I113,Proj_8!I113,Proj_9!I113,Proj_10!I113,Proj_11!I113,Proj_12!I113,Proj_13!I113,Proj_14!I113,Proj_15!I113,Proj_16!I113,Proj_17!I113,Proj_18!I113,Proj_19!I113,Proj_20!I113,Proj_21!I113,Proj_22!I113,Proj_23!I113,Proj_24!I113,Proj_25!I113,Proj_26!I113,Proj_27!I113,Proj_28!I113,Proj_29!I113,Proj_30!I113,Proj_31!I113,Proj_32!I113,Proj_33!I113,Proj_34!I113,Proj_35!I113,Proj_36!I113,Proj_37!I113,Proj_38!I113,Proj_39!I113,Proj_40!I113,Proj_41!I113)*Thousands*(1-$H$2)</f>
        <v>719752.45665377949</v>
      </c>
      <c r="I14" s="744">
        <f>SUM(Proj_1!J113,Proj_2!J113,Proj_3!J113,Proj_4!J113,Proj_5!J113,Proj_6!J113,Proj_7!J113,Proj_8!J113,Proj_9!J113,Proj_10!J113,Proj_11!J113,Proj_12!J113,Proj_13!J113,Proj_14!J113,Proj_15!J113,Proj_16!J113,Proj_17!J113,Proj_18!J113,Proj_19!J113,Proj_20!J113,Proj_21!J113,Proj_22!J113,Proj_23!J113,Proj_24!J113,Proj_25!J113,Proj_26!J113,Proj_27!J113,Proj_28!J113,Proj_29!J113,Proj_30!J113,Proj_31!J113,Proj_32!J113,Proj_33!J113,Proj_34!J113,Proj_35!J113,Proj_36!J113,Proj_37!J113,Proj_38!J113,Proj_39!J113,Proj_40!J113,Proj_41!J113)*Thousands*(1-$H$2)</f>
        <v>435693.67391138471</v>
      </c>
      <c r="J14" s="744">
        <f>SUM(Proj_1!K113,Proj_2!K113,Proj_3!K113,Proj_4!K113,Proj_5!K113,Proj_6!K113,Proj_7!K113,Proj_8!K113,Proj_9!K113,Proj_10!K113,Proj_11!K113,Proj_12!K113,Proj_13!K113,Proj_14!K113,Proj_15!K113,Proj_16!K113,Proj_17!K113,Proj_18!K113,Proj_19!K113,Proj_20!K113,Proj_21!K113,Proj_22!K113,Proj_23!K113,Proj_24!K113,Proj_25!K113,Proj_26!K113,Proj_27!K113,Proj_28!K113,Proj_29!K113,Proj_30!K113,Proj_31!K113,Proj_32!K113,Proj_33!K113,Proj_34!K113,Proj_35!K113,Proj_36!K113,Proj_37!K113,Proj_38!K113,Proj_39!K113,Proj_40!K113,Proj_41!K113)*Thousands*(1-$H$2)</f>
        <v>409626.01316395693</v>
      </c>
      <c r="K14" s="744">
        <f>SUM(Proj_1!L113,Proj_2!L113,Proj_3!L113,Proj_4!L113,Proj_5!L113,Proj_6!L113,Proj_7!L113,Proj_8!L113,Proj_9!L113,Proj_10!L113,Proj_11!L113,Proj_12!L113,Proj_13!L113,Proj_14!L113,Proj_15!L113,Proj_16!L113,Proj_17!L113,Proj_18!L113,Proj_19!L113,Proj_20!L113,Proj_21!L113,Proj_22!L113,Proj_23!L113,Proj_24!L113,Proj_25!L113,Proj_26!L113,Proj_27!L113,Proj_28!L113,Proj_29!L113,Proj_30!L113,Proj_31!L113,Proj_32!L113,Proj_33!L113,Proj_34!L113,Proj_35!L113,Proj_36!L113,Proj_37!L113,Proj_38!L113,Proj_39!L113,Proj_40!L113,Proj_41!L113)*Thousands*(1-$H$2)</f>
        <v>422229.50845760782</v>
      </c>
      <c r="L14" s="745">
        <f>SUM(Proj_1!M113,Proj_2!M113,Proj_3!M113,Proj_4!M113,Proj_5!M113,Proj_6!M113,Proj_7!M113,Proj_8!M113,Proj_9!M113,Proj_10!M113,Proj_11!M113,Proj_12!M113,Proj_13!M113,Proj_14!M113,Proj_15!M113,Proj_16!M113,Proj_17!M113,Proj_18!M113,Proj_19!M113,Proj_20!M113,Proj_21!M113,Proj_22!M113,Proj_23!M113,Proj_24!M113,Proj_25!M113,Proj_26!M113,Proj_27!M113,Proj_28!M113,Proj_29!M113,Proj_30!M113,Proj_31!M113,Proj_32!M113,Proj_33!M113,Proj_34!M113,Proj_35!M113,Proj_36!M113,Proj_37!M113,Proj_38!M113,Proj_39!M113,Proj_40!M113,Proj_41!M113)*Thousands*(1-$H$2)</f>
        <v>356493.42593486799</v>
      </c>
      <c r="M14" s="743">
        <f>SUM(Proj_1!G125,Proj_2!G125,Proj_3!G125,Proj_4!G125,Proj_5!G125,Proj_6!G125,Proj_7!G125,Proj_8!G125,Proj_9!G125,Proj_10!G125,Proj_11!G125,Proj_12!G125,Proj_13!G125,Proj_14!G125,Proj_15!G125,Proj_16!G125,Proj_17!G125,Proj_18!G125,Proj_19!G125,Proj_20!G125,Proj_21!G125,Proj_22!G125,Proj_23!G125,Proj_24!G125,Proj_25!G125,Proj_26!G125,Proj_27!G125,Proj_28!G125,Proj_29!G125,Proj_30!G125,Proj_31!G125,Proj_32!G125,Proj_33!G125,Proj_34!G125,Proj_35!G125,Proj_36!G125,Proj_37!G125,Proj_38!G125,Proj_39!G125,Proj_40!G125,Proj_41!G125)*Thousands</f>
        <v>1621357.171867935</v>
      </c>
      <c r="N14" s="744">
        <f>SUM(Proj_1!H125,Proj_2!H125,Proj_3!H125,Proj_4!H125,Proj_5!H125,Proj_6!H125,Proj_7!H125,Proj_8!H125,Proj_9!H125,Proj_10!H125,Proj_11!H125,Proj_12!H125,Proj_13!H125,Proj_14!H125,Proj_15!H125,Proj_16!H125,Proj_17!H125,Proj_18!H125,Proj_19!H125,Proj_20!H125,Proj_21!H125,Proj_22!H125,Proj_23!H125,Proj_24!H125,Proj_25!H125,Proj_26!H125,Proj_27!H125,Proj_28!H125,Proj_29!H125,Proj_30!H125,Proj_31!H125,Proj_32!H125,Proj_33!H125,Proj_34!H125,Proj_35!H125,Proj_36!H125,Proj_37!H125,Proj_38!H125,Proj_39!H125,Proj_40!H125,Proj_41!H125)*Thousands</f>
        <v>245290.40251799626</v>
      </c>
      <c r="O14" s="744">
        <f>SUM(Proj_1!I125,Proj_2!I125,Proj_3!I125,Proj_4!I125,Proj_5!I125,Proj_6!I125,Proj_7!I125,Proj_8!I125,Proj_9!I125,Proj_10!I125,Proj_11!I125,Proj_12!I125,Proj_13!I125,Proj_14!I125,Proj_15!I125,Proj_16!I125,Proj_17!I125,Proj_18!I125,Proj_19!I125,Proj_20!I125,Proj_21!I125,Proj_22!I125,Proj_23!I125,Proj_24!I125,Proj_25!I125,Proj_26!I125,Proj_27!I125,Proj_28!I125,Proj_29!I125,Proj_30!I125,Proj_31!I125,Proj_32!I125,Proj_33!I125,Proj_34!I125,Proj_35!I125,Proj_36!I125,Proj_37!I125,Proj_38!I125,Proj_39!I125,Proj_40!I125,Proj_41!I125)*Thousands*(1-$H$2)</f>
        <v>183656.4472828765</v>
      </c>
      <c r="P14" s="744">
        <f>SUM(Proj_1!J125,Proj_2!J125,Proj_3!J125,Proj_4!J125,Proj_5!J125,Proj_6!J125,Proj_7!J125,Proj_8!J125,Proj_9!J125,Proj_10!J125,Proj_11!J125,Proj_12!J125,Proj_13!J125,Proj_14!J125,Proj_15!J125,Proj_16!J125,Proj_17!J125,Proj_18!J125,Proj_19!J125,Proj_20!J125,Proj_21!J125,Proj_22!J125,Proj_23!J125,Proj_24!J125,Proj_25!J125,Proj_26!J125,Proj_27!J125,Proj_28!J125,Proj_29!J125,Proj_30!J125,Proj_31!J125,Proj_32!J125,Proj_33!J125,Proj_34!J125,Proj_35!J125,Proj_36!J125,Proj_37!J125,Proj_38!J125,Proj_39!J125,Proj_40!J125,Proj_41!J125)*Thousands*(1-$H$2)</f>
        <v>112074.77921294616</v>
      </c>
      <c r="Q14" s="744">
        <f>SUM(Proj_1!K125,Proj_2!K125,Proj_3!K125,Proj_4!K125,Proj_5!K125,Proj_6!K125,Proj_7!K125,Proj_8!K125,Proj_9!K125,Proj_10!K125,Proj_11!K125,Proj_12!K125,Proj_13!K125,Proj_14!K125,Proj_15!K125,Proj_16!K125,Proj_17!K125,Proj_18!K125,Proj_19!K125,Proj_20!K125,Proj_21!K125,Proj_22!K125,Proj_23!K125,Proj_24!K125,Proj_25!K125,Proj_26!K125,Proj_27!K125,Proj_28!K125,Proj_29!K125,Proj_30!K125,Proj_31!K125,Proj_32!K125,Proj_33!K125,Proj_34!K125,Proj_35!K125,Proj_36!K125,Proj_37!K125,Proj_38!K125,Proj_39!K125,Proj_40!K125,Proj_41!K125)*Thousands*(1-$H$2)</f>
        <v>106241.24843133992</v>
      </c>
      <c r="R14" s="744">
        <f>SUM(Proj_1!L125,Proj_2!L125,Proj_3!L125,Proj_4!L125,Proj_5!L125,Proj_6!L125,Proj_7!L125,Proj_8!L125,Proj_9!L125,Proj_10!L125,Proj_11!L125,Proj_12!L125,Proj_13!L125,Proj_14!L125,Proj_15!L125,Proj_16!L125,Proj_17!L125,Proj_18!L125,Proj_19!L125,Proj_20!L125,Proj_21!L125,Proj_22!L125,Proj_23!L125,Proj_24!L125,Proj_25!L125,Proj_26!L125,Proj_27!L125,Proj_28!L125,Proj_29!L125,Proj_30!L125,Proj_31!L125,Proj_32!L125,Proj_33!L125,Proj_34!L125,Proj_35!L125,Proj_36!L125,Proj_37!L125,Proj_38!L125,Proj_39!L125,Proj_40!L125,Proj_41!L125)*Thousands*(1-$H$2)</f>
        <v>110490.22632845888</v>
      </c>
      <c r="S14" s="747">
        <f>SUM(Proj_1!M125,Proj_2!M125,Proj_3!M125,Proj_4!M125,Proj_5!M125,Proj_6!M125,Proj_7!M125,Proj_8!M125,Proj_9!M125,Proj_10!M125,Proj_11!M125,Proj_12!M125,Proj_13!M125,Proj_14!M125,Proj_15!M125,Proj_16!M125,Proj_17!M125,Proj_18!M125,Proj_19!M125,Proj_20!M125,Proj_21!M125,Proj_22!M125,Proj_23!M125,Proj_24!M125,Proj_25!M125,Proj_26!M125,Proj_27!M125,Proj_28!M125,Proj_29!M125,Proj_30!M125,Proj_31!M125,Proj_32!M125,Proj_33!M125,Proj_34!M125,Proj_35!M125,Proj_36!M125,Proj_37!M125,Proj_38!M125,Proj_39!M125,Proj_40!M125,Proj_41!M125)*Thousands*(1-$H$2)</f>
        <v>94137.142899189217</v>
      </c>
      <c r="T14" s="743">
        <f>SUM(Proj_1!G137,Proj_2!G137,Proj_3!G137,Proj_4!G137,Proj_5!G137,Proj_6!G137,Proj_7!G137,Proj_8!G137,Proj_9!G137,Proj_10!G137,Proj_11!G137,Proj_12!G137,Proj_13!G137,Proj_14!G137,Proj_15!G137,Proj_16!G137,Proj_17!G137,Proj_18!G137,Proj_19!G137,Proj_20!G137,Proj_21!G137,Proj_22!G137,Proj_23!G137,Proj_24!G137,Proj_25!G137,Proj_26!G137,Proj_27!G137,Proj_28!G137,Proj_29!G137,Proj_30!G137,Proj_31!G137,Proj_32!G137,Proj_33!G137,Proj_34!G137,Proj_35!G137,Proj_36!G137,Proj_37!G137,Proj_38!G137,Proj_39!G137,Proj_40!G137,Proj_41!G137)*Thousands</f>
        <v>8092480.3592523606</v>
      </c>
      <c r="U14" s="744">
        <f>SUM(Proj_1!H137,Proj_2!H137,Proj_3!H137,Proj_4!H137,Proj_5!H137,Proj_6!H137,Proj_7!H137,Proj_8!H137,Proj_9!H137,Proj_10!H137,Proj_11!H137,Proj_12!H137,Proj_13!H137,Proj_14!H137,Proj_15!H137,Proj_16!H137,Proj_17!H137,Proj_18!H137,Proj_19!H137,Proj_20!H137,Proj_21!H137,Proj_22!H137,Proj_23!H137,Proj_24!H137,Proj_25!H137,Proj_26!H137,Proj_27!H137,Proj_28!H137,Proj_29!H137,Proj_30!H137,Proj_31!H137,Proj_32!H137,Proj_33!H137,Proj_34!H137,Proj_35!H137,Proj_36!H137,Proj_37!H137,Proj_38!H137,Proj_39!H137,Proj_40!H137,Proj_41!H137)*Thousands</f>
        <v>1224318.181673924</v>
      </c>
      <c r="V14" s="744">
        <f>SUM(Proj_1!I137,Proj_2!I137,Proj_3!I137,Proj_4!I137,Proj_5!I137,Proj_6!I137,Proj_7!I137,Proj_8!I137,Proj_9!I137,Proj_10!I137,Proj_11!I137,Proj_12!I137,Proj_13!I137,Proj_14!I137,Proj_15!I137,Proj_16!I137,Proj_17!I137,Proj_18!I137,Proj_19!I137,Proj_20!I137,Proj_21!I137,Proj_22!I137,Proj_23!I137,Proj_24!I137,Proj_25!I137,Proj_26!I137,Proj_27!I137,Proj_28!I137,Proj_29!I137,Proj_30!I137,Proj_31!I137,Proj_32!I137,Proj_33!I137,Proj_34!I137,Proj_35!I137,Proj_36!I137,Proj_37!I137,Proj_38!I137,Proj_39!I137,Proj_40!I137,Proj_41!I137)*Thousands*(1-$H$2)</f>
        <v>918798.84350597556</v>
      </c>
      <c r="W14" s="744">
        <f>SUM(Proj_1!J137,Proj_2!J137,Proj_3!J137,Proj_4!J137,Proj_5!J137,Proj_6!J137,Proj_7!J137,Proj_8!J137,Proj_9!J137,Proj_10!J137,Proj_11!J137,Proj_12!J137,Proj_13!J137,Proj_14!J137,Proj_15!J137,Proj_16!J137,Proj_17!J137,Proj_18!J137,Proj_19!J137,Proj_20!J137,Proj_21!J137,Proj_22!J137,Proj_23!J137,Proj_24!J137,Proj_25!J137,Proj_26!J137,Proj_27!J137,Proj_28!J137,Proj_29!J137,Proj_30!J137,Proj_31!J137,Proj_32!J137,Proj_33!J137,Proj_34!J137,Proj_35!J137,Proj_36!J137,Proj_37!J137,Proj_38!J137,Proj_39!J137,Proj_40!J137,Proj_41!J137)*Thousands*(1-$H$2)</f>
        <v>561982.27907254512</v>
      </c>
      <c r="X14" s="744">
        <f>SUM(Proj_1!K137,Proj_2!K137,Proj_3!K137,Proj_4!K137,Proj_5!K137,Proj_6!K137,Proj_7!K137,Proj_8!K137,Proj_9!K137,Proj_10!K137,Proj_11!K137,Proj_12!K137,Proj_13!K137,Proj_14!K137,Proj_15!K137,Proj_16!K137,Proj_17!K137,Proj_18!K137,Proj_19!K137,Proj_20!K137,Proj_21!K137,Proj_22!K137,Proj_23!K137,Proj_24!K137,Proj_25!K137,Proj_26!K137,Proj_27!K137,Proj_28!K137,Proj_29!K137,Proj_30!K137,Proj_31!K137,Proj_32!K137,Proj_33!K137,Proj_34!K137,Proj_35!K137,Proj_36!K137,Proj_37!K137,Proj_38!K137,Proj_39!K137,Proj_40!K137,Proj_41!K137)*Thousands*(1-$H$2)</f>
        <v>533681.95400757529</v>
      </c>
      <c r="Y14" s="744">
        <f>SUM(Proj_1!L137,Proj_2!L137,Proj_3!L137,Proj_4!L137,Proj_5!L137,Proj_6!L137,Proj_7!L137,Proj_8!L137,Proj_9!L137,Proj_10!L137,Proj_11!L137,Proj_12!L137,Proj_13!L137,Proj_14!L137,Proj_15!L137,Proj_16!L137,Proj_17!L137,Proj_18!L137,Proj_19!L137,Proj_20!L137,Proj_21!L137,Proj_22!L137,Proj_23!L137,Proj_24!L137,Proj_25!L137,Proj_26!L137,Proj_27!L137,Proj_28!L137,Proj_29!L137,Proj_30!L137,Proj_31!L137,Proj_32!L137,Proj_33!L137,Proj_34!L137,Proj_35!L137,Proj_36!L137,Proj_37!L137,Proj_38!L137,Proj_39!L137,Proj_40!L137,Proj_41!L137)*Thousands*(1-$H$2)</f>
        <v>556098.55606380419</v>
      </c>
      <c r="Z14" s="745">
        <f>SUM(Proj_1!M137,Proj_2!M137,Proj_3!M137,Proj_4!M137,Proj_5!M137,Proj_6!M137,Proj_7!M137,Proj_8!M137,Proj_9!M137,Proj_10!M137,Proj_11!M137,Proj_12!M137,Proj_13!M137,Proj_14!M137,Proj_15!M137,Proj_16!M137,Proj_17!M137,Proj_18!M137,Proj_19!M137,Proj_20!M137,Proj_21!M137,Proj_22!M137,Proj_23!M137,Proj_24!M137,Proj_25!M137,Proj_26!M137,Proj_27!M137,Proj_28!M137,Proj_29!M137,Proj_30!M137,Proj_31!M137,Proj_32!M137,Proj_33!M137,Proj_34!M137,Proj_35!M137,Proj_36!M137,Proj_37!M137,Proj_38!M137,Proj_39!M137,Proj_40!M137,Proj_41!M137)*Thousands*(1-$H$2)</f>
        <v>474755.81997166551</v>
      </c>
      <c r="AA14" s="743">
        <v>0</v>
      </c>
      <c r="AB14" s="744">
        <v>0</v>
      </c>
      <c r="AC14" s="744">
        <v>0</v>
      </c>
      <c r="AD14" s="744">
        <v>0</v>
      </c>
      <c r="AE14" s="744">
        <v>0</v>
      </c>
      <c r="AF14" s="744">
        <v>0</v>
      </c>
      <c r="AG14" s="747">
        <v>0</v>
      </c>
      <c r="AH14" s="743"/>
      <c r="AI14" s="744"/>
      <c r="AJ14" s="744"/>
      <c r="AK14" s="744"/>
      <c r="AL14" s="744"/>
      <c r="AM14" s="744"/>
      <c r="AN14" s="747"/>
      <c r="AO14" s="743"/>
      <c r="AP14" s="744"/>
      <c r="AQ14" s="744"/>
      <c r="AR14" s="744"/>
      <c r="AS14" s="744"/>
      <c r="AT14" s="744"/>
      <c r="AU14" s="747"/>
      <c r="AW14" s="891">
        <f t="shared" si="0"/>
        <v>16161386.866248161</v>
      </c>
      <c r="AX14" s="891">
        <f t="shared" si="1"/>
        <v>2438643.9043010073</v>
      </c>
      <c r="AY14" s="891">
        <f t="shared" si="2"/>
        <v>1822207.7474426315</v>
      </c>
      <c r="AZ14" s="891">
        <f t="shared" si="3"/>
        <v>1109750.7321968758</v>
      </c>
      <c r="BA14" s="891">
        <f t="shared" si="4"/>
        <v>1049549.2156028722</v>
      </c>
      <c r="BB14" s="891">
        <f t="shared" si="5"/>
        <v>1088818.290849871</v>
      </c>
      <c r="BC14" s="891">
        <f t="shared" si="6"/>
        <v>925386.3888057227</v>
      </c>
      <c r="BE14" s="862">
        <f>SUM(Proj_1!G149,Proj_2!G149,Proj_3!G149,Proj_4!G149,Proj_5!G149,Proj_6!G149,Proj_7!G149,Proj_8!G149,Proj_9!G149,Proj_10!G149,Proj_11!G149,Proj_12!G149,Proj_13!G149,Proj_14!G149,Proj_15!G149,Proj_16!G149,Proj_17!G149,Proj_18!G149,Proj_19!G149,Proj_20!G149,Proj_21!G149,Proj_22!G149,Proj_23!G149,Proj_24!G149,Proj_25!G149,Proj_26!G149,Proj_27!G149,Proj_28!G149,Proj_29!G149,Proj_30!G149,Proj_31!G149,Proj_32!G149,Proj_33!G149,Proj_34!G149,Proj_35!G149,Proj_36!G149,Proj_37!G149,Proj_38!G149,Proj_39!G149,Proj_40!G149,Proj_41!G149)*Thousands-AW14</f>
        <v>0</v>
      </c>
      <c r="BF14" s="862">
        <f>SUM(Proj_1!H149,Proj_2!H149,Proj_3!H149,Proj_4!H149,Proj_5!H149,Proj_6!H149,Proj_7!H149,Proj_8!H149,Proj_9!H149,Proj_10!H149,Proj_11!H149,Proj_12!H149,Proj_13!H149,Proj_14!H149,Proj_15!H149,Proj_16!H149,Proj_17!H149,Proj_18!H149,Proj_19!H149,Proj_20!H149,Proj_21!H149,Proj_22!H149,Proj_23!H149,Proj_24!H149,Proj_25!H149,Proj_26!H149,Proj_27!H149,Proj_28!H149,Proj_29!H149,Proj_30!H149,Proj_31!H149,Proj_32!H149,Proj_33!H149,Proj_34!H149,Proj_35!H149,Proj_36!H149,Proj_37!H149,Proj_38!H149,Proj_39!H149,Proj_40!H149,Proj_41!H149)*Thousands-AX14</f>
        <v>0</v>
      </c>
      <c r="BG14" s="862">
        <f>SUM(Proj_1!I149,Proj_2!I149,Proj_3!I149,Proj_4!I149,Proj_5!I149,Proj_6!I149,Proj_7!I149,Proj_8!I149,Proj_9!I149,Proj_10!I149,Proj_11!I149,Proj_12!I149,Proj_13!I149,Proj_14!I149,Proj_15!I149,Proj_16!I149,Proj_17!I149,Proj_18!I149,Proj_19!I149,Proj_20!I149,Proj_21!I149,Proj_22!I149,Proj_23!I149,Proj_24!I149,Proj_25!I149,Proj_26!I149,Proj_27!I149,Proj_28!I149,Proj_29!I149,Proj_30!I149,Proj_31!I149,Proj_32!I149,Proj_33!I149,Proj_34!I149,Proj_35!I149,Proj_36!I149,Proj_37!I149,Proj_38!I149,Proj_39!I149,Proj_40!I149,Proj_41!I149)*Thousands*(1-$H$2)-AY14</f>
        <v>0</v>
      </c>
      <c r="BH14" s="862">
        <f>SUM(Proj_1!J149,Proj_2!J149,Proj_3!J149,Proj_4!J149,Proj_5!J149,Proj_6!J149,Proj_7!J149,Proj_8!J149,Proj_9!J149,Proj_10!J149,Proj_11!J149,Proj_12!J149,Proj_13!J149,Proj_14!J149,Proj_15!J149,Proj_16!J149,Proj_17!J149,Proj_18!J149,Proj_19!J149,Proj_20!J149,Proj_21!J149,Proj_22!J149,Proj_23!J149,Proj_24!J149,Proj_25!J149,Proj_26!J149,Proj_27!J149,Proj_28!J149,Proj_29!J149,Proj_30!J149,Proj_31!J149,Proj_32!J149,Proj_33!J149,Proj_34!J149,Proj_35!J149,Proj_36!J149,Proj_37!J149,Proj_38!J149,Proj_39!J149,Proj_40!J149,Proj_41!J149)*Thousands*(1-$H$2)-AZ14</f>
        <v>0</v>
      </c>
      <c r="BI14" s="862">
        <f>SUM(Proj_1!K149,Proj_2!K149,Proj_3!K149,Proj_4!K149,Proj_5!K149,Proj_6!K149,Proj_7!K149,Proj_8!K149,Proj_9!K149,Proj_10!K149,Proj_11!K149,Proj_12!K149,Proj_13!K149,Proj_14!K149,Proj_15!K149,Proj_16!K149,Proj_17!K149,Proj_18!K149,Proj_19!K149,Proj_20!K149,Proj_21!K149,Proj_22!K149,Proj_23!K149,Proj_24!K149,Proj_25!K149,Proj_26!K149,Proj_27!K149,Proj_28!K149,Proj_29!K149,Proj_30!K149,Proj_31!K149,Proj_32!K149,Proj_33!K149,Proj_34!K149,Proj_35!K149,Proj_36!K149,Proj_37!K149,Proj_38!K149,Proj_39!K149,Proj_40!K149,Proj_41!K149)*Thousands*(1-$H$2)-BA14</f>
        <v>0</v>
      </c>
      <c r="BJ14" s="862">
        <f>SUM(Proj_1!L149,Proj_2!L149,Proj_3!L149,Proj_4!L149,Proj_5!L149,Proj_6!L149,Proj_7!L149,Proj_8!L149,Proj_9!L149,Proj_10!L149,Proj_11!L149,Proj_12!L149,Proj_13!L149,Proj_14!L149,Proj_15!L149,Proj_16!L149,Proj_17!L149,Proj_18!L149,Proj_19!L149,Proj_20!L149,Proj_21!L149,Proj_22!L149,Proj_23!L149,Proj_24!L149,Proj_25!L149,Proj_26!L149,Proj_27!L149,Proj_28!L149,Proj_29!L149,Proj_30!L149,Proj_31!L149,Proj_32!L149,Proj_33!L149,Proj_34!L149,Proj_35!L149,Proj_36!L149,Proj_37!L149,Proj_38!L149,Proj_39!L149,Proj_40!L149,Proj_41!L149)*Thousands*(1-$H$2)-BB14</f>
        <v>0</v>
      </c>
      <c r="BK14" s="862">
        <f>SUM(Proj_1!M149,Proj_2!M149,Proj_3!M149,Proj_4!M149,Proj_5!M149,Proj_6!M149,Proj_7!M149,Proj_8!M149,Proj_9!M149,Proj_10!M149,Proj_11!M149,Proj_12!M149,Proj_13!M149,Proj_14!M149,Proj_15!M149,Proj_16!M149,Proj_17!M149,Proj_18!M149,Proj_19!M149,Proj_20!M149,Proj_21!M149,Proj_22!M149,Proj_23!M149,Proj_24!M149,Proj_25!M149,Proj_26!M149,Proj_27!M149,Proj_28!M149,Proj_29!M149,Proj_30!M149,Proj_31!M149,Proj_32!M149,Proj_33!M149,Proj_34!M149,Proj_35!M149,Proj_36!M149,Proj_37!M149,Proj_38!M149,Proj_39!M149,Proj_40!M149,Proj_41!M149)*Thousands*(1-$H$2)-BC14</f>
        <v>0</v>
      </c>
    </row>
    <row r="15" spans="2:63">
      <c r="C15" s="735"/>
      <c r="D15" s="719" t="s">
        <v>382</v>
      </c>
      <c r="E15" s="730" t="s">
        <v>378</v>
      </c>
      <c r="F15" s="743">
        <f>SUM(Proj_1!G114,Proj_2!G114,Proj_3!G114,Proj_4!G114,Proj_5!G114,Proj_6!G114,Proj_7!G114,Proj_8!G114,Proj_9!G114,Proj_10!G114,Proj_11!G114,Proj_12!G114,Proj_13!G114,Proj_14!G114,Proj_15!G114,Proj_16!G114,Proj_17!G114,Proj_18!G114,Proj_19!G114,Proj_20!G114,Proj_21!G114,Proj_22!G114,Proj_23!G114,Proj_24!G114,Proj_25!G114,Proj_26!G114,Proj_27!G114,Proj_28!G114,Proj_29!G114,Proj_30!G114,Proj_31!G114,Proj_32!G114,Proj_33!G114,Proj_34!G114,Proj_35!G114,Proj_36!G114,Proj_37!G114,Proj_38!G114,Proj_39!G114,Proj_40!G114,Proj_41!G114)*Thousands</f>
        <v>0</v>
      </c>
      <c r="G15" s="744">
        <f>SUM(Proj_1!H114,Proj_2!H114,Proj_3!H114,Proj_4!H114,Proj_5!H114,Proj_6!H114,Proj_7!H114,Proj_8!H114,Proj_9!H114,Proj_10!H114,Proj_11!H114,Proj_12!H114,Proj_13!H114,Proj_14!H114,Proj_15!H114,Proj_16!H114,Proj_17!H114,Proj_18!H114,Proj_19!H114,Proj_20!H114,Proj_21!H114,Proj_22!H114,Proj_23!H114,Proj_24!H114,Proj_25!H114,Proj_26!H114,Proj_27!H114,Proj_28!H114,Proj_29!H114,Proj_30!H114,Proj_31!H114,Proj_32!H114,Proj_33!H114,Proj_34!H114,Proj_35!H114,Proj_36!H114,Proj_37!H114,Proj_38!H114,Proj_39!H114,Proj_40!H114,Proj_41!H114)*Thousands</f>
        <v>0</v>
      </c>
      <c r="H15" s="744">
        <f>SUM(Proj_1!I114,Proj_2!I114,Proj_3!I114,Proj_4!I114,Proj_5!I114,Proj_6!I114,Proj_7!I114,Proj_8!I114,Proj_9!I114,Proj_10!I114,Proj_11!I114,Proj_12!I114,Proj_13!I114,Proj_14!I114,Proj_15!I114,Proj_16!I114,Proj_17!I114,Proj_18!I114,Proj_19!I114,Proj_20!I114,Proj_21!I114,Proj_22!I114,Proj_23!I114,Proj_24!I114,Proj_25!I114,Proj_26!I114,Proj_27!I114,Proj_28!I114,Proj_29!I114,Proj_30!I114,Proj_31!I114,Proj_32!I114,Proj_33!I114,Proj_34!I114,Proj_35!I114,Proj_36!I114,Proj_37!I114,Proj_38!I114,Proj_39!I114,Proj_40!I114,Proj_41!I114)*Thousands*(1-$H$2)</f>
        <v>0</v>
      </c>
      <c r="I15" s="744">
        <f>SUM(Proj_1!J114,Proj_2!J114,Proj_3!J114,Proj_4!J114,Proj_5!J114,Proj_6!J114,Proj_7!J114,Proj_8!J114,Proj_9!J114,Proj_10!J114,Proj_11!J114,Proj_12!J114,Proj_13!J114,Proj_14!J114,Proj_15!J114,Proj_16!J114,Proj_17!J114,Proj_18!J114,Proj_19!J114,Proj_20!J114,Proj_21!J114,Proj_22!J114,Proj_23!J114,Proj_24!J114,Proj_25!J114,Proj_26!J114,Proj_27!J114,Proj_28!J114,Proj_29!J114,Proj_30!J114,Proj_31!J114,Proj_32!J114,Proj_33!J114,Proj_34!J114,Proj_35!J114,Proj_36!J114,Proj_37!J114,Proj_38!J114,Proj_39!J114,Proj_40!J114,Proj_41!J114)*Thousands*(1-$H$2)</f>
        <v>0</v>
      </c>
      <c r="J15" s="744">
        <f>SUM(Proj_1!K114,Proj_2!K114,Proj_3!K114,Proj_4!K114,Proj_5!K114,Proj_6!K114,Proj_7!K114,Proj_8!K114,Proj_9!K114,Proj_10!K114,Proj_11!K114,Proj_12!K114,Proj_13!K114,Proj_14!K114,Proj_15!K114,Proj_16!K114,Proj_17!K114,Proj_18!K114,Proj_19!K114,Proj_20!K114,Proj_21!K114,Proj_22!K114,Proj_23!K114,Proj_24!K114,Proj_25!K114,Proj_26!K114,Proj_27!K114,Proj_28!K114,Proj_29!K114,Proj_30!K114,Proj_31!K114,Proj_32!K114,Proj_33!K114,Proj_34!K114,Proj_35!K114,Proj_36!K114,Proj_37!K114,Proj_38!K114,Proj_39!K114,Proj_40!K114,Proj_41!K114)*Thousands*(1-$H$2)</f>
        <v>0</v>
      </c>
      <c r="K15" s="744">
        <f>SUM(Proj_1!L114,Proj_2!L114,Proj_3!L114,Proj_4!L114,Proj_5!L114,Proj_6!L114,Proj_7!L114,Proj_8!L114,Proj_9!L114,Proj_10!L114,Proj_11!L114,Proj_12!L114,Proj_13!L114,Proj_14!L114,Proj_15!L114,Proj_16!L114,Proj_17!L114,Proj_18!L114,Proj_19!L114,Proj_20!L114,Proj_21!L114,Proj_22!L114,Proj_23!L114,Proj_24!L114,Proj_25!L114,Proj_26!L114,Proj_27!L114,Proj_28!L114,Proj_29!L114,Proj_30!L114,Proj_31!L114,Proj_32!L114,Proj_33!L114,Proj_34!L114,Proj_35!L114,Proj_36!L114,Proj_37!L114,Proj_38!L114,Proj_39!L114,Proj_40!L114,Proj_41!L114)*Thousands*(1-$H$2)</f>
        <v>0</v>
      </c>
      <c r="L15" s="745">
        <f>SUM(Proj_1!M114,Proj_2!M114,Proj_3!M114,Proj_4!M114,Proj_5!M114,Proj_6!M114,Proj_7!M114,Proj_8!M114,Proj_9!M114,Proj_10!M114,Proj_11!M114,Proj_12!M114,Proj_13!M114,Proj_14!M114,Proj_15!M114,Proj_16!M114,Proj_17!M114,Proj_18!M114,Proj_19!M114,Proj_20!M114,Proj_21!M114,Proj_22!M114,Proj_23!M114,Proj_24!M114,Proj_25!M114,Proj_26!M114,Proj_27!M114,Proj_28!M114,Proj_29!M114,Proj_30!M114,Proj_31!M114,Proj_32!M114,Proj_33!M114,Proj_34!M114,Proj_35!M114,Proj_36!M114,Proj_37!M114,Proj_38!M114,Proj_39!M114,Proj_40!M114,Proj_41!M114)*Thousands*(1-$H$2)</f>
        <v>0</v>
      </c>
      <c r="M15" s="743">
        <f>SUM(Proj_1!G126,Proj_2!G126,Proj_3!G126,Proj_4!G126,Proj_5!G126,Proj_6!G126,Proj_7!G126,Proj_8!G126,Proj_9!G126,Proj_10!G126,Proj_11!G126,Proj_12!G126,Proj_13!G126,Proj_14!G126,Proj_15!G126,Proj_16!G126,Proj_17!G126,Proj_18!G126,Proj_19!G126,Proj_20!G126,Proj_21!G126,Proj_22!G126,Proj_23!G126,Proj_24!G126,Proj_25!G126,Proj_26!G126,Proj_27!G126,Proj_28!G126,Proj_29!G126,Proj_30!G126,Proj_31!G126,Proj_32!G126,Proj_33!G126,Proj_34!G126,Proj_35!G126,Proj_36!G126,Proj_37!G126,Proj_38!G126,Proj_39!G126,Proj_40!G126,Proj_41!G126)*Thousands</f>
        <v>0</v>
      </c>
      <c r="N15" s="744">
        <f>SUM(Proj_1!H126,Proj_2!H126,Proj_3!H126,Proj_4!H126,Proj_5!H126,Proj_6!H126,Proj_7!H126,Proj_8!H126,Proj_9!H126,Proj_10!H126,Proj_11!H126,Proj_12!H126,Proj_13!H126,Proj_14!H126,Proj_15!H126,Proj_16!H126,Proj_17!H126,Proj_18!H126,Proj_19!H126,Proj_20!H126,Proj_21!H126,Proj_22!H126,Proj_23!H126,Proj_24!H126,Proj_25!H126,Proj_26!H126,Proj_27!H126,Proj_28!H126,Proj_29!H126,Proj_30!H126,Proj_31!H126,Proj_32!H126,Proj_33!H126,Proj_34!H126,Proj_35!H126,Proj_36!H126,Proj_37!H126,Proj_38!H126,Proj_39!H126,Proj_40!H126,Proj_41!H126)*Thousands</f>
        <v>0</v>
      </c>
      <c r="O15" s="744">
        <f>SUM(Proj_1!I126,Proj_2!I126,Proj_3!I126,Proj_4!I126,Proj_5!I126,Proj_6!I126,Proj_7!I126,Proj_8!I126,Proj_9!I126,Proj_10!I126,Proj_11!I126,Proj_12!I126,Proj_13!I126,Proj_14!I126,Proj_15!I126,Proj_16!I126,Proj_17!I126,Proj_18!I126,Proj_19!I126,Proj_20!I126,Proj_21!I126,Proj_22!I126,Proj_23!I126,Proj_24!I126,Proj_25!I126,Proj_26!I126,Proj_27!I126,Proj_28!I126,Proj_29!I126,Proj_30!I126,Proj_31!I126,Proj_32!I126,Proj_33!I126,Proj_34!I126,Proj_35!I126,Proj_36!I126,Proj_37!I126,Proj_38!I126,Proj_39!I126,Proj_40!I126,Proj_41!I126)*Thousands*(1-$H$2)</f>
        <v>0</v>
      </c>
      <c r="P15" s="744">
        <f>SUM(Proj_1!J126,Proj_2!J126,Proj_3!J126,Proj_4!J126,Proj_5!J126,Proj_6!J126,Proj_7!J126,Proj_8!J126,Proj_9!J126,Proj_10!J126,Proj_11!J126,Proj_12!J126,Proj_13!J126,Proj_14!J126,Proj_15!J126,Proj_16!J126,Proj_17!J126,Proj_18!J126,Proj_19!J126,Proj_20!J126,Proj_21!J126,Proj_22!J126,Proj_23!J126,Proj_24!J126,Proj_25!J126,Proj_26!J126,Proj_27!J126,Proj_28!J126,Proj_29!J126,Proj_30!J126,Proj_31!J126,Proj_32!J126,Proj_33!J126,Proj_34!J126,Proj_35!J126,Proj_36!J126,Proj_37!J126,Proj_38!J126,Proj_39!J126,Proj_40!J126,Proj_41!J126)*Thousands*(1-$H$2)</f>
        <v>0</v>
      </c>
      <c r="Q15" s="744">
        <f>SUM(Proj_1!K126,Proj_2!K126,Proj_3!K126,Proj_4!K126,Proj_5!K126,Proj_6!K126,Proj_7!K126,Proj_8!K126,Proj_9!K126,Proj_10!K126,Proj_11!K126,Proj_12!K126,Proj_13!K126,Proj_14!K126,Proj_15!K126,Proj_16!K126,Proj_17!K126,Proj_18!K126,Proj_19!K126,Proj_20!K126,Proj_21!K126,Proj_22!K126,Proj_23!K126,Proj_24!K126,Proj_25!K126,Proj_26!K126,Proj_27!K126,Proj_28!K126,Proj_29!K126,Proj_30!K126,Proj_31!K126,Proj_32!K126,Proj_33!K126,Proj_34!K126,Proj_35!K126,Proj_36!K126,Proj_37!K126,Proj_38!K126,Proj_39!K126,Proj_40!K126,Proj_41!K126)*Thousands*(1-$H$2)</f>
        <v>0</v>
      </c>
      <c r="R15" s="744">
        <f>SUM(Proj_1!L126,Proj_2!L126,Proj_3!L126,Proj_4!L126,Proj_5!L126,Proj_6!L126,Proj_7!L126,Proj_8!L126,Proj_9!L126,Proj_10!L126,Proj_11!L126,Proj_12!L126,Proj_13!L126,Proj_14!L126,Proj_15!L126,Proj_16!L126,Proj_17!L126,Proj_18!L126,Proj_19!L126,Proj_20!L126,Proj_21!L126,Proj_22!L126,Proj_23!L126,Proj_24!L126,Proj_25!L126,Proj_26!L126,Proj_27!L126,Proj_28!L126,Proj_29!L126,Proj_30!L126,Proj_31!L126,Proj_32!L126,Proj_33!L126,Proj_34!L126,Proj_35!L126,Proj_36!L126,Proj_37!L126,Proj_38!L126,Proj_39!L126,Proj_40!L126,Proj_41!L126)*Thousands*(1-$H$2)</f>
        <v>0</v>
      </c>
      <c r="S15" s="747">
        <f>SUM(Proj_1!M126,Proj_2!M126,Proj_3!M126,Proj_4!M126,Proj_5!M126,Proj_6!M126,Proj_7!M126,Proj_8!M126,Proj_9!M126,Proj_10!M126,Proj_11!M126,Proj_12!M126,Proj_13!M126,Proj_14!M126,Proj_15!M126,Proj_16!M126,Proj_17!M126,Proj_18!M126,Proj_19!M126,Proj_20!M126,Proj_21!M126,Proj_22!M126,Proj_23!M126,Proj_24!M126,Proj_25!M126,Proj_26!M126,Proj_27!M126,Proj_28!M126,Proj_29!M126,Proj_30!M126,Proj_31!M126,Proj_32!M126,Proj_33!M126,Proj_34!M126,Proj_35!M126,Proj_36!M126,Proj_37!M126,Proj_38!M126,Proj_39!M126,Proj_40!M126,Proj_41!M126)*Thousands*(1-$H$2)</f>
        <v>0</v>
      </c>
      <c r="T15" s="743">
        <f>SUM(Proj_1!G138,Proj_2!G138,Proj_3!G138,Proj_4!G138,Proj_5!G138,Proj_6!G138,Proj_7!G138,Proj_8!G138,Proj_9!G138,Proj_10!G138,Proj_11!G138,Proj_12!G138,Proj_13!G138,Proj_14!G138,Proj_15!G138,Proj_16!G138,Proj_17!G138,Proj_18!G138,Proj_19!G138,Proj_20!G138,Proj_21!G138,Proj_22!G138,Proj_23!G138,Proj_24!G138,Proj_25!G138,Proj_26!G138,Proj_27!G138,Proj_28!G138,Proj_29!G138,Proj_30!G138,Proj_31!G138,Proj_32!G138,Proj_33!G138,Proj_34!G138,Proj_35!G138,Proj_36!G138,Proj_37!G138,Proj_38!G138,Proj_39!G138,Proj_40!G138,Proj_41!G138)*Thousands</f>
        <v>0</v>
      </c>
      <c r="U15" s="744">
        <f>SUM(Proj_1!H138,Proj_2!H138,Proj_3!H138,Proj_4!H138,Proj_5!H138,Proj_6!H138,Proj_7!H138,Proj_8!H138,Proj_9!H138,Proj_10!H138,Proj_11!H138,Proj_12!H138,Proj_13!H138,Proj_14!H138,Proj_15!H138,Proj_16!H138,Proj_17!H138,Proj_18!H138,Proj_19!H138,Proj_20!H138,Proj_21!H138,Proj_22!H138,Proj_23!H138,Proj_24!H138,Proj_25!H138,Proj_26!H138,Proj_27!H138,Proj_28!H138,Proj_29!H138,Proj_30!H138,Proj_31!H138,Proj_32!H138,Proj_33!H138,Proj_34!H138,Proj_35!H138,Proj_36!H138,Proj_37!H138,Proj_38!H138,Proj_39!H138,Proj_40!H138,Proj_41!H138)*Thousands</f>
        <v>0</v>
      </c>
      <c r="V15" s="744">
        <f>SUM(Proj_1!I138,Proj_2!I138,Proj_3!I138,Proj_4!I138,Proj_5!I138,Proj_6!I138,Proj_7!I138,Proj_8!I138,Proj_9!I138,Proj_10!I138,Proj_11!I138,Proj_12!I138,Proj_13!I138,Proj_14!I138,Proj_15!I138,Proj_16!I138,Proj_17!I138,Proj_18!I138,Proj_19!I138,Proj_20!I138,Proj_21!I138,Proj_22!I138,Proj_23!I138,Proj_24!I138,Proj_25!I138,Proj_26!I138,Proj_27!I138,Proj_28!I138,Proj_29!I138,Proj_30!I138,Proj_31!I138,Proj_32!I138,Proj_33!I138,Proj_34!I138,Proj_35!I138,Proj_36!I138,Proj_37!I138,Proj_38!I138,Proj_39!I138,Proj_40!I138,Proj_41!I138)*Thousands*(1-$H$2)</f>
        <v>0</v>
      </c>
      <c r="W15" s="744">
        <f>SUM(Proj_1!J138,Proj_2!J138,Proj_3!J138,Proj_4!J138,Proj_5!J138,Proj_6!J138,Proj_7!J138,Proj_8!J138,Proj_9!J138,Proj_10!J138,Proj_11!J138,Proj_12!J138,Proj_13!J138,Proj_14!J138,Proj_15!J138,Proj_16!J138,Proj_17!J138,Proj_18!J138,Proj_19!J138,Proj_20!J138,Proj_21!J138,Proj_22!J138,Proj_23!J138,Proj_24!J138,Proj_25!J138,Proj_26!J138,Proj_27!J138,Proj_28!J138,Proj_29!J138,Proj_30!J138,Proj_31!J138,Proj_32!J138,Proj_33!J138,Proj_34!J138,Proj_35!J138,Proj_36!J138,Proj_37!J138,Proj_38!J138,Proj_39!J138,Proj_40!J138,Proj_41!J138)*Thousands*(1-$H$2)</f>
        <v>0</v>
      </c>
      <c r="X15" s="744">
        <f>SUM(Proj_1!K138,Proj_2!K138,Proj_3!K138,Proj_4!K138,Proj_5!K138,Proj_6!K138,Proj_7!K138,Proj_8!K138,Proj_9!K138,Proj_10!K138,Proj_11!K138,Proj_12!K138,Proj_13!K138,Proj_14!K138,Proj_15!K138,Proj_16!K138,Proj_17!K138,Proj_18!K138,Proj_19!K138,Proj_20!K138,Proj_21!K138,Proj_22!K138,Proj_23!K138,Proj_24!K138,Proj_25!K138,Proj_26!K138,Proj_27!K138,Proj_28!K138,Proj_29!K138,Proj_30!K138,Proj_31!K138,Proj_32!K138,Proj_33!K138,Proj_34!K138,Proj_35!K138,Proj_36!K138,Proj_37!K138,Proj_38!K138,Proj_39!K138,Proj_40!K138,Proj_41!K138)*Thousands*(1-$H$2)</f>
        <v>0</v>
      </c>
      <c r="Y15" s="744">
        <f>SUM(Proj_1!L138,Proj_2!L138,Proj_3!L138,Proj_4!L138,Proj_5!L138,Proj_6!L138,Proj_7!L138,Proj_8!L138,Proj_9!L138,Proj_10!L138,Proj_11!L138,Proj_12!L138,Proj_13!L138,Proj_14!L138,Proj_15!L138,Proj_16!L138,Proj_17!L138,Proj_18!L138,Proj_19!L138,Proj_20!L138,Proj_21!L138,Proj_22!L138,Proj_23!L138,Proj_24!L138,Proj_25!L138,Proj_26!L138,Proj_27!L138,Proj_28!L138,Proj_29!L138,Proj_30!L138,Proj_31!L138,Proj_32!L138,Proj_33!L138,Proj_34!L138,Proj_35!L138,Proj_36!L138,Proj_37!L138,Proj_38!L138,Proj_39!L138,Proj_40!L138,Proj_41!L138)*Thousands*(1-$H$2)</f>
        <v>0</v>
      </c>
      <c r="Z15" s="745">
        <f>SUM(Proj_1!M138,Proj_2!M138,Proj_3!M138,Proj_4!M138,Proj_5!M138,Proj_6!M138,Proj_7!M138,Proj_8!M138,Proj_9!M138,Proj_10!M138,Proj_11!M138,Proj_12!M138,Proj_13!M138,Proj_14!M138,Proj_15!M138,Proj_16!M138,Proj_17!M138,Proj_18!M138,Proj_19!M138,Proj_20!M138,Proj_21!M138,Proj_22!M138,Proj_23!M138,Proj_24!M138,Proj_25!M138,Proj_26!M138,Proj_27!M138,Proj_28!M138,Proj_29!M138,Proj_30!M138,Proj_31!M138,Proj_32!M138,Proj_33!M138,Proj_34!M138,Proj_35!M138,Proj_36!M138,Proj_37!M138,Proj_38!M138,Proj_39!M138,Proj_40!M138,Proj_41!M138)*Thousands*(1-$H$2)</f>
        <v>0</v>
      </c>
      <c r="AA15" s="743">
        <v>0</v>
      </c>
      <c r="AB15" s="744">
        <v>0</v>
      </c>
      <c r="AC15" s="744">
        <v>0</v>
      </c>
      <c r="AD15" s="744">
        <v>0</v>
      </c>
      <c r="AE15" s="744">
        <v>0</v>
      </c>
      <c r="AF15" s="744">
        <v>0</v>
      </c>
      <c r="AG15" s="747">
        <v>0</v>
      </c>
      <c r="AH15" s="743"/>
      <c r="AI15" s="744"/>
      <c r="AJ15" s="744"/>
      <c r="AK15" s="744"/>
      <c r="AL15" s="744"/>
      <c r="AM15" s="744"/>
      <c r="AN15" s="747"/>
      <c r="AO15" s="743"/>
      <c r="AP15" s="744"/>
      <c r="AQ15" s="744"/>
      <c r="AR15" s="744"/>
      <c r="AS15" s="744"/>
      <c r="AT15" s="744"/>
      <c r="AU15" s="747"/>
      <c r="AW15" s="891">
        <f t="shared" si="0"/>
        <v>0</v>
      </c>
      <c r="AX15" s="891">
        <f t="shared" si="1"/>
        <v>0</v>
      </c>
      <c r="AY15" s="891">
        <f t="shared" si="2"/>
        <v>0</v>
      </c>
      <c r="AZ15" s="891">
        <f t="shared" si="3"/>
        <v>0</v>
      </c>
      <c r="BA15" s="891">
        <f t="shared" si="4"/>
        <v>0</v>
      </c>
      <c r="BB15" s="891">
        <f t="shared" si="5"/>
        <v>0</v>
      </c>
      <c r="BC15" s="891">
        <f t="shared" si="6"/>
        <v>0</v>
      </c>
      <c r="BE15" s="862">
        <f>SUM(Proj_1!G150,Proj_2!G150,Proj_3!G150,Proj_4!G150,Proj_5!G150,Proj_6!G150,Proj_7!G150,Proj_8!G150,Proj_9!G150,Proj_10!G150,Proj_11!G150,Proj_12!G150,Proj_13!G150,Proj_14!G150,Proj_15!G150,Proj_16!G150,Proj_17!G150,Proj_18!G150,Proj_19!G150,Proj_20!G150,Proj_21!G150,Proj_22!G150,Proj_23!G150,Proj_24!G150,Proj_25!G150,Proj_26!G150,Proj_27!G150,Proj_28!G150,Proj_29!G150,Proj_30!G150,Proj_31!G150,Proj_32!G150,Proj_33!G150,Proj_34!G150,Proj_35!G150,Proj_36!G150,Proj_37!G150,Proj_38!G150,Proj_39!G150,Proj_40!G150,Proj_41!G150)*Thousands-AW15</f>
        <v>0</v>
      </c>
      <c r="BF15" s="862">
        <f>SUM(Proj_1!H150,Proj_2!H150,Proj_3!H150,Proj_4!H150,Proj_5!H150,Proj_6!H150,Proj_7!H150,Proj_8!H150,Proj_9!H150,Proj_10!H150,Proj_11!H150,Proj_12!H150,Proj_13!H150,Proj_14!H150,Proj_15!H150,Proj_16!H150,Proj_17!H150,Proj_18!H150,Proj_19!H150,Proj_20!H150,Proj_21!H150,Proj_22!H150,Proj_23!H150,Proj_24!H150,Proj_25!H150,Proj_26!H150,Proj_27!H150,Proj_28!H150,Proj_29!H150,Proj_30!H150,Proj_31!H150,Proj_32!H150,Proj_33!H150,Proj_34!H150,Proj_35!H150,Proj_36!H150,Proj_37!H150,Proj_38!H150,Proj_39!H150,Proj_40!H150,Proj_41!H150)*Thousands-AX15</f>
        <v>0</v>
      </c>
      <c r="BG15" s="862">
        <f>SUM(Proj_1!I150,Proj_2!I150,Proj_3!I150,Proj_4!I150,Proj_5!I150,Proj_6!I150,Proj_7!I150,Proj_8!I150,Proj_9!I150,Proj_10!I150,Proj_11!I150,Proj_12!I150,Proj_13!I150,Proj_14!I150,Proj_15!I150,Proj_16!I150,Proj_17!I150,Proj_18!I150,Proj_19!I150,Proj_20!I150,Proj_21!I150,Proj_22!I150,Proj_23!I150,Proj_24!I150,Proj_25!I150,Proj_26!I150,Proj_27!I150,Proj_28!I150,Proj_29!I150,Proj_30!I150,Proj_31!I150,Proj_32!I150,Proj_33!I150,Proj_34!I150,Proj_35!I150,Proj_36!I150,Proj_37!I150,Proj_38!I150,Proj_39!I150,Proj_40!I150,Proj_41!I150)*Thousands*(1-$H$2)-AY15</f>
        <v>0</v>
      </c>
      <c r="BH15" s="862">
        <f>SUM(Proj_1!J150,Proj_2!J150,Proj_3!J150,Proj_4!J150,Proj_5!J150,Proj_6!J150,Proj_7!J150,Proj_8!J150,Proj_9!J150,Proj_10!J150,Proj_11!J150,Proj_12!J150,Proj_13!J150,Proj_14!J150,Proj_15!J150,Proj_16!J150,Proj_17!J150,Proj_18!J150,Proj_19!J150,Proj_20!J150,Proj_21!J150,Proj_22!J150,Proj_23!J150,Proj_24!J150,Proj_25!J150,Proj_26!J150,Proj_27!J150,Proj_28!J150,Proj_29!J150,Proj_30!J150,Proj_31!J150,Proj_32!J150,Proj_33!J150,Proj_34!J150,Proj_35!J150,Proj_36!J150,Proj_37!J150,Proj_38!J150,Proj_39!J150,Proj_40!J150,Proj_41!J150)*Thousands*(1-$H$2)-AZ15</f>
        <v>0</v>
      </c>
      <c r="BI15" s="862">
        <f>SUM(Proj_1!K150,Proj_2!K150,Proj_3!K150,Proj_4!K150,Proj_5!K150,Proj_6!K150,Proj_7!K150,Proj_8!K150,Proj_9!K150,Proj_10!K150,Proj_11!K150,Proj_12!K150,Proj_13!K150,Proj_14!K150,Proj_15!K150,Proj_16!K150,Proj_17!K150,Proj_18!K150,Proj_19!K150,Proj_20!K150,Proj_21!K150,Proj_22!K150,Proj_23!K150,Proj_24!K150,Proj_25!K150,Proj_26!K150,Proj_27!K150,Proj_28!K150,Proj_29!K150,Proj_30!K150,Proj_31!K150,Proj_32!K150,Proj_33!K150,Proj_34!K150,Proj_35!K150,Proj_36!K150,Proj_37!K150,Proj_38!K150,Proj_39!K150,Proj_40!K150,Proj_41!K150)*Thousands*(1-$H$2)-BA15</f>
        <v>0</v>
      </c>
      <c r="BJ15" s="862">
        <f>SUM(Proj_1!L150,Proj_2!L150,Proj_3!L150,Proj_4!L150,Proj_5!L150,Proj_6!L150,Proj_7!L150,Proj_8!L150,Proj_9!L150,Proj_10!L150,Proj_11!L150,Proj_12!L150,Proj_13!L150,Proj_14!L150,Proj_15!L150,Proj_16!L150,Proj_17!L150,Proj_18!L150,Proj_19!L150,Proj_20!L150,Proj_21!L150,Proj_22!L150,Proj_23!L150,Proj_24!L150,Proj_25!L150,Proj_26!L150,Proj_27!L150,Proj_28!L150,Proj_29!L150,Proj_30!L150,Proj_31!L150,Proj_32!L150,Proj_33!L150,Proj_34!L150,Proj_35!L150,Proj_36!L150,Proj_37!L150,Proj_38!L150,Proj_39!L150,Proj_40!L150,Proj_41!L150)*Thousands*(1-$H$2)-BB15</f>
        <v>0</v>
      </c>
      <c r="BK15" s="862">
        <f>SUM(Proj_1!M150,Proj_2!M150,Proj_3!M150,Proj_4!M150,Proj_5!M150,Proj_6!M150,Proj_7!M150,Proj_8!M150,Proj_9!M150,Proj_10!M150,Proj_11!M150,Proj_12!M150,Proj_13!M150,Proj_14!M150,Proj_15!M150,Proj_16!M150,Proj_17!M150,Proj_18!M150,Proj_19!M150,Proj_20!M150,Proj_21!M150,Proj_22!M150,Proj_23!M150,Proj_24!M150,Proj_25!M150,Proj_26!M150,Proj_27!M150,Proj_28!M150,Proj_29!M150,Proj_30!M150,Proj_31!M150,Proj_32!M150,Proj_33!M150,Proj_34!M150,Proj_35!M150,Proj_36!M150,Proj_37!M150,Proj_38!M150,Proj_39!M150,Proj_40!M150,Proj_41!M150)*Thousands*(1-$H$2)-BC15</f>
        <v>0</v>
      </c>
    </row>
    <row r="16" spans="2:63">
      <c r="C16" s="735"/>
      <c r="D16" s="719" t="s">
        <v>383</v>
      </c>
      <c r="E16" s="730" t="s">
        <v>378</v>
      </c>
      <c r="F16" s="743">
        <f>SUM(Proj_1!G115,Proj_2!G115,Proj_3!G115,Proj_4!G115,Proj_5!G115,Proj_6!G115,Proj_7!G115,Proj_8!G115,Proj_9!G115,Proj_10!G115,Proj_11!G115,Proj_12!G115,Proj_13!G115,Proj_14!G115,Proj_15!G115,Proj_16!G115,Proj_17!G115,Proj_18!G115,Proj_19!G115,Proj_20!G115,Proj_21!G115,Proj_22!G115,Proj_23!G115,Proj_24!G115,Proj_25!G115,Proj_26!G115,Proj_27!G115,Proj_28!G115,Proj_29!G115,Proj_30!G115,Proj_31!G115,Proj_32!G115,Proj_33!G115,Proj_34!G115,Proj_35!G115,Proj_36!G115,Proj_37!G115,Proj_38!G115,Proj_39!G115,Proj_40!G115,Proj_41!G115)*Thousands</f>
        <v>13575802.634140613</v>
      </c>
      <c r="G16" s="744">
        <f>SUM(Proj_1!H115,Proj_2!H115,Proj_3!H115,Proj_4!H115,Proj_5!H115,Proj_6!H115,Proj_7!H115,Proj_8!H115,Proj_9!H115,Proj_10!H115,Proj_11!H115,Proj_12!H115,Proj_13!H115,Proj_14!H115,Proj_15!H115,Proj_16!H115,Proj_17!H115,Proj_18!H115,Proj_19!H115,Proj_20!H115,Proj_21!H115,Proj_22!H115,Proj_23!H115,Proj_24!H115,Proj_25!H115,Proj_26!H115,Proj_27!H115,Proj_28!H115,Proj_29!H115,Proj_30!H115,Proj_31!H115,Proj_32!H115,Proj_33!H115,Proj_34!H115,Proj_35!H115,Proj_36!H115,Proj_37!H115,Proj_38!H115,Proj_39!H115,Proj_40!H115,Proj_41!H115)*Thousands</f>
        <v>18415714.659538597</v>
      </c>
      <c r="H16" s="744">
        <f>SUM(Proj_1!I115,Proj_2!I115,Proj_3!I115,Proj_4!I115,Proj_5!I115,Proj_6!I115,Proj_7!I115,Proj_8!I115,Proj_9!I115,Proj_10!I115,Proj_11!I115,Proj_12!I115,Proj_13!I115,Proj_14!I115,Proj_15!I115,Proj_16!I115,Proj_17!I115,Proj_18!I115,Proj_19!I115,Proj_20!I115,Proj_21!I115,Proj_22!I115,Proj_23!I115,Proj_24!I115,Proj_25!I115,Proj_26!I115,Proj_27!I115,Proj_28!I115,Proj_29!I115,Proj_30!I115,Proj_31!I115,Proj_32!I115,Proj_33!I115,Proj_34!I115,Proj_35!I115,Proj_36!I115,Proj_37!I115,Proj_38!I115,Proj_39!I115,Proj_40!I115,Proj_41!I115)*Thousands*(1-$H$2)</f>
        <v>15147065.171743969</v>
      </c>
      <c r="I16" s="744">
        <f>SUM(Proj_1!J115,Proj_2!J115,Proj_3!J115,Proj_4!J115,Proj_5!J115,Proj_6!J115,Proj_7!J115,Proj_8!J115,Proj_9!J115,Proj_10!J115,Proj_11!J115,Proj_12!J115,Proj_13!J115,Proj_14!J115,Proj_15!J115,Proj_16!J115,Proj_17!J115,Proj_18!J115,Proj_19!J115,Proj_20!J115,Proj_21!J115,Proj_22!J115,Proj_23!J115,Proj_24!J115,Proj_25!J115,Proj_26!J115,Proj_27!J115,Proj_28!J115,Proj_29!J115,Proj_30!J115,Proj_31!J115,Proj_32!J115,Proj_33!J115,Proj_34!J115,Proj_35!J115,Proj_36!J115,Proj_37!J115,Proj_38!J115,Proj_39!J115,Proj_40!J115,Proj_41!J115)*Thousands*(1-$H$2)</f>
        <v>9027917.7121367715</v>
      </c>
      <c r="J16" s="744">
        <f>SUM(Proj_1!K115,Proj_2!K115,Proj_3!K115,Proj_4!K115,Proj_5!K115,Proj_6!K115,Proj_7!K115,Proj_8!K115,Proj_9!K115,Proj_10!K115,Proj_11!K115,Proj_12!K115,Proj_13!K115,Proj_14!K115,Proj_15!K115,Proj_16!K115,Proj_17!K115,Proj_18!K115,Proj_19!K115,Proj_20!K115,Proj_21!K115,Proj_22!K115,Proj_23!K115,Proj_24!K115,Proj_25!K115,Proj_26!K115,Proj_27!K115,Proj_28!K115,Proj_29!K115,Proj_30!K115,Proj_31!K115,Proj_32!K115,Proj_33!K115,Proj_34!K115,Proj_35!K115,Proj_36!K115,Proj_37!K115,Proj_38!K115,Proj_39!K115,Proj_40!K115,Proj_41!K115)*Thousands*(1-$H$2)</f>
        <v>8100471.0455879206</v>
      </c>
      <c r="K16" s="744">
        <f>SUM(Proj_1!L115,Proj_2!L115,Proj_3!L115,Proj_4!L115,Proj_5!L115,Proj_6!L115,Proj_7!L115,Proj_8!L115,Proj_9!L115,Proj_10!L115,Proj_11!L115,Proj_12!L115,Proj_13!L115,Proj_14!L115,Proj_15!L115,Proj_16!L115,Proj_17!L115,Proj_18!L115,Proj_19!L115,Proj_20!L115,Proj_21!L115,Proj_22!L115,Proj_23!L115,Proj_24!L115,Proj_25!L115,Proj_26!L115,Proj_27!L115,Proj_28!L115,Proj_29!L115,Proj_30!L115,Proj_31!L115,Proj_32!L115,Proj_33!L115,Proj_34!L115,Proj_35!L115,Proj_36!L115,Proj_37!L115,Proj_38!L115,Proj_39!L115,Proj_40!L115,Proj_41!L115)*Thousands*(1-$H$2)</f>
        <v>7726572.4423509939</v>
      </c>
      <c r="L16" s="745">
        <f>SUM(Proj_1!M115,Proj_2!M115,Proj_3!M115,Proj_4!M115,Proj_5!M115,Proj_6!M115,Proj_7!M115,Proj_8!M115,Proj_9!M115,Proj_10!M115,Proj_11!M115,Proj_12!M115,Proj_13!M115,Proj_14!M115,Proj_15!M115,Proj_16!M115,Proj_17!M115,Proj_18!M115,Proj_19!M115,Proj_20!M115,Proj_21!M115,Proj_22!M115,Proj_23!M115,Proj_24!M115,Proj_25!M115,Proj_26!M115,Proj_27!M115,Proj_28!M115,Proj_29!M115,Proj_30!M115,Proj_31!M115,Proj_32!M115,Proj_33!M115,Proj_34!M115,Proj_35!M115,Proj_36!M115,Proj_37!M115,Proj_38!M115,Proj_39!M115,Proj_40!M115,Proj_41!M115)*Thousands*(1-$H$2)</f>
        <v>6703260.398926069</v>
      </c>
      <c r="M16" s="743">
        <f>SUM(Proj_1!G127,Proj_2!G127,Proj_3!G127,Proj_4!G127,Proj_5!G127,Proj_6!G127,Proj_7!G127,Proj_8!G127,Proj_9!G127,Proj_10!G127,Proj_11!G127,Proj_12!G127,Proj_13!G127,Proj_14!G127,Proj_15!G127,Proj_16!G127,Proj_17!G127,Proj_18!G127,Proj_19!G127,Proj_20!G127,Proj_21!G127,Proj_22!G127,Proj_23!G127,Proj_24!G127,Proj_25!G127,Proj_26!G127,Proj_27!G127,Proj_28!G127,Proj_29!G127,Proj_30!G127,Proj_31!G127,Proj_32!G127,Proj_33!G127,Proj_34!G127,Proj_35!G127,Proj_36!G127,Proj_37!G127,Proj_38!G127,Proj_39!G127,Proj_40!G127,Proj_41!G127)*Thousands</f>
        <v>3413890.1186540467</v>
      </c>
      <c r="N16" s="744">
        <f>SUM(Proj_1!H127,Proj_2!H127,Proj_3!H127,Proj_4!H127,Proj_5!H127,Proj_6!H127,Proj_7!H127,Proj_8!H127,Proj_9!H127,Proj_10!H127,Proj_11!H127,Proj_12!H127,Proj_13!H127,Proj_14!H127,Proj_15!H127,Proj_16!H127,Proj_17!H127,Proj_18!H127,Proj_19!H127,Proj_20!H127,Proj_21!H127,Proj_22!H127,Proj_23!H127,Proj_24!H127,Proj_25!H127,Proj_26!H127,Proj_27!H127,Proj_28!H127,Proj_29!H127,Proj_30!H127,Proj_31!H127,Proj_32!H127,Proj_33!H127,Proj_34!H127,Proj_35!H127,Proj_36!H127,Proj_37!H127,Proj_38!H127,Proj_39!H127,Proj_40!H127,Proj_41!H127)*Thousands</f>
        <v>4661541.1923130658</v>
      </c>
      <c r="O16" s="744">
        <f>SUM(Proj_1!I127,Proj_2!I127,Proj_3!I127,Proj_4!I127,Proj_5!I127,Proj_6!I127,Proj_7!I127,Proj_8!I127,Proj_9!I127,Proj_10!I127,Proj_11!I127,Proj_12!I127,Proj_13!I127,Proj_14!I127,Proj_15!I127,Proj_16!I127,Proj_17!I127,Proj_18!I127,Proj_19!I127,Proj_20!I127,Proj_21!I127,Proj_22!I127,Proj_23!I127,Proj_24!I127,Proj_25!I127,Proj_26!I127,Proj_27!I127,Proj_28!I127,Proj_29!I127,Proj_30!I127,Proj_31!I127,Proj_32!I127,Proj_33!I127,Proj_34!I127,Proj_35!I127,Proj_36!I127,Proj_37!I127,Proj_38!I127,Proj_39!I127,Proj_40!I127,Proj_41!I127)*Thousands*(1-$H$2)</f>
        <v>3865017.9662295184</v>
      </c>
      <c r="P16" s="744">
        <f>SUM(Proj_1!J127,Proj_2!J127,Proj_3!J127,Proj_4!J127,Proj_5!J127,Proj_6!J127,Proj_7!J127,Proj_8!J127,Proj_9!J127,Proj_10!J127,Proj_11!J127,Proj_12!J127,Proj_13!J127,Proj_14!J127,Proj_15!J127,Proj_16!J127,Proj_17!J127,Proj_18!J127,Proj_19!J127,Proj_20!J127,Proj_21!J127,Proj_22!J127,Proj_23!J127,Proj_24!J127,Proj_25!J127,Proj_26!J127,Proj_27!J127,Proj_28!J127,Proj_29!J127,Proj_30!J127,Proj_31!J127,Proj_32!J127,Proj_33!J127,Proj_34!J127,Proj_35!J127,Proj_36!J127,Proj_37!J127,Proj_38!J127,Proj_39!J127,Proj_40!J127,Proj_41!J127)*Thousands*(1-$H$2)</f>
        <v>2322278.116312894</v>
      </c>
      <c r="Q16" s="744">
        <f>SUM(Proj_1!K127,Proj_2!K127,Proj_3!K127,Proj_4!K127,Proj_5!K127,Proj_6!K127,Proj_7!K127,Proj_8!K127,Proj_9!K127,Proj_10!K127,Proj_11!K127,Proj_12!K127,Proj_13!K127,Proj_14!K127,Proj_15!K127,Proj_16!K127,Proj_17!K127,Proj_18!K127,Proj_19!K127,Proj_20!K127,Proj_21!K127,Proj_22!K127,Proj_23!K127,Proj_24!K127,Proj_25!K127,Proj_26!K127,Proj_27!K127,Proj_28!K127,Proj_29!K127,Proj_30!K127,Proj_31!K127,Proj_32!K127,Proj_33!K127,Proj_34!K127,Proj_35!K127,Proj_36!K127,Proj_37!K127,Proj_38!K127,Proj_39!K127,Proj_40!K127,Proj_41!K127)*Thousands*(1-$H$2)</f>
        <v>2100950.9384373901</v>
      </c>
      <c r="R16" s="744">
        <f>SUM(Proj_1!L127,Proj_2!L127,Proj_3!L127,Proj_4!L127,Proj_5!L127,Proj_6!L127,Proj_7!L127,Proj_8!L127,Proj_9!L127,Proj_10!L127,Proj_11!L127,Proj_12!L127,Proj_13!L127,Proj_14!L127,Proj_15!L127,Proj_16!L127,Proj_17!L127,Proj_18!L127,Proj_19!L127,Proj_20!L127,Proj_21!L127,Proj_22!L127,Proj_23!L127,Proj_24!L127,Proj_25!L127,Proj_26!L127,Proj_27!L127,Proj_28!L127,Proj_29!L127,Proj_30!L127,Proj_31!L127,Proj_32!L127,Proj_33!L127,Proj_34!L127,Proj_35!L127,Proj_36!L127,Proj_37!L127,Proj_38!L127,Proj_39!L127,Proj_40!L127,Proj_41!L127)*Thousands*(1-$H$2)</f>
        <v>2021911.5926245309</v>
      </c>
      <c r="S16" s="747">
        <f>SUM(Proj_1!M127,Proj_2!M127,Proj_3!M127,Proj_4!M127,Proj_5!M127,Proj_6!M127,Proj_7!M127,Proj_8!M127,Proj_9!M127,Proj_10!M127,Proj_11!M127,Proj_12!M127,Proj_13!M127,Proj_14!M127,Proj_15!M127,Proj_16!M127,Proj_17!M127,Proj_18!M127,Proj_19!M127,Proj_20!M127,Proj_21!M127,Proj_22!M127,Proj_23!M127,Proj_24!M127,Proj_25!M127,Proj_26!M127,Proj_27!M127,Proj_28!M127,Proj_29!M127,Proj_30!M127,Proj_31!M127,Proj_32!M127,Proj_33!M127,Proj_34!M127,Proj_35!M127,Proj_36!M127,Proj_37!M127,Proj_38!M127,Proj_39!M127,Proj_40!M127,Proj_41!M127)*Thousands*(1-$H$2)</f>
        <v>1770090.9362055636</v>
      </c>
      <c r="T16" s="743">
        <f>SUM(Proj_1!G139,Proj_2!G139,Proj_3!G139,Proj_4!G139,Proj_5!G139,Proj_6!G139,Proj_7!G139,Proj_8!G139,Proj_9!G139,Proj_10!G139,Proj_11!G139,Proj_12!G139,Proj_13!G139,Proj_14!G139,Proj_15!G139,Proj_16!G139,Proj_17!G139,Proj_18!G139,Proj_19!G139,Proj_20!G139,Proj_21!G139,Proj_22!G139,Proj_23!G139,Proj_24!G139,Proj_25!G139,Proj_26!G139,Proj_27!G139,Proj_28!G139,Proj_29!G139,Proj_30!G139,Proj_31!G139,Proj_32!G139,Proj_33!G139,Proj_34!G139,Proj_35!G139,Proj_36!G139,Proj_37!G139,Proj_38!G139,Proj_39!G139,Proj_40!G139,Proj_41!G139)*Thousands</f>
        <v>17039329.281175736</v>
      </c>
      <c r="U16" s="744">
        <f>SUM(Proj_1!H139,Proj_2!H139,Proj_3!H139,Proj_4!H139,Proj_5!H139,Proj_6!H139,Proj_7!H139,Proj_8!H139,Proj_9!H139,Proj_10!H139,Proj_11!H139,Proj_12!H139,Proj_13!H139,Proj_14!H139,Proj_15!H139,Proj_16!H139,Proj_17!H139,Proj_18!H139,Proj_19!H139,Proj_20!H139,Proj_21!H139,Proj_22!H139,Proj_23!H139,Proj_24!H139,Proj_25!H139,Proj_26!H139,Proj_27!H139,Proj_28!H139,Proj_29!H139,Proj_30!H139,Proj_31!H139,Proj_32!H139,Proj_33!H139,Proj_34!H139,Proj_35!H139,Proj_36!H139,Proj_37!H139,Proj_38!H139,Proj_39!H139,Proj_40!H139,Proj_41!H139)*Thousands</f>
        <v>23267154.270139478</v>
      </c>
      <c r="V16" s="744">
        <f>SUM(Proj_1!I139,Proj_2!I139,Proj_3!I139,Proj_4!I139,Proj_5!I139,Proj_6!I139,Proj_7!I139,Proj_8!I139,Proj_9!I139,Proj_10!I139,Proj_11!I139,Proj_12!I139,Proj_13!I139,Proj_14!I139,Proj_15!I139,Proj_16!I139,Proj_17!I139,Proj_18!I139,Proj_19!I139,Proj_20!I139,Proj_21!I139,Proj_22!I139,Proj_23!I139,Proj_24!I139,Proj_25!I139,Proj_26!I139,Proj_27!I139,Proj_28!I139,Proj_29!I139,Proj_30!I139,Proj_31!I139,Proj_32!I139,Proj_33!I139,Proj_34!I139,Proj_35!I139,Proj_36!I139,Proj_37!I139,Proj_38!I139,Proj_39!I139,Proj_40!I139,Proj_41!I139)*Thousands*(1-$H$2)</f>
        <v>19335961.737470672</v>
      </c>
      <c r="W16" s="744">
        <f>SUM(Proj_1!J139,Proj_2!J139,Proj_3!J139,Proj_4!J139,Proj_5!J139,Proj_6!J139,Proj_7!J139,Proj_8!J139,Proj_9!J139,Proj_10!J139,Proj_11!J139,Proj_12!J139,Proj_13!J139,Proj_14!J139,Proj_15!J139,Proj_16!J139,Proj_17!J139,Proj_18!J139,Proj_19!J139,Proj_20!J139,Proj_21!J139,Proj_22!J139,Proj_23!J139,Proj_24!J139,Proj_25!J139,Proj_26!J139,Proj_27!J139,Proj_28!J139,Proj_29!J139,Proj_30!J139,Proj_31!J139,Proj_32!J139,Proj_33!J139,Proj_34!J139,Proj_35!J139,Proj_36!J139,Proj_37!J139,Proj_38!J139,Proj_39!J139,Proj_40!J139,Proj_41!J139)*Thousands*(1-$H$2)</f>
        <v>11644717.550289519</v>
      </c>
      <c r="X16" s="744">
        <f>SUM(Proj_1!K139,Proj_2!K139,Proj_3!K139,Proj_4!K139,Proj_5!K139,Proj_6!K139,Proj_7!K139,Proj_8!K139,Proj_9!K139,Proj_10!K139,Proj_11!K139,Proj_12!K139,Proj_13!K139,Proj_14!K139,Proj_15!K139,Proj_16!K139,Proj_17!K139,Proj_18!K139,Proj_19!K139,Proj_20!K139,Proj_21!K139,Proj_22!K139,Proj_23!K139,Proj_24!K139,Proj_25!K139,Proj_26!K139,Proj_27!K139,Proj_28!K139,Proj_29!K139,Proj_30!K139,Proj_31!K139,Proj_32!K139,Proj_33!K139,Proj_34!K139,Proj_35!K139,Proj_36!K139,Proj_37!K139,Proj_38!K139,Proj_39!K139,Proj_40!K139,Proj_41!K139)*Thousands*(1-$H$2)</f>
        <v>10553712.598962294</v>
      </c>
      <c r="Y16" s="744">
        <f>SUM(Proj_1!L139,Proj_2!L139,Proj_3!L139,Proj_4!L139,Proj_5!L139,Proj_6!L139,Proj_7!L139,Proj_8!L139,Proj_9!L139,Proj_10!L139,Proj_11!L139,Proj_12!L139,Proj_13!L139,Proj_14!L139,Proj_15!L139,Proj_16!L139,Proj_17!L139,Proj_18!L139,Proj_19!L139,Proj_20!L139,Proj_21!L139,Proj_22!L139,Proj_23!L139,Proj_24!L139,Proj_25!L139,Proj_26!L139,Proj_27!L139,Proj_28!L139,Proj_29!L139,Proj_30!L139,Proj_31!L139,Proj_32!L139,Proj_33!L139,Proj_34!L139,Proj_35!L139,Proj_36!L139,Proj_37!L139,Proj_38!L139,Proj_39!L139,Proj_40!L139,Proj_41!L139)*Thousands*(1-$H$2)</f>
        <v>10176303.864241084</v>
      </c>
      <c r="Z16" s="745">
        <f>SUM(Proj_1!M139,Proj_2!M139,Proj_3!M139,Proj_4!M139,Proj_5!M139,Proj_6!M139,Proj_7!M139,Proj_8!M139,Proj_9!M139,Proj_10!M139,Proj_11!M139,Proj_12!M139,Proj_13!M139,Proj_14!M139,Proj_15!M139,Proj_16!M139,Proj_17!M139,Proj_18!M139,Proj_19!M139,Proj_20!M139,Proj_21!M139,Proj_22!M139,Proj_23!M139,Proj_24!M139,Proj_25!M139,Proj_26!M139,Proj_27!M139,Proj_28!M139,Proj_29!M139,Proj_30!M139,Proj_31!M139,Proj_32!M139,Proj_33!M139,Proj_34!M139,Proj_35!M139,Proj_36!M139,Proj_37!M139,Proj_38!M139,Proj_39!M139,Proj_40!M139,Proj_41!M139)*Thousands*(1-$H$2)</f>
        <v>8926986.1816671249</v>
      </c>
      <c r="AA16" s="743">
        <v>0</v>
      </c>
      <c r="AB16" s="744">
        <v>0</v>
      </c>
      <c r="AC16" s="744">
        <v>0</v>
      </c>
      <c r="AD16" s="744">
        <v>0</v>
      </c>
      <c r="AE16" s="744">
        <v>0</v>
      </c>
      <c r="AF16" s="744">
        <v>0</v>
      </c>
      <c r="AG16" s="747">
        <v>0</v>
      </c>
      <c r="AH16" s="743"/>
      <c r="AI16" s="744"/>
      <c r="AJ16" s="744"/>
      <c r="AK16" s="744"/>
      <c r="AL16" s="744"/>
      <c r="AM16" s="744"/>
      <c r="AN16" s="747"/>
      <c r="AO16" s="743"/>
      <c r="AP16" s="744"/>
      <c r="AQ16" s="744"/>
      <c r="AR16" s="744"/>
      <c r="AS16" s="744"/>
      <c r="AT16" s="744"/>
      <c r="AU16" s="747"/>
      <c r="AW16" s="891">
        <f t="shared" si="0"/>
        <v>34029022.033970401</v>
      </c>
      <c r="AX16" s="891">
        <f t="shared" si="1"/>
        <v>46344410.121991143</v>
      </c>
      <c r="AY16" s="891">
        <f t="shared" si="2"/>
        <v>38348044.875444159</v>
      </c>
      <c r="AZ16" s="891">
        <f t="shared" si="3"/>
        <v>22994913.378739186</v>
      </c>
      <c r="BA16" s="891">
        <f t="shared" si="4"/>
        <v>20755134.582987607</v>
      </c>
      <c r="BB16" s="891">
        <f t="shared" si="5"/>
        <v>19924787.899216607</v>
      </c>
      <c r="BC16" s="891">
        <f t="shared" si="6"/>
        <v>17400337.516798757</v>
      </c>
      <c r="BE16" s="862">
        <f>SUM(Proj_1!G151,Proj_2!G151,Proj_3!G151,Proj_4!G151,Proj_5!G151,Proj_6!G151,Proj_7!G151,Proj_8!G151,Proj_9!G151,Proj_10!G151,Proj_11!G151,Proj_12!G151,Proj_13!G151,Proj_14!G151,Proj_15!G151,Proj_16!G151,Proj_17!G151,Proj_18!G151,Proj_19!G151,Proj_20!G151,Proj_21!G151,Proj_22!G151,Proj_23!G151,Proj_24!G151,Proj_25!G151,Proj_26!G151,Proj_27!G151,Proj_28!G151,Proj_29!G151,Proj_30!G151,Proj_31!G151,Proj_32!G151,Proj_33!G151,Proj_34!G151,Proj_35!G151,Proj_36!G151,Proj_37!G151,Proj_38!G151,Proj_39!G151,Proj_40!G151,Proj_41!G151)*Thousands-AW16</f>
        <v>0</v>
      </c>
      <c r="BF16" s="862">
        <f>SUM(Proj_1!H151,Proj_2!H151,Proj_3!H151,Proj_4!H151,Proj_5!H151,Proj_6!H151,Proj_7!H151,Proj_8!H151,Proj_9!H151,Proj_10!H151,Proj_11!H151,Proj_12!H151,Proj_13!H151,Proj_14!H151,Proj_15!H151,Proj_16!H151,Proj_17!H151,Proj_18!H151,Proj_19!H151,Proj_20!H151,Proj_21!H151,Proj_22!H151,Proj_23!H151,Proj_24!H151,Proj_25!H151,Proj_26!H151,Proj_27!H151,Proj_28!H151,Proj_29!H151,Proj_30!H151,Proj_31!H151,Proj_32!H151,Proj_33!H151,Proj_34!H151,Proj_35!H151,Proj_36!H151,Proj_37!H151,Proj_38!H151,Proj_39!H151,Proj_40!H151,Proj_41!H151)*Thousands-AX16</f>
        <v>0</v>
      </c>
      <c r="BG16" s="862">
        <f>SUM(Proj_1!I151,Proj_2!I151,Proj_3!I151,Proj_4!I151,Proj_5!I151,Proj_6!I151,Proj_7!I151,Proj_8!I151,Proj_9!I151,Proj_10!I151,Proj_11!I151,Proj_12!I151,Proj_13!I151,Proj_14!I151,Proj_15!I151,Proj_16!I151,Proj_17!I151,Proj_18!I151,Proj_19!I151,Proj_20!I151,Proj_21!I151,Proj_22!I151,Proj_23!I151,Proj_24!I151,Proj_25!I151,Proj_26!I151,Proj_27!I151,Proj_28!I151,Proj_29!I151,Proj_30!I151,Proj_31!I151,Proj_32!I151,Proj_33!I151,Proj_34!I151,Proj_35!I151,Proj_36!I151,Proj_37!I151,Proj_38!I151,Proj_39!I151,Proj_40!I151,Proj_41!I151)*Thousands*(1-$H$2)-AY16</f>
        <v>0</v>
      </c>
      <c r="BH16" s="862">
        <f>SUM(Proj_1!J151,Proj_2!J151,Proj_3!J151,Proj_4!J151,Proj_5!J151,Proj_6!J151,Proj_7!J151,Proj_8!J151,Proj_9!J151,Proj_10!J151,Proj_11!J151,Proj_12!J151,Proj_13!J151,Proj_14!J151,Proj_15!J151,Proj_16!J151,Proj_17!J151,Proj_18!J151,Proj_19!J151,Proj_20!J151,Proj_21!J151,Proj_22!J151,Proj_23!J151,Proj_24!J151,Proj_25!J151,Proj_26!J151,Proj_27!J151,Proj_28!J151,Proj_29!J151,Proj_30!J151,Proj_31!J151,Proj_32!J151,Proj_33!J151,Proj_34!J151,Proj_35!J151,Proj_36!J151,Proj_37!J151,Proj_38!J151,Proj_39!J151,Proj_40!J151,Proj_41!J151)*Thousands*(1-$H$2)-AZ16</f>
        <v>0</v>
      </c>
      <c r="BI16" s="862">
        <f>SUM(Proj_1!K151,Proj_2!K151,Proj_3!K151,Proj_4!K151,Proj_5!K151,Proj_6!K151,Proj_7!K151,Proj_8!K151,Proj_9!K151,Proj_10!K151,Proj_11!K151,Proj_12!K151,Proj_13!K151,Proj_14!K151,Proj_15!K151,Proj_16!K151,Proj_17!K151,Proj_18!K151,Proj_19!K151,Proj_20!K151,Proj_21!K151,Proj_22!K151,Proj_23!K151,Proj_24!K151,Proj_25!K151,Proj_26!K151,Proj_27!K151,Proj_28!K151,Proj_29!K151,Proj_30!K151,Proj_31!K151,Proj_32!K151,Proj_33!K151,Proj_34!K151,Proj_35!K151,Proj_36!K151,Proj_37!K151,Proj_38!K151,Proj_39!K151,Proj_40!K151,Proj_41!K151)*Thousands*(1-$H$2)-BA16</f>
        <v>0</v>
      </c>
      <c r="BJ16" s="862">
        <f>SUM(Proj_1!L151,Proj_2!L151,Proj_3!L151,Proj_4!L151,Proj_5!L151,Proj_6!L151,Proj_7!L151,Proj_8!L151,Proj_9!L151,Proj_10!L151,Proj_11!L151,Proj_12!L151,Proj_13!L151,Proj_14!L151,Proj_15!L151,Proj_16!L151,Proj_17!L151,Proj_18!L151,Proj_19!L151,Proj_20!L151,Proj_21!L151,Proj_22!L151,Proj_23!L151,Proj_24!L151,Proj_25!L151,Proj_26!L151,Proj_27!L151,Proj_28!L151,Proj_29!L151,Proj_30!L151,Proj_31!L151,Proj_32!L151,Proj_33!L151,Proj_34!L151,Proj_35!L151,Proj_36!L151,Proj_37!L151,Proj_38!L151,Proj_39!L151,Proj_40!L151,Proj_41!L151)*Thousands*(1-$H$2)-BB16</f>
        <v>0</v>
      </c>
      <c r="BK16" s="862">
        <f>SUM(Proj_1!M151,Proj_2!M151,Proj_3!M151,Proj_4!M151,Proj_5!M151,Proj_6!M151,Proj_7!M151,Proj_8!M151,Proj_9!M151,Proj_10!M151,Proj_11!M151,Proj_12!M151,Proj_13!M151,Proj_14!M151,Proj_15!M151,Proj_16!M151,Proj_17!M151,Proj_18!M151,Proj_19!M151,Proj_20!M151,Proj_21!M151,Proj_22!M151,Proj_23!M151,Proj_24!M151,Proj_25!M151,Proj_26!M151,Proj_27!M151,Proj_28!M151,Proj_29!M151,Proj_30!M151,Proj_31!M151,Proj_32!M151,Proj_33!M151,Proj_34!M151,Proj_35!M151,Proj_36!M151,Proj_37!M151,Proj_38!M151,Proj_39!M151,Proj_40!M151,Proj_41!M151)*Thousands*(1-$H$2)-BC16</f>
        <v>0</v>
      </c>
    </row>
    <row r="17" spans="3:63">
      <c r="C17" s="735"/>
      <c r="D17" s="719" t="s">
        <v>384</v>
      </c>
      <c r="E17" s="730" t="s">
        <v>378</v>
      </c>
      <c r="F17" s="743">
        <f>SUM(Proj_1!G116,Proj_2!G116,Proj_3!G116,Proj_4!G116,Proj_5!G116,Proj_6!G116,Proj_7!G116,Proj_8!G116,Proj_9!G116,Proj_10!G116,Proj_11!G116,Proj_12!G116,Proj_13!G116,Proj_14!G116,Proj_15!G116,Proj_16!G116,Proj_17!G116,Proj_18!G116,Proj_19!G116,Proj_20!G116,Proj_21!G116,Proj_22!G116,Proj_23!G116,Proj_24!G116,Proj_25!G116,Proj_26!G116,Proj_27!G116,Proj_28!G116,Proj_29!G116,Proj_30!G116,Proj_31!G116,Proj_32!G116,Proj_33!G116,Proj_34!G116,Proj_35!G116,Proj_36!G116,Proj_37!G116,Proj_38!G116,Proj_39!G116,Proj_40!G116,Proj_41!G116)*Thousands</f>
        <v>9348856.027859889</v>
      </c>
      <c r="G17" s="744">
        <f>SUM(Proj_1!H116,Proj_2!H116,Proj_3!H116,Proj_4!H116,Proj_5!H116,Proj_6!H116,Proj_7!H116,Proj_8!H116,Proj_9!H116,Proj_10!H116,Proj_11!H116,Proj_12!H116,Proj_13!H116,Proj_14!H116,Proj_15!H116,Proj_16!H116,Proj_17!H116,Proj_18!H116,Proj_19!H116,Proj_20!H116,Proj_21!H116,Proj_22!H116,Proj_23!H116,Proj_24!H116,Proj_25!H116,Proj_26!H116,Proj_27!H116,Proj_28!H116,Proj_29!H116,Proj_30!H116,Proj_31!H116,Proj_32!H116,Proj_33!H116,Proj_34!H116,Proj_35!H116,Proj_36!H116,Proj_37!H116,Proj_38!H116,Proj_39!H116,Proj_40!H116,Proj_41!H116)*Thousands</f>
        <v>9887244.367381474</v>
      </c>
      <c r="H17" s="744">
        <f>SUM(Proj_1!I116,Proj_2!I116,Proj_3!I116,Proj_4!I116,Proj_5!I116,Proj_6!I116,Proj_7!I116,Proj_8!I116,Proj_9!I116,Proj_10!I116,Proj_11!I116,Proj_12!I116,Proj_13!I116,Proj_14!I116,Proj_15!I116,Proj_16!I116,Proj_17!I116,Proj_18!I116,Proj_19!I116,Proj_20!I116,Proj_21!I116,Proj_22!I116,Proj_23!I116,Proj_24!I116,Proj_25!I116,Proj_26!I116,Proj_27!I116,Proj_28!I116,Proj_29!I116,Proj_30!I116,Proj_31!I116,Proj_32!I116,Proj_33!I116,Proj_34!I116,Proj_35!I116,Proj_36!I116,Proj_37!I116,Proj_38!I116,Proj_39!I116,Proj_40!I116,Proj_41!I116)*Thousands*(1-$H$2)</f>
        <v>7223244.1338163754</v>
      </c>
      <c r="I17" s="744">
        <f>SUM(Proj_1!J116,Proj_2!J116,Proj_3!J116,Proj_4!J116,Proj_5!J116,Proj_6!J116,Proj_7!J116,Proj_8!J116,Proj_9!J116,Proj_10!J116,Proj_11!J116,Proj_12!J116,Proj_13!J116,Proj_14!J116,Proj_15!J116,Proj_16!J116,Proj_17!J116,Proj_18!J116,Proj_19!J116,Proj_20!J116,Proj_21!J116,Proj_22!J116,Proj_23!J116,Proj_24!J116,Proj_25!J116,Proj_26!J116,Proj_27!J116,Proj_28!J116,Proj_29!J116,Proj_30!J116,Proj_31!J116,Proj_32!J116,Proj_33!J116,Proj_34!J116,Proj_35!J116,Proj_36!J116,Proj_37!J116,Proj_38!J116,Proj_39!J116,Proj_40!J116,Proj_41!J116)*Thousands*(1-$H$2)</f>
        <v>3379943.2871807264</v>
      </c>
      <c r="J17" s="744">
        <f>SUM(Proj_1!K116,Proj_2!K116,Proj_3!K116,Proj_4!K116,Proj_5!K116,Proj_6!K116,Proj_7!K116,Proj_8!K116,Proj_9!K116,Proj_10!K116,Proj_11!K116,Proj_12!K116,Proj_13!K116,Proj_14!K116,Proj_15!K116,Proj_16!K116,Proj_17!K116,Proj_18!K116,Proj_19!K116,Proj_20!K116,Proj_21!K116,Proj_22!K116,Proj_23!K116,Proj_24!K116,Proj_25!K116,Proj_26!K116,Proj_27!K116,Proj_28!K116,Proj_29!K116,Proj_30!K116,Proj_31!K116,Proj_32!K116,Proj_33!K116,Proj_34!K116,Proj_35!K116,Proj_36!K116,Proj_37!K116,Proj_38!K116,Proj_39!K116,Proj_40!K116,Proj_41!K116)*Thousands*(1-$H$2)</f>
        <v>3188421.3345565591</v>
      </c>
      <c r="K17" s="744">
        <f>SUM(Proj_1!L116,Proj_2!L116,Proj_3!L116,Proj_4!L116,Proj_5!L116,Proj_6!L116,Proj_7!L116,Proj_8!L116,Proj_9!L116,Proj_10!L116,Proj_11!L116,Proj_12!L116,Proj_13!L116,Proj_14!L116,Proj_15!L116,Proj_16!L116,Proj_17!L116,Proj_18!L116,Proj_19!L116,Proj_20!L116,Proj_21!L116,Proj_22!L116,Proj_23!L116,Proj_24!L116,Proj_25!L116,Proj_26!L116,Proj_27!L116,Proj_28!L116,Proj_29!L116,Proj_30!L116,Proj_31!L116,Proj_32!L116,Proj_33!L116,Proj_34!L116,Proj_35!L116,Proj_36!L116,Proj_37!L116,Proj_38!L116,Proj_39!L116,Proj_40!L116,Proj_41!L116)*Thousands*(1-$H$2)</f>
        <v>3417469.8233490693</v>
      </c>
      <c r="L17" s="745">
        <f>SUM(Proj_1!M116,Proj_2!M116,Proj_3!M116,Proj_4!M116,Proj_5!M116,Proj_6!M116,Proj_7!M116,Proj_8!M116,Proj_9!M116,Proj_10!M116,Proj_11!M116,Proj_12!M116,Proj_13!M116,Proj_14!M116,Proj_15!M116,Proj_16!M116,Proj_17!M116,Proj_18!M116,Proj_19!M116,Proj_20!M116,Proj_21!M116,Proj_22!M116,Proj_23!M116,Proj_24!M116,Proj_25!M116,Proj_26!M116,Proj_27!M116,Proj_28!M116,Proj_29!M116,Proj_30!M116,Proj_31!M116,Proj_32!M116,Proj_33!M116,Proj_34!M116,Proj_35!M116,Proj_36!M116,Proj_37!M116,Proj_38!M116,Proj_39!M116,Proj_40!M116,Proj_41!M116)*Thousands*(1-$H$2)</f>
        <v>3064582.5063483194</v>
      </c>
      <c r="M17" s="743">
        <f>SUM(Proj_1!G128,Proj_2!G128,Proj_3!G128,Proj_4!G128,Proj_5!G128,Proj_6!G128,Proj_7!G128,Proj_8!G128,Proj_9!G128,Proj_10!G128,Proj_11!G128,Proj_12!G128,Proj_13!G128,Proj_14!G128,Proj_15!G128,Proj_16!G128,Proj_17!G128,Proj_18!G128,Proj_19!G128,Proj_20!G128,Proj_21!G128,Proj_22!G128,Proj_23!G128,Proj_24!G128,Proj_25!G128,Proj_26!G128,Proj_27!G128,Proj_28!G128,Proj_29!G128,Proj_30!G128,Proj_31!G128,Proj_32!G128,Proj_33!G128,Proj_34!G128,Proj_35!G128,Proj_36!G128,Proj_37!G128,Proj_38!G128,Proj_39!G128,Proj_40!G128,Proj_41!G128)*Thousands</f>
        <v>2350945.1392558906</v>
      </c>
      <c r="N17" s="744">
        <f>SUM(Proj_1!H128,Proj_2!H128,Proj_3!H128,Proj_4!H128,Proj_5!H128,Proj_6!H128,Proj_7!H128,Proj_8!H128,Proj_9!H128,Proj_10!H128,Proj_11!H128,Proj_12!H128,Proj_13!H128,Proj_14!H128,Proj_15!H128,Proj_16!H128,Proj_17!H128,Proj_18!H128,Proj_19!H128,Proj_20!H128,Proj_21!H128,Proj_22!H128,Proj_23!H128,Proj_24!H128,Proj_25!H128,Proj_26!H128,Proj_27!H128,Proj_28!H128,Proj_29!H128,Proj_30!H128,Proj_31!H128,Proj_32!H128,Proj_33!H128,Proj_34!H128,Proj_35!H128,Proj_36!H128,Proj_37!H128,Proj_38!H128,Proj_39!H128,Proj_40!H128,Proj_41!H128)*Thousands</f>
        <v>2502742.7796912263</v>
      </c>
      <c r="O17" s="744">
        <f>SUM(Proj_1!I128,Proj_2!I128,Proj_3!I128,Proj_4!I128,Proj_5!I128,Proj_6!I128,Proj_7!I128,Proj_8!I128,Proj_9!I128,Proj_10!I128,Proj_11!I128,Proj_12!I128,Proj_13!I128,Proj_14!I128,Proj_15!I128,Proj_16!I128,Proj_17!I128,Proj_18!I128,Proj_19!I128,Proj_20!I128,Proj_21!I128,Proj_22!I128,Proj_23!I128,Proj_24!I128,Proj_25!I128,Proj_26!I128,Proj_27!I128,Proj_28!I128,Proj_29!I128,Proj_30!I128,Proj_31!I128,Proj_32!I128,Proj_33!I128,Proj_34!I128,Proj_35!I128,Proj_36!I128,Proj_37!I128,Proj_38!I128,Proj_39!I128,Proj_40!I128,Proj_41!I128)*Thousands*(1-$H$2)</f>
        <v>1843127.2352179305</v>
      </c>
      <c r="P17" s="744">
        <f>SUM(Proj_1!J128,Proj_2!J128,Proj_3!J128,Proj_4!J128,Proj_5!J128,Proj_6!J128,Proj_7!J128,Proj_8!J128,Proj_9!J128,Proj_10!J128,Proj_11!J128,Proj_12!J128,Proj_13!J128,Proj_14!J128,Proj_15!J128,Proj_16!J128,Proj_17!J128,Proj_18!J128,Proj_19!J128,Proj_20!J128,Proj_21!J128,Proj_22!J128,Proj_23!J128,Proj_24!J128,Proj_25!J128,Proj_26!J128,Proj_27!J128,Proj_28!J128,Proj_29!J128,Proj_30!J128,Proj_31!J128,Proj_32!J128,Proj_33!J128,Proj_34!J128,Proj_35!J128,Proj_36!J128,Proj_37!J128,Proj_38!J128,Proj_39!J128,Proj_40!J128,Proj_41!J128)*Thousands*(1-$H$2)</f>
        <v>869432.86153864232</v>
      </c>
      <c r="Q17" s="744">
        <f>SUM(Proj_1!K128,Proj_2!K128,Proj_3!K128,Proj_4!K128,Proj_5!K128,Proj_6!K128,Proj_7!K128,Proj_8!K128,Proj_9!K128,Proj_10!K128,Proj_11!K128,Proj_12!K128,Proj_13!K128,Proj_14!K128,Proj_15!K128,Proj_16!K128,Proj_17!K128,Proj_18!K128,Proj_19!K128,Proj_20!K128,Proj_21!K128,Proj_22!K128,Proj_23!K128,Proj_24!K128,Proj_25!K128,Proj_26!K128,Proj_27!K128,Proj_28!K128,Proj_29!K128,Proj_30!K128,Proj_31!K128,Proj_32!K128,Proj_33!K128,Proj_34!K128,Proj_35!K128,Proj_36!K128,Proj_37!K128,Proj_38!K128,Proj_39!K128,Proj_40!K128,Proj_41!K128)*Thousands*(1-$H$2)</f>
        <v>826953.98295621166</v>
      </c>
      <c r="R17" s="744">
        <f>SUM(Proj_1!L128,Proj_2!L128,Proj_3!L128,Proj_4!L128,Proj_5!L128,Proj_6!L128,Proj_7!L128,Proj_8!L128,Proj_9!L128,Proj_10!L128,Proj_11!L128,Proj_12!L128,Proj_13!L128,Proj_14!L128,Proj_15!L128,Proj_16!L128,Proj_17!L128,Proj_18!L128,Proj_19!L128,Proj_20!L128,Proj_21!L128,Proj_22!L128,Proj_23!L128,Proj_24!L128,Proj_25!L128,Proj_26!L128,Proj_27!L128,Proj_28!L128,Proj_29!L128,Proj_30!L128,Proj_31!L128,Proj_32!L128,Proj_33!L128,Proj_34!L128,Proj_35!L128,Proj_36!L128,Proj_37!L128,Proj_38!L128,Proj_39!L128,Proj_40!L128,Proj_41!L128)*Thousands*(1-$H$2)</f>
        <v>894293.28526058758</v>
      </c>
      <c r="S17" s="747">
        <f>SUM(Proj_1!M128,Proj_2!M128,Proj_3!M128,Proj_4!M128,Proj_5!M128,Proj_6!M128,Proj_7!M128,Proj_8!M128,Proj_9!M128,Proj_10!M128,Proj_11!M128,Proj_12!M128,Proj_13!M128,Proj_14!M128,Proj_15!M128,Proj_16!M128,Proj_17!M128,Proj_18!M128,Proj_19!M128,Proj_20!M128,Proj_21!M128,Proj_22!M128,Proj_23!M128,Proj_24!M128,Proj_25!M128,Proj_26!M128,Proj_27!M128,Proj_28!M128,Proj_29!M128,Proj_30!M128,Proj_31!M128,Proj_32!M128,Proj_33!M128,Proj_34!M128,Proj_35!M128,Proj_36!M128,Proj_37!M128,Proj_38!M128,Proj_39!M128,Proj_40!M128,Proj_41!M128)*Thousands*(1-$H$2)</f>
        <v>809246.45544284175</v>
      </c>
      <c r="T17" s="743">
        <f>SUM(Proj_1!G140,Proj_2!G140,Proj_3!G140,Proj_4!G140,Proj_5!G140,Proj_6!G140,Proj_7!G140,Proj_8!G140,Proj_9!G140,Proj_10!G140,Proj_11!G140,Proj_12!G140,Proj_13!G140,Proj_14!G140,Proj_15!G140,Proj_16!G140,Proj_17!G140,Proj_18!G140,Proj_19!G140,Proj_20!G140,Proj_21!G140,Proj_22!G140,Proj_23!G140,Proj_24!G140,Proj_25!G140,Proj_26!G140,Proj_27!G140,Proj_28!G140,Proj_29!G140,Proj_30!G140,Proj_31!G140,Proj_32!G140,Proj_33!G140,Proj_34!G140,Proj_35!G140,Proj_36!G140,Proj_37!G140,Proj_38!G140,Proj_39!G140,Proj_40!G140,Proj_41!G140)*Thousands</f>
        <v>11733982.921967639</v>
      </c>
      <c r="U17" s="744">
        <f>SUM(Proj_1!H140,Proj_2!H140,Proj_3!H140,Proj_4!H140,Proj_5!H140,Proj_6!H140,Proj_7!H140,Proj_8!H140,Proj_9!H140,Proj_10!H140,Proj_11!H140,Proj_12!H140,Proj_13!H140,Proj_14!H140,Proj_15!H140,Proj_16!H140,Proj_17!H140,Proj_18!H140,Proj_19!H140,Proj_20!H140,Proj_21!H140,Proj_22!H140,Proj_23!H140,Proj_24!H140,Proj_25!H140,Proj_26!H140,Proj_27!H140,Proj_28!H140,Proj_29!H140,Proj_30!H140,Proj_31!H140,Proj_32!H140,Proj_33!H140,Proj_34!H140,Proj_35!H140,Proj_36!H140,Proj_37!H140,Proj_38!H140,Proj_39!H140,Proj_40!H140,Proj_41!H140)*Thousands</f>
        <v>12491942.031870961</v>
      </c>
      <c r="V17" s="744">
        <f>SUM(Proj_1!I140,Proj_2!I140,Proj_3!I140,Proj_4!I140,Proj_5!I140,Proj_6!I140,Proj_7!I140,Proj_8!I140,Proj_9!I140,Proj_10!I140,Proj_11!I140,Proj_12!I140,Proj_13!I140,Proj_14!I140,Proj_15!I140,Proj_16!I140,Proj_17!I140,Proj_18!I140,Proj_19!I140,Proj_20!I140,Proj_21!I140,Proj_22!I140,Proj_23!I140,Proj_24!I140,Proj_25!I140,Proj_26!I140,Proj_27!I140,Proj_28!I140,Proj_29!I140,Proj_30!I140,Proj_31!I140,Proj_32!I140,Proj_33!I140,Proj_34!I140,Proj_35!I140,Proj_36!I140,Proj_37!I140,Proj_38!I140,Proj_39!I140,Proj_40!I140,Proj_41!I140)*Thousands*(1-$H$2)</f>
        <v>9220820.7073953003</v>
      </c>
      <c r="W17" s="744">
        <f>SUM(Proj_1!J140,Proj_2!J140,Proj_3!J140,Proj_4!J140,Proj_5!J140,Proj_6!J140,Proj_7!J140,Proj_8!J140,Proj_9!J140,Proj_10!J140,Proj_11!J140,Proj_12!J140,Proj_13!J140,Proj_14!J140,Proj_15!J140,Proj_16!J140,Proj_17!J140,Proj_18!J140,Proj_19!J140,Proj_20!J140,Proj_21!J140,Proj_22!J140,Proj_23!J140,Proj_24!J140,Proj_25!J140,Proj_26!J140,Proj_27!J140,Proj_28!J140,Proj_29!J140,Proj_30!J140,Proj_31!J140,Proj_32!J140,Proj_33!J140,Proj_34!J140,Proj_35!J140,Proj_36!J140,Proj_37!J140,Proj_38!J140,Proj_39!J140,Proj_40!J140,Proj_41!J140)*Thousands*(1-$H$2)</f>
        <v>4359641.5220205942</v>
      </c>
      <c r="X17" s="744">
        <f>SUM(Proj_1!K140,Proj_2!K140,Proj_3!K140,Proj_4!K140,Proj_5!K140,Proj_6!K140,Proj_7!K140,Proj_8!K140,Proj_9!K140,Proj_10!K140,Proj_11!K140,Proj_12!K140,Proj_13!K140,Proj_14!K140,Proj_15!K140,Proj_16!K140,Proj_17!K140,Proj_18!K140,Proj_19!K140,Proj_20!K140,Proj_21!K140,Proj_22!K140,Proj_23!K140,Proj_24!K140,Proj_25!K140,Proj_26!K140,Proj_27!K140,Proj_28!K140,Proj_29!K140,Proj_30!K140,Proj_31!K140,Proj_32!K140,Proj_33!K140,Proj_34!K140,Proj_35!K140,Proj_36!K140,Proj_37!K140,Proj_38!K140,Proj_39!K140,Proj_40!K140,Proj_41!K140)*Thousands*(1-$H$2)</f>
        <v>4154040.2058023154</v>
      </c>
      <c r="Y17" s="744">
        <f>SUM(Proj_1!L140,Proj_2!L140,Proj_3!L140,Proj_4!L140,Proj_5!L140,Proj_6!L140,Proj_7!L140,Proj_8!L140,Proj_9!L140,Proj_10!L140,Proj_11!L140,Proj_12!L140,Proj_13!L140,Proj_14!L140,Proj_15!L140,Proj_16!L140,Proj_17!L140,Proj_18!L140,Proj_19!L140,Proj_20!L140,Proj_21!L140,Proj_22!L140,Proj_23!L140,Proj_24!L140,Proj_25!L140,Proj_26!L140,Proj_27!L140,Proj_28!L140,Proj_29!L140,Proj_30!L140,Proj_31!L140,Proj_32!L140,Proj_33!L140,Proj_34!L140,Proj_35!L140,Proj_36!L140,Proj_37!L140,Proj_38!L140,Proj_39!L140,Proj_40!L140,Proj_41!L140)*Thousands*(1-$H$2)</f>
        <v>4500988.1973866066</v>
      </c>
      <c r="Z17" s="745">
        <f>SUM(Proj_1!M140,Proj_2!M140,Proj_3!M140,Proj_4!M140,Proj_5!M140,Proj_6!M140,Proj_7!M140,Proj_8!M140,Proj_9!M140,Proj_10!M140,Proj_11!M140,Proj_12!M140,Proj_13!M140,Proj_14!M140,Proj_15!M140,Proj_16!M140,Proj_17!M140,Proj_18!M140,Proj_19!M140,Proj_20!M140,Proj_21!M140,Proj_22!M140,Proj_23!M140,Proj_24!M140,Proj_25!M140,Proj_26!M140,Proj_27!M140,Proj_28!M140,Proj_29!M140,Proj_30!M140,Proj_31!M140,Proj_32!M140,Proj_33!M140,Proj_34!M140,Proj_35!M140,Proj_36!M140,Proj_37!M140,Proj_38!M140,Proj_39!M140,Proj_40!M140,Proj_41!M140)*Thousands*(1-$H$2)</f>
        <v>4081220.7878919942</v>
      </c>
      <c r="AA17" s="743">
        <v>0</v>
      </c>
      <c r="AB17" s="744">
        <v>0</v>
      </c>
      <c r="AC17" s="744">
        <v>0</v>
      </c>
      <c r="AD17" s="744">
        <v>0</v>
      </c>
      <c r="AE17" s="744">
        <v>0</v>
      </c>
      <c r="AF17" s="744">
        <v>0</v>
      </c>
      <c r="AG17" s="747">
        <v>0</v>
      </c>
      <c r="AH17" s="743"/>
      <c r="AI17" s="744"/>
      <c r="AJ17" s="744"/>
      <c r="AK17" s="744"/>
      <c r="AL17" s="744"/>
      <c r="AM17" s="744"/>
      <c r="AN17" s="747"/>
      <c r="AO17" s="743"/>
      <c r="AP17" s="744"/>
      <c r="AQ17" s="744"/>
      <c r="AR17" s="744"/>
      <c r="AS17" s="744"/>
      <c r="AT17" s="744"/>
      <c r="AU17" s="747"/>
      <c r="AW17" s="891">
        <f t="shared" si="0"/>
        <v>23433784.089083418</v>
      </c>
      <c r="AX17" s="891">
        <f t="shared" si="1"/>
        <v>24881929.178943664</v>
      </c>
      <c r="AY17" s="891">
        <f t="shared" si="2"/>
        <v>18287192.076429605</v>
      </c>
      <c r="AZ17" s="891">
        <f t="shared" si="3"/>
        <v>8609017.6707399637</v>
      </c>
      <c r="BA17" s="891">
        <f t="shared" si="4"/>
        <v>8169415.523315086</v>
      </c>
      <c r="BB17" s="891">
        <f t="shared" si="5"/>
        <v>8812751.3059962634</v>
      </c>
      <c r="BC17" s="891">
        <f t="shared" si="6"/>
        <v>7955049.7496831547</v>
      </c>
      <c r="BE17" s="862">
        <f>SUM(Proj_1!G152,Proj_2!G152,Proj_3!G152,Proj_4!G152,Proj_5!G152,Proj_6!G152,Proj_7!G152,Proj_8!G152,Proj_9!G152,Proj_10!G152,Proj_11!G152,Proj_12!G152,Proj_13!G152,Proj_14!G152,Proj_15!G152,Proj_16!G152,Proj_17!G152,Proj_18!G152,Proj_19!G152,Proj_20!G152,Proj_21!G152,Proj_22!G152,Proj_23!G152,Proj_24!G152,Proj_25!G152,Proj_26!G152,Proj_27!G152,Proj_28!G152,Proj_29!G152,Proj_30!G152,Proj_31!G152,Proj_32!G152,Proj_33!G152,Proj_34!G152,Proj_35!G152,Proj_36!G152,Proj_37!G152,Proj_38!G152,Proj_39!G152,Proj_40!G152,Proj_41!G152)*Thousands-AW17</f>
        <v>0</v>
      </c>
      <c r="BF17" s="862">
        <f>SUM(Proj_1!H152,Proj_2!H152,Proj_3!H152,Proj_4!H152,Proj_5!H152,Proj_6!H152,Proj_7!H152,Proj_8!H152,Proj_9!H152,Proj_10!H152,Proj_11!H152,Proj_12!H152,Proj_13!H152,Proj_14!H152,Proj_15!H152,Proj_16!H152,Proj_17!H152,Proj_18!H152,Proj_19!H152,Proj_20!H152,Proj_21!H152,Proj_22!H152,Proj_23!H152,Proj_24!H152,Proj_25!H152,Proj_26!H152,Proj_27!H152,Proj_28!H152,Proj_29!H152,Proj_30!H152,Proj_31!H152,Proj_32!H152,Proj_33!H152,Proj_34!H152,Proj_35!H152,Proj_36!H152,Proj_37!H152,Proj_38!H152,Proj_39!H152,Proj_40!H152,Proj_41!H152)*Thousands-AX17</f>
        <v>0</v>
      </c>
      <c r="BG17" s="862">
        <f>SUM(Proj_1!I152,Proj_2!I152,Proj_3!I152,Proj_4!I152,Proj_5!I152,Proj_6!I152,Proj_7!I152,Proj_8!I152,Proj_9!I152,Proj_10!I152,Proj_11!I152,Proj_12!I152,Proj_13!I152,Proj_14!I152,Proj_15!I152,Proj_16!I152,Proj_17!I152,Proj_18!I152,Proj_19!I152,Proj_20!I152,Proj_21!I152,Proj_22!I152,Proj_23!I152,Proj_24!I152,Proj_25!I152,Proj_26!I152,Proj_27!I152,Proj_28!I152,Proj_29!I152,Proj_30!I152,Proj_31!I152,Proj_32!I152,Proj_33!I152,Proj_34!I152,Proj_35!I152,Proj_36!I152,Proj_37!I152,Proj_38!I152,Proj_39!I152,Proj_40!I152,Proj_41!I152)*Thousands*(1-$H$2)-AY17</f>
        <v>0</v>
      </c>
      <c r="BH17" s="862">
        <f>SUM(Proj_1!J152,Proj_2!J152,Proj_3!J152,Proj_4!J152,Proj_5!J152,Proj_6!J152,Proj_7!J152,Proj_8!J152,Proj_9!J152,Proj_10!J152,Proj_11!J152,Proj_12!J152,Proj_13!J152,Proj_14!J152,Proj_15!J152,Proj_16!J152,Proj_17!J152,Proj_18!J152,Proj_19!J152,Proj_20!J152,Proj_21!J152,Proj_22!J152,Proj_23!J152,Proj_24!J152,Proj_25!J152,Proj_26!J152,Proj_27!J152,Proj_28!J152,Proj_29!J152,Proj_30!J152,Proj_31!J152,Proj_32!J152,Proj_33!J152,Proj_34!J152,Proj_35!J152,Proj_36!J152,Proj_37!J152,Proj_38!J152,Proj_39!J152,Proj_40!J152,Proj_41!J152)*Thousands*(1-$H$2)-AZ17</f>
        <v>0</v>
      </c>
      <c r="BI17" s="862">
        <f>SUM(Proj_1!K152,Proj_2!K152,Proj_3!K152,Proj_4!K152,Proj_5!K152,Proj_6!K152,Proj_7!K152,Proj_8!K152,Proj_9!K152,Proj_10!K152,Proj_11!K152,Proj_12!K152,Proj_13!K152,Proj_14!K152,Proj_15!K152,Proj_16!K152,Proj_17!K152,Proj_18!K152,Proj_19!K152,Proj_20!K152,Proj_21!K152,Proj_22!K152,Proj_23!K152,Proj_24!K152,Proj_25!K152,Proj_26!K152,Proj_27!K152,Proj_28!K152,Proj_29!K152,Proj_30!K152,Proj_31!K152,Proj_32!K152,Proj_33!K152,Proj_34!K152,Proj_35!K152,Proj_36!K152,Proj_37!K152,Proj_38!K152,Proj_39!K152,Proj_40!K152,Proj_41!K152)*Thousands*(1-$H$2)-BA17</f>
        <v>0</v>
      </c>
      <c r="BJ17" s="862">
        <f>SUM(Proj_1!L152,Proj_2!L152,Proj_3!L152,Proj_4!L152,Proj_5!L152,Proj_6!L152,Proj_7!L152,Proj_8!L152,Proj_9!L152,Proj_10!L152,Proj_11!L152,Proj_12!L152,Proj_13!L152,Proj_14!L152,Proj_15!L152,Proj_16!L152,Proj_17!L152,Proj_18!L152,Proj_19!L152,Proj_20!L152,Proj_21!L152,Proj_22!L152,Proj_23!L152,Proj_24!L152,Proj_25!L152,Proj_26!L152,Proj_27!L152,Proj_28!L152,Proj_29!L152,Proj_30!L152,Proj_31!L152,Proj_32!L152,Proj_33!L152,Proj_34!L152,Proj_35!L152,Proj_36!L152,Proj_37!L152,Proj_38!L152,Proj_39!L152,Proj_40!L152,Proj_41!L152)*Thousands*(1-$H$2)-BB17</f>
        <v>0</v>
      </c>
      <c r="BK17" s="862">
        <f>SUM(Proj_1!M152,Proj_2!M152,Proj_3!M152,Proj_4!M152,Proj_5!M152,Proj_6!M152,Proj_7!M152,Proj_8!M152,Proj_9!M152,Proj_10!M152,Proj_11!M152,Proj_12!M152,Proj_13!M152,Proj_14!M152,Proj_15!M152,Proj_16!M152,Proj_17!M152,Proj_18!M152,Proj_19!M152,Proj_20!M152,Proj_21!M152,Proj_22!M152,Proj_23!M152,Proj_24!M152,Proj_25!M152,Proj_26!M152,Proj_27!M152,Proj_28!M152,Proj_29!M152,Proj_30!M152,Proj_31!M152,Proj_32!M152,Proj_33!M152,Proj_34!M152,Proj_35!M152,Proj_36!M152,Proj_37!M152,Proj_38!M152,Proj_39!M152,Proj_40!M152,Proj_41!M152)*Thousands*(1-$H$2)-BC17</f>
        <v>0</v>
      </c>
    </row>
    <row r="18" spans="3:63">
      <c r="C18" s="735"/>
      <c r="D18" s="719" t="s">
        <v>385</v>
      </c>
      <c r="E18" s="730" t="s">
        <v>378</v>
      </c>
      <c r="F18" s="743">
        <f>SUM(Proj_1!G117,Proj_2!G117,Proj_3!G117,Proj_4!G117,Proj_5!G117,Proj_6!G117,Proj_7!G117,Proj_8!G117,Proj_9!G117,Proj_10!G117,Proj_11!G117,Proj_12!G117,Proj_13!G117,Proj_14!G117,Proj_15!G117,Proj_16!G117,Proj_17!G117,Proj_18!G117,Proj_19!G117,Proj_20!G117,Proj_21!G117,Proj_22!G117,Proj_23!G117,Proj_24!G117,Proj_25!G117,Proj_26!G117,Proj_27!G117,Proj_28!G117,Proj_29!G117,Proj_30!G117,Proj_31!G117,Proj_32!G117,Proj_33!G117,Proj_34!G117,Proj_35!G117,Proj_36!G117,Proj_37!G117,Proj_38!G117,Proj_39!G117,Proj_40!G117,Proj_41!G117)*Thousands</f>
        <v>1210029.553669173</v>
      </c>
      <c r="G18" s="744">
        <f>SUM(Proj_1!H117,Proj_2!H117,Proj_3!H117,Proj_4!H117,Proj_5!H117,Proj_6!H117,Proj_7!H117,Proj_8!H117,Proj_9!H117,Proj_10!H117,Proj_11!H117,Proj_12!H117,Proj_13!H117,Proj_14!H117,Proj_15!H117,Proj_16!H117,Proj_17!H117,Proj_18!H117,Proj_19!H117,Proj_20!H117,Proj_21!H117,Proj_22!H117,Proj_23!H117,Proj_24!H117,Proj_25!H117,Proj_26!H117,Proj_27!H117,Proj_28!H117,Proj_29!H117,Proj_30!H117,Proj_31!H117,Proj_32!H117,Proj_33!H117,Proj_34!H117,Proj_35!H117,Proj_36!H117,Proj_37!H117,Proj_38!H117,Proj_39!H117,Proj_40!H117,Proj_41!H117)*Thousands</f>
        <v>3939450.199036283</v>
      </c>
      <c r="H18" s="744">
        <f>SUM(Proj_1!I117,Proj_2!I117,Proj_3!I117,Proj_4!I117,Proj_5!I117,Proj_6!I117,Proj_7!I117,Proj_8!I117,Proj_9!I117,Proj_10!I117,Proj_11!I117,Proj_12!I117,Proj_13!I117,Proj_14!I117,Proj_15!I117,Proj_16!I117,Proj_17!I117,Proj_18!I117,Proj_19!I117,Proj_20!I117,Proj_21!I117,Proj_22!I117,Proj_23!I117,Proj_24!I117,Proj_25!I117,Proj_26!I117,Proj_27!I117,Proj_28!I117,Proj_29!I117,Proj_30!I117,Proj_31!I117,Proj_32!I117,Proj_33!I117,Proj_34!I117,Proj_35!I117,Proj_36!I117,Proj_37!I117,Proj_38!I117,Proj_39!I117,Proj_40!I117,Proj_41!I117)*Thousands*(1-$H$2)</f>
        <v>58170.923308270685</v>
      </c>
      <c r="I18" s="744">
        <f>SUM(Proj_1!J117,Proj_2!J117,Proj_3!J117,Proj_4!J117,Proj_5!J117,Proj_6!J117,Proj_7!J117,Proj_8!J117,Proj_9!J117,Proj_10!J117,Proj_11!J117,Proj_12!J117,Proj_13!J117,Proj_14!J117,Proj_15!J117,Proj_16!J117,Proj_17!J117,Proj_18!J117,Proj_19!J117,Proj_20!J117,Proj_21!J117,Proj_22!J117,Proj_23!J117,Proj_24!J117,Proj_25!J117,Proj_26!J117,Proj_27!J117,Proj_28!J117,Proj_29!J117,Proj_30!J117,Proj_31!J117,Proj_32!J117,Proj_33!J117,Proj_34!J117,Proj_35!J117,Proj_36!J117,Proj_37!J117,Proj_38!J117,Proj_39!J117,Proj_40!J117,Proj_41!J117)*Thousands*(1-$H$2)</f>
        <v>58170.923308270685</v>
      </c>
      <c r="J18" s="744">
        <f>SUM(Proj_1!K117,Proj_2!K117,Proj_3!K117,Proj_4!K117,Proj_5!K117,Proj_6!K117,Proj_7!K117,Proj_8!K117,Proj_9!K117,Proj_10!K117,Proj_11!K117,Proj_12!K117,Proj_13!K117,Proj_14!K117,Proj_15!K117,Proj_16!K117,Proj_17!K117,Proj_18!K117,Proj_19!K117,Proj_20!K117,Proj_21!K117,Proj_22!K117,Proj_23!K117,Proj_24!K117,Proj_25!K117,Proj_26!K117,Proj_27!K117,Proj_28!K117,Proj_29!K117,Proj_30!K117,Proj_31!K117,Proj_32!K117,Proj_33!K117,Proj_34!K117,Proj_35!K117,Proj_36!K117,Proj_37!K117,Proj_38!K117,Proj_39!K117,Proj_40!K117,Proj_41!K117)*Thousands*(1-$H$2)</f>
        <v>58170.923308270685</v>
      </c>
      <c r="K18" s="744">
        <f>SUM(Proj_1!L117,Proj_2!L117,Proj_3!L117,Proj_4!L117,Proj_5!L117,Proj_6!L117,Proj_7!L117,Proj_8!L117,Proj_9!L117,Proj_10!L117,Proj_11!L117,Proj_12!L117,Proj_13!L117,Proj_14!L117,Proj_15!L117,Proj_16!L117,Proj_17!L117,Proj_18!L117,Proj_19!L117,Proj_20!L117,Proj_21!L117,Proj_22!L117,Proj_23!L117,Proj_24!L117,Proj_25!L117,Proj_26!L117,Proj_27!L117,Proj_28!L117,Proj_29!L117,Proj_30!L117,Proj_31!L117,Proj_32!L117,Proj_33!L117,Proj_34!L117,Proj_35!L117,Proj_36!L117,Proj_37!L117,Proj_38!L117,Proj_39!L117,Proj_40!L117,Proj_41!L117)*Thousands*(1-$H$2)</f>
        <v>58170.923308270685</v>
      </c>
      <c r="L18" s="745">
        <f>SUM(Proj_1!M117,Proj_2!M117,Proj_3!M117,Proj_4!M117,Proj_5!M117,Proj_6!M117,Proj_7!M117,Proj_8!M117,Proj_9!M117,Proj_10!M117,Proj_11!M117,Proj_12!M117,Proj_13!M117,Proj_14!M117,Proj_15!M117,Proj_16!M117,Proj_17!M117,Proj_18!M117,Proj_19!M117,Proj_20!M117,Proj_21!M117,Proj_22!M117,Proj_23!M117,Proj_24!M117,Proj_25!M117,Proj_26!M117,Proj_27!M117,Proj_28!M117,Proj_29!M117,Proj_30!M117,Proj_31!M117,Proj_32!M117,Proj_33!M117,Proj_34!M117,Proj_35!M117,Proj_36!M117,Proj_37!M117,Proj_38!M117,Proj_39!M117,Proj_40!M117,Proj_41!M117)*Thousands*(1-$H$2)</f>
        <v>58170.923308270685</v>
      </c>
      <c r="M18" s="743">
        <f>SUM(Proj_1!G129,Proj_2!G129,Proj_3!G129,Proj_4!G129,Proj_5!G129,Proj_6!G129,Proj_7!G129,Proj_8!G129,Proj_9!G129,Proj_10!G129,Proj_11!G129,Proj_12!G129,Proj_13!G129,Proj_14!G129,Proj_15!G129,Proj_16!G129,Proj_17!G129,Proj_18!G129,Proj_19!G129,Proj_20!G129,Proj_21!G129,Proj_22!G129,Proj_23!G129,Proj_24!G129,Proj_25!G129,Proj_26!G129,Proj_27!G129,Proj_28!G129,Proj_29!G129,Proj_30!G129,Proj_31!G129,Proj_32!G129,Proj_33!G129,Proj_34!G129,Proj_35!G129,Proj_36!G129,Proj_37!G129,Proj_38!G129,Proj_39!G129,Proj_40!G129,Proj_41!G129)*Thousands</f>
        <v>304284.61932424491</v>
      </c>
      <c r="N18" s="744">
        <f>SUM(Proj_1!H129,Proj_2!H129,Proj_3!H129,Proj_4!H129,Proj_5!H129,Proj_6!H129,Proj_7!H129,Proj_8!H129,Proj_9!H129,Proj_10!H129,Proj_11!H129,Proj_12!H129,Proj_13!H129,Proj_14!H129,Proj_15!H129,Proj_16!H129,Proj_17!H129,Proj_18!H129,Proj_19!H129,Proj_20!H129,Proj_21!H129,Proj_22!H129,Proj_23!H129,Proj_24!H129,Proj_25!H129,Proj_26!H129,Proj_27!H129,Proj_28!H129,Proj_29!H129,Proj_30!H129,Proj_31!H129,Proj_32!H129,Proj_33!H129,Proj_34!H129,Proj_35!H129,Proj_36!H129,Proj_37!H129,Proj_38!H129,Proj_39!H129,Proj_40!H129,Proj_41!H129)*Thousands</f>
        <v>997186.89811268204</v>
      </c>
      <c r="O18" s="744">
        <f>SUM(Proj_1!I129,Proj_2!I129,Proj_3!I129,Proj_4!I129,Proj_5!I129,Proj_6!I129,Proj_7!I129,Proj_8!I129,Proj_9!I129,Proj_10!I129,Proj_11!I129,Proj_12!I129,Proj_13!I129,Proj_14!I129,Proj_15!I129,Proj_16!I129,Proj_17!I129,Proj_18!I129,Proj_19!I129,Proj_20!I129,Proj_21!I129,Proj_22!I129,Proj_23!I129,Proj_24!I129,Proj_25!I129,Proj_26!I129,Proj_27!I129,Proj_28!I129,Proj_29!I129,Proj_30!I129,Proj_31!I129,Proj_32!I129,Proj_33!I129,Proj_34!I129,Proj_35!I129,Proj_36!I129,Proj_37!I129,Proj_38!I129,Proj_39!I129,Proj_40!I129,Proj_41!I129)*Thousands*(1-$H$2)</f>
        <v>14843.249246595769</v>
      </c>
      <c r="P18" s="744">
        <f>SUM(Proj_1!J129,Proj_2!J129,Proj_3!J129,Proj_4!J129,Proj_5!J129,Proj_6!J129,Proj_7!J129,Proj_8!J129,Proj_9!J129,Proj_10!J129,Proj_11!J129,Proj_12!J129,Proj_13!J129,Proj_14!J129,Proj_15!J129,Proj_16!J129,Proj_17!J129,Proj_18!J129,Proj_19!J129,Proj_20!J129,Proj_21!J129,Proj_22!J129,Proj_23!J129,Proj_24!J129,Proj_25!J129,Proj_26!J129,Proj_27!J129,Proj_28!J129,Proj_29!J129,Proj_30!J129,Proj_31!J129,Proj_32!J129,Proj_33!J129,Proj_34!J129,Proj_35!J129,Proj_36!J129,Proj_37!J129,Proj_38!J129,Proj_39!J129,Proj_40!J129,Proj_41!J129)*Thousands*(1-$H$2)</f>
        <v>14963.479565493197</v>
      </c>
      <c r="Q18" s="744">
        <f>SUM(Proj_1!K129,Proj_2!K129,Proj_3!K129,Proj_4!K129,Proj_5!K129,Proj_6!K129,Proj_7!K129,Proj_8!K129,Proj_9!K129,Proj_10!K129,Proj_11!K129,Proj_12!K129,Proj_13!K129,Proj_14!K129,Proj_15!K129,Proj_16!K129,Proj_17!K129,Proj_18!K129,Proj_19!K129,Proj_20!K129,Proj_21!K129,Proj_22!K129,Proj_23!K129,Proj_24!K129,Proj_25!K129,Proj_26!K129,Proj_27!K129,Proj_28!K129,Proj_29!K129,Proj_30!K129,Proj_31!K129,Proj_32!K129,Proj_33!K129,Proj_34!K129,Proj_35!K129,Proj_36!K129,Proj_37!K129,Proj_38!K129,Proj_39!K129,Proj_40!K129,Proj_41!K129)*Thousands*(1-$H$2)</f>
        <v>15087.30235889765</v>
      </c>
      <c r="R18" s="744">
        <f>SUM(Proj_1!L129,Proj_2!L129,Proj_3!L129,Proj_4!L129,Proj_5!L129,Proj_6!L129,Proj_7!L129,Proj_8!L129,Proj_9!L129,Proj_10!L129,Proj_11!L129,Proj_12!L129,Proj_13!L129,Proj_14!L129,Proj_15!L129,Proj_16!L129,Proj_17!L129,Proj_18!L129,Proj_19!L129,Proj_20!L129,Proj_21!L129,Proj_22!L129,Proj_23!L129,Proj_24!L129,Proj_25!L129,Proj_26!L129,Proj_27!L129,Proj_28!L129,Proj_29!L129,Proj_30!L129,Proj_31!L129,Proj_32!L129,Proj_33!L129,Proj_34!L129,Proj_35!L129,Proj_36!L129,Proj_37!L129,Proj_38!L129,Proj_39!L129,Proj_40!L129,Proj_41!L129)*Thousands*(1-$H$2)</f>
        <v>15222.333715009785</v>
      </c>
      <c r="S18" s="747">
        <f>SUM(Proj_1!M129,Proj_2!M129,Proj_3!M129,Proj_4!M129,Proj_5!M129,Proj_6!M129,Proj_7!M129,Proj_8!M129,Proj_9!M129,Proj_10!M129,Proj_11!M129,Proj_12!M129,Proj_13!M129,Proj_14!M129,Proj_15!M129,Proj_16!M129,Proj_17!M129,Proj_18!M129,Proj_19!M129,Proj_20!M129,Proj_21!M129,Proj_22!M129,Proj_23!M129,Proj_24!M129,Proj_25!M129,Proj_26!M129,Proj_27!M129,Proj_28!M129,Proj_29!M129,Proj_30!M129,Proj_31!M129,Proj_32!M129,Proj_33!M129,Proj_34!M129,Proj_35!M129,Proj_36!M129,Proj_37!M129,Proj_38!M129,Proj_39!M129,Proj_40!M129,Proj_41!M129)*Thousands*(1-$H$2)</f>
        <v>15360.856951816377</v>
      </c>
      <c r="T18" s="743">
        <f>SUM(Proj_1!G141,Proj_2!G141,Proj_3!G141,Proj_4!G141,Proj_5!G141,Proj_6!G141,Proj_7!G141,Proj_8!G141,Proj_9!G141,Proj_10!G141,Proj_11!G141,Proj_12!G141,Proj_13!G141,Proj_14!G141,Proj_15!G141,Proj_16!G141,Proj_17!G141,Proj_18!G141,Proj_19!G141,Proj_20!G141,Proj_21!G141,Proj_22!G141,Proj_23!G141,Proj_24!G141,Proj_25!G141,Proj_26!G141,Proj_27!G141,Proj_28!G141,Proj_29!G141,Proj_30!G141,Proj_31!G141,Proj_32!G141,Proj_33!G141,Proj_34!G141,Proj_35!G141,Proj_36!G141,Proj_37!G141,Proj_38!G141,Proj_39!G141,Proj_40!G141,Proj_41!G141)*Thousands</f>
        <v>1518738.3435490206</v>
      </c>
      <c r="U18" s="744">
        <f>SUM(Proj_1!H141,Proj_2!H141,Proj_3!H141,Proj_4!H141,Proj_5!H141,Proj_6!H141,Proj_7!H141,Proj_8!H141,Proj_9!H141,Proj_10!H141,Proj_11!H141,Proj_12!H141,Proj_13!H141,Proj_14!H141,Proj_15!H141,Proj_16!H141,Proj_17!H141,Proj_18!H141,Proj_19!H141,Proj_20!H141,Proj_21!H141,Proj_22!H141,Proj_23!H141,Proj_24!H141,Proj_25!H141,Proj_26!H141,Proj_27!H141,Proj_28!H141,Proj_29!H141,Proj_30!H141,Proj_31!H141,Proj_32!H141,Proj_33!H141,Proj_34!H141,Proj_35!H141,Proj_36!H141,Proj_37!H141,Proj_38!H141,Proj_39!H141,Proj_40!H141,Proj_41!H141)*Thousands</f>
        <v>4977259.7596712233</v>
      </c>
      <c r="V18" s="744">
        <f>SUM(Proj_1!I141,Proj_2!I141,Proj_3!I141,Proj_4!I141,Proj_5!I141,Proj_6!I141,Proj_7!I141,Proj_8!I141,Proj_9!I141,Proj_10!I141,Proj_11!I141,Proj_12!I141,Proj_13!I141,Proj_14!I141,Proj_15!I141,Proj_16!I141,Proj_17!I141,Proj_18!I141,Proj_19!I141,Proj_20!I141,Proj_21!I141,Proj_22!I141,Proj_23!I141,Proj_24!I141,Proj_25!I141,Proj_26!I141,Proj_27!I141,Proj_28!I141,Proj_29!I141,Proj_30!I141,Proj_31!I141,Proj_32!I141,Proj_33!I141,Proj_34!I141,Proj_35!I141,Proj_36!I141,Proj_37!I141,Proj_38!I141,Proj_39!I141,Proj_40!I141,Proj_41!I141)*Thousands*(1-$H$2)</f>
        <v>74257.998798361223</v>
      </c>
      <c r="W18" s="744">
        <f>SUM(Proj_1!J141,Proj_2!J141,Proj_3!J141,Proj_4!J141,Proj_5!J141,Proj_6!J141,Proj_7!J141,Proj_8!J141,Proj_9!J141,Proj_10!J141,Proj_11!J141,Proj_12!J141,Proj_13!J141,Proj_14!J141,Proj_15!J141,Proj_16!J141,Proj_17!J141,Proj_18!J141,Proj_19!J141,Proj_20!J141,Proj_21!J141,Proj_22!J141,Proj_23!J141,Proj_24!J141,Proj_25!J141,Proj_26!J141,Proj_27!J141,Proj_28!J141,Proj_29!J141,Proj_30!J141,Proj_31!J141,Proj_32!J141,Proj_33!J141,Proj_34!J141,Proj_35!J141,Proj_36!J141,Proj_37!J141,Proj_38!J141,Proj_39!J141,Proj_40!J141,Proj_41!J141)*Thousands*(1-$H$2)</f>
        <v>75032.138435834131</v>
      </c>
      <c r="X18" s="744">
        <f>SUM(Proj_1!K141,Proj_2!K141,Proj_3!K141,Proj_4!K141,Proj_5!K141,Proj_6!K141,Proj_7!K141,Proj_8!K141,Proj_9!K141,Proj_10!K141,Proj_11!K141,Proj_12!K141,Proj_13!K141,Proj_14!K141,Proj_15!K141,Proj_16!K141,Proj_17!K141,Proj_18!K141,Proj_19!K141,Proj_20!K141,Proj_21!K141,Proj_22!K141,Proj_23!K141,Proj_24!K141,Proj_25!K141,Proj_26!K141,Proj_27!K141,Proj_28!K141,Proj_29!K141,Proj_30!K141,Proj_31!K141,Proj_32!K141,Proj_33!K141,Proj_34!K141,Proj_35!K141,Proj_36!K141,Proj_37!K141,Proj_38!K141,Proj_39!K141,Proj_40!K141,Proj_41!K141)*Thousands*(1-$H$2)</f>
        <v>75788.087230575169</v>
      </c>
      <c r="Y18" s="744">
        <f>SUM(Proj_1!L141,Proj_2!L141,Proj_3!L141,Proj_4!L141,Proj_5!L141,Proj_6!L141,Proj_7!L141,Proj_8!L141,Proj_9!L141,Proj_10!L141,Proj_11!L141,Proj_12!L141,Proj_13!L141,Proj_14!L141,Proj_15!L141,Proj_16!L141,Proj_17!L141,Proj_18!L141,Proj_19!L141,Proj_20!L141,Proj_21!L141,Proj_22!L141,Proj_23!L141,Proj_24!L141,Proj_25!L141,Proj_26!L141,Proj_27!L141,Proj_28!L141,Proj_29!L141,Proj_30!L141,Proj_31!L141,Proj_32!L141,Proj_33!L141,Proj_34!L141,Proj_35!L141,Proj_36!L141,Proj_37!L141,Proj_38!L141,Proj_39!L141,Proj_40!L141,Proj_41!L141)*Thousands*(1-$H$2)</f>
        <v>76614.17738138845</v>
      </c>
      <c r="Z18" s="745">
        <f>SUM(Proj_1!M141,Proj_2!M141,Proj_3!M141,Proj_4!M141,Proj_5!M141,Proj_6!M141,Proj_7!M141,Proj_8!M141,Proj_9!M141,Proj_10!M141,Proj_11!M141,Proj_12!M141,Proj_13!M141,Proj_14!M141,Proj_15!M141,Proj_16!M141,Proj_17!M141,Proj_18!M141,Proj_19!M141,Proj_20!M141,Proj_21!M141,Proj_22!M141,Proj_23!M141,Proj_24!M141,Proj_25!M141,Proj_26!M141,Proj_27!M141,Proj_28!M141,Proj_29!M141,Proj_30!M141,Proj_31!M141,Proj_32!M141,Proj_33!M141,Proj_34!M141,Proj_35!M141,Proj_36!M141,Proj_37!M141,Proj_38!M141,Proj_39!M141,Proj_40!M141,Proj_41!M141)*Thousands*(1-$H$2)</f>
        <v>77468.425459190927</v>
      </c>
      <c r="AA18" s="743">
        <v>0</v>
      </c>
      <c r="AB18" s="744">
        <v>0</v>
      </c>
      <c r="AC18" s="744">
        <v>0</v>
      </c>
      <c r="AD18" s="744">
        <v>0</v>
      </c>
      <c r="AE18" s="744">
        <v>0</v>
      </c>
      <c r="AF18" s="744">
        <v>0</v>
      </c>
      <c r="AG18" s="747">
        <v>0</v>
      </c>
      <c r="AH18" s="743"/>
      <c r="AI18" s="744"/>
      <c r="AJ18" s="744"/>
      <c r="AK18" s="744"/>
      <c r="AL18" s="744"/>
      <c r="AM18" s="744"/>
      <c r="AN18" s="747"/>
      <c r="AO18" s="743"/>
      <c r="AP18" s="744"/>
      <c r="AQ18" s="744"/>
      <c r="AR18" s="744"/>
      <c r="AS18" s="744"/>
      <c r="AT18" s="744"/>
      <c r="AU18" s="747"/>
      <c r="AW18" s="891">
        <f t="shared" si="0"/>
        <v>3033052.5165424384</v>
      </c>
      <c r="AX18" s="891">
        <f t="shared" si="1"/>
        <v>9913896.8568201885</v>
      </c>
      <c r="AY18" s="891">
        <f t="shared" si="2"/>
        <v>147272.17135322769</v>
      </c>
      <c r="AZ18" s="891">
        <f t="shared" si="3"/>
        <v>148166.54130959802</v>
      </c>
      <c r="BA18" s="891">
        <f t="shared" si="4"/>
        <v>149046.31289774348</v>
      </c>
      <c r="BB18" s="891">
        <f t="shared" si="5"/>
        <v>150007.43440466892</v>
      </c>
      <c r="BC18" s="891">
        <f t="shared" si="6"/>
        <v>151000.20571927799</v>
      </c>
      <c r="BE18" s="862">
        <f>SUM(Proj_1!G153,Proj_2!G153,Proj_3!G153,Proj_4!G153,Proj_5!G153,Proj_6!G153,Proj_7!G153,Proj_8!G153,Proj_9!G153,Proj_10!G153,Proj_11!G153,Proj_12!G153,Proj_13!G153,Proj_14!G153,Proj_15!G153,Proj_16!G153,Proj_17!G153,Proj_18!G153,Proj_19!G153,Proj_20!G153,Proj_21!G153,Proj_22!G153,Proj_23!G153,Proj_24!G153,Proj_25!G153,Proj_26!G153,Proj_27!G153,Proj_28!G153,Proj_29!G153,Proj_30!G153,Proj_31!G153,Proj_32!G153,Proj_33!G153,Proj_34!G153,Proj_35!G153,Proj_36!G153,Proj_37!G153,Proj_38!G153,Proj_39!G153,Proj_40!G153,Proj_41!G153)*Thousands-AW18</f>
        <v>0</v>
      </c>
      <c r="BF18" s="862">
        <f>SUM(Proj_1!H153,Proj_2!H153,Proj_3!H153,Proj_4!H153,Proj_5!H153,Proj_6!H153,Proj_7!H153,Proj_8!H153,Proj_9!H153,Proj_10!H153,Proj_11!H153,Proj_12!H153,Proj_13!H153,Proj_14!H153,Proj_15!H153,Proj_16!H153,Proj_17!H153,Proj_18!H153,Proj_19!H153,Proj_20!H153,Proj_21!H153,Proj_22!H153,Proj_23!H153,Proj_24!H153,Proj_25!H153,Proj_26!H153,Proj_27!H153,Proj_28!H153,Proj_29!H153,Proj_30!H153,Proj_31!H153,Proj_32!H153,Proj_33!H153,Proj_34!H153,Proj_35!H153,Proj_36!H153,Proj_37!H153,Proj_38!H153,Proj_39!H153,Proj_40!H153,Proj_41!H153)*Thousands-AX18</f>
        <v>0</v>
      </c>
      <c r="BG18" s="862">
        <f>SUM(Proj_1!I153,Proj_2!I153,Proj_3!I153,Proj_4!I153,Proj_5!I153,Proj_6!I153,Proj_7!I153,Proj_8!I153,Proj_9!I153,Proj_10!I153,Proj_11!I153,Proj_12!I153,Proj_13!I153,Proj_14!I153,Proj_15!I153,Proj_16!I153,Proj_17!I153,Proj_18!I153,Proj_19!I153,Proj_20!I153,Proj_21!I153,Proj_22!I153,Proj_23!I153,Proj_24!I153,Proj_25!I153,Proj_26!I153,Proj_27!I153,Proj_28!I153,Proj_29!I153,Proj_30!I153,Proj_31!I153,Proj_32!I153,Proj_33!I153,Proj_34!I153,Proj_35!I153,Proj_36!I153,Proj_37!I153,Proj_38!I153,Proj_39!I153,Proj_40!I153,Proj_41!I153)*Thousands*(1-$H$2)-AY18</f>
        <v>0</v>
      </c>
      <c r="BH18" s="862">
        <f>SUM(Proj_1!J153,Proj_2!J153,Proj_3!J153,Proj_4!J153,Proj_5!J153,Proj_6!J153,Proj_7!J153,Proj_8!J153,Proj_9!J153,Proj_10!J153,Proj_11!J153,Proj_12!J153,Proj_13!J153,Proj_14!J153,Proj_15!J153,Proj_16!J153,Proj_17!J153,Proj_18!J153,Proj_19!J153,Proj_20!J153,Proj_21!J153,Proj_22!J153,Proj_23!J153,Proj_24!J153,Proj_25!J153,Proj_26!J153,Proj_27!J153,Proj_28!J153,Proj_29!J153,Proj_30!J153,Proj_31!J153,Proj_32!J153,Proj_33!J153,Proj_34!J153,Proj_35!J153,Proj_36!J153,Proj_37!J153,Proj_38!J153,Proj_39!J153,Proj_40!J153,Proj_41!J153)*Thousands*(1-$H$2)-AZ18</f>
        <v>0</v>
      </c>
      <c r="BI18" s="862">
        <f>SUM(Proj_1!K153,Proj_2!K153,Proj_3!K153,Proj_4!K153,Proj_5!K153,Proj_6!K153,Proj_7!K153,Proj_8!K153,Proj_9!K153,Proj_10!K153,Proj_11!K153,Proj_12!K153,Proj_13!K153,Proj_14!K153,Proj_15!K153,Proj_16!K153,Proj_17!K153,Proj_18!K153,Proj_19!K153,Proj_20!K153,Proj_21!K153,Proj_22!K153,Proj_23!K153,Proj_24!K153,Proj_25!K153,Proj_26!K153,Proj_27!K153,Proj_28!K153,Proj_29!K153,Proj_30!K153,Proj_31!K153,Proj_32!K153,Proj_33!K153,Proj_34!K153,Proj_35!K153,Proj_36!K153,Proj_37!K153,Proj_38!K153,Proj_39!K153,Proj_40!K153,Proj_41!K153)*Thousands*(1-$H$2)-BA18</f>
        <v>0</v>
      </c>
      <c r="BJ18" s="862">
        <f>SUM(Proj_1!L153,Proj_2!L153,Proj_3!L153,Proj_4!L153,Proj_5!L153,Proj_6!L153,Proj_7!L153,Proj_8!L153,Proj_9!L153,Proj_10!L153,Proj_11!L153,Proj_12!L153,Proj_13!L153,Proj_14!L153,Proj_15!L153,Proj_16!L153,Proj_17!L153,Proj_18!L153,Proj_19!L153,Proj_20!L153,Proj_21!L153,Proj_22!L153,Proj_23!L153,Proj_24!L153,Proj_25!L153,Proj_26!L153,Proj_27!L153,Proj_28!L153,Proj_29!L153,Proj_30!L153,Proj_31!L153,Proj_32!L153,Proj_33!L153,Proj_34!L153,Proj_35!L153,Proj_36!L153,Proj_37!L153,Proj_38!L153,Proj_39!L153,Proj_40!L153,Proj_41!L153)*Thousands*(1-$H$2)-BB18</f>
        <v>0</v>
      </c>
      <c r="BK18" s="862">
        <f>SUM(Proj_1!M153,Proj_2!M153,Proj_3!M153,Proj_4!M153,Proj_5!M153,Proj_6!M153,Proj_7!M153,Proj_8!M153,Proj_9!M153,Proj_10!M153,Proj_11!M153,Proj_12!M153,Proj_13!M153,Proj_14!M153,Proj_15!M153,Proj_16!M153,Proj_17!M153,Proj_18!M153,Proj_19!M153,Proj_20!M153,Proj_21!M153,Proj_22!M153,Proj_23!M153,Proj_24!M153,Proj_25!M153,Proj_26!M153,Proj_27!M153,Proj_28!M153,Proj_29!M153,Proj_30!M153,Proj_31!M153,Proj_32!M153,Proj_33!M153,Proj_34!M153,Proj_35!M153,Proj_36!M153,Proj_37!M153,Proj_38!M153,Proj_39!M153,Proj_40!M153,Proj_41!M153)*Thousands*(1-$H$2)-BC18</f>
        <v>0</v>
      </c>
    </row>
    <row r="19" spans="3:63">
      <c r="C19" s="735"/>
      <c r="D19" s="719" t="s">
        <v>386</v>
      </c>
      <c r="E19" s="730" t="s">
        <v>378</v>
      </c>
      <c r="F19" s="743">
        <f>SUM(Proj_1!G118,Proj_2!G118,Proj_3!G118,Proj_4!G118,Proj_5!G118,Proj_6!G118,Proj_7!G118,Proj_8!G118,Proj_9!G118,Proj_10!G118,Proj_11!G118,Proj_12!G118,Proj_13!G118,Proj_14!G118,Proj_15!G118,Proj_16!G118,Proj_17!G118,Proj_18!G118,Proj_19!G118,Proj_20!G118,Proj_21!G118,Proj_22!G118,Proj_23!G118,Proj_24!G118,Proj_25!G118,Proj_26!G118,Proj_27!G118,Proj_28!G118,Proj_29!G118,Proj_30!G118,Proj_31!G118,Proj_32!G118,Proj_33!G118,Proj_34!G118,Proj_35!G118,Proj_36!G118,Proj_37!G118,Proj_38!G118,Proj_39!G118,Proj_40!G118,Proj_41!G118)*Thousands</f>
        <v>14361918.065863997</v>
      </c>
      <c r="G19" s="744">
        <f>SUM(Proj_1!H118,Proj_2!H118,Proj_3!H118,Proj_4!H118,Proj_5!H118,Proj_6!H118,Proj_7!H118,Proj_8!H118,Proj_9!H118,Proj_10!H118,Proj_11!H118,Proj_12!H118,Proj_13!H118,Proj_14!H118,Proj_15!H118,Proj_16!H118,Proj_17!H118,Proj_18!H118,Proj_19!H118,Proj_20!H118,Proj_21!H118,Proj_22!H118,Proj_23!H118,Proj_24!H118,Proj_25!H118,Proj_26!H118,Proj_27!H118,Proj_28!H118,Proj_29!H118,Proj_30!H118,Proj_31!H118,Proj_32!H118,Proj_33!H118,Proj_34!H118,Proj_35!H118,Proj_36!H118,Proj_37!H118,Proj_38!H118,Proj_39!H118,Proj_40!H118,Proj_41!H118)*Thousands</f>
        <v>14466390.024683749</v>
      </c>
      <c r="H19" s="744">
        <f>SUM(Proj_1!I118,Proj_2!I118,Proj_3!I118,Proj_4!I118,Proj_5!I118,Proj_6!I118,Proj_7!I118,Proj_8!I118,Proj_9!I118,Proj_10!I118,Proj_11!I118,Proj_12!I118,Proj_13!I118,Proj_14!I118,Proj_15!I118,Proj_16!I118,Proj_17!I118,Proj_18!I118,Proj_19!I118,Proj_20!I118,Proj_21!I118,Proj_22!I118,Proj_23!I118,Proj_24!I118,Proj_25!I118,Proj_26!I118,Proj_27!I118,Proj_28!I118,Proj_29!I118,Proj_30!I118,Proj_31!I118,Proj_32!I118,Proj_33!I118,Proj_34!I118,Proj_35!I118,Proj_36!I118,Proj_37!I118,Proj_38!I118,Proj_39!I118,Proj_40!I118,Proj_41!I118)*Thousands*(1-$H$2)</f>
        <v>13750427.953371933</v>
      </c>
      <c r="I19" s="744">
        <f>SUM(Proj_1!J118,Proj_2!J118,Proj_3!J118,Proj_4!J118,Proj_5!J118,Proj_6!J118,Proj_7!J118,Proj_8!J118,Proj_9!J118,Proj_10!J118,Proj_11!J118,Proj_12!J118,Proj_13!J118,Proj_14!J118,Proj_15!J118,Proj_16!J118,Proj_17!J118,Proj_18!J118,Proj_19!J118,Proj_20!J118,Proj_21!J118,Proj_22!J118,Proj_23!J118,Proj_24!J118,Proj_25!J118,Proj_26!J118,Proj_27!J118,Proj_28!J118,Proj_29!J118,Proj_30!J118,Proj_31!J118,Proj_32!J118,Proj_33!J118,Proj_34!J118,Proj_35!J118,Proj_36!J118,Proj_37!J118,Proj_38!J118,Proj_39!J118,Proj_40!J118,Proj_41!J118)*Thousands*(1-$H$2)</f>
        <v>11709190.584089572</v>
      </c>
      <c r="J19" s="744">
        <f>SUM(Proj_1!K118,Proj_2!K118,Proj_3!K118,Proj_4!K118,Proj_5!K118,Proj_6!K118,Proj_7!K118,Proj_8!K118,Proj_9!K118,Proj_10!K118,Proj_11!K118,Proj_12!K118,Proj_13!K118,Proj_14!K118,Proj_15!K118,Proj_16!K118,Proj_17!K118,Proj_18!K118,Proj_19!K118,Proj_20!K118,Proj_21!K118,Proj_22!K118,Proj_23!K118,Proj_24!K118,Proj_25!K118,Proj_26!K118,Proj_27!K118,Proj_28!K118,Proj_29!K118,Proj_30!K118,Proj_31!K118,Proj_32!K118,Proj_33!K118,Proj_34!K118,Proj_35!K118,Proj_36!K118,Proj_37!K118,Proj_38!K118,Proj_39!K118,Proj_40!K118,Proj_41!K118)*Thousands*(1-$H$2)</f>
        <v>11376261.382906737</v>
      </c>
      <c r="K19" s="744">
        <f>SUM(Proj_1!L118,Proj_2!L118,Proj_3!L118,Proj_4!L118,Proj_5!L118,Proj_6!L118,Proj_7!L118,Proj_8!L118,Proj_9!L118,Proj_10!L118,Proj_11!L118,Proj_12!L118,Proj_13!L118,Proj_14!L118,Proj_15!L118,Proj_16!L118,Proj_17!L118,Proj_18!L118,Proj_19!L118,Proj_20!L118,Proj_21!L118,Proj_22!L118,Proj_23!L118,Proj_24!L118,Proj_25!L118,Proj_26!L118,Proj_27!L118,Proj_28!L118,Proj_29!L118,Proj_30!L118,Proj_31!L118,Proj_32!L118,Proj_33!L118,Proj_34!L118,Proj_35!L118,Proj_36!L118,Proj_37!L118,Proj_38!L118,Proj_39!L118,Proj_40!L118,Proj_41!L118)*Thousands*(1-$H$2)</f>
        <v>10526177.555599915</v>
      </c>
      <c r="L19" s="745">
        <f>SUM(Proj_1!M118,Proj_2!M118,Proj_3!M118,Proj_4!M118,Proj_5!M118,Proj_6!M118,Proj_7!M118,Proj_8!M118,Proj_9!M118,Proj_10!M118,Proj_11!M118,Proj_12!M118,Proj_13!M118,Proj_14!M118,Proj_15!M118,Proj_16!M118,Proj_17!M118,Proj_18!M118,Proj_19!M118,Proj_20!M118,Proj_21!M118,Proj_22!M118,Proj_23!M118,Proj_24!M118,Proj_25!M118,Proj_26!M118,Proj_27!M118,Proj_28!M118,Proj_29!M118,Proj_30!M118,Proj_31!M118,Proj_32!M118,Proj_33!M118,Proj_34!M118,Proj_35!M118,Proj_36!M118,Proj_37!M118,Proj_38!M118,Proj_39!M118,Proj_40!M118,Proj_41!M118)*Thousands*(1-$H$2)</f>
        <v>9416316.985469522</v>
      </c>
      <c r="M19" s="743">
        <f>SUM(Proj_1!G130,Proj_2!G130,Proj_3!G130,Proj_4!G130,Proj_5!G130,Proj_6!G130,Proj_7!G130,Proj_8!G130,Proj_9!G130,Proj_10!G130,Proj_11!G130,Proj_12!G130,Proj_13!G130,Proj_14!G130,Proj_15!G130,Proj_16!G130,Proj_17!G130,Proj_18!G130,Proj_19!G130,Proj_20!G130,Proj_21!G130,Proj_22!G130,Proj_23!G130,Proj_24!G130,Proj_25!G130,Proj_26!G130,Proj_27!G130,Proj_28!G130,Proj_29!G130,Proj_30!G130,Proj_31!G130,Proj_32!G130,Proj_33!G130,Proj_34!G130,Proj_35!G130,Proj_36!G130,Proj_37!G130,Proj_38!G130,Proj_39!G130,Proj_40!G130,Proj_41!G130)*Thousands</f>
        <v>3611573.583625237</v>
      </c>
      <c r="N19" s="744">
        <f>SUM(Proj_1!H130,Proj_2!H130,Proj_3!H130,Proj_4!H130,Proj_5!H130,Proj_6!H130,Proj_7!H130,Proj_8!H130,Proj_9!H130,Proj_10!H130,Proj_11!H130,Proj_12!H130,Proj_13!H130,Proj_14!H130,Proj_15!H130,Proj_16!H130,Proj_17!H130,Proj_18!H130,Proj_19!H130,Proj_20!H130,Proj_21!H130,Proj_22!H130,Proj_23!H130,Proj_24!H130,Proj_25!H130,Proj_26!H130,Proj_27!H130,Proj_28!H130,Proj_29!H130,Proj_30!H130,Proj_31!H130,Proj_32!H130,Proj_33!H130,Proj_34!H130,Proj_35!H130,Proj_36!H130,Proj_37!H130,Proj_38!H130,Proj_39!H130,Proj_40!H130,Proj_41!H130)*Thousands</f>
        <v>3661854.7936287215</v>
      </c>
      <c r="O19" s="744">
        <f>SUM(Proj_1!I130,Proj_2!I130,Proj_3!I130,Proj_4!I130,Proj_5!I130,Proj_6!I130,Proj_7!I130,Proj_8!I130,Proj_9!I130,Proj_10!I130,Proj_11!I130,Proj_12!I130,Proj_13!I130,Proj_14!I130,Proj_15!I130,Proj_16!I130,Proj_17!I130,Proj_18!I130,Proj_19!I130,Proj_20!I130,Proj_21!I130,Proj_22!I130,Proj_23!I130,Proj_24!I130,Proj_25!I130,Proj_26!I130,Proj_27!I130,Proj_28!I130,Proj_29!I130,Proj_30!I130,Proj_31!I130,Proj_32!I130,Proj_33!I130,Proj_34!I130,Proj_35!I130,Proj_36!I130,Proj_37!I130,Proj_38!I130,Proj_39!I130,Proj_40!I130,Proj_41!I130)*Thousands*(1-$H$2)</f>
        <v>3508643.4553848389</v>
      </c>
      <c r="P19" s="744">
        <f>SUM(Proj_1!J130,Proj_2!J130,Proj_3!J130,Proj_4!J130,Proj_5!J130,Proj_6!J130,Proj_7!J130,Proj_8!J130,Proj_9!J130,Proj_10!J130,Proj_11!J130,Proj_12!J130,Proj_13!J130,Proj_14!J130,Proj_15!J130,Proj_16!J130,Proj_17!J130,Proj_18!J130,Proj_19!J130,Proj_20!J130,Proj_21!J130,Proj_22!J130,Proj_23!J130,Proj_24!J130,Proj_25!J130,Proj_26!J130,Proj_27!J130,Proj_28!J130,Proj_29!J130,Proj_30!J130,Proj_31!J130,Proj_32!J130,Proj_33!J130,Proj_34!J130,Proj_35!J130,Proj_36!J130,Proj_37!J130,Proj_38!J130,Proj_39!J130,Proj_40!J130,Proj_41!J130)*Thousands*(1-$H$2)</f>
        <v>3011989.9095460707</v>
      </c>
      <c r="Q19" s="744">
        <f>SUM(Proj_1!K130,Proj_2!K130,Proj_3!K130,Proj_4!K130,Proj_5!K130,Proj_6!K130,Proj_7!K130,Proj_8!K130,Proj_9!K130,Proj_10!K130,Proj_11!K130,Proj_12!K130,Proj_13!K130,Proj_14!K130,Proj_15!K130,Proj_16!K130,Proj_17!K130,Proj_18!K130,Proj_19!K130,Proj_20!K130,Proj_21!K130,Proj_22!K130,Proj_23!K130,Proj_24!K130,Proj_25!K130,Proj_26!K130,Proj_27!K130,Proj_28!K130,Proj_29!K130,Proj_30!K130,Proj_31!K130,Proj_32!K130,Proj_33!K130,Proj_34!K130,Proj_35!K130,Proj_36!K130,Proj_37!K130,Proj_38!K130,Proj_39!K130,Proj_40!K130,Proj_41!K130)*Thousands*(1-$H$2)</f>
        <v>2950565.0836620261</v>
      </c>
      <c r="R19" s="744">
        <f>SUM(Proj_1!L130,Proj_2!L130,Proj_3!L130,Proj_4!L130,Proj_5!L130,Proj_6!L130,Proj_7!L130,Proj_8!L130,Proj_9!L130,Proj_10!L130,Proj_11!L130,Proj_12!L130,Proj_13!L130,Proj_14!L130,Proj_15!L130,Proj_16!L130,Proj_17!L130,Proj_18!L130,Proj_19!L130,Proj_20!L130,Proj_21!L130,Proj_22!L130,Proj_23!L130,Proj_24!L130,Proj_25!L130,Proj_26!L130,Proj_27!L130,Proj_28!L130,Proj_29!L130,Proj_30!L130,Proj_31!L130,Proj_32!L130,Proj_33!L130,Proj_34!L130,Proj_35!L130,Proj_36!L130,Proj_37!L130,Proj_38!L130,Proj_39!L130,Proj_40!L130,Proj_41!L130)*Thousands*(1-$H$2)</f>
        <v>2754520.272020611</v>
      </c>
      <c r="S19" s="747">
        <f>SUM(Proj_1!M130,Proj_2!M130,Proj_3!M130,Proj_4!M130,Proj_5!M130,Proj_6!M130,Proj_7!M130,Proj_8!M130,Proj_9!M130,Proj_10!M130,Proj_11!M130,Proj_12!M130,Proj_13!M130,Proj_14!M130,Proj_15!M130,Proj_16!M130,Proj_17!M130,Proj_18!M130,Proj_19!M130,Proj_20!M130,Proj_21!M130,Proj_22!M130,Proj_23!M130,Proj_24!M130,Proj_25!M130,Proj_26!M130,Proj_27!M130,Proj_28!M130,Proj_29!M130,Proj_30!M130,Proj_31!M130,Proj_32!M130,Proj_33!M130,Proj_34!M130,Proj_35!M130,Proj_36!M130,Proj_37!M130,Proj_38!M130,Proj_39!M130,Proj_40!M130,Proj_41!M130)*Thousands*(1-$H$2)</f>
        <v>2486511.9891640251</v>
      </c>
      <c r="T19" s="743">
        <f>SUM(Proj_1!G142,Proj_2!G142,Proj_3!G142,Proj_4!G142,Proj_5!G142,Proj_6!G142,Proj_7!G142,Proj_8!G142,Proj_9!G142,Proj_10!G142,Proj_11!G142,Proj_12!G142,Proj_13!G142,Proj_14!G142,Proj_15!G142,Proj_16!G142,Proj_17!G142,Proj_18!G142,Proj_19!G142,Proj_20!G142,Proj_21!G142,Proj_22!G142,Proj_23!G142,Proj_24!G142,Proj_25!G142,Proj_26!G142,Proj_27!G142,Proj_28!G142,Proj_29!G142,Proj_30!G142,Proj_31!G142,Proj_32!G142,Proj_33!G142,Proj_34!G142,Proj_35!G142,Proj_36!G142,Proj_37!G142,Proj_38!G142,Proj_39!G142,Proj_40!G142,Proj_41!G142)*Thousands</f>
        <v>18026002.412417546</v>
      </c>
      <c r="U19" s="744">
        <f>SUM(Proj_1!H142,Proj_2!H142,Proj_3!H142,Proj_4!H142,Proj_5!H142,Proj_6!H142,Proj_7!H142,Proj_8!H142,Proj_9!H142,Proj_10!H142,Proj_11!H142,Proj_12!H142,Proj_13!H142,Proj_14!H142,Proj_15!H142,Proj_16!H142,Proj_17!H142,Proj_18!H142,Proj_19!H142,Proj_20!H142,Proj_21!H142,Proj_22!H142,Proj_23!H142,Proj_24!H142,Proj_25!H142,Proj_26!H142,Proj_27!H142,Proj_28!H142,Proj_29!H142,Proj_30!H142,Proj_31!H142,Proj_32!H142,Proj_33!H142,Proj_34!H142,Proj_35!H142,Proj_36!H142,Proj_37!H142,Proj_38!H142,Proj_39!H142,Proj_40!H142,Proj_41!H142)*Thousands</f>
        <v>18277418.751271904</v>
      </c>
      <c r="V19" s="744">
        <f>SUM(Proj_1!I142,Proj_2!I142,Proj_3!I142,Proj_4!I142,Proj_5!I142,Proj_6!I142,Proj_7!I142,Proj_8!I142,Proj_9!I142,Proj_10!I142,Proj_11!I142,Proj_12!I142,Proj_13!I142,Proj_14!I142,Proj_15!I142,Proj_16!I142,Proj_17!I142,Proj_18!I142,Proj_19!I142,Proj_20!I142,Proj_21!I142,Proj_22!I142,Proj_23!I142,Proj_24!I142,Proj_25!I142,Proj_26!I142,Proj_27!I142,Proj_28!I142,Proj_29!I142,Proj_30!I142,Proj_31!I142,Proj_32!I142,Proj_33!I142,Proj_34!I142,Proj_35!I142,Proj_36!I142,Proj_37!I142,Proj_38!I142,Proj_39!I142,Proj_40!I142,Proj_41!I142)*Thousands*(1-$H$2)</f>
        <v>17553086.737635974</v>
      </c>
      <c r="W19" s="744">
        <f>SUM(Proj_1!J142,Proj_2!J142,Proj_3!J142,Proj_4!J142,Proj_5!J142,Proj_6!J142,Proj_7!J142,Proj_8!J142,Proj_9!J142,Proj_10!J142,Proj_11!J142,Proj_12!J142,Proj_13!J142,Proj_14!J142,Proj_15!J142,Proj_16!J142,Proj_17!J142,Proj_18!J142,Proj_19!J142,Proj_20!J142,Proj_21!J142,Proj_22!J142,Proj_23!J142,Proj_24!J142,Proj_25!J142,Proj_26!J142,Proj_27!J142,Proj_28!J142,Proj_29!J142,Proj_30!J142,Proj_31!J142,Proj_32!J142,Proj_33!J142,Proj_34!J142,Proj_35!J142,Proj_36!J142,Proj_37!J142,Proj_38!J142,Proj_39!J142,Proj_40!J142,Proj_41!J142)*Thousands*(1-$H$2)</f>
        <v>15103174.557177104</v>
      </c>
      <c r="X19" s="744">
        <f>SUM(Proj_1!K142,Proj_2!K142,Proj_3!K142,Proj_4!K142,Proj_5!K142,Proj_6!K142,Proj_7!K142,Proj_8!K142,Proj_9!K142,Proj_10!K142,Proj_11!K142,Proj_12!K142,Proj_13!K142,Proj_14!K142,Proj_15!K142,Proj_16!K142,Proj_17!K142,Proj_18!K142,Proj_19!K142,Proj_20!K142,Proj_21!K142,Proj_22!K142,Proj_23!K142,Proj_24!K142,Proj_25!K142,Proj_26!K142,Proj_27!K142,Proj_28!K142,Proj_29!K142,Proj_30!K142,Proj_31!K142,Proj_32!K142,Proj_33!K142,Proj_34!K142,Proj_35!K142,Proj_36!K142,Proj_37!K142,Proj_38!K142,Proj_39!K142,Proj_40!K142,Proj_41!K142)*Thousands*(1-$H$2)</f>
        <v>14821581.659904215</v>
      </c>
      <c r="Y19" s="744">
        <f>SUM(Proj_1!L142,Proj_2!L142,Proj_3!L142,Proj_4!L142,Proj_5!L142,Proj_6!L142,Proj_7!L142,Proj_8!L142,Proj_9!L142,Proj_10!L142,Proj_11!L142,Proj_12!L142,Proj_13!L142,Proj_14!L142,Proj_15!L142,Proj_16!L142,Proj_17!L142,Proj_18!L142,Proj_19!L142,Proj_20!L142,Proj_21!L142,Proj_22!L142,Proj_23!L142,Proj_24!L142,Proj_25!L142,Proj_26!L142,Proj_27!L142,Proj_28!L142,Proj_29!L142,Proj_30!L142,Proj_31!L142,Proj_32!L142,Proj_33!L142,Proj_34!L142,Proj_35!L142,Proj_36!L142,Proj_37!L142,Proj_38!L142,Proj_39!L142,Proj_40!L142,Proj_41!L142)*Thousands*(1-$H$2)</f>
        <v>13863531.615597734</v>
      </c>
      <c r="Z19" s="745">
        <f>SUM(Proj_1!M142,Proj_2!M142,Proj_3!M142,Proj_4!M142,Proj_5!M142,Proj_6!M142,Proj_7!M142,Proj_8!M142,Proj_9!M142,Proj_10!M142,Proj_11!M142,Proj_12!M142,Proj_13!M142,Proj_14!M142,Proj_15!M142,Proj_16!M142,Proj_17!M142,Proj_18!M142,Proj_19!M142,Proj_20!M142,Proj_21!M142,Proj_22!M142,Proj_23!M142,Proj_24!M142,Proj_25!M142,Proj_26!M142,Proj_27!M142,Proj_28!M142,Proj_29!M142,Proj_30!M142,Proj_31!M142,Proj_32!M142,Proj_33!M142,Proj_34!M142,Proj_35!M142,Proj_36!M142,Proj_37!M142,Proj_38!M142,Proj_39!M142,Proj_40!M142,Proj_41!M142)*Thousands*(1-$H$2)</f>
        <v>12540066.565958114</v>
      </c>
      <c r="AA19" s="743">
        <v>0</v>
      </c>
      <c r="AB19" s="744">
        <v>0</v>
      </c>
      <c r="AC19" s="744">
        <v>0</v>
      </c>
      <c r="AD19" s="744">
        <v>0</v>
      </c>
      <c r="AE19" s="744">
        <v>0</v>
      </c>
      <c r="AF19" s="744">
        <v>0</v>
      </c>
      <c r="AG19" s="747">
        <v>0</v>
      </c>
      <c r="AH19" s="743"/>
      <c r="AI19" s="744"/>
      <c r="AJ19" s="744"/>
      <c r="AK19" s="744"/>
      <c r="AL19" s="744"/>
      <c r="AM19" s="744"/>
      <c r="AN19" s="747"/>
      <c r="AO19" s="743"/>
      <c r="AP19" s="744"/>
      <c r="AQ19" s="744"/>
      <c r="AR19" s="744"/>
      <c r="AS19" s="744"/>
      <c r="AT19" s="744"/>
      <c r="AU19" s="747"/>
      <c r="AW19" s="891">
        <f t="shared" si="0"/>
        <v>35999494.061906785</v>
      </c>
      <c r="AX19" s="891">
        <f t="shared" si="1"/>
        <v>36405663.56958437</v>
      </c>
      <c r="AY19" s="891">
        <f t="shared" si="2"/>
        <v>34812158.146392748</v>
      </c>
      <c r="AZ19" s="891">
        <f t="shared" si="3"/>
        <v>29824355.050812747</v>
      </c>
      <c r="BA19" s="891">
        <f t="shared" si="4"/>
        <v>29148408.12647298</v>
      </c>
      <c r="BB19" s="891">
        <f t="shared" si="5"/>
        <v>27144229.443218261</v>
      </c>
      <c r="BC19" s="891">
        <f t="shared" si="6"/>
        <v>24442895.540591661</v>
      </c>
      <c r="BE19" s="862">
        <f>SUM(Proj_1!G154,Proj_2!G154,Proj_3!G154,Proj_4!G154,Proj_5!G154,Proj_6!G154,Proj_7!G154,Proj_8!G154,Proj_9!G154,Proj_10!G154,Proj_11!G154,Proj_12!G154,Proj_13!G154,Proj_14!G154,Proj_15!G154,Proj_16!G154,Proj_17!G154,Proj_18!G154,Proj_19!G154,Proj_20!G154,Proj_21!G154,Proj_22!G154,Proj_23!G154,Proj_24!G154,Proj_25!G154,Proj_26!G154,Proj_27!G154,Proj_28!G154,Proj_29!G154,Proj_30!G154,Proj_31!G154,Proj_32!G154,Proj_33!G154,Proj_34!G154,Proj_35!G154,Proj_36!G154,Proj_37!G154,Proj_38!G154,Proj_39!G154,Proj_40!G154,Proj_41!G154)*Thousands-AW19</f>
        <v>0</v>
      </c>
      <c r="BF19" s="862">
        <f>SUM(Proj_1!H154,Proj_2!H154,Proj_3!H154,Proj_4!H154,Proj_5!H154,Proj_6!H154,Proj_7!H154,Proj_8!H154,Proj_9!H154,Proj_10!H154,Proj_11!H154,Proj_12!H154,Proj_13!H154,Proj_14!H154,Proj_15!H154,Proj_16!H154,Proj_17!H154,Proj_18!H154,Proj_19!H154,Proj_20!H154,Proj_21!H154,Proj_22!H154,Proj_23!H154,Proj_24!H154,Proj_25!H154,Proj_26!H154,Proj_27!H154,Proj_28!H154,Proj_29!H154,Proj_30!H154,Proj_31!H154,Proj_32!H154,Proj_33!H154,Proj_34!H154,Proj_35!H154,Proj_36!H154,Proj_37!H154,Proj_38!H154,Proj_39!H154,Proj_40!H154,Proj_41!H154)*Thousands-AX19</f>
        <v>0</v>
      </c>
      <c r="BG19" s="862">
        <f>SUM(Proj_1!I154,Proj_2!I154,Proj_3!I154,Proj_4!I154,Proj_5!I154,Proj_6!I154,Proj_7!I154,Proj_8!I154,Proj_9!I154,Proj_10!I154,Proj_11!I154,Proj_12!I154,Proj_13!I154,Proj_14!I154,Proj_15!I154,Proj_16!I154,Proj_17!I154,Proj_18!I154,Proj_19!I154,Proj_20!I154,Proj_21!I154,Proj_22!I154,Proj_23!I154,Proj_24!I154,Proj_25!I154,Proj_26!I154,Proj_27!I154,Proj_28!I154,Proj_29!I154,Proj_30!I154,Proj_31!I154,Proj_32!I154,Proj_33!I154,Proj_34!I154,Proj_35!I154,Proj_36!I154,Proj_37!I154,Proj_38!I154,Proj_39!I154,Proj_40!I154,Proj_41!I154)*Thousands*(1-$H$2)-AY19</f>
        <v>0</v>
      </c>
      <c r="BH19" s="862">
        <f>SUM(Proj_1!J154,Proj_2!J154,Proj_3!J154,Proj_4!J154,Proj_5!J154,Proj_6!J154,Proj_7!J154,Proj_8!J154,Proj_9!J154,Proj_10!J154,Proj_11!J154,Proj_12!J154,Proj_13!J154,Proj_14!J154,Proj_15!J154,Proj_16!J154,Proj_17!J154,Proj_18!J154,Proj_19!J154,Proj_20!J154,Proj_21!J154,Proj_22!J154,Proj_23!J154,Proj_24!J154,Proj_25!J154,Proj_26!J154,Proj_27!J154,Proj_28!J154,Proj_29!J154,Proj_30!J154,Proj_31!J154,Proj_32!J154,Proj_33!J154,Proj_34!J154,Proj_35!J154,Proj_36!J154,Proj_37!J154,Proj_38!J154,Proj_39!J154,Proj_40!J154,Proj_41!J154)*Thousands*(1-$H$2)-AZ19</f>
        <v>0</v>
      </c>
      <c r="BI19" s="862">
        <f>SUM(Proj_1!K154,Proj_2!K154,Proj_3!K154,Proj_4!K154,Proj_5!K154,Proj_6!K154,Proj_7!K154,Proj_8!K154,Proj_9!K154,Proj_10!K154,Proj_11!K154,Proj_12!K154,Proj_13!K154,Proj_14!K154,Proj_15!K154,Proj_16!K154,Proj_17!K154,Proj_18!K154,Proj_19!K154,Proj_20!K154,Proj_21!K154,Proj_22!K154,Proj_23!K154,Proj_24!K154,Proj_25!K154,Proj_26!K154,Proj_27!K154,Proj_28!K154,Proj_29!K154,Proj_30!K154,Proj_31!K154,Proj_32!K154,Proj_33!K154,Proj_34!K154,Proj_35!K154,Proj_36!K154,Proj_37!K154,Proj_38!K154,Proj_39!K154,Proj_40!K154,Proj_41!K154)*Thousands*(1-$H$2)-BA19</f>
        <v>0</v>
      </c>
      <c r="BJ19" s="862">
        <f>SUM(Proj_1!L154,Proj_2!L154,Proj_3!L154,Proj_4!L154,Proj_5!L154,Proj_6!L154,Proj_7!L154,Proj_8!L154,Proj_9!L154,Proj_10!L154,Proj_11!L154,Proj_12!L154,Proj_13!L154,Proj_14!L154,Proj_15!L154,Proj_16!L154,Proj_17!L154,Proj_18!L154,Proj_19!L154,Proj_20!L154,Proj_21!L154,Proj_22!L154,Proj_23!L154,Proj_24!L154,Proj_25!L154,Proj_26!L154,Proj_27!L154,Proj_28!L154,Proj_29!L154,Proj_30!L154,Proj_31!L154,Proj_32!L154,Proj_33!L154,Proj_34!L154,Proj_35!L154,Proj_36!L154,Proj_37!L154,Proj_38!L154,Proj_39!L154,Proj_40!L154,Proj_41!L154)*Thousands*(1-$H$2)-BB19</f>
        <v>0</v>
      </c>
      <c r="BK19" s="862">
        <f>SUM(Proj_1!M154,Proj_2!M154,Proj_3!M154,Proj_4!M154,Proj_5!M154,Proj_6!M154,Proj_7!M154,Proj_8!M154,Proj_9!M154,Proj_10!M154,Proj_11!M154,Proj_12!M154,Proj_13!M154,Proj_14!M154,Proj_15!M154,Proj_16!M154,Proj_17!M154,Proj_18!M154,Proj_19!M154,Proj_20!M154,Proj_21!M154,Proj_22!M154,Proj_23!M154,Proj_24!M154,Proj_25!M154,Proj_26!M154,Proj_27!M154,Proj_28!M154,Proj_29!M154,Proj_30!M154,Proj_31!M154,Proj_32!M154,Proj_33!M154,Proj_34!M154,Proj_35!M154,Proj_36!M154,Proj_37!M154,Proj_38!M154,Proj_39!M154,Proj_40!M154,Proj_41!M154)*Thousands*(1-$H$2)-BC19</f>
        <v>0</v>
      </c>
    </row>
    <row r="20" spans="3:63" ht="15.75" thickBot="1">
      <c r="C20" s="748"/>
      <c r="D20" s="749" t="s">
        <v>387</v>
      </c>
      <c r="E20" s="730" t="s">
        <v>378</v>
      </c>
      <c r="F20" s="750">
        <f>SUM(Proj_1!G119,Proj_2!G119,Proj_3!G119,Proj_4!G119,Proj_5!G119,Proj_6!G119,Proj_7!G119,Proj_8!G119,Proj_9!G119,Proj_10!G119,Proj_11!G119,Proj_12!G119,Proj_13!G119,Proj_14!G119,Proj_15!G119,Proj_16!G119,Proj_17!G119,Proj_18!G119,Proj_19!G119,Proj_20!G119,Proj_21!G119,Proj_22!G119,Proj_23!G119,Proj_24!G119,Proj_25!G119,Proj_26!G119,Proj_27!G119,Proj_28!G119,Proj_29!G119,Proj_30!G119,Proj_31!G119,Proj_32!G119,Proj_33!G119,Proj_34!G119,Proj_35!G119,Proj_36!G119,Proj_37!G119,Proj_38!G119,Proj_39!G119,Proj_40!G119,Proj_41!G119)*Thousands</f>
        <v>4623430.8097517155</v>
      </c>
      <c r="G20" s="751">
        <f>SUM(Proj_1!H119,Proj_2!H119,Proj_3!H119,Proj_4!H119,Proj_5!H119,Proj_6!H119,Proj_7!H119,Proj_8!H119,Proj_9!H119,Proj_10!H119,Proj_11!H119,Proj_12!H119,Proj_13!H119,Proj_14!H119,Proj_15!H119,Proj_16!H119,Proj_17!H119,Proj_18!H119,Proj_19!H119,Proj_20!H119,Proj_21!H119,Proj_22!H119,Proj_23!H119,Proj_24!H119,Proj_25!H119,Proj_26!H119,Proj_27!H119,Proj_28!H119,Proj_29!H119,Proj_30!H119,Proj_31!H119,Proj_32!H119,Proj_33!H119,Proj_34!H119,Proj_35!H119,Proj_36!H119,Proj_37!H119,Proj_38!H119,Proj_39!H119,Proj_40!H119,Proj_41!H119)*Thousands</f>
        <v>8220604.9179336494</v>
      </c>
      <c r="H20" s="751">
        <f>SUM(Proj_1!I119,Proj_2!I119,Proj_3!I119,Proj_4!I119,Proj_5!I119,Proj_6!I119,Proj_7!I119,Proj_8!I119,Proj_9!I119,Proj_10!I119,Proj_11!I119,Proj_12!I119,Proj_13!I119,Proj_14!I119,Proj_15!I119,Proj_16!I119,Proj_17!I119,Proj_18!I119,Proj_19!I119,Proj_20!I119,Proj_21!I119,Proj_22!I119,Proj_23!I119,Proj_24!I119,Proj_25!I119,Proj_26!I119,Proj_27!I119,Proj_28!I119,Proj_29!I119,Proj_30!I119,Proj_31!I119,Proj_32!I119,Proj_33!I119,Proj_34!I119,Proj_35!I119,Proj_36!I119,Proj_37!I119,Proj_38!I119,Proj_39!I119,Proj_40!I119,Proj_41!I119)*Thousands*(1-$H$2)</f>
        <v>9111244.286263993</v>
      </c>
      <c r="I20" s="751">
        <f>SUM(Proj_1!J119,Proj_2!J119,Proj_3!J119,Proj_4!J119,Proj_5!J119,Proj_6!J119,Proj_7!J119,Proj_8!J119,Proj_9!J119,Proj_10!J119,Proj_11!J119,Proj_12!J119,Proj_13!J119,Proj_14!J119,Proj_15!J119,Proj_16!J119,Proj_17!J119,Proj_18!J119,Proj_19!J119,Proj_20!J119,Proj_21!J119,Proj_22!J119,Proj_23!J119,Proj_24!J119,Proj_25!J119,Proj_26!J119,Proj_27!J119,Proj_28!J119,Proj_29!J119,Proj_30!J119,Proj_31!J119,Proj_32!J119,Proj_33!J119,Proj_34!J119,Proj_35!J119,Proj_36!J119,Proj_37!J119,Proj_38!J119,Proj_39!J119,Proj_40!J119,Proj_41!J119)*Thousands*(1-$H$2)</f>
        <v>7465130.9795050202</v>
      </c>
      <c r="J20" s="751">
        <f>SUM(Proj_1!K119,Proj_2!K119,Proj_3!K119,Proj_4!K119,Proj_5!K119,Proj_6!K119,Proj_7!K119,Proj_8!K119,Proj_9!K119,Proj_10!K119,Proj_11!K119,Proj_12!K119,Proj_13!K119,Proj_14!K119,Proj_15!K119,Proj_16!K119,Proj_17!K119,Proj_18!K119,Proj_19!K119,Proj_20!K119,Proj_21!K119,Proj_22!K119,Proj_23!K119,Proj_24!K119,Proj_25!K119,Proj_26!K119,Proj_27!K119,Proj_28!K119,Proj_29!K119,Proj_30!K119,Proj_31!K119,Proj_32!K119,Proj_33!K119,Proj_34!K119,Proj_35!K119,Proj_36!K119,Proj_37!K119,Proj_38!K119,Proj_39!K119,Proj_40!K119,Proj_41!K119)*Thousands*(1-$H$2)</f>
        <v>7189352.1237734472</v>
      </c>
      <c r="K20" s="751">
        <f>SUM(Proj_1!L119,Proj_2!L119,Proj_3!L119,Proj_4!L119,Proj_5!L119,Proj_6!L119,Proj_7!L119,Proj_8!L119,Proj_9!L119,Proj_10!L119,Proj_11!L119,Proj_12!L119,Proj_13!L119,Proj_14!L119,Proj_15!L119,Proj_16!L119,Proj_17!L119,Proj_18!L119,Proj_19!L119,Proj_20!L119,Proj_21!L119,Proj_22!L119,Proj_23!L119,Proj_24!L119,Proj_25!L119,Proj_26!L119,Proj_27!L119,Proj_28!L119,Proj_29!L119,Proj_30!L119,Proj_31!L119,Proj_32!L119,Proj_33!L119,Proj_34!L119,Proj_35!L119,Proj_36!L119,Proj_37!L119,Proj_38!L119,Proj_39!L119,Proj_40!L119,Proj_41!L119)*Thousands*(1-$H$2)</f>
        <v>6639379.001541825</v>
      </c>
      <c r="L20" s="752">
        <f>SUM(Proj_1!M119,Proj_2!M119,Proj_3!M119,Proj_4!M119,Proj_5!M119,Proj_6!M119,Proj_7!M119,Proj_8!M119,Proj_9!M119,Proj_10!M119,Proj_11!M119,Proj_12!M119,Proj_13!M119,Proj_14!M119,Proj_15!M119,Proj_16!M119,Proj_17!M119,Proj_18!M119,Proj_19!M119,Proj_20!M119,Proj_21!M119,Proj_22!M119,Proj_23!M119,Proj_24!M119,Proj_25!M119,Proj_26!M119,Proj_27!M119,Proj_28!M119,Proj_29!M119,Proj_30!M119,Proj_31!M119,Proj_32!M119,Proj_33!M119,Proj_34!M119,Proj_35!M119,Proj_36!M119,Proj_37!M119,Proj_38!M119,Proj_39!M119,Proj_40!M119,Proj_41!M119)*Thousands*(1-$H$2)</f>
        <v>6126725.3191610165</v>
      </c>
      <c r="M20" s="750">
        <f>SUM(Proj_1!G131,Proj_2!G131,Proj_3!G131,Proj_4!G131,Proj_5!G131,Proj_6!G131,Proj_7!G131,Proj_8!G131,Proj_9!G131,Proj_10!G131,Proj_11!G131,Proj_12!G131,Proj_13!G131,Proj_14!G131,Proj_15!G131,Proj_16!G131,Proj_17!G131,Proj_18!G131,Proj_19!G131,Proj_20!G131,Proj_21!G131,Proj_22!G131,Proj_23!G131,Proj_24!G131,Proj_25!G131,Proj_26!G131,Proj_27!G131,Proj_28!G131,Proj_29!G131,Proj_30!G131,Proj_31!G131,Proj_32!G131,Proj_33!G131,Proj_34!G131,Proj_35!G131,Proj_36!G131,Proj_37!G131,Proj_38!G131,Proj_39!G131,Proj_40!G131,Proj_41!G131)*Thousands</f>
        <v>1162648.3664397516</v>
      </c>
      <c r="N20" s="751">
        <f>SUM(Proj_1!H131,Proj_2!H131,Proj_3!H131,Proj_4!H131,Proj_5!H131,Proj_6!H131,Proj_7!H131,Proj_8!H131,Proj_9!H131,Proj_10!H131,Proj_11!H131,Proj_12!H131,Proj_13!H131,Proj_14!H131,Proj_15!H131,Proj_16!H131,Proj_17!H131,Proj_18!H131,Proj_19!H131,Proj_20!H131,Proj_21!H131,Proj_22!H131,Proj_23!H131,Proj_24!H131,Proj_25!H131,Proj_26!H131,Proj_27!H131,Proj_28!H131,Proj_29!H131,Proj_30!H131,Proj_31!H131,Proj_32!H131,Proj_33!H131,Proj_34!H131,Proj_35!H131,Proj_36!H131,Proj_37!H131,Proj_38!H131,Proj_39!H131,Proj_40!H131,Proj_41!H131)*Thousands</f>
        <v>2080868.9295601412</v>
      </c>
      <c r="O20" s="751">
        <f>SUM(Proj_1!I131,Proj_2!I131,Proj_3!I131,Proj_4!I131,Proj_5!I131,Proj_6!I131,Proj_7!I131,Proj_8!I131,Proj_9!I131,Proj_10!I131,Proj_11!I131,Proj_12!I131,Proj_13!I131,Proj_14!I131,Proj_15!I131,Proj_16!I131,Proj_17!I131,Proj_18!I131,Proj_19!I131,Proj_20!I131,Proj_21!I131,Proj_22!I131,Proj_23!I131,Proj_24!I131,Proj_25!I131,Proj_26!I131,Proj_27!I131,Proj_28!I131,Proj_29!I131,Proj_30!I131,Proj_31!I131,Proj_32!I131,Proj_33!I131,Proj_34!I131,Proj_35!I131,Proj_36!I131,Proj_37!I131,Proj_38!I131,Proj_39!I131,Proj_40!I131,Proj_41!I131)*Thousands*(1-$H$2)</f>
        <v>2324880.9232568885</v>
      </c>
      <c r="P20" s="751">
        <f>SUM(Proj_1!J131,Proj_2!J131,Proj_3!J131,Proj_4!J131,Proj_5!J131,Proj_6!J131,Proj_7!J131,Proj_8!J131,Proj_9!J131,Proj_10!J131,Proj_11!J131,Proj_12!J131,Proj_13!J131,Proj_14!J131,Proj_15!J131,Proj_16!J131,Proj_17!J131,Proj_18!J131,Proj_19!J131,Proj_20!J131,Proj_21!J131,Proj_22!J131,Proj_23!J131,Proj_24!J131,Proj_25!J131,Proj_26!J131,Proj_27!J131,Proj_28!J131,Proj_29!J131,Proj_30!J131,Proj_31!J131,Proj_32!J131,Proj_33!J131,Proj_34!J131,Proj_35!J131,Proj_36!J131,Proj_37!J131,Proj_38!J131,Proj_39!J131,Proj_40!J131,Proj_41!J131)*Thousands*(1-$H$2)</f>
        <v>1920277.8383555685</v>
      </c>
      <c r="Q20" s="751">
        <f>SUM(Proj_1!K131,Proj_2!K131,Proj_3!K131,Proj_4!K131,Proj_5!K131,Proj_6!K131,Proj_7!K131,Proj_8!K131,Proj_9!K131,Proj_10!K131,Proj_11!K131,Proj_12!K131,Proj_13!K131,Proj_14!K131,Proj_15!K131,Proj_16!K131,Proj_17!K131,Proj_18!K131,Proj_19!K131,Proj_20!K131,Proj_21!K131,Proj_22!K131,Proj_23!K131,Proj_24!K131,Proj_25!K131,Proj_26!K131,Proj_27!K131,Proj_28!K131,Proj_29!K131,Proj_30!K131,Proj_31!K131,Proj_32!K131,Proj_33!K131,Proj_34!K131,Proj_35!K131,Proj_36!K131,Proj_37!K131,Proj_38!K131,Proj_39!K131,Proj_40!K131,Proj_41!K131)*Thousands*(1-$H$2)</f>
        <v>1864641.6987596808</v>
      </c>
      <c r="R20" s="751">
        <f>SUM(Proj_1!L131,Proj_2!L131,Proj_3!L131,Proj_4!L131,Proj_5!L131,Proj_6!L131,Proj_7!L131,Proj_8!L131,Proj_9!L131,Proj_10!L131,Proj_11!L131,Proj_12!L131,Proj_13!L131,Proj_14!L131,Proj_15!L131,Proj_16!L131,Proj_17!L131,Proj_18!L131,Proj_19!L131,Proj_20!L131,Proj_21!L131,Proj_22!L131,Proj_23!L131,Proj_24!L131,Proj_25!L131,Proj_26!L131,Proj_27!L131,Proj_28!L131,Proj_29!L131,Proj_30!L131,Proj_31!L131,Proj_32!L131,Proj_33!L131,Proj_34!L131,Proj_35!L131,Proj_36!L131,Proj_37!L131,Proj_38!L131,Proj_39!L131,Proj_40!L131,Proj_41!L131)*Thousands*(1-$H$2)</f>
        <v>1737411.7011398466</v>
      </c>
      <c r="S20" s="753">
        <f>SUM(Proj_1!M131,Proj_2!M131,Proj_3!M131,Proj_4!M131,Proj_5!M131,Proj_6!M131,Proj_7!M131,Proj_8!M131,Proj_9!M131,Proj_10!M131,Proj_11!M131,Proj_12!M131,Proj_13!M131,Proj_14!M131,Proj_15!M131,Proj_16!M131,Proj_17!M131,Proj_18!M131,Proj_19!M131,Proj_20!M131,Proj_21!M131,Proj_22!M131,Proj_23!M131,Proj_24!M131,Proj_25!M131,Proj_26!M131,Proj_27!M131,Proj_28!M131,Proj_29!M131,Proj_30!M131,Proj_31!M131,Proj_32!M131,Proj_33!M131,Proj_34!M131,Proj_35!M131,Proj_36!M131,Proj_37!M131,Proj_38!M131,Proj_39!M131,Proj_40!M131,Proj_41!M131)*Thousands*(1-$H$2)</f>
        <v>1617848.675221615</v>
      </c>
      <c r="T20" s="750">
        <f>SUM(Proj_1!G143,Proj_2!G143,Proj_3!G143,Proj_4!G143,Proj_5!G143,Proj_6!G143,Proj_7!G143,Proj_8!G143,Proj_9!G143,Proj_10!G143,Proj_11!G143,Proj_12!G143,Proj_13!G143,Proj_14!G143,Proj_15!G143,Proj_16!G143,Proj_17!G143,Proj_18!G143,Proj_19!G143,Proj_20!G143,Proj_21!G143,Proj_22!G143,Proj_23!G143,Proj_24!G143,Proj_25!G143,Proj_26!G143,Proj_27!G143,Proj_28!G143,Proj_29!G143,Proj_30!G143,Proj_31!G143,Proj_32!G143,Proj_33!G143,Proj_34!G143,Proj_35!G143,Proj_36!G143,Proj_37!G143,Proj_38!G143,Proj_39!G143,Proj_40!G143,Proj_41!G143)*Thousands</f>
        <v>5802983.595089619</v>
      </c>
      <c r="U20" s="751">
        <f>SUM(Proj_1!H143,Proj_2!H143,Proj_3!H143,Proj_4!H143,Proj_5!H143,Proj_6!H143,Proj_7!H143,Proj_8!H143,Proj_9!H143,Proj_10!H143,Proj_11!H143,Proj_12!H143,Proj_13!H143,Proj_14!H143,Proj_15!H143,Proj_16!H143,Proj_17!H143,Proj_18!H143,Proj_19!H143,Proj_20!H143,Proj_21!H143,Proj_22!H143,Proj_23!H143,Proj_24!H143,Proj_25!H143,Proj_26!H143,Proj_27!H143,Proj_28!H143,Proj_29!H143,Proj_30!H143,Proj_31!H143,Proj_32!H143,Proj_33!H143,Proj_34!H143,Proj_35!H143,Proj_36!H143,Proj_37!H143,Proj_38!H143,Proj_39!H143,Proj_40!H143,Proj_41!H143)*Thousands</f>
        <v>10386242.747324467</v>
      </c>
      <c r="V20" s="751">
        <f>SUM(Proj_1!I143,Proj_2!I143,Proj_3!I143,Proj_4!I143,Proj_5!I143,Proj_6!I143,Proj_7!I143,Proj_8!I143,Proj_9!I143,Proj_10!I143,Proj_11!I143,Proj_12!I143,Proj_13!I143,Proj_14!I143,Proj_15!I143,Proj_16!I143,Proj_17!I143,Proj_18!I143,Proj_19!I143,Proj_20!I143,Proj_21!I143,Proj_22!I143,Proj_23!I143,Proj_24!I143,Proj_25!I143,Proj_26!I143,Proj_27!I143,Proj_28!I143,Proj_29!I143,Proj_30!I143,Proj_31!I143,Proj_32!I143,Proj_33!I143,Proj_34!I143,Proj_35!I143,Proj_36!I143,Proj_37!I143,Proj_38!I143,Proj_39!I143,Proj_40!I143,Proj_41!I143)*Thousands*(1-$H$2)</f>
        <v>11630944.272200873</v>
      </c>
      <c r="W20" s="751">
        <f>SUM(Proj_1!J143,Proj_2!J143,Proj_3!J143,Proj_4!J143,Proj_5!J143,Proj_6!J143,Proj_7!J143,Proj_8!J143,Proj_9!J143,Proj_10!J143,Proj_11!J143,Proj_12!J143,Proj_13!J143,Proj_14!J143,Proj_15!J143,Proj_16!J143,Proj_17!J143,Proj_18!J143,Proj_19!J143,Proj_20!J143,Proj_21!J143,Proj_22!J143,Proj_23!J143,Proj_24!J143,Proj_25!J143,Proj_26!J143,Proj_27!J143,Proj_28!J143,Proj_29!J143,Proj_30!J143,Proj_31!J143,Proj_32!J143,Proj_33!J143,Proj_34!J143,Proj_35!J143,Proj_36!J143,Proj_37!J143,Proj_38!J143,Proj_39!J143,Proj_40!J143,Proj_41!J143)*Thousands*(1-$H$2)</f>
        <v>9628947.0622209776</v>
      </c>
      <c r="X20" s="751">
        <f>SUM(Proj_1!K143,Proj_2!K143,Proj_3!K143,Proj_4!K143,Proj_5!K143,Proj_6!K143,Proj_7!K143,Proj_8!K143,Proj_9!K143,Proj_10!K143,Proj_11!K143,Proj_12!K143,Proj_13!K143,Proj_14!K143,Proj_15!K143,Proj_16!K143,Proj_17!K143,Proj_18!K143,Proj_19!K143,Proj_20!K143,Proj_21!K143,Proj_22!K143,Proj_23!K143,Proj_24!K143,Proj_25!K143,Proj_26!K143,Proj_27!K143,Proj_28!K143,Proj_29!K143,Proj_30!K143,Proj_31!K143,Proj_32!K143,Proj_33!K143,Proj_34!K143,Proj_35!K143,Proj_36!K143,Proj_37!K143,Proj_38!K143,Proj_39!K143,Proj_40!K143,Proj_41!K143)*Thousands*(1-$H$2)</f>
        <v>9366659.7485550698</v>
      </c>
      <c r="Y20" s="751">
        <f>SUM(Proj_1!L143,Proj_2!L143,Proj_3!L143,Proj_4!L143,Proj_5!L143,Proj_6!L143,Proj_7!L143,Proj_8!L143,Proj_9!L143,Proj_10!L143,Proj_11!L143,Proj_12!L143,Proj_13!L143,Proj_14!L143,Proj_15!L143,Proj_16!L143,Proj_17!L143,Proj_18!L143,Proj_19!L143,Proj_20!L143,Proj_21!L143,Proj_22!L143,Proj_23!L143,Proj_24!L143,Proj_25!L143,Proj_26!L143,Proj_27!L143,Proj_28!L143,Proj_29!L143,Proj_30!L143,Proj_31!L143,Proj_32!L143,Proj_33!L143,Proj_34!L143,Proj_35!L143,Proj_36!L143,Proj_37!L143,Proj_38!L143,Proj_39!L143,Proj_40!L143,Proj_41!L143)*Thousands*(1-$H$2)</f>
        <v>8744412.6996359508</v>
      </c>
      <c r="Z20" s="752">
        <f>SUM(Proj_1!M143,Proj_2!M143,Proj_3!M143,Proj_4!M143,Proj_5!M143,Proj_6!M143,Proj_7!M143,Proj_8!M143,Proj_9!M143,Proj_10!M143,Proj_11!M143,Proj_12!M143,Proj_13!M143,Proj_14!M143,Proj_15!M143,Proj_16!M143,Proj_17!M143,Proj_18!M143,Proj_19!M143,Proj_20!M143,Proj_21!M143,Proj_22!M143,Proj_23!M143,Proj_24!M143,Proj_25!M143,Proj_26!M143,Proj_27!M143,Proj_28!M143,Proj_29!M143,Proj_30!M143,Proj_31!M143,Proj_32!M143,Proj_33!M143,Proj_34!M143,Proj_35!M143,Proj_36!M143,Proj_37!M143,Proj_38!M143,Proj_39!M143,Proj_40!M143,Proj_41!M143)*Thousands*(1-$H$2)</f>
        <v>8159192.5433454616</v>
      </c>
      <c r="AA20" s="750">
        <v>0</v>
      </c>
      <c r="AB20" s="751">
        <v>0</v>
      </c>
      <c r="AC20" s="751">
        <v>0</v>
      </c>
      <c r="AD20" s="751">
        <v>0</v>
      </c>
      <c r="AE20" s="751">
        <v>0</v>
      </c>
      <c r="AF20" s="751">
        <v>0</v>
      </c>
      <c r="AG20" s="753">
        <v>0</v>
      </c>
      <c r="AH20" s="750"/>
      <c r="AI20" s="751"/>
      <c r="AJ20" s="751"/>
      <c r="AK20" s="751"/>
      <c r="AL20" s="751"/>
      <c r="AM20" s="751"/>
      <c r="AN20" s="753"/>
      <c r="AO20" s="750"/>
      <c r="AP20" s="751"/>
      <c r="AQ20" s="751"/>
      <c r="AR20" s="751"/>
      <c r="AS20" s="751"/>
      <c r="AT20" s="751"/>
      <c r="AU20" s="753"/>
      <c r="AW20" s="891">
        <f t="shared" si="0"/>
        <v>11589062.771281086</v>
      </c>
      <c r="AX20" s="891">
        <f t="shared" si="1"/>
        <v>20687716.594818257</v>
      </c>
      <c r="AY20" s="891">
        <f t="shared" si="2"/>
        <v>23067069.481721755</v>
      </c>
      <c r="AZ20" s="891">
        <f t="shared" si="3"/>
        <v>19014355.880081564</v>
      </c>
      <c r="BA20" s="891">
        <f t="shared" si="4"/>
        <v>18420653.571088199</v>
      </c>
      <c r="BB20" s="891">
        <f t="shared" si="5"/>
        <v>17121203.402317621</v>
      </c>
      <c r="BC20" s="891">
        <f t="shared" si="6"/>
        <v>15903766.537728094</v>
      </c>
      <c r="BE20" s="862">
        <f>SUM(Proj_1!G155,Proj_2!G155,Proj_3!G155,Proj_4!G155,Proj_5!G155,Proj_6!G155,Proj_7!G155,Proj_8!G155,Proj_9!G155,Proj_10!G155,Proj_11!G155,Proj_12!G155,Proj_13!G155,Proj_14!G155,Proj_15!G155,Proj_16!G155,Proj_17!G155,Proj_18!G155,Proj_19!G155,Proj_20!G155,Proj_21!G155,Proj_22!G155,Proj_23!G155,Proj_24!G155,Proj_25!G155,Proj_26!G155,Proj_27!G155,Proj_28!G155,Proj_29!G155,Proj_30!G155,Proj_31!G155,Proj_32!G155,Proj_33!G155,Proj_34!G155,Proj_35!G155,Proj_36!G155,Proj_37!G155,Proj_38!G155,Proj_39!G155,Proj_40!G155,Proj_41!G155)*Thousands-AW20</f>
        <v>0</v>
      </c>
      <c r="BF20" s="862">
        <f>SUM(Proj_1!H155,Proj_2!H155,Proj_3!H155,Proj_4!H155,Proj_5!H155,Proj_6!H155,Proj_7!H155,Proj_8!H155,Proj_9!H155,Proj_10!H155,Proj_11!H155,Proj_12!H155,Proj_13!H155,Proj_14!H155,Proj_15!H155,Proj_16!H155,Proj_17!H155,Proj_18!H155,Proj_19!H155,Proj_20!H155,Proj_21!H155,Proj_22!H155,Proj_23!H155,Proj_24!H155,Proj_25!H155,Proj_26!H155,Proj_27!H155,Proj_28!H155,Proj_29!H155,Proj_30!H155,Proj_31!H155,Proj_32!H155,Proj_33!H155,Proj_34!H155,Proj_35!H155,Proj_36!H155,Proj_37!H155,Proj_38!H155,Proj_39!H155,Proj_40!H155,Proj_41!H155)*Thousands-AX20</f>
        <v>0</v>
      </c>
      <c r="BG20" s="862">
        <f>SUM(Proj_1!I155,Proj_2!I155,Proj_3!I155,Proj_4!I155,Proj_5!I155,Proj_6!I155,Proj_7!I155,Proj_8!I155,Proj_9!I155,Proj_10!I155,Proj_11!I155,Proj_12!I155,Proj_13!I155,Proj_14!I155,Proj_15!I155,Proj_16!I155,Proj_17!I155,Proj_18!I155,Proj_19!I155,Proj_20!I155,Proj_21!I155,Proj_22!I155,Proj_23!I155,Proj_24!I155,Proj_25!I155,Proj_26!I155,Proj_27!I155,Proj_28!I155,Proj_29!I155,Proj_30!I155,Proj_31!I155,Proj_32!I155,Proj_33!I155,Proj_34!I155,Proj_35!I155,Proj_36!I155,Proj_37!I155,Proj_38!I155,Proj_39!I155,Proj_40!I155,Proj_41!I155)*Thousands*(1-$H$2)-AY20</f>
        <v>0</v>
      </c>
      <c r="BH20" s="862">
        <f>SUM(Proj_1!J155,Proj_2!J155,Proj_3!J155,Proj_4!J155,Proj_5!J155,Proj_6!J155,Proj_7!J155,Proj_8!J155,Proj_9!J155,Proj_10!J155,Proj_11!J155,Proj_12!J155,Proj_13!J155,Proj_14!J155,Proj_15!J155,Proj_16!J155,Proj_17!J155,Proj_18!J155,Proj_19!J155,Proj_20!J155,Proj_21!J155,Proj_22!J155,Proj_23!J155,Proj_24!J155,Proj_25!J155,Proj_26!J155,Proj_27!J155,Proj_28!J155,Proj_29!J155,Proj_30!J155,Proj_31!J155,Proj_32!J155,Proj_33!J155,Proj_34!J155,Proj_35!J155,Proj_36!J155,Proj_37!J155,Proj_38!J155,Proj_39!J155,Proj_40!J155,Proj_41!J155)*Thousands*(1-$H$2)-AZ20</f>
        <v>0</v>
      </c>
      <c r="BI20" s="862">
        <f>SUM(Proj_1!K155,Proj_2!K155,Proj_3!K155,Proj_4!K155,Proj_5!K155,Proj_6!K155,Proj_7!K155,Proj_8!K155,Proj_9!K155,Proj_10!K155,Proj_11!K155,Proj_12!K155,Proj_13!K155,Proj_14!K155,Proj_15!K155,Proj_16!K155,Proj_17!K155,Proj_18!K155,Proj_19!K155,Proj_20!K155,Proj_21!K155,Proj_22!K155,Proj_23!K155,Proj_24!K155,Proj_25!K155,Proj_26!K155,Proj_27!K155,Proj_28!K155,Proj_29!K155,Proj_30!K155,Proj_31!K155,Proj_32!K155,Proj_33!K155,Proj_34!K155,Proj_35!K155,Proj_36!K155,Proj_37!K155,Proj_38!K155,Proj_39!K155,Proj_40!K155,Proj_41!K155)*Thousands*(1-$H$2)-BA20</f>
        <v>0</v>
      </c>
      <c r="BJ20" s="862">
        <f>SUM(Proj_1!L155,Proj_2!L155,Proj_3!L155,Proj_4!L155,Proj_5!L155,Proj_6!L155,Proj_7!L155,Proj_8!L155,Proj_9!L155,Proj_10!L155,Proj_11!L155,Proj_12!L155,Proj_13!L155,Proj_14!L155,Proj_15!L155,Proj_16!L155,Proj_17!L155,Proj_18!L155,Proj_19!L155,Proj_20!L155,Proj_21!L155,Proj_22!L155,Proj_23!L155,Proj_24!L155,Proj_25!L155,Proj_26!L155,Proj_27!L155,Proj_28!L155,Proj_29!L155,Proj_30!L155,Proj_31!L155,Proj_32!L155,Proj_33!L155,Proj_34!L155,Proj_35!L155,Proj_36!L155,Proj_37!L155,Proj_38!L155,Proj_39!L155,Proj_40!L155,Proj_41!L155)*Thousands*(1-$H$2)-BB20</f>
        <v>0</v>
      </c>
      <c r="BK20" s="862">
        <f>SUM(Proj_1!M155,Proj_2!M155,Proj_3!M155,Proj_4!M155,Proj_5!M155,Proj_6!M155,Proj_7!M155,Proj_8!M155,Proj_9!M155,Proj_10!M155,Proj_11!M155,Proj_12!M155,Proj_13!M155,Proj_14!M155,Proj_15!M155,Proj_16!M155,Proj_17!M155,Proj_18!M155,Proj_19!M155,Proj_20!M155,Proj_21!M155,Proj_22!M155,Proj_23!M155,Proj_24!M155,Proj_25!M155,Proj_26!M155,Proj_27!M155,Proj_28!M155,Proj_29!M155,Proj_30!M155,Proj_31!M155,Proj_32!M155,Proj_33!M155,Proj_34!M155,Proj_35!M155,Proj_36!M155,Proj_37!M155,Proj_38!M155,Proj_39!M155,Proj_40!M155,Proj_41!M155)*Thousands*(1-$H$2)-BC20</f>
        <v>0</v>
      </c>
    </row>
    <row r="21" spans="3:63" ht="25.5">
      <c r="C21" s="708" t="s">
        <v>388</v>
      </c>
      <c r="D21" s="709" t="s">
        <v>389</v>
      </c>
      <c r="E21" s="730" t="s">
        <v>437</v>
      </c>
      <c r="F21" s="736">
        <f>IF(F4&lt;1,Proj_45!G53*Thousands,Proj_45!G53*Thousands*(1-$H$2))</f>
        <v>2977892.4079310559</v>
      </c>
      <c r="G21" s="737">
        <f>IF(G4&lt;1,Proj_45!H53*Thousands,Proj_45!H53*Thousands*(1-$H$2))</f>
        <v>7133960.3334402256</v>
      </c>
      <c r="H21" s="737">
        <f>IF(H4&lt;1,Proj_45!I53*Thousands,Proj_45!I53*Thousands*(1-$H$2))</f>
        <v>8806527.6325488742</v>
      </c>
      <c r="I21" s="737">
        <f>IF(I4&lt;1,Proj_45!J53*Thousands,Proj_45!J53*Thousands*(1-$H$2))</f>
        <v>7945752.0224210527</v>
      </c>
      <c r="J21" s="737">
        <f>IF(J4&lt;1,Proj_45!K53*Thousands,Proj_45!K53*Thousands*(1-$H$2))</f>
        <v>4710687.7842180459</v>
      </c>
      <c r="K21" s="737">
        <f>IF(K4&lt;1,Proj_45!L53*Thousands,Proj_45!L53*Thousands*(1-$H$2))</f>
        <v>3914011.6926766923</v>
      </c>
      <c r="L21" s="738">
        <f>IF(L4&lt;1,Proj_45!M53*Thousands,Proj_45!M53*Thousands*(1-$H$2))</f>
        <v>3311621.7095413529</v>
      </c>
      <c r="M21" s="736">
        <f>IF(M4&lt;1,Proj_45!G51*Thousands,Proj_45!G51*Thousands*(1-$H$2))</f>
        <v>748846.88145691273</v>
      </c>
      <c r="N21" s="737">
        <f>IF(N4&lt;1,Proj_45!H51*Thousands,Proj_45!H51*Thousands*(1-$H$2))</f>
        <v>1805808.2769779554</v>
      </c>
      <c r="O21" s="737">
        <f>IF(O4&lt;1,Proj_45!I51*Thousands,Proj_45!I51*Thousands*(1-$H$2))</f>
        <v>2247127.5546759386</v>
      </c>
      <c r="P21" s="737">
        <f>IF(P4&lt;1,Proj_45!J51*Thousands,Proj_45!J51*Thousands*(1-$H$2))</f>
        <v>2043909.4182826753</v>
      </c>
      <c r="Q21" s="737">
        <f>IF(Q4&lt;1,Proj_45!K51*Thousands,Proj_45!K51*Thousands*(1-$H$2))</f>
        <v>1221771.4087539397</v>
      </c>
      <c r="R21" s="737">
        <f>IF(R4&lt;1,Proj_45!L51*Thousands,Proj_45!L51*Thousands*(1-$H$2))</f>
        <v>1024229.7828871462</v>
      </c>
      <c r="S21" s="746">
        <f>IF(S4&lt;1,Proj_45!M51*Thousands,Proj_45!M51*Thousands*(1-$H$2))</f>
        <v>874480.65916398773</v>
      </c>
      <c r="T21" s="736">
        <f>IF(T4&lt;1,Proj_45!G52*Thousands,Proj_45!G52*Thousands*(1-$H$2))</f>
        <v>3737627.2085044659</v>
      </c>
      <c r="U21" s="737">
        <f>IF(U4&lt;1,Proj_45!H52*Thousands,Proj_45!H52*Thousands*(1-$H$2))</f>
        <v>9013332.2927674111</v>
      </c>
      <c r="V21" s="737">
        <f>IF(V4&lt;1,Proj_45!I52*Thousands,Proj_45!I52*Thousands*(1-$H$2))</f>
        <v>11241958.716900244</v>
      </c>
      <c r="W21" s="737">
        <f>IF(W4&lt;1,Proj_45!J52*Thousands,Proj_45!J52*Thousands*(1-$H$2))</f>
        <v>10248879.196289811</v>
      </c>
      <c r="X21" s="737">
        <f>IF(X4&lt;1,Proj_45!K52*Thousands,Proj_45!K52*Thousands*(1-$H$2))</f>
        <v>6137327.6613534903</v>
      </c>
      <c r="Y21" s="737">
        <f>IF(Y4&lt;1,Proj_45!L52*Thousands,Proj_45!L52*Thousands*(1-$H$2))</f>
        <v>5154960.0563573213</v>
      </c>
      <c r="Z21" s="738">
        <f>IF(Z4&lt;1,Proj_45!M52*Thousands,Proj_45!M52*Thousands*(1-$H$2))</f>
        <v>4410212.2669620272</v>
      </c>
      <c r="AA21" s="736">
        <v>0</v>
      </c>
      <c r="AB21" s="737">
        <v>0</v>
      </c>
      <c r="AC21" s="737">
        <v>0</v>
      </c>
      <c r="AD21" s="737">
        <v>0</v>
      </c>
      <c r="AE21" s="737">
        <v>0</v>
      </c>
      <c r="AF21" s="737">
        <v>0</v>
      </c>
      <c r="AG21" s="746">
        <v>0</v>
      </c>
      <c r="AH21" s="736"/>
      <c r="AI21" s="737"/>
      <c r="AJ21" s="737"/>
      <c r="AK21" s="737"/>
      <c r="AL21" s="737"/>
      <c r="AM21" s="737"/>
      <c r="AN21" s="746"/>
      <c r="AO21" s="736"/>
      <c r="AP21" s="737"/>
      <c r="AQ21" s="737"/>
      <c r="AR21" s="737"/>
      <c r="AS21" s="737"/>
      <c r="AT21" s="737"/>
      <c r="AU21" s="746"/>
      <c r="AW21" s="891">
        <f>F21+M21+T21+AA21</f>
        <v>7464366.4978924338</v>
      </c>
      <c r="AX21" s="891">
        <f t="shared" ref="AX21:AX24" si="7">G21+N21+U21+AB21</f>
        <v>17953100.903185591</v>
      </c>
      <c r="AY21" s="891">
        <f t="shared" ref="AY21:AY24" si="8">H21+O21+V21+AC21</f>
        <v>22295613.904125057</v>
      </c>
      <c r="AZ21" s="891">
        <f t="shared" ref="AZ21:AZ24" si="9">I21+P21+W21+AD21</f>
        <v>20238540.636993539</v>
      </c>
      <c r="BA21" s="891">
        <f t="shared" ref="BA21:BA24" si="10">J21+Q21+X21+AE21</f>
        <v>12069786.854325477</v>
      </c>
      <c r="BB21" s="891">
        <f t="shared" ref="BB21:BB24" si="11">K21+R21+Y21+AF21</f>
        <v>10093201.531921159</v>
      </c>
      <c r="BC21" s="891">
        <f t="shared" ref="BC21:BC24" si="12">L21+S21+Z21+AG21</f>
        <v>8596314.6356673688</v>
      </c>
      <c r="BE21" s="862">
        <f>Proj_45!G54*Thousands-AW21</f>
        <v>0</v>
      </c>
      <c r="BF21" s="862">
        <f>Proj_45!H54*Thousands-AX21</f>
        <v>0</v>
      </c>
      <c r="BG21" s="862">
        <f>Proj_45!I54*Thousands*(1-$H$2)-AY21</f>
        <v>0</v>
      </c>
      <c r="BH21" s="862">
        <f>Proj_45!J54*Thousands*(1-$H$2)-AZ21</f>
        <v>0</v>
      </c>
      <c r="BI21" s="862">
        <f>Proj_45!K54*Thousands*(1-$H$2)-BA21</f>
        <v>0</v>
      </c>
      <c r="BJ21" s="862">
        <f>Proj_45!L54*Thousands*(1-$H$2)-BB21</f>
        <v>0</v>
      </c>
      <c r="BK21" s="862">
        <f>Proj_45!M54*Thousands*(1-$H$2)-BC21</f>
        <v>0</v>
      </c>
    </row>
    <row r="22" spans="3:63">
      <c r="C22" s="718"/>
      <c r="D22" s="719" t="s">
        <v>120</v>
      </c>
      <c r="E22" s="730" t="s">
        <v>437</v>
      </c>
      <c r="F22" s="743">
        <f>IF(F4&lt;1,Proj_46!G53*Thousands,Proj_46!G53*Thousands*(1-$H$2))</f>
        <v>557739.54542845651</v>
      </c>
      <c r="G22" s="744">
        <f>IF(G4&lt;1,Proj_46!H53*Thousands,Proj_46!H53*Thousands*(1-$H$2))</f>
        <v>355030.48935946857</v>
      </c>
      <c r="H22" s="744">
        <f>IF(H4&lt;1,Proj_46!I53*Thousands,Proj_46!I53*Thousands*(1-$H$2))</f>
        <v>759795.91593219677</v>
      </c>
      <c r="I22" s="744">
        <f>IF(I4&lt;1,Proj_46!J53*Thousands,Proj_46!J53*Thousands*(1-$H$2))</f>
        <v>596213.7923887209</v>
      </c>
      <c r="J22" s="744">
        <f>IF(J4&lt;1,Proj_46!K53*Thousands,Proj_46!K53*Thousands*(1-$H$2))</f>
        <v>822215.41044220713</v>
      </c>
      <c r="K22" s="744">
        <f>IF(K4&lt;1,Proj_46!L53*Thousands,Proj_46!L53*Thousands*(1-$H$2))</f>
        <v>690488.75306246092</v>
      </c>
      <c r="L22" s="745">
        <f>IF(L4&lt;1,Proj_46!M53*Thousands,Proj_46!M53*Thousands*(1-$H$2))</f>
        <v>690488.75306246092</v>
      </c>
      <c r="M22" s="743">
        <f>IF(M4&lt;1,Proj_46!G51*Thousands,Proj_46!G51*Thousands*(1-$H$2))</f>
        <v>140254.06631446216</v>
      </c>
      <c r="N22" s="744">
        <f>IF(N4&lt;1,Proj_46!H51*Thousands,Proj_46!H51*Thousands*(1-$H$2))</f>
        <v>89868.315255363195</v>
      </c>
      <c r="O22" s="744">
        <f>IF(O4&lt;1,Proj_46!I51*Thousands,Proj_46!I51*Thousands*(1-$H$2))</f>
        <v>193874.1817275513</v>
      </c>
      <c r="P22" s="744">
        <f>IF(P4&lt;1,Proj_46!J51*Thousands,Proj_46!J51*Thousands*(1-$H$2))</f>
        <v>153365.84657244704</v>
      </c>
      <c r="Q22" s="744">
        <f>IF(Q4&lt;1,Proj_46!K51*Thousands,Proj_46!K51*Thousands*(1-$H$2))</f>
        <v>213251.08483748234</v>
      </c>
      <c r="R22" s="744">
        <f>IF(R4&lt;1,Proj_46!L51*Thousands,Proj_46!L51*Thousands*(1-$H$2))</f>
        <v>180689.07330001655</v>
      </c>
      <c r="S22" s="747">
        <f>IF(S4&lt;1,Proj_46!M51*Thousands,Proj_46!M51*Thousands*(1-$H$2))</f>
        <v>182333.34386704673</v>
      </c>
      <c r="T22" s="743">
        <f>IF(T4&lt;1,Proj_46!G52*Thousands,Proj_46!G52*Thousands*(1-$H$2))</f>
        <v>700032.84695589147</v>
      </c>
      <c r="U22" s="744">
        <f>IF(U4&lt;1,Proj_46!H52*Thousands,Proj_46!H52*Thousands*(1-$H$2))</f>
        <v>448559.79359189508</v>
      </c>
      <c r="V22" s="744">
        <f>IF(V4&lt;1,Proj_46!I52*Thousands,Proj_46!I52*Thousands*(1-$H$2))</f>
        <v>969916.25718739373</v>
      </c>
      <c r="W22" s="744">
        <f>IF(W4&lt;1,Proj_46!J52*Thousands,Proj_46!J52*Thousands*(1-$H$2))</f>
        <v>769030.18318610336</v>
      </c>
      <c r="X22" s="744">
        <f>IF(X4&lt;1,Proj_46!K52*Thousands,Proj_46!K52*Thousands*(1-$H$2))</f>
        <v>1071224.7580924577</v>
      </c>
      <c r="Y22" s="744">
        <f>IF(Y4&lt;1,Proj_46!L52*Thousands,Proj_46!L52*Thousands*(1-$H$2))</f>
        <v>909410.14511041215</v>
      </c>
      <c r="Z22" s="745">
        <f>IF(Z4&lt;1,Proj_46!M52*Thousands,Proj_46!M52*Thousands*(1-$H$2))</f>
        <v>919550.06822839321</v>
      </c>
      <c r="AA22" s="743">
        <v>0</v>
      </c>
      <c r="AB22" s="744">
        <v>0</v>
      </c>
      <c r="AC22" s="744">
        <v>0</v>
      </c>
      <c r="AD22" s="744">
        <v>0</v>
      </c>
      <c r="AE22" s="744">
        <v>0</v>
      </c>
      <c r="AF22" s="744">
        <v>0</v>
      </c>
      <c r="AG22" s="747">
        <v>0</v>
      </c>
      <c r="AH22" s="743"/>
      <c r="AI22" s="744"/>
      <c r="AJ22" s="744"/>
      <c r="AK22" s="744"/>
      <c r="AL22" s="744"/>
      <c r="AM22" s="744"/>
      <c r="AN22" s="747"/>
      <c r="AO22" s="743"/>
      <c r="AP22" s="744"/>
      <c r="AQ22" s="744"/>
      <c r="AR22" s="744"/>
      <c r="AS22" s="744"/>
      <c r="AT22" s="744"/>
      <c r="AU22" s="747"/>
      <c r="AW22" s="891">
        <f t="shared" ref="AW22:AW24" si="13">F22+M22+T22+AA22</f>
        <v>1398026.4586988101</v>
      </c>
      <c r="AX22" s="891">
        <f t="shared" si="7"/>
        <v>893458.59820672683</v>
      </c>
      <c r="AY22" s="891">
        <f t="shared" si="8"/>
        <v>1923586.3548471418</v>
      </c>
      <c r="AZ22" s="891">
        <f t="shared" si="9"/>
        <v>1518609.8221472714</v>
      </c>
      <c r="BA22" s="891">
        <f t="shared" si="10"/>
        <v>2106691.2533721472</v>
      </c>
      <c r="BB22" s="891">
        <f t="shared" si="11"/>
        <v>1780587.9714728897</v>
      </c>
      <c r="BC22" s="891">
        <f t="shared" si="12"/>
        <v>1792372.1651579009</v>
      </c>
      <c r="BE22" s="862">
        <f>Proj_46!G54*Thousands-AW22</f>
        <v>0</v>
      </c>
      <c r="BF22" s="862">
        <f>Proj_46!H54*Thousands-AX22</f>
        <v>0</v>
      </c>
      <c r="BG22" s="862">
        <f>Proj_46!I54*Thousands*(1-$H$2)-AY22</f>
        <v>0</v>
      </c>
      <c r="BH22" s="862">
        <f>Proj_46!J54*Thousands*(1-$H$2)-AZ22</f>
        <v>0</v>
      </c>
      <c r="BI22" s="862">
        <f>Proj_46!K54*Thousands*(1-$H$2)-BA22</f>
        <v>0</v>
      </c>
      <c r="BJ22" s="862">
        <f>Proj_46!L54*Thousands*(1-$H$2)-BB22</f>
        <v>0</v>
      </c>
      <c r="BK22" s="862">
        <f>Proj_46!M54*Thousands*(1-$H$2)-BC22</f>
        <v>0</v>
      </c>
    </row>
    <row r="23" spans="3:63">
      <c r="C23" s="718"/>
      <c r="D23" s="719" t="s">
        <v>390</v>
      </c>
      <c r="E23" s="730" t="s">
        <v>437</v>
      </c>
      <c r="F23" s="743">
        <f>IF(F4&lt;1,Proj_43!G53*Thousands,Proj_43!G53*Thousands*(1-$H$2))</f>
        <v>1103480.2430695053</v>
      </c>
      <c r="G23" s="744">
        <f>IF(G4&lt;1,Proj_43!H53*Thousands,Proj_43!H53*Thousands*(1-$H$2))</f>
        <v>210618.32061068708</v>
      </c>
      <c r="H23" s="744">
        <f>IF(H4&lt;1,Proj_43!I53*Thousands,Proj_43!I53*Thousands*(1-$H$2))</f>
        <v>86641.353383458656</v>
      </c>
      <c r="I23" s="744">
        <f>IF(I4&lt;1,Proj_43!J53*Thousands,Proj_43!J53*Thousands*(1-$H$2))</f>
        <v>233850.30075187972</v>
      </c>
      <c r="J23" s="744">
        <f>IF(J4&lt;1,Proj_43!K53*Thousands,Proj_43!K53*Thousands*(1-$H$2))</f>
        <v>37320.864661654145</v>
      </c>
      <c r="K23" s="744">
        <f>IF(K4&lt;1,Proj_43!L53*Thousands,Proj_43!L53*Thousands*(1-$H$2))</f>
        <v>81975.736842105282</v>
      </c>
      <c r="L23" s="745">
        <f>IF(L4&lt;1,Proj_43!M53*Thousands,Proj_43!M53*Thousands*(1-$H$2))</f>
        <v>398359.04511278193</v>
      </c>
      <c r="M23" s="743">
        <f>IF(M4&lt;1,Proj_43!G51*Thousands,Proj_43!G51*Thousands*(1-$H$2))</f>
        <v>277490.79737438471</v>
      </c>
      <c r="N23" s="744">
        <f>IF(N4&lt;1,Proj_43!H51*Thousands,Proj_43!H51*Thousands*(1-$H$2))</f>
        <v>53313.487721421763</v>
      </c>
      <c r="O23" s="744">
        <f>IF(O4&lt;1,Proj_43!I51*Thousands,Proj_43!I51*Thousands*(1-$H$2))</f>
        <v>22107.938643466787</v>
      </c>
      <c r="P23" s="744">
        <f>IF(P4&lt;1,Proj_43!J51*Thousands,Proj_43!J51*Thousands*(1-$H$2))</f>
        <v>60154.008182773243</v>
      </c>
      <c r="Q23" s="744">
        <f>IF(Q4&lt;1,Proj_43!K51*Thousands,Proj_43!K51*Thousands*(1-$H$2))</f>
        <v>9679.5982842138874</v>
      </c>
      <c r="R23" s="744">
        <f>IF(R4&lt;1,Proj_43!L51*Thousands,Proj_43!L51*Thousands*(1-$H$2))</f>
        <v>21451.645457498336</v>
      </c>
      <c r="S23" s="747">
        <f>IF(S4&lt;1,Proj_43!M51*Thousands,Proj_43!M51*Thousands*(1-$H$2))</f>
        <v>105192.35314543472</v>
      </c>
      <c r="T23" s="743">
        <f>IF(T4&lt;1,Proj_43!G52*Thousands,Proj_43!G52*Thousands*(1-$H$2))</f>
        <v>1385005.6400826129</v>
      </c>
      <c r="U23" s="744">
        <f>IF(U4&lt;1,Proj_43!H52*Thousands,Proj_43!H52*Thousands*(1-$H$2))</f>
        <v>266103.65377421281</v>
      </c>
      <c r="V23" s="744">
        <f>IF(V4&lt;1,Proj_43!I52*Thousands,Proj_43!I52*Thousands*(1-$H$2))</f>
        <v>110601.88062241931</v>
      </c>
      <c r="W23" s="744">
        <f>IF(W4&lt;1,Proj_43!J52*Thousands,Proj_43!J52*Thousands*(1-$H$2))</f>
        <v>301633.30993203906</v>
      </c>
      <c r="X23" s="744">
        <f>IF(X4&lt;1,Proj_43!K52*Thousands,Proj_43!K52*Thousands*(1-$H$2))</f>
        <v>48623.552552341629</v>
      </c>
      <c r="Y23" s="744">
        <f>IF(Y4&lt;1,Proj_43!L52*Thousands,Proj_43!L52*Thousands*(1-$H$2))</f>
        <v>107966.37368308916</v>
      </c>
      <c r="Z23" s="745">
        <f>IF(Z4&lt;1,Proj_43!M52*Thousands,Proj_43!M52*Thousands*(1-$H$2))</f>
        <v>530509.8533295301</v>
      </c>
      <c r="AA23" s="743">
        <v>0</v>
      </c>
      <c r="AB23" s="744">
        <v>0</v>
      </c>
      <c r="AC23" s="744">
        <v>0</v>
      </c>
      <c r="AD23" s="744">
        <v>0</v>
      </c>
      <c r="AE23" s="744">
        <v>0</v>
      </c>
      <c r="AF23" s="744">
        <v>0</v>
      </c>
      <c r="AG23" s="747">
        <v>0</v>
      </c>
      <c r="AH23" s="743"/>
      <c r="AI23" s="744"/>
      <c r="AJ23" s="744"/>
      <c r="AK23" s="744"/>
      <c r="AL23" s="744"/>
      <c r="AM23" s="744"/>
      <c r="AN23" s="747"/>
      <c r="AO23" s="743"/>
      <c r="AP23" s="744"/>
      <c r="AQ23" s="744"/>
      <c r="AR23" s="744"/>
      <c r="AS23" s="744"/>
      <c r="AT23" s="744"/>
      <c r="AU23" s="747"/>
      <c r="AW23" s="891">
        <f t="shared" si="13"/>
        <v>2765976.6805265029</v>
      </c>
      <c r="AX23" s="891">
        <f t="shared" si="7"/>
        <v>530035.46210632171</v>
      </c>
      <c r="AY23" s="891">
        <f t="shared" si="8"/>
        <v>219351.17264934475</v>
      </c>
      <c r="AZ23" s="891">
        <f t="shared" si="9"/>
        <v>595637.61886669206</v>
      </c>
      <c r="BA23" s="891">
        <f t="shared" si="10"/>
        <v>95624.015498209657</v>
      </c>
      <c r="BB23" s="891">
        <f t="shared" si="11"/>
        <v>211393.75598269276</v>
      </c>
      <c r="BC23" s="891">
        <f t="shared" si="12"/>
        <v>1034061.2515877468</v>
      </c>
      <c r="BE23" s="862">
        <f>Proj_43!G54*Thousands-AW23</f>
        <v>0</v>
      </c>
      <c r="BF23" s="862">
        <f>Proj_43!H54*Thousands-AX23</f>
        <v>0</v>
      </c>
      <c r="BG23" s="862">
        <f>Proj_43!I54*Thousands*(1-$H$2)-AY23</f>
        <v>0</v>
      </c>
      <c r="BH23" s="862">
        <f>Proj_43!J54*Thousands*(1-$H$2)-AZ23</f>
        <v>0</v>
      </c>
      <c r="BI23" s="862">
        <f>Proj_43!K54*Thousands*(1-$H$2)-BA23</f>
        <v>0</v>
      </c>
      <c r="BJ23" s="862">
        <f>Proj_43!L54*Thousands*(1-$H$2)-BB23</f>
        <v>0</v>
      </c>
      <c r="BK23" s="862">
        <f>Proj_43!M54*Thousands*(1-$H$2)-BC23</f>
        <v>0</v>
      </c>
    </row>
    <row r="24" spans="3:63" ht="15.75" thickBot="1">
      <c r="C24" s="754"/>
      <c r="D24" s="724" t="s">
        <v>391</v>
      </c>
      <c r="E24" s="889" t="s">
        <v>437</v>
      </c>
      <c r="F24" s="750">
        <f>IF(F4&lt;1,Proj_44!G53*Thousands,Proj_44!G53*Thousands*(1-$H$2))</f>
        <v>821267.23284335341</v>
      </c>
      <c r="G24" s="751">
        <f>IF(G4&lt;1,Proj_44!H53*Thousands,Proj_44!H53*Thousands*(1-$H$2))</f>
        <v>1028210.1537405738</v>
      </c>
      <c r="H24" s="751">
        <f>IF(H4&lt;1,Proj_44!I53*Thousands,Proj_44!I53*Thousands*(1-$H$2))</f>
        <v>1154690.8657674808</v>
      </c>
      <c r="I24" s="751">
        <f>IF(I4&lt;1,Proj_44!J53*Thousands,Proj_44!J53*Thousands*(1-$H$2))</f>
        <v>1154690.8657674808</v>
      </c>
      <c r="J24" s="751">
        <f>IF(J4&lt;1,Proj_44!K53*Thousands,Proj_44!K53*Thousands*(1-$H$2))</f>
        <v>1154690.8657674808</v>
      </c>
      <c r="K24" s="751">
        <f>IF(K4&lt;1,Proj_44!L53*Thousands,Proj_44!L53*Thousands*(1-$H$2))</f>
        <v>1154690.8657674808</v>
      </c>
      <c r="L24" s="752">
        <f>IF(L4&lt;1,Proj_44!M53*Thousands,Proj_44!M53*Thousands*(1-$H$2))</f>
        <v>1154690.8657674808</v>
      </c>
      <c r="M24" s="750">
        <f>IF(M4&lt;1,Proj_44!G51*Thousands,Proj_44!G51*Thousands*(1-$H$2))</f>
        <v>206523.04445907703</v>
      </c>
      <c r="N24" s="751">
        <f>IF(N4&lt;1,Proj_44!H51*Thousands,Proj_44!H51*Thousands*(1-$H$2))</f>
        <v>260269.23606429965</v>
      </c>
      <c r="O24" s="751">
        <f>IF(O4&lt;1,Proj_44!I51*Thousands,Proj_44!I51*Thousands*(1-$H$2))</f>
        <v>294637.99693406821</v>
      </c>
      <c r="P24" s="751">
        <f>IF(P4&lt;1,Proj_44!J51*Thousands,Proj_44!J51*Thousands*(1-$H$2))</f>
        <v>297024.56470923423</v>
      </c>
      <c r="Q24" s="751">
        <f>IF(Q4&lt;1,Proj_44!K51*Thousands,Proj_44!K51*Thousands*(1-$H$2))</f>
        <v>299482.44298220309</v>
      </c>
      <c r="R24" s="751">
        <f>IF(R4&lt;1,Proj_44!L51*Thousands,Proj_44!L51*Thousands*(1-$H$2))</f>
        <v>302162.81084689382</v>
      </c>
      <c r="S24" s="753">
        <f>IF(S4&lt;1,Proj_44!M51*Thousands,Proj_44!M51*Thousands*(1-$H$2))</f>
        <v>304912.49242560059</v>
      </c>
      <c r="T24" s="750">
        <f>IF(T4&lt;1,Proj_44!G52*Thousands,Proj_44!G52*Thousands*(1-$H$2))</f>
        <v>1030793.0356225139</v>
      </c>
      <c r="U24" s="751">
        <f>IF(U4&lt;1,Proj_44!H52*Thousands,Proj_44!H52*Thousands*(1-$H$2))</f>
        <v>1299082.0454971779</v>
      </c>
      <c r="V24" s="751">
        <f>IF(V4&lt;1,Proj_44!I52*Thousands,Proj_44!I52*Thousands*(1-$H$2))</f>
        <v>1474018.7716850138</v>
      </c>
      <c r="W24" s="751">
        <f>IF(W4&lt;1,Proj_44!J52*Thousands,Proj_44!J52*Thousands*(1-$H$2))</f>
        <v>1489385.4173798298</v>
      </c>
      <c r="X24" s="751">
        <f>IF(X4&lt;1,Proj_44!K52*Thousands,Proj_44!K52*Thousands*(1-$H$2))</f>
        <v>1504390.9754599317</v>
      </c>
      <c r="Y24" s="751">
        <f>IF(Y4&lt;1,Proj_44!L52*Thousands,Proj_44!L52*Thousands*(1-$H$2))</f>
        <v>1520788.837092445</v>
      </c>
      <c r="Z24" s="752">
        <f>IF(Z4&lt;1,Proj_44!M52*Thousands,Proj_44!M52*Thousands*(1-$H$2))</f>
        <v>1537745.6326260255</v>
      </c>
      <c r="AA24" s="750">
        <v>0</v>
      </c>
      <c r="AB24" s="751">
        <v>0</v>
      </c>
      <c r="AC24" s="751">
        <v>0</v>
      </c>
      <c r="AD24" s="751">
        <v>0</v>
      </c>
      <c r="AE24" s="751">
        <v>0</v>
      </c>
      <c r="AF24" s="751">
        <v>0</v>
      </c>
      <c r="AG24" s="753">
        <v>0</v>
      </c>
      <c r="AH24" s="750"/>
      <c r="AI24" s="751"/>
      <c r="AJ24" s="751"/>
      <c r="AK24" s="751"/>
      <c r="AL24" s="751"/>
      <c r="AM24" s="751"/>
      <c r="AN24" s="753"/>
      <c r="AO24" s="750"/>
      <c r="AP24" s="751"/>
      <c r="AQ24" s="751"/>
      <c r="AR24" s="751"/>
      <c r="AS24" s="751"/>
      <c r="AT24" s="751"/>
      <c r="AU24" s="753"/>
      <c r="AW24" s="891">
        <f t="shared" si="13"/>
        <v>2058583.3129249443</v>
      </c>
      <c r="AX24" s="891">
        <f t="shared" si="7"/>
        <v>2587561.4353020512</v>
      </c>
      <c r="AY24" s="891">
        <f t="shared" si="8"/>
        <v>2923347.6343865627</v>
      </c>
      <c r="AZ24" s="891">
        <f t="shared" si="9"/>
        <v>2941100.8478565449</v>
      </c>
      <c r="BA24" s="891">
        <f t="shared" si="10"/>
        <v>2958564.2842096156</v>
      </c>
      <c r="BB24" s="891">
        <f t="shared" si="11"/>
        <v>2977642.5137068196</v>
      </c>
      <c r="BC24" s="891">
        <f t="shared" si="12"/>
        <v>2997348.9908191068</v>
      </c>
      <c r="BE24" s="862">
        <f>Proj_44!G54*Thousands-AW24</f>
        <v>0</v>
      </c>
      <c r="BF24" s="862">
        <f>Proj_44!H54*Thousands-AX24</f>
        <v>0</v>
      </c>
      <c r="BG24" s="862">
        <f>Proj_44!I54*Thousands*(1-$H$2)-AY24</f>
        <v>0</v>
      </c>
      <c r="BH24" s="862">
        <f>Proj_44!J54*Thousands*(1-$H$2)-AZ24</f>
        <v>0</v>
      </c>
      <c r="BI24" s="862">
        <f>Proj_44!K54*Thousands*(1-$H$2)-BA24</f>
        <v>0</v>
      </c>
      <c r="BJ24" s="862">
        <f>Proj_44!L54*Thousands*(1-$H$2)-BB24</f>
        <v>0</v>
      </c>
      <c r="BK24" s="862">
        <f>Proj_44!M54*Thousands*(1-$H$2)-BC24</f>
        <v>0</v>
      </c>
    </row>
    <row r="26" spans="3:63">
      <c r="D26" s="236" t="s">
        <v>448</v>
      </c>
      <c r="F26" s="862">
        <f t="shared" ref="F26:Z26" si="14">SUM(F12:F20)</f>
        <v>50181966.094405785</v>
      </c>
      <c r="G26" s="862">
        <f t="shared" si="14"/>
        <v>56441248.298338167</v>
      </c>
      <c r="H26" s="862">
        <f t="shared" si="14"/>
        <v>46335651.530215107</v>
      </c>
      <c r="I26" s="862">
        <f t="shared" si="14"/>
        <v>33380395.171979971</v>
      </c>
      <c r="J26" s="862">
        <f t="shared" si="14"/>
        <v>30352431.30971799</v>
      </c>
      <c r="K26" s="862">
        <f t="shared" si="14"/>
        <v>28832731.236322433</v>
      </c>
      <c r="L26" s="862">
        <f t="shared" si="14"/>
        <v>25767471.302767143</v>
      </c>
      <c r="M26" s="862">
        <f t="shared" si="14"/>
        <v>12619196.286302602</v>
      </c>
      <c r="N26" s="862">
        <f t="shared" si="14"/>
        <v>14286885.345065678</v>
      </c>
      <c r="O26" s="862">
        <f t="shared" si="14"/>
        <v>11823288.776449637</v>
      </c>
      <c r="P26" s="862">
        <f t="shared" si="14"/>
        <v>8586538.3019112833</v>
      </c>
      <c r="Q26" s="862">
        <f t="shared" si="14"/>
        <v>7872254.4263325818</v>
      </c>
      <c r="R26" s="862">
        <f t="shared" si="14"/>
        <v>7545031.638376696</v>
      </c>
      <c r="S26" s="862">
        <f t="shared" si="14"/>
        <v>6804266.086585626</v>
      </c>
      <c r="T26" s="862">
        <f t="shared" si="14"/>
        <v>62984640.194241047</v>
      </c>
      <c r="U26" s="862">
        <f t="shared" si="14"/>
        <v>71310142.214680925</v>
      </c>
      <c r="V26" s="862">
        <f t="shared" si="14"/>
        <v>59149701.602944814</v>
      </c>
      <c r="W26" s="862">
        <f t="shared" si="14"/>
        <v>43055916.756108098</v>
      </c>
      <c r="X26" s="862">
        <f t="shared" si="14"/>
        <v>39544717.204684392</v>
      </c>
      <c r="Y26" s="862">
        <f t="shared" si="14"/>
        <v>37974229.386443891</v>
      </c>
      <c r="Z26" s="862">
        <f t="shared" si="14"/>
        <v>34315519.100698963</v>
      </c>
      <c r="AG26" s="236" t="s">
        <v>378</v>
      </c>
      <c r="AW26" s="891">
        <f t="shared" ref="AW26:BK26" si="15">SUMIFS(AW$12:AW$24,$E$12:$E$24,$AG26)</f>
        <v>125785802.57494941</v>
      </c>
      <c r="AX26" s="891">
        <f t="shared" si="15"/>
        <v>142038275.85808477</v>
      </c>
      <c r="AY26" s="891">
        <f t="shared" si="15"/>
        <v>117308641.90960956</v>
      </c>
      <c r="AZ26" s="891">
        <f t="shared" si="15"/>
        <v>85022850.229999349</v>
      </c>
      <c r="BA26" s="891">
        <f t="shared" si="15"/>
        <v>77769402.940734968</v>
      </c>
      <c r="BB26" s="891">
        <f t="shared" si="15"/>
        <v>74351992.261142999</v>
      </c>
      <c r="BC26" s="891">
        <f t="shared" si="15"/>
        <v>66887256.490051739</v>
      </c>
      <c r="BE26" s="862">
        <f t="shared" si="15"/>
        <v>0</v>
      </c>
      <c r="BF26" s="862">
        <f t="shared" si="15"/>
        <v>0</v>
      </c>
      <c r="BG26" s="862">
        <f t="shared" si="15"/>
        <v>0</v>
      </c>
      <c r="BH26" s="862">
        <f t="shared" si="15"/>
        <v>0</v>
      </c>
      <c r="BI26" s="862">
        <f t="shared" si="15"/>
        <v>0</v>
      </c>
      <c r="BJ26" s="862">
        <f t="shared" si="15"/>
        <v>0</v>
      </c>
      <c r="BK26" s="862">
        <f t="shared" si="15"/>
        <v>0</v>
      </c>
    </row>
    <row r="27" spans="3:63">
      <c r="D27" s="236" t="s">
        <v>50</v>
      </c>
      <c r="F27" s="862">
        <f>F26-'5.1(a)_Direct_Fcast'!M28*Thousands</f>
        <v>5.7575106620788574E-4</v>
      </c>
      <c r="G27" s="862">
        <f>G26-'5.1(a)_Direct_Fcast'!N28*Thousands</f>
        <v>2.9635056853294373E-3</v>
      </c>
      <c r="H27" s="862">
        <f>H26-'5.1(a)_Direct_Fcast'!O28*Thousands</f>
        <v>4.621461033821106E-3</v>
      </c>
      <c r="I27" s="862">
        <f>I26-'5.1(a)_Direct_Fcast'!P28*Thousands</f>
        <v>4.8451684415340424E-3</v>
      </c>
      <c r="J27" s="862">
        <f>J26-'5.1(a)_Direct_Fcast'!Q28*Thousands</f>
        <v>5.7522095739841461E-3</v>
      </c>
      <c r="K27" s="862">
        <f>K26-'5.1(a)_Direct_Fcast'!R28*Thousands</f>
        <v>3.5405009984970093E-3</v>
      </c>
      <c r="L27" s="862">
        <f>L26-'5.1(a)_Direct_Fcast'!S28*Thousands</f>
        <v>1.5817210078239441E-3</v>
      </c>
      <c r="M27" s="862">
        <f>M26-'5.1(a)_Direct_Fcast'!M26*Thousands</f>
        <v>1.447778195142746E-4</v>
      </c>
      <c r="N27" s="862">
        <f>N26-'5.1(a)_Direct_Fcast'!N26*Thousands</f>
        <v>7.5015425682067871E-4</v>
      </c>
      <c r="O27" s="862">
        <f>O26-'5.1(a)_Direct_Fcast'!O26*Thousands</f>
        <v>1.1792406439781189E-3</v>
      </c>
      <c r="P27" s="862">
        <f>P26-'5.1(a)_Direct_Fcast'!P26*Thousands</f>
        <v>1.2463387101888657E-3</v>
      </c>
      <c r="Q27" s="862">
        <f>Q26-'5.1(a)_Direct_Fcast'!Q26*Thousands</f>
        <v>1.4919005334377289E-3</v>
      </c>
      <c r="R27" s="862">
        <f>R26-'5.1(a)_Direct_Fcast'!R26*Thousands</f>
        <v>9.2648621648550034E-4</v>
      </c>
      <c r="S27" s="862">
        <f>S26-'5.1(a)_Direct_Fcast'!S26*Thousands</f>
        <v>4.1767582297325134E-4</v>
      </c>
      <c r="T27" s="862">
        <f>T26-'5.1(a)_Direct_Fcast'!M27*Thousands</f>
        <v>7.2263181209564209E-4</v>
      </c>
      <c r="U27" s="862">
        <f>U26-'5.1(a)_Direct_Fcast'!N27*Thousands</f>
        <v>3.7441998720169067E-3</v>
      </c>
      <c r="V27" s="862">
        <f>V26-'5.1(a)_Direct_Fcast'!O27*Thousands</f>
        <v>5.8995336294174194E-3</v>
      </c>
      <c r="W27" s="862">
        <f>W26-'5.1(a)_Direct_Fcast'!P27*Thousands</f>
        <v>6.2495768070220947E-3</v>
      </c>
      <c r="X27" s="862">
        <f>X26-'5.1(a)_Direct_Fcast'!Q27*Thousands</f>
        <v>7.4942484498023987E-3</v>
      </c>
      <c r="Y27" s="862">
        <f>Y26-'5.1(a)_Direct_Fcast'!R27*Thousands</f>
        <v>4.663027822971344E-3</v>
      </c>
      <c r="Z27" s="862">
        <f>Z26-'5.1(a)_Direct_Fcast'!S27*Thousands</f>
        <v>2.1064281463623047E-3</v>
      </c>
      <c r="AG27" s="236" t="s">
        <v>50</v>
      </c>
      <c r="AW27" s="862">
        <f>AW26-'2.1 Exp Summary'!D8</f>
        <v>1.443132758140564E-3</v>
      </c>
      <c r="AX27" s="862">
        <f>AX26-'2.1 Exp Summary'!E8</f>
        <v>7.4578523635864258E-3</v>
      </c>
      <c r="AY27" s="862">
        <f>AY26-'2.1 Exp Summary'!F8</f>
        <v>1.1700242757797241E-2</v>
      </c>
      <c r="AZ27" s="862">
        <f>AZ26-'2.1 Exp Summary'!G8</f>
        <v>1.2341082096099854E-2</v>
      </c>
      <c r="BA27" s="862">
        <f>BA26-'2.1 Exp Summary'!H8</f>
        <v>1.4738366007804871E-2</v>
      </c>
      <c r="BB27" s="862">
        <f>BB26-'2.1 Exp Summary'!I8</f>
        <v>9.1299861669540405E-3</v>
      </c>
      <c r="BC27" s="862">
        <f>BC26-'2.1 Exp Summary'!J8</f>
        <v>4.1058287024497986E-3</v>
      </c>
    </row>
    <row r="29" spans="3:63">
      <c r="D29" s="236" t="s">
        <v>449</v>
      </c>
      <c r="F29" s="863">
        <f>SUM(F21:F24)</f>
        <v>5460379.4292723713</v>
      </c>
      <c r="G29" s="863">
        <f t="shared" ref="G29:Z29" si="16">SUM(G21:G24)</f>
        <v>8727819.2971509546</v>
      </c>
      <c r="H29" s="863">
        <f t="shared" si="16"/>
        <v>10807655.767632011</v>
      </c>
      <c r="I29" s="863">
        <f t="shared" si="16"/>
        <v>9930506.9813291337</v>
      </c>
      <c r="J29" s="863">
        <f t="shared" si="16"/>
        <v>6724914.9250893882</v>
      </c>
      <c r="K29" s="863">
        <f t="shared" si="16"/>
        <v>5841167.0483487388</v>
      </c>
      <c r="L29" s="863">
        <f t="shared" si="16"/>
        <v>5555160.3734840769</v>
      </c>
      <c r="M29" s="863">
        <f t="shared" si="16"/>
        <v>1373114.7896048366</v>
      </c>
      <c r="N29" s="863">
        <f t="shared" si="16"/>
        <v>2209259.3160190401</v>
      </c>
      <c r="O29" s="863">
        <f t="shared" si="16"/>
        <v>2757747.671981025</v>
      </c>
      <c r="P29" s="863">
        <f t="shared" si="16"/>
        <v>2554453.8377471296</v>
      </c>
      <c r="Q29" s="863">
        <f t="shared" si="16"/>
        <v>1744184.5348578389</v>
      </c>
      <c r="R29" s="863">
        <f t="shared" si="16"/>
        <v>1528533.3124915548</v>
      </c>
      <c r="S29" s="863">
        <f t="shared" si="16"/>
        <v>1466918.8486020698</v>
      </c>
      <c r="T29" s="863">
        <f t="shared" si="16"/>
        <v>6853458.7311654836</v>
      </c>
      <c r="U29" s="863">
        <f t="shared" si="16"/>
        <v>11027077.785630696</v>
      </c>
      <c r="V29" s="863">
        <f t="shared" si="16"/>
        <v>13796495.626395071</v>
      </c>
      <c r="W29" s="863">
        <f t="shared" si="16"/>
        <v>12808928.106787782</v>
      </c>
      <c r="X29" s="863">
        <f t="shared" si="16"/>
        <v>8761566.9474582206</v>
      </c>
      <c r="Y29" s="863">
        <f t="shared" si="16"/>
        <v>7693125.4122432685</v>
      </c>
      <c r="Z29" s="863">
        <f t="shared" si="16"/>
        <v>7398017.821145976</v>
      </c>
      <c r="AG29" s="236" t="s">
        <v>437</v>
      </c>
      <c r="AW29" s="891">
        <f t="shared" ref="AW29:BC29" si="17">SUMIFS(AW$12:AW$24,$E$12:$E$24,$AG29)</f>
        <v>13686952.950042691</v>
      </c>
      <c r="AX29" s="891">
        <f t="shared" si="17"/>
        <v>21964156.398800693</v>
      </c>
      <c r="AY29" s="891">
        <f t="shared" si="17"/>
        <v>27361899.066008106</v>
      </c>
      <c r="AZ29" s="891">
        <f t="shared" si="17"/>
        <v>25293888.925864048</v>
      </c>
      <c r="BA29" s="891">
        <f t="shared" si="17"/>
        <v>17230666.407405451</v>
      </c>
      <c r="BB29" s="891">
        <f t="shared" si="17"/>
        <v>15062825.773083562</v>
      </c>
      <c r="BC29" s="891">
        <f t="shared" si="17"/>
        <v>14420097.043232124</v>
      </c>
      <c r="BE29" s="862">
        <f t="shared" ref="BE29:BK29" si="18">SUMIFS(BE$12:BE$24,$E$12:$E$24,$AG29)</f>
        <v>0</v>
      </c>
      <c r="BF29" s="862">
        <f t="shared" si="18"/>
        <v>0</v>
      </c>
      <c r="BG29" s="862">
        <f t="shared" si="18"/>
        <v>0</v>
      </c>
      <c r="BH29" s="862">
        <f t="shared" si="18"/>
        <v>0</v>
      </c>
      <c r="BI29" s="862">
        <f t="shared" si="18"/>
        <v>0</v>
      </c>
      <c r="BJ29" s="862">
        <f t="shared" si="18"/>
        <v>0</v>
      </c>
      <c r="BK29" s="862">
        <f t="shared" si="18"/>
        <v>0</v>
      </c>
    </row>
    <row r="30" spans="3:63">
      <c r="D30" s="236" t="s">
        <v>50</v>
      </c>
      <c r="F30" s="862">
        <f>F29-'5.1(a)_Direct_Fcast'!M20*Thousands</f>
        <v>0</v>
      </c>
      <c r="G30" s="862">
        <f>G29-'5.1(a)_Direct_Fcast'!N20*Thousands</f>
        <v>0</v>
      </c>
      <c r="H30" s="862">
        <f>H29-'5.1(a)_Direct_Fcast'!O20*Thousands</f>
        <v>0</v>
      </c>
      <c r="I30" s="862">
        <f>I29-'5.1(a)_Direct_Fcast'!P20*Thousands</f>
        <v>0</v>
      </c>
      <c r="J30" s="862">
        <f>J29-'5.1(a)_Direct_Fcast'!Q20*Thousands</f>
        <v>0</v>
      </c>
      <c r="K30" s="862">
        <f>K29-'5.1(a)_Direct_Fcast'!R20*Thousands</f>
        <v>0</v>
      </c>
      <c r="L30" s="862">
        <f>L29-'5.1(a)_Direct_Fcast'!S20*Thousands</f>
        <v>0</v>
      </c>
      <c r="M30" s="862">
        <f>M29-'5.1(a)_Direct_Fcast'!M18*Thousands</f>
        <v>0</v>
      </c>
      <c r="N30" s="862">
        <f>N29-'5.1(a)_Direct_Fcast'!N18*Thousands</f>
        <v>0</v>
      </c>
      <c r="O30" s="862">
        <f>O29-'5.1(a)_Direct_Fcast'!O18*Thousands</f>
        <v>0</v>
      </c>
      <c r="P30" s="862">
        <f>P29-'5.1(a)_Direct_Fcast'!P18*Thousands</f>
        <v>0</v>
      </c>
      <c r="Q30" s="862">
        <f>Q29-'5.1(a)_Direct_Fcast'!Q18*Thousands</f>
        <v>0</v>
      </c>
      <c r="R30" s="862">
        <f>R29-'5.1(a)_Direct_Fcast'!R18*Thousands</f>
        <v>0</v>
      </c>
      <c r="S30" s="862">
        <f>S29-'5.1(a)_Direct_Fcast'!S18*Thousands</f>
        <v>0</v>
      </c>
      <c r="T30" s="862">
        <f>T29-'5.1(a)_Direct_Fcast'!M19*Thousands</f>
        <v>0</v>
      </c>
      <c r="U30" s="862">
        <f>U29-'5.1(a)_Direct_Fcast'!N19*Thousands</f>
        <v>0</v>
      </c>
      <c r="V30" s="862">
        <f>V29-'5.1(a)_Direct_Fcast'!O19*Thousands</f>
        <v>0</v>
      </c>
      <c r="W30" s="862">
        <f>W29-'5.1(a)_Direct_Fcast'!P19*Thousands</f>
        <v>0</v>
      </c>
      <c r="X30" s="862">
        <f>X29-'5.1(a)_Direct_Fcast'!Q19*Thousands</f>
        <v>0</v>
      </c>
      <c r="Y30" s="862">
        <f>Y29-'5.1(a)_Direct_Fcast'!R19*Thousands</f>
        <v>0</v>
      </c>
      <c r="Z30" s="862">
        <f>Z29-'5.1(a)_Direct_Fcast'!S19*Thousands</f>
        <v>0</v>
      </c>
      <c r="AG30" s="236" t="s">
        <v>50</v>
      </c>
      <c r="AW30" s="862">
        <f>AW29-'2.1 Exp Summary'!D11</f>
        <v>0</v>
      </c>
      <c r="AX30" s="862">
        <f>AX29-'2.1 Exp Summary'!E11</f>
        <v>0</v>
      </c>
      <c r="AY30" s="862">
        <f>AY29-'2.1 Exp Summary'!F11</f>
        <v>0</v>
      </c>
      <c r="AZ30" s="862">
        <f>AZ29-'2.1 Exp Summary'!G11</f>
        <v>0</v>
      </c>
      <c r="BA30" s="862">
        <f>BA29-'2.1 Exp Summary'!H11</f>
        <v>0</v>
      </c>
      <c r="BB30" s="862">
        <f>BB29-'2.1 Exp Summary'!I11</f>
        <v>0</v>
      </c>
      <c r="BC30" s="862">
        <f>BC29-'2.1 Exp Summary'!J11</f>
        <v>0</v>
      </c>
    </row>
    <row r="32" spans="3:63">
      <c r="F32" s="863"/>
      <c r="G32" s="863"/>
      <c r="H32" s="863"/>
      <c r="I32" s="863"/>
      <c r="J32" s="863"/>
      <c r="K32" s="863"/>
      <c r="L32" s="863"/>
      <c r="M32" s="863"/>
      <c r="N32" s="863"/>
      <c r="O32" s="863"/>
      <c r="P32" s="863"/>
      <c r="Q32" s="863"/>
      <c r="R32" s="863"/>
      <c r="S32" s="863"/>
      <c r="T32" s="863"/>
      <c r="U32" s="863"/>
      <c r="V32" s="863"/>
      <c r="W32" s="863"/>
      <c r="X32" s="863"/>
      <c r="Y32" s="863"/>
      <c r="Z32" s="863"/>
    </row>
    <row r="33" spans="6:51">
      <c r="AY33" s="863"/>
    </row>
    <row r="34" spans="6:51">
      <c r="F34" s="862"/>
      <c r="AY34" s="863"/>
    </row>
  </sheetData>
  <mergeCells count="8">
    <mergeCell ref="BE5:BK5"/>
    <mergeCell ref="AW5:BC5"/>
    <mergeCell ref="AO5:AU5"/>
    <mergeCell ref="F5:L5"/>
    <mergeCell ref="M5:S5"/>
    <mergeCell ref="T5:Z5"/>
    <mergeCell ref="AA5:AG5"/>
    <mergeCell ref="AH5:AN5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  <ignoredErrors>
    <ignoredError sqref="F22:Z24 F12:Z20 F21:Z21" unlocked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"/>
  <sheetViews>
    <sheetView workbookViewId="0">
      <pane ySplit="4" topLeftCell="A5" activePane="bottomLeft" state="frozen"/>
      <selection activeCell="L46" sqref="L46"/>
      <selection pane="bottomLeft" activeCell="M25" sqref="M25"/>
    </sheetView>
  </sheetViews>
  <sheetFormatPr defaultRowHeight="15"/>
  <cols>
    <col min="2" max="2" width="6.42578125" customWidth="1"/>
    <col min="3" max="3" width="56.85546875" customWidth="1"/>
    <col min="4" max="4" width="12.140625" customWidth="1"/>
    <col min="5" max="6" width="11.85546875" customWidth="1"/>
    <col min="7" max="7" width="14" hidden="1" customWidth="1"/>
  </cols>
  <sheetData>
    <row r="1" spans="2:7" s="248" customFormat="1">
      <c r="B1" s="483" t="s">
        <v>290</v>
      </c>
    </row>
    <row r="2" spans="2:7" s="248" customFormat="1"/>
    <row r="3" spans="2:7">
      <c r="B3" s="35" t="s">
        <v>330</v>
      </c>
    </row>
    <row r="4" spans="2:7" ht="33.75" customHeight="1">
      <c r="B4" s="601" t="s">
        <v>323</v>
      </c>
      <c r="C4" s="602" t="s">
        <v>322</v>
      </c>
      <c r="D4" s="603" t="s">
        <v>329</v>
      </c>
      <c r="E4" s="603" t="s">
        <v>328</v>
      </c>
      <c r="F4" s="603" t="s">
        <v>327</v>
      </c>
    </row>
    <row r="5" spans="2:7">
      <c r="B5" s="34">
        <v>1</v>
      </c>
      <c r="C5" t="str">
        <f>Project_Inputs!D5</f>
        <v>FBTS Refurbishment</v>
      </c>
      <c r="D5" s="34" t="str">
        <f>Proj_1!R11</f>
        <v>ok</v>
      </c>
      <c r="E5" s="34" t="str">
        <f>Proj_1!R14</f>
        <v>ok</v>
      </c>
      <c r="F5" s="617" t="str">
        <f>Proj_1!R54</f>
        <v>ok</v>
      </c>
      <c r="G5" s="34" t="str">
        <f>"Proj_"&amp;B5&amp;"!R54"</f>
        <v>Proj_1!R54</v>
      </c>
    </row>
    <row r="6" spans="2:7">
      <c r="B6" s="34">
        <v>2</v>
      </c>
      <c r="C6" s="248" t="str">
        <f>Project_Inputs!D6</f>
        <v>HWPS 220kV Switchyard Redevelopment Stage 4</v>
      </c>
      <c r="D6" s="34" t="str">
        <f>Proj_2!R11</f>
        <v>ok</v>
      </c>
      <c r="E6" s="34" t="str">
        <f>Proj_2!R14</f>
        <v>ok</v>
      </c>
      <c r="F6" s="617" t="str">
        <f>Proj_2!R54</f>
        <v>ok</v>
      </c>
      <c r="G6" s="34" t="str">
        <f t="shared" ref="G6:G50" si="0">"Proj_"&amp;B6&amp;"!R54"</f>
        <v>Proj_2!R54</v>
      </c>
    </row>
    <row r="7" spans="2:7">
      <c r="B7" s="34">
        <v>3</v>
      </c>
      <c r="C7" s="248" t="str">
        <f>Project_Inputs!D7</f>
        <v>RTS Redevelopment Project</v>
      </c>
      <c r="D7" s="34" t="str">
        <f>Proj_3!R11</f>
        <v>ok</v>
      </c>
      <c r="E7" s="34" t="str">
        <f>Proj_3!R14</f>
        <v>ok</v>
      </c>
      <c r="F7" s="617" t="str">
        <f>Proj_3!R54</f>
        <v>ok</v>
      </c>
      <c r="G7" s="34" t="str">
        <f t="shared" si="0"/>
        <v>Proj_3!R54</v>
      </c>
    </row>
    <row r="8" spans="2:7">
      <c r="B8" s="34">
        <v>4</v>
      </c>
      <c r="C8" s="248" t="str">
        <f>Project_Inputs!D8</f>
        <v>HTS Rebuild</v>
      </c>
      <c r="D8" s="34" t="str">
        <f>Proj_4!R11</f>
        <v>ok</v>
      </c>
      <c r="E8" s="34" t="str">
        <f>Proj_4!R14</f>
        <v>ok</v>
      </c>
      <c r="F8" s="617" t="str">
        <f>Proj_4!R54</f>
        <v>ok</v>
      </c>
      <c r="G8" s="34" t="str">
        <f t="shared" si="0"/>
        <v>Proj_4!R54</v>
      </c>
    </row>
    <row r="9" spans="2:7">
      <c r="B9" s="34">
        <v>5</v>
      </c>
      <c r="C9" s="248" t="str">
        <f>Project_Inputs!D9</f>
        <v>SMTS H2 Transformer Replacement</v>
      </c>
      <c r="D9" s="34" t="str">
        <f>Proj_5!R11</f>
        <v>ok</v>
      </c>
      <c r="E9" s="34" t="str">
        <f>Proj_5!R14</f>
        <v>ok</v>
      </c>
      <c r="F9" s="617" t="str">
        <f>Proj_5!R54</f>
        <v>ok</v>
      </c>
      <c r="G9" s="34" t="str">
        <f t="shared" si="0"/>
        <v>Proj_5!R54</v>
      </c>
    </row>
    <row r="10" spans="2:7">
      <c r="B10" s="34">
        <v>6</v>
      </c>
      <c r="C10" s="248" t="str">
        <f>Project_Inputs!D10</f>
        <v>Other committed projects</v>
      </c>
      <c r="D10" s="34" t="str">
        <f>Proj_6!R11</f>
        <v>ok</v>
      </c>
      <c r="E10" s="34" t="str">
        <f>Proj_6!R14</f>
        <v>ok</v>
      </c>
      <c r="F10" s="617" t="str">
        <f>Proj_6!R54</f>
        <v>ok</v>
      </c>
      <c r="G10" s="34" t="str">
        <f t="shared" si="0"/>
        <v>Proj_6!R54</v>
      </c>
    </row>
    <row r="11" spans="2:7">
      <c r="B11" s="34">
        <v>7</v>
      </c>
      <c r="C11" s="248" t="str">
        <f>Project_Inputs!D11</f>
        <v>RWTS B4 220/66kV Transformer and 66kV CB Replacement</v>
      </c>
      <c r="D11" s="34" t="str">
        <f>Proj_7!R11</f>
        <v>ok</v>
      </c>
      <c r="E11" s="34" t="str">
        <f>Proj_7!R14</f>
        <v>ok</v>
      </c>
      <c r="F11" s="617" t="str">
        <f>Proj_7!R54</f>
        <v>ok</v>
      </c>
      <c r="G11" s="34" t="str">
        <f t="shared" si="0"/>
        <v>Proj_7!R54</v>
      </c>
    </row>
    <row r="12" spans="2:7">
      <c r="B12" s="34">
        <v>8</v>
      </c>
      <c r="C12" s="248" t="str">
        <f>Project_Inputs!D12</f>
        <v>TSTS B2 Transformer and 66kV CB Replacement</v>
      </c>
      <c r="D12" s="34" t="str">
        <f>Proj_8!R11</f>
        <v>ok</v>
      </c>
      <c r="E12" s="34" t="str">
        <f>Proj_8!R14</f>
        <v>ok</v>
      </c>
      <c r="F12" s="617" t="str">
        <f>Proj_8!R54</f>
        <v>ok</v>
      </c>
      <c r="G12" s="34" t="str">
        <f t="shared" si="0"/>
        <v>Proj_8!R54</v>
      </c>
    </row>
    <row r="13" spans="2:7">
      <c r="B13" s="34">
        <v>9</v>
      </c>
      <c r="C13" s="248" t="str">
        <f>Project_Inputs!D13</f>
        <v>SVTS Redevelopment Stage 1</v>
      </c>
      <c r="D13" s="34" t="str">
        <f>Proj_9!R11</f>
        <v>ok</v>
      </c>
      <c r="E13" s="34" t="str">
        <f>Proj_9!R14</f>
        <v>ok</v>
      </c>
      <c r="F13" s="617" t="str">
        <f>Proj_9!R54</f>
        <v>ok</v>
      </c>
      <c r="G13" s="34" t="str">
        <f t="shared" si="0"/>
        <v>Proj_9!R54</v>
      </c>
    </row>
    <row r="14" spans="2:7">
      <c r="B14" s="34">
        <v>10</v>
      </c>
      <c r="C14" s="248" t="str">
        <f>Project_Inputs!D14</f>
        <v>WMTS Redevelopment</v>
      </c>
      <c r="D14" s="34" t="str">
        <f>Proj_10!R11</f>
        <v>ok</v>
      </c>
      <c r="E14" s="34" t="str">
        <f>Proj_10!R14</f>
        <v>ok</v>
      </c>
      <c r="F14" s="617" t="str">
        <f>Proj_10!R54</f>
        <v>ok</v>
      </c>
      <c r="G14" s="34" t="str">
        <f t="shared" si="0"/>
        <v>Proj_10!R54</v>
      </c>
    </row>
    <row r="15" spans="2:7">
      <c r="B15" s="34">
        <v>11</v>
      </c>
      <c r="C15" s="248" t="str">
        <f>Project_Inputs!D15</f>
        <v>HYTS 500kV and 275kV CB Replacement</v>
      </c>
      <c r="D15" s="34" t="str">
        <f>Proj_11!R11</f>
        <v>ok</v>
      </c>
      <c r="E15" s="34" t="str">
        <f>Proj_11!R14</f>
        <v>ok</v>
      </c>
      <c r="F15" s="617" t="str">
        <f>Proj_11!R54</f>
        <v>ok</v>
      </c>
      <c r="G15" s="34" t="str">
        <f t="shared" si="0"/>
        <v>Proj_11!R54</v>
      </c>
    </row>
    <row r="16" spans="2:7">
      <c r="B16" s="34">
        <v>12</v>
      </c>
      <c r="C16" s="248" t="str">
        <f>Project_Inputs!D16</f>
        <v>FBTS Transformer and Circuit Breaker Replacement</v>
      </c>
      <c r="D16" s="34" t="str">
        <f>Proj_12!R11</f>
        <v>ok</v>
      </c>
      <c r="E16" s="34" t="str">
        <f>Proj_12!R14</f>
        <v>ok</v>
      </c>
      <c r="F16" s="617" t="str">
        <f>Proj_12!R54</f>
        <v>ok</v>
      </c>
      <c r="G16" s="34" t="str">
        <f t="shared" si="0"/>
        <v>Proj_12!R54</v>
      </c>
    </row>
    <row r="17" spans="2:7">
      <c r="B17" s="34">
        <v>13</v>
      </c>
      <c r="C17" s="248" t="str">
        <f>Project_Inputs!D17</f>
        <v>Glenrowan Terminal Station Redevelopment Project</v>
      </c>
      <c r="D17" s="34" t="str">
        <f>Proj_13!R11</f>
        <v>ok</v>
      </c>
      <c r="E17" s="34" t="str">
        <f>Proj_13!R14</f>
        <v>ok</v>
      </c>
      <c r="F17" s="617" t="str">
        <f>Proj_13!R54</f>
        <v>ok</v>
      </c>
      <c r="G17" s="34" t="str">
        <f t="shared" si="0"/>
        <v>Proj_13!R54</v>
      </c>
    </row>
    <row r="18" spans="2:7">
      <c r="B18" s="34">
        <v>14</v>
      </c>
      <c r="C18" s="248" t="str">
        <f>Project_Inputs!D18</f>
        <v>Ringwood Terminal Station (RWTS) 220kV Circuit Breaker Replacements</v>
      </c>
      <c r="D18" s="34" t="str">
        <f>Proj_14!R11</f>
        <v>ok</v>
      </c>
      <c r="E18" s="34" t="str">
        <f>Proj_14!R14</f>
        <v>ok</v>
      </c>
      <c r="F18" s="617" t="str">
        <f>Proj_14!R54</f>
        <v>ok</v>
      </c>
      <c r="G18" s="34" t="str">
        <f t="shared" si="0"/>
        <v>Proj_14!R54</v>
      </c>
    </row>
    <row r="19" spans="2:7">
      <c r="B19" s="34">
        <v>15</v>
      </c>
      <c r="C19" s="248" t="str">
        <f>Project_Inputs!D19</f>
        <v>HWPS CB Replacement Stage 3</v>
      </c>
      <c r="D19" s="34" t="str">
        <f>Proj_15!R11</f>
        <v>ok</v>
      </c>
      <c r="E19" s="34" t="str">
        <f>Proj_15!R14</f>
        <v>ok</v>
      </c>
      <c r="F19" s="617" t="str">
        <f>Proj_15!R54</f>
        <v>ok</v>
      </c>
      <c r="G19" s="34" t="str">
        <f t="shared" si="0"/>
        <v>Proj_15!R54</v>
      </c>
    </row>
    <row r="20" spans="2:7">
      <c r="B20" s="34">
        <v>16</v>
      </c>
      <c r="C20" s="248" t="str">
        <f>Project_Inputs!D20</f>
        <v>MWTS B2 Transformer Replacement</v>
      </c>
      <c r="D20" s="34" t="str">
        <f>Proj_16!R11</f>
        <v>ok</v>
      </c>
      <c r="E20" s="34" t="str">
        <f>Proj_16!R14</f>
        <v>ok</v>
      </c>
      <c r="F20" s="617" t="str">
        <f>Proj_16!R54</f>
        <v>ok</v>
      </c>
      <c r="G20" s="34" t="str">
        <f t="shared" si="0"/>
        <v>Proj_16!R54</v>
      </c>
    </row>
    <row r="21" spans="2:7">
      <c r="B21" s="34">
        <v>17</v>
      </c>
      <c r="C21" s="248" t="str">
        <f>Project_Inputs!D21</f>
        <v>TTS Bus Tie CB Replacement</v>
      </c>
      <c r="D21" s="34" t="str">
        <f>Proj_17!R11</f>
        <v>ok</v>
      </c>
      <c r="E21" s="34" t="str">
        <f>Proj_17!R14</f>
        <v>ok</v>
      </c>
      <c r="F21" s="617" t="str">
        <f>Proj_17!R54</f>
        <v>ok</v>
      </c>
      <c r="G21" s="34" t="str">
        <f t="shared" si="0"/>
        <v>Proj_17!R54</v>
      </c>
    </row>
    <row r="22" spans="2:7">
      <c r="B22" s="34">
        <v>18</v>
      </c>
      <c r="C22" s="248" t="str">
        <f>Project_Inputs!D22</f>
        <v>YPS 220kV CB Replacement</v>
      </c>
      <c r="D22" s="34" t="str">
        <f>Proj_18!R11</f>
        <v>ok</v>
      </c>
      <c r="E22" s="34" t="str">
        <f>Proj_18!R14</f>
        <v>ok</v>
      </c>
      <c r="F22" s="617" t="str">
        <f>Proj_18!R54</f>
        <v>ok</v>
      </c>
      <c r="G22" s="34" t="str">
        <f t="shared" si="0"/>
        <v>Proj_18!R54</v>
      </c>
    </row>
    <row r="23" spans="2:7">
      <c r="B23" s="34">
        <v>19</v>
      </c>
      <c r="C23" s="248" t="str">
        <f>Project_Inputs!D23</f>
        <v>Other station transformer replacement</v>
      </c>
      <c r="D23" s="34" t="str">
        <f>Proj_19!R11</f>
        <v>ok</v>
      </c>
      <c r="E23" s="34" t="str">
        <f>Proj_19!R14</f>
        <v>ok</v>
      </c>
      <c r="F23" s="617" t="str">
        <f>Proj_19!R54</f>
        <v>ok</v>
      </c>
      <c r="G23" s="34" t="str">
        <f t="shared" si="0"/>
        <v>Proj_19!R54</v>
      </c>
    </row>
    <row r="24" spans="2:7">
      <c r="B24" s="34">
        <v>20</v>
      </c>
      <c r="C24" s="248" t="str">
        <f>Project_Inputs!D24</f>
        <v>Power transformers - Bushings replacement</v>
      </c>
      <c r="D24" s="34" t="str">
        <f>Proj_20!R11</f>
        <v>ok</v>
      </c>
      <c r="E24" s="34" t="str">
        <f>Proj_20!R14</f>
        <v>ok</v>
      </c>
      <c r="F24" s="617" t="str">
        <f>Proj_20!R54</f>
        <v>ok</v>
      </c>
      <c r="G24" s="34" t="str">
        <f t="shared" si="0"/>
        <v>Proj_20!R54</v>
      </c>
    </row>
    <row r="25" spans="2:7">
      <c r="B25" s="34">
        <v>21</v>
      </c>
      <c r="C25" s="248" t="str">
        <f>Project_Inputs!D25</f>
        <v>Power transformers - life extension</v>
      </c>
      <c r="D25" s="34" t="str">
        <f>Proj_21!R11</f>
        <v>ok</v>
      </c>
      <c r="E25" s="34" t="str">
        <f>Proj_21!R14</f>
        <v>ok</v>
      </c>
      <c r="F25" s="617" t="str">
        <f>Proj_21!R54</f>
        <v>ok</v>
      </c>
      <c r="G25" s="34" t="str">
        <f t="shared" si="0"/>
        <v>Proj_21!R54</v>
      </c>
    </row>
    <row r="26" spans="2:7">
      <c r="B26" s="34">
        <v>22</v>
      </c>
      <c r="C26" s="248" t="str">
        <f>Project_Inputs!D26</f>
        <v>Power transformers - improved safe access</v>
      </c>
      <c r="D26" s="34" t="str">
        <f>Proj_22!R11</f>
        <v>ok</v>
      </c>
      <c r="E26" s="34" t="str">
        <f>Proj_22!R14</f>
        <v>ok</v>
      </c>
      <c r="F26" s="617" t="str">
        <f>Proj_22!R54</f>
        <v>ok</v>
      </c>
      <c r="G26" s="34" t="str">
        <f t="shared" si="0"/>
        <v>Proj_22!R54</v>
      </c>
    </row>
    <row r="27" spans="2:7">
      <c r="B27" s="34">
        <v>23</v>
      </c>
      <c r="C27" s="248" t="str">
        <f>Project_Inputs!D27</f>
        <v>Circuit breakers</v>
      </c>
      <c r="D27" s="34" t="str">
        <f>Proj_23!R11</f>
        <v>ok</v>
      </c>
      <c r="E27" s="34" t="str">
        <f>Proj_23!R14</f>
        <v>ok</v>
      </c>
      <c r="F27" s="617" t="str">
        <f>Proj_23!R54</f>
        <v>ok</v>
      </c>
      <c r="G27" s="34" t="str">
        <f t="shared" si="0"/>
        <v>Proj_23!R54</v>
      </c>
    </row>
    <row r="28" spans="2:7">
      <c r="B28" s="34">
        <v>24</v>
      </c>
      <c r="C28" s="248" t="str">
        <f>Project_Inputs!D28</f>
        <v>Instrument transformers</v>
      </c>
      <c r="D28" s="34" t="str">
        <f>Proj_24!R11</f>
        <v>ok</v>
      </c>
      <c r="E28" s="34" t="str">
        <f>Proj_24!R14</f>
        <v>ok</v>
      </c>
      <c r="F28" s="617" t="str">
        <f>Proj_24!R54</f>
        <v>ok</v>
      </c>
      <c r="G28" s="34" t="str">
        <f t="shared" si="0"/>
        <v>Proj_24!R54</v>
      </c>
    </row>
    <row r="29" spans="2:7">
      <c r="B29" s="34">
        <v>25</v>
      </c>
      <c r="C29" s="248" t="str">
        <f>Project_Inputs!D29</f>
        <v>Disconnectors</v>
      </c>
      <c r="D29" s="34" t="str">
        <f>Proj_25!R11</f>
        <v>ok</v>
      </c>
      <c r="E29" s="34" t="str">
        <f>Proj_25!R14</f>
        <v>ok</v>
      </c>
      <c r="F29" s="617" t="str">
        <f>Proj_25!R54</f>
        <v>ok</v>
      </c>
      <c r="G29" s="34" t="str">
        <f t="shared" si="0"/>
        <v>Proj_25!R54</v>
      </c>
    </row>
    <row r="30" spans="2:7">
      <c r="B30" s="34">
        <v>26</v>
      </c>
      <c r="C30" s="248" t="str">
        <f>Project_Inputs!D30</f>
        <v>Syn Cons</v>
      </c>
      <c r="D30" s="34" t="str">
        <f>Proj_26!R11</f>
        <v>ok</v>
      </c>
      <c r="E30" s="34" t="str">
        <f>Proj_26!R14</f>
        <v>ok</v>
      </c>
      <c r="F30" s="617" t="str">
        <f>Proj_26!R54</f>
        <v>ok</v>
      </c>
      <c r="G30" s="34" t="str">
        <f t="shared" si="0"/>
        <v>Proj_26!R54</v>
      </c>
    </row>
    <row r="31" spans="2:7">
      <c r="B31" s="34">
        <v>27</v>
      </c>
      <c r="C31" s="248" t="str">
        <f>Project_Inputs!D31</f>
        <v>Reactive plant</v>
      </c>
      <c r="D31" s="34" t="str">
        <f>Proj_27!R11</f>
        <v>ok</v>
      </c>
      <c r="E31" s="34" t="str">
        <f>Proj_27!R14</f>
        <v>ok</v>
      </c>
      <c r="F31" s="617" t="str">
        <f>Proj_27!R54</f>
        <v>ok</v>
      </c>
      <c r="G31" s="34" t="str">
        <f t="shared" si="0"/>
        <v>Proj_27!R54</v>
      </c>
    </row>
    <row r="32" spans="2:7">
      <c r="B32" s="34">
        <v>28</v>
      </c>
      <c r="C32" s="248" t="str">
        <f>Project_Inputs!D32</f>
        <v>On-line monitoring</v>
      </c>
      <c r="D32" s="34" t="str">
        <f>Proj_28!R11</f>
        <v>ok</v>
      </c>
      <c r="E32" s="34" t="str">
        <f>Proj_28!R14</f>
        <v>ok</v>
      </c>
      <c r="F32" s="617" t="str">
        <f>Proj_28!R54</f>
        <v>ok</v>
      </c>
      <c r="G32" s="34" t="str">
        <f t="shared" si="0"/>
        <v>Proj_28!R54</v>
      </c>
    </row>
    <row r="33" spans="2:7">
      <c r="B33" s="34">
        <v>29</v>
      </c>
      <c r="C33" s="248" t="str">
        <f>Project_Inputs!D33</f>
        <v>Fire protection systems</v>
      </c>
      <c r="D33" s="34" t="str">
        <f>Proj_29!R11</f>
        <v>ok</v>
      </c>
      <c r="E33" s="34" t="str">
        <f>Proj_29!R14</f>
        <v>ok</v>
      </c>
      <c r="F33" s="617" t="str">
        <f>Proj_29!R54</f>
        <v>ok</v>
      </c>
      <c r="G33" s="34" t="str">
        <f t="shared" si="0"/>
        <v>Proj_29!R54</v>
      </c>
    </row>
    <row r="34" spans="2:7">
      <c r="B34" s="34">
        <v>30</v>
      </c>
      <c r="C34" s="248" t="str">
        <f>Project_Inputs!D34</f>
        <v>Civils</v>
      </c>
      <c r="D34" s="34" t="str">
        <f>Proj_30!R11</f>
        <v>ok</v>
      </c>
      <c r="E34" s="34" t="str">
        <f>Proj_30!R14</f>
        <v>ok</v>
      </c>
      <c r="F34" s="617" t="str">
        <f>Proj_30!R54</f>
        <v>ok</v>
      </c>
      <c r="G34" s="34" t="str">
        <f t="shared" si="0"/>
        <v>Proj_30!R54</v>
      </c>
    </row>
    <row r="35" spans="2:7">
      <c r="B35" s="34">
        <v>31</v>
      </c>
      <c r="C35" s="248" t="str">
        <f>Project_Inputs!D35</f>
        <v>Infrastructure security</v>
      </c>
      <c r="D35" s="34" t="str">
        <f>Proj_31!R11</f>
        <v>ok</v>
      </c>
      <c r="E35" s="34" t="str">
        <f>Proj_31!R14</f>
        <v>ok</v>
      </c>
      <c r="F35" s="617" t="str">
        <f>Proj_31!R54</f>
        <v>ok</v>
      </c>
      <c r="G35" s="34" t="str">
        <f t="shared" si="0"/>
        <v>Proj_31!R54</v>
      </c>
    </row>
    <row r="36" spans="2:7">
      <c r="B36" s="34">
        <v>32</v>
      </c>
      <c r="C36" s="248" t="str">
        <f>Project_Inputs!D36</f>
        <v>Structure fall arrests</v>
      </c>
      <c r="D36" s="34" t="str">
        <f>Proj_32!R11</f>
        <v>ok</v>
      </c>
      <c r="E36" s="34" t="str">
        <f>Proj_32!R14</f>
        <v>ok</v>
      </c>
      <c r="F36" s="617" t="str">
        <f>Proj_32!R54</f>
        <v>ok</v>
      </c>
      <c r="G36" s="34" t="str">
        <f t="shared" si="0"/>
        <v>Proj_32!R54</v>
      </c>
    </row>
    <row r="37" spans="2:7">
      <c r="B37" s="34">
        <v>33</v>
      </c>
      <c r="C37" s="248" t="str">
        <f>Project_Inputs!D37</f>
        <v>Earth wires (incl. OPGW)</v>
      </c>
      <c r="D37" s="34" t="str">
        <f>Proj_33!R11</f>
        <v>ok</v>
      </c>
      <c r="E37" s="34" t="str">
        <f>Proj_33!R14</f>
        <v>ok</v>
      </c>
      <c r="F37" s="617" t="str">
        <f>Proj_33!R54</f>
        <v>ok</v>
      </c>
      <c r="G37" s="34" t="str">
        <f t="shared" si="0"/>
        <v>Proj_33!R54</v>
      </c>
    </row>
    <row r="38" spans="2:7">
      <c r="B38" s="34">
        <v>34</v>
      </c>
      <c r="C38" s="248" t="str">
        <f>Project_Inputs!D38</f>
        <v>Conductor</v>
      </c>
      <c r="D38" s="34" t="str">
        <f>Proj_34!R11</f>
        <v>ok</v>
      </c>
      <c r="E38" s="34" t="str">
        <f>Proj_34!R14</f>
        <v>ok</v>
      </c>
      <c r="F38" s="617" t="str">
        <f>Proj_34!R54</f>
        <v>ok</v>
      </c>
      <c r="G38" s="34" t="str">
        <f t="shared" si="0"/>
        <v>Proj_34!R54</v>
      </c>
    </row>
    <row r="39" spans="2:7">
      <c r="B39" s="34">
        <v>35</v>
      </c>
      <c r="C39" s="248" t="str">
        <f>Project_Inputs!D39</f>
        <v>Insulators</v>
      </c>
      <c r="D39" s="34" t="str">
        <f>Proj_35!R11</f>
        <v>ok</v>
      </c>
      <c r="E39" s="34" t="str">
        <f>Proj_35!R14</f>
        <v>ok</v>
      </c>
      <c r="F39" s="617" t="str">
        <f>Proj_35!R54</f>
        <v>ok</v>
      </c>
      <c r="G39" s="34" t="str">
        <f t="shared" si="0"/>
        <v>Proj_35!R54</v>
      </c>
    </row>
    <row r="40" spans="2:7">
      <c r="B40" s="34">
        <v>36</v>
      </c>
      <c r="C40" s="248" t="str">
        <f>Project_Inputs!D40</f>
        <v>Towers</v>
      </c>
      <c r="D40" s="34" t="str">
        <f>Proj_36!R11</f>
        <v>ok</v>
      </c>
      <c r="E40" s="34" t="str">
        <f>Proj_36!R14</f>
        <v>ok</v>
      </c>
      <c r="F40" s="617" t="str">
        <f>Proj_36!R54</f>
        <v>ok</v>
      </c>
      <c r="G40" s="34" t="str">
        <f t="shared" si="0"/>
        <v>Proj_36!R54</v>
      </c>
    </row>
    <row r="41" spans="2:7">
      <c r="B41" s="34">
        <v>37</v>
      </c>
      <c r="C41" s="248" t="str">
        <f>Project_Inputs!D41</f>
        <v>Tower fall arrests</v>
      </c>
      <c r="D41" s="34" t="str">
        <f>Proj_37!R11</f>
        <v>ok</v>
      </c>
      <c r="E41" s="34" t="str">
        <f>Proj_37!R14</f>
        <v>ok</v>
      </c>
      <c r="F41" s="617" t="str">
        <f>Proj_37!R54</f>
        <v>ok</v>
      </c>
      <c r="G41" s="34" t="str">
        <f t="shared" si="0"/>
        <v>Proj_37!R54</v>
      </c>
    </row>
    <row r="42" spans="2:7">
      <c r="B42" s="34">
        <v>38</v>
      </c>
      <c r="C42" s="248" t="str">
        <f>Project_Inputs!D42</f>
        <v>Secondary &amp; Protection program</v>
      </c>
      <c r="D42" s="34" t="str">
        <f>Proj_38!R11</f>
        <v>ok</v>
      </c>
      <c r="E42" s="34" t="str">
        <f>Proj_38!R14</f>
        <v>ok</v>
      </c>
      <c r="F42" s="617" t="str">
        <f>Proj_38!R54</f>
        <v>ok</v>
      </c>
      <c r="G42" s="34" t="str">
        <f t="shared" si="0"/>
        <v>Proj_38!R54</v>
      </c>
    </row>
    <row r="43" spans="2:7">
      <c r="B43" s="34">
        <v>39</v>
      </c>
      <c r="C43" s="248" t="str">
        <f>Project_Inputs!D43</f>
        <v>Comms program</v>
      </c>
      <c r="D43" s="34" t="str">
        <f>Proj_39!R11</f>
        <v>ok</v>
      </c>
      <c r="E43" s="34" t="str">
        <f>Proj_39!R14</f>
        <v>ok</v>
      </c>
      <c r="F43" s="617" t="str">
        <f>Proj_39!R54</f>
        <v>ok</v>
      </c>
      <c r="G43" s="34" t="str">
        <f t="shared" si="0"/>
        <v>Proj_39!R54</v>
      </c>
    </row>
    <row r="44" spans="2:7">
      <c r="B44" s="34">
        <v>40</v>
      </c>
      <c r="C44" s="248" t="str">
        <f>Project_Inputs!D44</f>
        <v>Comms program - safety and security</v>
      </c>
      <c r="D44" s="34" t="str">
        <f>Proj_40!R11</f>
        <v>ok</v>
      </c>
      <c r="E44" s="34" t="str">
        <f>Proj_40!R14</f>
        <v>ok</v>
      </c>
      <c r="F44" s="617" t="str">
        <f>Proj_40!R54</f>
        <v>ok</v>
      </c>
      <c r="G44" s="34" t="str">
        <f t="shared" si="0"/>
        <v>Proj_40!R54</v>
      </c>
    </row>
    <row r="45" spans="2:7">
      <c r="B45" s="34">
        <v>41</v>
      </c>
      <c r="C45" s="248" t="str">
        <f>Project_Inputs!D45</f>
        <v>Other station works</v>
      </c>
      <c r="D45" s="34" t="str">
        <f>Proj_41!R11</f>
        <v>ok</v>
      </c>
      <c r="E45" s="34" t="str">
        <f>Proj_41!R14</f>
        <v>ok</v>
      </c>
      <c r="F45" s="617" t="str">
        <f>Proj_41!R54</f>
        <v>ok</v>
      </c>
      <c r="G45" s="34" t="str">
        <f t="shared" si="0"/>
        <v>Proj_41!R54</v>
      </c>
    </row>
    <row r="46" spans="2:7">
      <c r="B46" s="34">
        <v>42</v>
      </c>
      <c r="C46" s="248" t="str">
        <f>Project_Inputs!D46</f>
        <v>Other station works - security &amp; compliance</v>
      </c>
      <c r="D46" s="34" t="str">
        <f>Proj_42!R11</f>
        <v>ok</v>
      </c>
      <c r="E46" s="34" t="str">
        <f>Proj_42!R14</f>
        <v>ok</v>
      </c>
      <c r="F46" s="617" t="str">
        <f>Proj_42!R54</f>
        <v>ok</v>
      </c>
      <c r="G46" s="34" t="str">
        <f t="shared" si="0"/>
        <v>Proj_42!R54</v>
      </c>
    </row>
    <row r="47" spans="2:7">
      <c r="B47" s="34">
        <v>43</v>
      </c>
      <c r="C47" s="248" t="str">
        <f>Project_Inputs!D47</f>
        <v>Buildings &amp; Property</v>
      </c>
      <c r="D47" s="34" t="str">
        <f>Proj_43!R11</f>
        <v>ok</v>
      </c>
      <c r="E47" s="34" t="str">
        <f>Proj_43!R14</f>
        <v>ok</v>
      </c>
      <c r="F47" s="617" t="str">
        <f>Proj_43!R54</f>
        <v>ok</v>
      </c>
      <c r="G47" s="34" t="str">
        <f t="shared" si="0"/>
        <v>Proj_43!R54</v>
      </c>
    </row>
    <row r="48" spans="2:7">
      <c r="B48" s="34">
        <v>44</v>
      </c>
      <c r="C48" s="248" t="str">
        <f>Project_Inputs!D48</f>
        <v>Non-network - Other</v>
      </c>
      <c r="D48" s="34" t="str">
        <f>Proj_44!R11</f>
        <v>ok</v>
      </c>
      <c r="E48" s="34" t="str">
        <f>Proj_44!R14</f>
        <v>ok</v>
      </c>
      <c r="F48" s="617" t="str">
        <f>Proj_44!R54</f>
        <v>ok</v>
      </c>
      <c r="G48" s="34" t="str">
        <f t="shared" si="0"/>
        <v>Proj_44!R54</v>
      </c>
    </row>
    <row r="49" spans="2:7">
      <c r="B49" s="34">
        <v>45</v>
      </c>
      <c r="C49" s="248" t="str">
        <f>Project_Inputs!D49</f>
        <v>IT Strategy</v>
      </c>
      <c r="D49" s="34" t="str">
        <f>Proj_45!R11</f>
        <v>ok</v>
      </c>
      <c r="E49" s="34" t="str">
        <f>Proj_45!R14</f>
        <v>ok</v>
      </c>
      <c r="F49" s="617" t="str">
        <f>Proj_45!R54</f>
        <v>ok</v>
      </c>
      <c r="G49" s="34" t="str">
        <f t="shared" si="0"/>
        <v>Proj_45!R54</v>
      </c>
    </row>
    <row r="50" spans="2:7">
      <c r="B50" s="34">
        <v>46</v>
      </c>
      <c r="C50" s="248" t="str">
        <f>Project_Inputs!D50</f>
        <v>Motor Vehicles</v>
      </c>
      <c r="D50" s="34" t="str">
        <f>Proj_46!R11</f>
        <v>ok</v>
      </c>
      <c r="E50" s="34" t="str">
        <f>Proj_46!R14</f>
        <v>ok</v>
      </c>
      <c r="F50" s="617" t="str">
        <f>Proj_46!R54</f>
        <v>ok</v>
      </c>
      <c r="G50" s="34" t="str">
        <f t="shared" si="0"/>
        <v>Proj_46!R54</v>
      </c>
    </row>
  </sheetData>
  <conditionalFormatting sqref="D5:F50">
    <cfRule type="cellIs" dxfId="0" priority="1" operator="equal">
      <formula>"Error"</formula>
    </cfRule>
  </conditionalFormatting>
  <hyperlinks>
    <hyperlink ref="B1" location="Contents!A1" display="Table of Content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Project_Inputs!B7</f>
        <v>XA09</v>
      </c>
      <c r="F3" s="249" t="s">
        <v>63</v>
      </c>
      <c r="G3" s="249" t="str">
        <f>Project_Inputs!F7</f>
        <v>Yes</v>
      </c>
    </row>
    <row r="4" spans="1:21" ht="18.75">
      <c r="A4" s="6"/>
      <c r="B4" s="6"/>
      <c r="C4" s="13" t="s">
        <v>15</v>
      </c>
      <c r="D4" s="339" t="str">
        <f>Project_Inputs!D7</f>
        <v>RTS Redevelopment Project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Project_Inputs!H7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Project_Inputs!I7</f>
        <v>Replacement - Major Station CBD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Project_Inputs!J7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87238.343461247248</v>
      </c>
      <c r="G11" s="319">
        <f>IF(G$10="Prior",SUMIFS(Project_Inputs!$W$5:$W$50,Project_Inputs!$D$5:$D$50,$D$4),SUMIFS(Project_Inputs!M$5:M$50,Project_Inputs!$D$5:$D$50,$D$4))</f>
        <v>27678.750000000004</v>
      </c>
      <c r="H11" s="389">
        <f>IF(H$10="Prior",SUMIFS(Project_Inputs!$W$5:$W$50,Project_Inputs!$D$5:$D$50,$D$4),SUMIFS(Project_Inputs!N$5:N$50,Project_Inputs!$D$5:$D$50,$D$4))</f>
        <v>22138.751557124851</v>
      </c>
      <c r="I11" s="399">
        <f>IF(I$10="Prior",SUMIFS(Project_Inputs!$W$5:$W$50,Project_Inputs!$D$5:$D$50,$D$4),SUMIFS(Project_Inputs!O$5:O$50,Project_Inputs!$D$5:$D$50,$D$4))</f>
        <v>11436.882</v>
      </c>
      <c r="J11" s="320">
        <f>IF(J$10="Prior",SUMIFS(Project_Inputs!$W$5:$W$50,Project_Inputs!$D$5:$D$50,$D$4),SUMIFS(Project_Inputs!P$5:P$50,Project_Inputs!$D$5:$D$50,$D$4))</f>
        <v>1094.058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149586.78501837212</v>
      </c>
      <c r="P11" s="300">
        <f t="shared" ref="P11" si="0">SUM(I11:M11)</f>
        <v>12530.939999999999</v>
      </c>
      <c r="R11" s="608" t="str">
        <f>IF(O11=Project_Inputs!V7,"ok","error")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/>
      <c r="J13" s="10"/>
      <c r="K13" s="10"/>
      <c r="L13" s="10"/>
      <c r="M13" s="10"/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43380.16765532791</v>
      </c>
      <c r="G14" s="447">
        <f>IF($G$3="Yes",SUMIFS(Project_Inputs!AK$5:AK$50,Project_Inputs!$D$5:$D$50,$D$4),IF(AND(G$13="X",G$10="Prior"),G11,IF(G$13="X",SUM($F11:G11)-SUM(F14:$F14),0)))</f>
        <v>35900.828404409309</v>
      </c>
      <c r="H14" s="447">
        <f>IF($G$3="Yes",SUMIFS(Project_Inputs!AL$5:AL$50,Project_Inputs!$D$5:$D$50,$D$4),IF(AND(H$13="X",H$10="Prior"),H11,IF(H$13="X",SUM($F11:H11)-SUM($F14:G14),0)))</f>
        <v>35900.828404409309</v>
      </c>
      <c r="I14" s="448">
        <f>IF($G$3="Yes",SUMIFS(Project_Inputs!AM$5:AM$50,Project_Inputs!$D$5:$D$50,$D$4),IF(AND(I$13="X",I$10="Prior"),I11,IF(I$13="X",SUM($F11:I11)-SUM($F14:H14),0)))</f>
        <v>29917.357003674424</v>
      </c>
      <c r="J14" s="447">
        <f>IF($G$3="Yes",SUMIFS(Project_Inputs!AN$5:AN$50,Project_Inputs!$D$5:$D$50,$D$4),IF(AND(J$13="X",J$10="Prior"),J11,IF(J$13="X",SUM($F11:J11)-SUM($F14:I14),0)))</f>
        <v>4487.6035505511636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149586.78501837215</v>
      </c>
      <c r="P14" s="451">
        <f>SUM(I14:M14)</f>
        <v>34404.960554225589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6.3494436000000001E-2</v>
      </c>
      <c r="G17" s="341">
        <v>6.3494436000000001E-2</v>
      </c>
      <c r="H17" s="392">
        <v>6.3494436000000001E-2</v>
      </c>
      <c r="I17" s="404">
        <v>6.3494436000000001E-2</v>
      </c>
      <c r="J17" s="341">
        <v>6.3494436000000001E-2</v>
      </c>
      <c r="K17" s="341">
        <v>6.3494436000000001E-2</v>
      </c>
      <c r="L17" s="341">
        <v>6.3494436000000001E-2</v>
      </c>
      <c r="M17" s="341">
        <v>6.3494436000000001E-2</v>
      </c>
      <c r="N17" s="342">
        <v>6.3494436000000001E-2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0.43224029000000003</v>
      </c>
      <c r="G18" s="341">
        <v>0.43224029000000003</v>
      </c>
      <c r="H18" s="392">
        <v>0.43224029000000003</v>
      </c>
      <c r="I18" s="404">
        <v>0.43224029000000003</v>
      </c>
      <c r="J18" s="341">
        <v>0.43224029000000003</v>
      </c>
      <c r="K18" s="341">
        <v>0.43224029000000003</v>
      </c>
      <c r="L18" s="341">
        <v>0.43224029000000003</v>
      </c>
      <c r="M18" s="341">
        <v>0.43224029000000003</v>
      </c>
      <c r="N18" s="342">
        <v>0.43224029000000003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0.34106762899999998</v>
      </c>
      <c r="G19" s="341">
        <v>0.34106762899999998</v>
      </c>
      <c r="H19" s="392">
        <v>0.34106762899999998</v>
      </c>
      <c r="I19" s="404">
        <v>0.34106762899999998</v>
      </c>
      <c r="J19" s="341">
        <v>0.34106762899999998</v>
      </c>
      <c r="K19" s="341">
        <v>0.34106762899999998</v>
      </c>
      <c r="L19" s="341">
        <v>0.34106762899999998</v>
      </c>
      <c r="M19" s="341">
        <v>0.34106762899999998</v>
      </c>
      <c r="N19" s="342">
        <v>0.34106762899999998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9.9169167000000003E-2</v>
      </c>
      <c r="G21" s="341">
        <v>9.9169167000000003E-2</v>
      </c>
      <c r="H21" s="392">
        <v>9.9169167000000003E-2</v>
      </c>
      <c r="I21" s="404">
        <v>9.9169167000000003E-2</v>
      </c>
      <c r="J21" s="341">
        <v>9.9169167000000003E-2</v>
      </c>
      <c r="K21" s="341">
        <v>9.9169167000000003E-2</v>
      </c>
      <c r="L21" s="341">
        <v>9.9169167000000003E-2</v>
      </c>
      <c r="M21" s="341">
        <v>9.9169167000000003E-2</v>
      </c>
      <c r="N21" s="342">
        <v>9.9169167000000003E-2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6.4028478E-2</v>
      </c>
      <c r="G22" s="341">
        <v>6.4028478E-2</v>
      </c>
      <c r="H22" s="392">
        <v>6.4028478E-2</v>
      </c>
      <c r="I22" s="404">
        <v>6.4028478E-2</v>
      </c>
      <c r="J22" s="341">
        <v>6.4028478E-2</v>
      </c>
      <c r="K22" s="341">
        <v>6.4028478E-2</v>
      </c>
      <c r="L22" s="341">
        <v>6.4028478E-2</v>
      </c>
      <c r="M22" s="341">
        <v>6.4028478E-2</v>
      </c>
      <c r="N22" s="342">
        <v>6.4028478E-2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/>
      <c r="G23" s="341"/>
      <c r="H23" s="392"/>
      <c r="I23" s="404"/>
      <c r="J23" s="341"/>
      <c r="K23" s="341"/>
      <c r="L23" s="341"/>
      <c r="M23" s="341"/>
      <c r="N23" s="342"/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16.26126562500021</v>
      </c>
      <c r="H46" s="290">
        <f>IF(H$10="Prior",0,(H11*H29)*(Assumptions!H28-1))</f>
        <v>27.703935576675892</v>
      </c>
      <c r="I46" s="407">
        <f>IF(I$10="Prior",0,(I11*I29)*(Assumptions!I28-1))</f>
        <v>23.633757262234621</v>
      </c>
      <c r="J46" s="282">
        <f>IF(J$10="Prior",0,(J11*J29)*(Assumptions!J28-1))</f>
        <v>3.1653169458900625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70.764275409800788</v>
      </c>
      <c r="P46" s="300">
        <f t="shared" ref="P46:P47" si="7">SUM(I46:M46)</f>
        <v>26.799074208124683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56.741437499999904</v>
      </c>
      <c r="H47" s="290">
        <f>IF(H$10="Prior",0,(H11*H30)*(Assumptions!H30-1))</f>
        <v>119.01972714466717</v>
      </c>
      <c r="I47" s="407">
        <f>IF(I$10="Prior",0,(I11*I30)*(Assumptions!I30-1))</f>
        <v>121.45234542502881</v>
      </c>
      <c r="J47" s="282">
        <f>IF(J$10="Prior",0,(J11*J30)*(Assumptions!J30-1))</f>
        <v>17.442090670554446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314.65560074025029</v>
      </c>
      <c r="P47" s="300">
        <f t="shared" si="7"/>
        <v>138.89443609558325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73.00270312500011</v>
      </c>
      <c r="H48" s="253">
        <f t="shared" si="8"/>
        <v>146.72366272134306</v>
      </c>
      <c r="I48" s="408">
        <f t="shared" si="8"/>
        <v>145.08610268726343</v>
      </c>
      <c r="J48" s="5">
        <f t="shared" si="8"/>
        <v>20.607407616444508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385.4198761500511</v>
      </c>
      <c r="P48" s="434">
        <f>SUM(P46:P47)</f>
        <v>165.69351030370794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73.00270312500011</v>
      </c>
      <c r="H49" s="253">
        <f t="shared" si="9"/>
        <v>146.72366272134306</v>
      </c>
      <c r="I49" s="408">
        <f t="shared" si="9"/>
        <v>145.08610268726343</v>
      </c>
      <c r="J49" s="5">
        <f t="shared" si="9"/>
        <v>20.607407616444508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385.4198761500511</v>
      </c>
      <c r="P49" s="371">
        <f>P44+P48</f>
        <v>165.69351030370794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2.6375000000000036E-3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1.8835754243782785E-2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2.5765636724040439E-3</v>
      </c>
      <c r="P50" s="444">
        <f t="shared" si="10"/>
        <v>1.3222751868870808E-2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8871.4180098749566</v>
      </c>
      <c r="G51" s="280">
        <f>(G29*G$11+G46)*Assumptions!$G$21</f>
        <v>2831.2363152314388</v>
      </c>
      <c r="H51" s="280">
        <f>(H29*H$11+H46)*Assumptions!$G$21</f>
        <v>2279.5005420816469</v>
      </c>
      <c r="I51" s="410">
        <f>(I29*I$11+I46)*Assumptions!$G$21</f>
        <v>1187.0698851106561</v>
      </c>
      <c r="J51" s="280">
        <f>(J29*J$11+J46)*Assumptions!$G$21</f>
        <v>114.47551554083934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15283.700267839538</v>
      </c>
      <c r="P51" s="375">
        <f>SUM(I51:M51)</f>
        <v>1301.5454006514954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44357.090049374776</v>
      </c>
      <c r="G52" s="282">
        <f>(G30*G$11+G47)*Assumptions!$G$21</f>
        <v>14131.201114074252</v>
      </c>
      <c r="H52" s="282">
        <f>(H30*H$11+H47)*Assumptions!$G$21</f>
        <v>11377.672873284844</v>
      </c>
      <c r="I52" s="407">
        <f>(I30*I$11+I47)*Assumptions!$G$21</f>
        <v>5938.6885335995121</v>
      </c>
      <c r="J52" s="282">
        <f>(J30*J$11+J47)*Assumptions!$G$21</f>
        <v>574.02041363302624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76378.672983966419</v>
      </c>
      <c r="P52" s="376">
        <f>SUM(I52:M52)</f>
        <v>6512.7089472325388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35485.672039499826</v>
      </c>
      <c r="G53" s="282">
        <f>(G31*G$11+G$44)*Assumptions!$G$21</f>
        <v>11258.799812030078</v>
      </c>
      <c r="H53" s="282">
        <f>(H31*H$11+H$44)*Assumptions!$G$21</f>
        <v>9005.3117236124399</v>
      </c>
      <c r="I53" s="407">
        <f>(I31*I$11+I$44)*Assumptions!$G$21</f>
        <v>4652.1452345864664</v>
      </c>
      <c r="J53" s="282">
        <f>(J31*J$11+J$44)*Assumptions!$G$21</f>
        <v>445.02660000000003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60846.955409728806</v>
      </c>
      <c r="P53" s="376">
        <f>SUM(I53:M53)</f>
        <v>5097.1718345864665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88714.180098749552</v>
      </c>
      <c r="G54" s="5">
        <f t="shared" si="12"/>
        <v>28221.237241335766</v>
      </c>
      <c r="H54" s="5">
        <f t="shared" si="12"/>
        <v>22662.485138978933</v>
      </c>
      <c r="I54" s="411">
        <f t="shared" si="12"/>
        <v>11777.903653296635</v>
      </c>
      <c r="J54" s="382">
        <f t="shared" si="12"/>
        <v>1133.5225291738657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152509.32866153476</v>
      </c>
      <c r="P54" s="428">
        <f t="shared" si="12"/>
        <v>12911.426182470501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7104.3840293003141</v>
      </c>
      <c r="G57" s="290">
        <f t="shared" ref="G57:N57" si="13">G54*G56</f>
        <v>1677.6053861774924</v>
      </c>
      <c r="H57" s="290">
        <f t="shared" si="13"/>
        <v>1645.1533475214903</v>
      </c>
      <c r="I57" s="407">
        <f t="shared" si="13"/>
        <v>1038.653659858963</v>
      </c>
      <c r="J57" s="282">
        <f t="shared" si="13"/>
        <v>136.36234947508436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11602.158772333345</v>
      </c>
      <c r="P57" s="300">
        <f>SUM(I57:M57)</f>
        <v>1175.0160093340473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95818.564128049868</v>
      </c>
      <c r="G59" s="5">
        <f t="shared" si="14"/>
        <v>29898.842627513259</v>
      </c>
      <c r="H59" s="5">
        <f t="shared" si="14"/>
        <v>24307.638486500422</v>
      </c>
      <c r="I59" s="411">
        <f t="shared" si="14"/>
        <v>12816.557313155598</v>
      </c>
      <c r="J59" s="382">
        <f t="shared" si="14"/>
        <v>1269.88487864895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164111.48743386811</v>
      </c>
      <c r="P59" s="429">
        <f t="shared" si="15"/>
        <v>14086.442191804548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7104.3840293003141</v>
      </c>
      <c r="G60" s="290">
        <f t="shared" ref="G60:N60" si="16">G57+F60</f>
        <v>8781.9894154778067</v>
      </c>
      <c r="H60" s="290">
        <f t="shared" si="16"/>
        <v>10427.142762999298</v>
      </c>
      <c r="I60" s="290">
        <f t="shared" si="16"/>
        <v>11465.79642285826</v>
      </c>
      <c r="J60" s="290">
        <f t="shared" si="16"/>
        <v>11602.158772333345</v>
      </c>
      <c r="K60" s="290">
        <f t="shared" si="16"/>
        <v>11602.158772333345</v>
      </c>
      <c r="L60" s="290">
        <f t="shared" si="16"/>
        <v>11602.158772333345</v>
      </c>
      <c r="M60" s="290">
        <f t="shared" si="16"/>
        <v>11602.158772333345</v>
      </c>
      <c r="N60" s="290">
        <f t="shared" si="16"/>
        <v>11602.158772333345</v>
      </c>
    </row>
    <row r="61" spans="1:18" hidden="1" outlineLevel="1">
      <c r="A61" s="6"/>
      <c r="B61" s="6"/>
      <c r="D61" s="251" t="s">
        <v>288</v>
      </c>
      <c r="E61" s="251"/>
      <c r="F61" s="252">
        <f>F49</f>
        <v>0</v>
      </c>
      <c r="G61" s="252">
        <f>G49+F61</f>
        <v>73.00270312500011</v>
      </c>
      <c r="H61" s="252">
        <f t="shared" ref="H61:N61" si="17">H49+G61</f>
        <v>219.72636584634319</v>
      </c>
      <c r="I61" s="252">
        <f t="shared" si="17"/>
        <v>364.81246853360665</v>
      </c>
      <c r="J61" s="252">
        <f t="shared" si="17"/>
        <v>385.41987615005115</v>
      </c>
      <c r="K61" s="252">
        <f t="shared" si="17"/>
        <v>385.41987615005115</v>
      </c>
      <c r="L61" s="252">
        <f t="shared" si="17"/>
        <v>385.41987615005115</v>
      </c>
      <c r="M61" s="252">
        <f t="shared" si="17"/>
        <v>385.41987615005115</v>
      </c>
      <c r="N61" s="252">
        <f t="shared" si="17"/>
        <v>385.41987615005115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6083.9456876403583</v>
      </c>
      <c r="G64" s="280">
        <f t="shared" si="18"/>
        <v>1898.4101496867124</v>
      </c>
      <c r="H64" s="280">
        <f t="shared" si="18"/>
        <v>1543.399796192238</v>
      </c>
      <c r="I64" s="415">
        <f t="shared" si="18"/>
        <v>813.78007806049004</v>
      </c>
      <c r="J64" s="380">
        <f t="shared" si="18"/>
        <v>80.630624154743529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10420.166335734542</v>
      </c>
      <c r="P64" s="430">
        <f>SUM(I64:M64)</f>
        <v>894.41070221523353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41416.643946091877</v>
      </c>
      <c r="G65" s="282">
        <f t="shared" si="19"/>
        <v>12923.484407980694</v>
      </c>
      <c r="H65" s="282">
        <f t="shared" si="19"/>
        <v>10506.740708620104</v>
      </c>
      <c r="I65" s="416">
        <f t="shared" si="19"/>
        <v>5539.832449839997</v>
      </c>
      <c r="J65" s="381">
        <f t="shared" si="19"/>
        <v>548.89540821383696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70935.59692074651</v>
      </c>
      <c r="P65" s="431">
        <f t="shared" ref="P65:P73" si="21">SUM(I65:M65)</f>
        <v>6088.7278580538341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32680.610481338419</v>
      </c>
      <c r="G66" s="282">
        <f t="shared" si="22"/>
        <v>10197.527364810077</v>
      </c>
      <c r="H66" s="282">
        <f t="shared" si="22"/>
        <v>8290.5486251798466</v>
      </c>
      <c r="I66" s="416">
        <f t="shared" si="22"/>
        <v>4371.3128147405896</v>
      </c>
      <c r="J66" s="381">
        <f t="shared" si="22"/>
        <v>433.11662466375009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55973.115910732682</v>
      </c>
      <c r="P66" s="431">
        <f t="shared" si="21"/>
        <v>4804.42943940434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9502.2471877147873</v>
      </c>
      <c r="G68" s="282">
        <f t="shared" si="24"/>
        <v>2965.0433176345814</v>
      </c>
      <c r="H68" s="282">
        <f t="shared" si="24"/>
        <v>2410.5682604433878</v>
      </c>
      <c r="I68" s="416">
        <f t="shared" si="24"/>
        <v>1271.0073125533988</v>
      </c>
      <c r="J68" s="381">
        <f t="shared" si="24"/>
        <v>125.93342560151245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16274.799503947666</v>
      </c>
      <c r="P68" s="431">
        <f t="shared" si="21"/>
        <v>1396.9407381549113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6135.1168252644302</v>
      </c>
      <c r="G69" s="282">
        <f t="shared" si="25"/>
        <v>1914.3773874011949</v>
      </c>
      <c r="H69" s="282">
        <f t="shared" si="25"/>
        <v>1556.3810960648455</v>
      </c>
      <c r="I69" s="416">
        <f t="shared" si="25"/>
        <v>820.62465796112224</v>
      </c>
      <c r="J69" s="381">
        <f t="shared" si="25"/>
        <v>81.308796015106964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10507.8087627067</v>
      </c>
      <c r="P69" s="431">
        <f t="shared" si="21"/>
        <v>901.9334539762292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</v>
      </c>
      <c r="G70" s="282">
        <f t="shared" si="26"/>
        <v>0</v>
      </c>
      <c r="H70" s="282">
        <f t="shared" si="26"/>
        <v>0</v>
      </c>
      <c r="I70" s="416">
        <f t="shared" si="26"/>
        <v>0</v>
      </c>
      <c r="J70" s="381">
        <f t="shared" si="26"/>
        <v>0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0</v>
      </c>
      <c r="P70" s="431">
        <f t="shared" si="21"/>
        <v>0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95818.564128049868</v>
      </c>
      <c r="G74" s="5">
        <f t="shared" ref="G74:N74" si="30">+SUM(G64:G73)</f>
        <v>29898.842627513259</v>
      </c>
      <c r="H74" s="5">
        <f t="shared" si="30"/>
        <v>24307.638486500418</v>
      </c>
      <c r="I74" s="411">
        <f t="shared" si="30"/>
        <v>12816.557313155596</v>
      </c>
      <c r="J74" s="382">
        <f t="shared" si="30"/>
        <v>1269.88487864895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164111.48743386811</v>
      </c>
      <c r="P74" s="428">
        <f>SUM(P64:P73)</f>
        <v>14086.442191804548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43380.16765532791</v>
      </c>
      <c r="G76" s="280">
        <f t="shared" si="32"/>
        <v>35900.828404409309</v>
      </c>
      <c r="H76" s="280">
        <f t="shared" si="32"/>
        <v>35900.828404409309</v>
      </c>
      <c r="I76" s="410">
        <f t="shared" si="32"/>
        <v>29917.357003674424</v>
      </c>
      <c r="J76" s="280">
        <f t="shared" si="32"/>
        <v>4487.6035505511636</v>
      </c>
      <c r="K76" s="280">
        <f t="shared" si="32"/>
        <v>0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149586.78501837215</v>
      </c>
      <c r="P76" s="378">
        <f t="shared" ref="P76:P80" si="33">SUM(I76:M76)</f>
        <v>34404.960554225589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50.364370038257697</v>
      </c>
      <c r="H77" s="282">
        <f>IF(H$10="Prior",0,IF(AND(H76&lt;&gt;0,SUM($F76:G76)=0),H76/SUM($F$76:H76)*H61,IF(H76&lt;&gt;0,SUM($F$76:H76)/SUM($F$11:H11)*H61-G83,0)))</f>
        <v>134.29381581047997</v>
      </c>
      <c r="I77" s="407">
        <f>IF(I$10="Prior",0,IF(AND(I76&lt;&gt;0,SUM($F76:H76)=0),I76/SUM($F$76:I76)*I61,IF(I76&lt;&gt;0,SUM($F$76:I76)/SUM($F$11:I11)*I61-H83,0)))</f>
        <v>171.8171219751419</v>
      </c>
      <c r="J77" s="282">
        <f>IF(J$10="Prior",0,IF(AND(J76&lt;&gt;0,SUM($F76:I76)=0),J76/SUM($F$76:J76)*J61,IF(J76&lt;&gt;0,SUM($F$76:J76)/SUM($F$11:J11)*J61-I83,0)))</f>
        <v>28.944568326171691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385.41987615005127</v>
      </c>
      <c r="P77" s="455">
        <f t="shared" si="33"/>
        <v>200.76169030131359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43380.16765532791</v>
      </c>
      <c r="G78" s="457">
        <f t="shared" ref="G78:N78" si="34">SUM(G76:G77)</f>
        <v>35951.192774447569</v>
      </c>
      <c r="H78" s="457">
        <f t="shared" si="34"/>
        <v>36035.12222021979</v>
      </c>
      <c r="I78" s="458">
        <f t="shared" si="34"/>
        <v>30089.174125649566</v>
      </c>
      <c r="J78" s="457">
        <f t="shared" si="34"/>
        <v>4516.5481188773356</v>
      </c>
      <c r="K78" s="457">
        <f t="shared" si="34"/>
        <v>0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149972.20489452218</v>
      </c>
      <c r="P78" s="461">
        <f t="shared" si="33"/>
        <v>34605.7222445269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44114.042672053387</v>
      </c>
      <c r="G79" s="457">
        <f>G78*Assumptions!$G$21</f>
        <v>36559.389644691983</v>
      </c>
      <c r="H79" s="457">
        <f>H78*Assumptions!$G$21</f>
        <v>36644.738949509221</v>
      </c>
      <c r="I79" s="458">
        <f>I78*Assumptions!$G$21</f>
        <v>30598.201507474467</v>
      </c>
      <c r="J79" s="457">
        <f>J78*Assumptions!$G$21</f>
        <v>4592.9558878057114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152509.32866153476</v>
      </c>
      <c r="P79" s="461">
        <f t="shared" si="33"/>
        <v>35191.157395280177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3532.7283629105659</v>
      </c>
      <c r="G80" s="282">
        <f>IF(G$10="Prior",G79*G56,IF(AND(G79&lt;&gt;0,SUM($F79:F79)=0),G79/SUM($F$54:G54)*G60,IF(G79&lt;&gt;0,SUM($F$79:G79)/SUM($F$54:G54)*G60-F82,0)))</f>
        <v>2525.9426952809654</v>
      </c>
      <c r="H80" s="282">
        <f>IF(H$10="Prior",H79*H56,IF(AND(H79&lt;&gt;0,SUM($F79:G79)=0),H79/SUM($F$54:H54)*H60,IF(H79&lt;&gt;0,SUM($F$79:H79)/SUM($F$54:H54)*H60-G82,0)))</f>
        <v>2704.3067427872347</v>
      </c>
      <c r="I80" s="407">
        <f>IF(I$10="Prior",I79*I56,IF(AND(I79&lt;&gt;0,SUM($F79:H79)=0),I79/SUM($F$54:I54)*I60,IF(I79&lt;&gt;0,SUM($F$79:I79)/SUM($F$54:I54)*I60-H82,0)))</f>
        <v>2440.7875903563017</v>
      </c>
      <c r="J80" s="282">
        <f>IF(J$10="Prior",J79*J56,IF(AND(J79&lt;&gt;0,SUM($F79:I79)=0),J79/SUM($F$54:J54)*J60,IF(J79&lt;&gt;0,SUM($F$79:J79)/SUM($F$54:J54)*J60-I82,0)))</f>
        <v>398.39338099827728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11602.158772333345</v>
      </c>
      <c r="P80" s="300">
        <f t="shared" si="33"/>
        <v>2839.180971354579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47646.771034963953</v>
      </c>
      <c r="G81" s="307">
        <f t="shared" ref="G81:P81" si="35">SUM(G79:G80)</f>
        <v>39085.332339972949</v>
      </c>
      <c r="H81" s="307">
        <f t="shared" si="35"/>
        <v>39349.045692296459</v>
      </c>
      <c r="I81" s="417">
        <f t="shared" si="35"/>
        <v>33038.989097830767</v>
      </c>
      <c r="J81" s="387">
        <f t="shared" si="35"/>
        <v>4991.3492688039887</v>
      </c>
      <c r="K81" s="387">
        <f t="shared" si="35"/>
        <v>0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164111.48743386811</v>
      </c>
      <c r="P81" s="388">
        <f t="shared" si="35"/>
        <v>38030.338366634758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3532.7283629105659</v>
      </c>
      <c r="G82" s="252">
        <f t="shared" ref="G82:N82" si="36">G80+F82</f>
        <v>6058.6710581915313</v>
      </c>
      <c r="H82" s="252">
        <f t="shared" si="36"/>
        <v>8762.977800978766</v>
      </c>
      <c r="I82" s="252">
        <f t="shared" si="36"/>
        <v>11203.765391335068</v>
      </c>
      <c r="J82" s="252">
        <f t="shared" si="36"/>
        <v>11602.158772333345</v>
      </c>
      <c r="K82" s="252">
        <f t="shared" si="36"/>
        <v>11602.158772333345</v>
      </c>
      <c r="L82" s="252">
        <f t="shared" si="36"/>
        <v>11602.158772333345</v>
      </c>
      <c r="M82" s="252">
        <f t="shared" si="36"/>
        <v>11602.158772333345</v>
      </c>
      <c r="N82" s="252">
        <f t="shared" si="36"/>
        <v>11602.158772333345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50.364370038257697</v>
      </c>
      <c r="H83" s="252">
        <f t="shared" si="37"/>
        <v>184.65818584873767</v>
      </c>
      <c r="I83" s="252">
        <f t="shared" si="37"/>
        <v>356.47530782387958</v>
      </c>
      <c r="J83" s="252">
        <f t="shared" si="37"/>
        <v>385.41987615005127</v>
      </c>
      <c r="K83" s="252">
        <f t="shared" si="37"/>
        <v>385.41987615005127</v>
      </c>
      <c r="L83" s="252">
        <f t="shared" si="37"/>
        <v>385.41987615005127</v>
      </c>
      <c r="M83" s="252">
        <f t="shared" si="37"/>
        <v>385.41987615005127</v>
      </c>
      <c r="N83" s="252">
        <f t="shared" si="37"/>
        <v>385.41987615005127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3025.3048540861723</v>
      </c>
      <c r="G85" s="344">
        <f t="shared" si="38"/>
        <v>2481.7011327991427</v>
      </c>
      <c r="H85" s="344">
        <f t="shared" si="38"/>
        <v>2498.4454633705932</v>
      </c>
      <c r="I85" s="415">
        <f t="shared" si="38"/>
        <v>2097.7919787769133</v>
      </c>
      <c r="J85" s="380">
        <f t="shared" si="38"/>
        <v>316.92290670172167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10420.166335734544</v>
      </c>
      <c r="P85" s="430">
        <f t="shared" ref="P85:P94" si="39">SUM(I85:M85)</f>
        <v>2414.7148854786351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20594.854129716419</v>
      </c>
      <c r="G86" s="290">
        <f t="shared" si="40"/>
        <v>16894.255385376287</v>
      </c>
      <c r="H86" s="290">
        <f t="shared" si="40"/>
        <v>17008.242921261473</v>
      </c>
      <c r="I86" s="416">
        <f t="shared" si="40"/>
        <v>14280.782228953211</v>
      </c>
      <c r="J86" s="381">
        <f t="shared" si="40"/>
        <v>2157.462255439124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70935.59692074651</v>
      </c>
      <c r="P86" s="431">
        <f t="shared" si="39"/>
        <v>16438.244484392333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16250.771226401032</v>
      </c>
      <c r="G87" s="290">
        <f t="shared" si="42"/>
        <v>13330.741629871594</v>
      </c>
      <c r="H87" s="290">
        <f t="shared" si="42"/>
        <v>13420.685717684217</v>
      </c>
      <c r="I87" s="416">
        <f t="shared" si="42"/>
        <v>11268.529676153988</v>
      </c>
      <c r="J87" s="381">
        <f t="shared" si="42"/>
        <v>1702.3876606218601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55973.115910732689</v>
      </c>
      <c r="P87" s="431">
        <f t="shared" si="39"/>
        <v>12970.917336775849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4725.0905937771031</v>
      </c>
      <c r="G89" s="290">
        <f t="shared" si="44"/>
        <v>3876.0598500732781</v>
      </c>
      <c r="H89" s="290">
        <f t="shared" si="44"/>
        <v>3902.2120835499782</v>
      </c>
      <c r="I89" s="416">
        <f t="shared" si="44"/>
        <v>3276.4490273539586</v>
      </c>
      <c r="J89" s="381">
        <f t="shared" si="44"/>
        <v>494.98794919335069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16274.79950394767</v>
      </c>
      <c r="P89" s="431">
        <f t="shared" si="39"/>
        <v>3771.4369765473093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3050.7502309832266</v>
      </c>
      <c r="G90" s="290">
        <f t="shared" si="45"/>
        <v>2502.5743418526463</v>
      </c>
      <c r="H90" s="290">
        <f t="shared" si="45"/>
        <v>2519.4595064301984</v>
      </c>
      <c r="I90" s="416">
        <f t="shared" si="45"/>
        <v>2115.4361865926971</v>
      </c>
      <c r="J90" s="381">
        <f t="shared" si="45"/>
        <v>319.58849684793228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10507.808762706702</v>
      </c>
      <c r="P90" s="431">
        <f t="shared" si="39"/>
        <v>2435.0246834406294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0</v>
      </c>
      <c r="I91" s="416">
        <f t="shared" si="46"/>
        <v>0</v>
      </c>
      <c r="J91" s="381">
        <f t="shared" si="46"/>
        <v>0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0</v>
      </c>
      <c r="P91" s="431">
        <f t="shared" si="39"/>
        <v>0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47646.771034963953</v>
      </c>
      <c r="G95" s="5">
        <f t="shared" ref="G95" si="50">+SUM(G85:G94)</f>
        <v>39085.332339972949</v>
      </c>
      <c r="H95" s="5">
        <f t="shared" ref="H95:N95" si="51">+SUM(H85:H94)</f>
        <v>39349.045692296466</v>
      </c>
      <c r="I95" s="411">
        <f t="shared" si="51"/>
        <v>33038.989097830767</v>
      </c>
      <c r="J95" s="382">
        <f t="shared" si="51"/>
        <v>4991.3492688039887</v>
      </c>
      <c r="K95" s="382">
        <f t="shared" si="51"/>
        <v>0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164111.48743386811</v>
      </c>
      <c r="P95" s="428">
        <f>SUM(P85:P94)</f>
        <v>38030.338366634751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4.9584583500000001E-2</v>
      </c>
      <c r="H99" s="2">
        <f t="shared" ref="H99:N99" si="53">0.5*H21</f>
        <v>4.9584583500000001E-2</v>
      </c>
      <c r="I99" s="2">
        <f t="shared" si="53"/>
        <v>4.9584583500000001E-2</v>
      </c>
      <c r="J99" s="2">
        <f t="shared" si="53"/>
        <v>4.9584583500000001E-2</v>
      </c>
      <c r="K99" s="2">
        <f t="shared" si="53"/>
        <v>4.9584583500000001E-2</v>
      </c>
      <c r="L99" s="2">
        <f t="shared" si="53"/>
        <v>4.9584583500000001E-2</v>
      </c>
      <c r="M99" s="2">
        <f t="shared" si="53"/>
        <v>4.9584583500000001E-2</v>
      </c>
      <c r="N99" s="2">
        <f t="shared" si="53"/>
        <v>4.9584583500000001E-2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4.9584583500000001E-2</v>
      </c>
      <c r="H101" s="2">
        <f t="shared" ref="H101:N101" si="54">0.5*H21</f>
        <v>4.9584583500000001E-2</v>
      </c>
      <c r="I101" s="2">
        <f t="shared" si="54"/>
        <v>4.9584583500000001E-2</v>
      </c>
      <c r="J101" s="2">
        <f t="shared" si="54"/>
        <v>4.9584583500000001E-2</v>
      </c>
      <c r="K101" s="2">
        <f t="shared" si="54"/>
        <v>4.9584583500000001E-2</v>
      </c>
      <c r="L101" s="2">
        <f t="shared" si="54"/>
        <v>4.9584583500000001E-2</v>
      </c>
      <c r="M101" s="2">
        <f t="shared" si="54"/>
        <v>4.9584583500000001E-2</v>
      </c>
      <c r="N101" s="2">
        <f t="shared" si="54"/>
        <v>4.9584583500000001E-2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0.43224029000000003</v>
      </c>
      <c r="H103" s="2">
        <f t="shared" ref="H103:N105" si="55">H18</f>
        <v>0.43224029000000003</v>
      </c>
      <c r="I103" s="2">
        <f t="shared" si="55"/>
        <v>0.43224029000000003</v>
      </c>
      <c r="J103" s="2">
        <f t="shared" si="55"/>
        <v>0.43224029000000003</v>
      </c>
      <c r="K103" s="2">
        <f t="shared" si="55"/>
        <v>0.43224029000000003</v>
      </c>
      <c r="L103" s="2">
        <f t="shared" si="55"/>
        <v>0.43224029000000003</v>
      </c>
      <c r="M103" s="2">
        <f t="shared" si="55"/>
        <v>0.43224029000000003</v>
      </c>
      <c r="N103" s="2">
        <f t="shared" si="55"/>
        <v>0.43224029000000003</v>
      </c>
    </row>
    <row r="104" spans="3:16" hidden="1" outlineLevel="1">
      <c r="D104" s="248" t="s">
        <v>384</v>
      </c>
      <c r="G104" s="2">
        <f>G19</f>
        <v>0.34106762899999998</v>
      </c>
      <c r="H104" s="2">
        <f t="shared" si="55"/>
        <v>0.34106762899999998</v>
      </c>
      <c r="I104" s="2">
        <f t="shared" si="55"/>
        <v>0.34106762899999998</v>
      </c>
      <c r="J104" s="2">
        <f t="shared" si="55"/>
        <v>0.34106762899999998</v>
      </c>
      <c r="K104" s="2">
        <f t="shared" si="55"/>
        <v>0.34106762899999998</v>
      </c>
      <c r="L104" s="2">
        <f t="shared" si="55"/>
        <v>0.34106762899999998</v>
      </c>
      <c r="M104" s="2">
        <f t="shared" si="55"/>
        <v>0.34106762899999998</v>
      </c>
      <c r="N104" s="2">
        <f t="shared" si="55"/>
        <v>0.34106762899999998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6.3494436000000001E-2</v>
      </c>
      <c r="H106" s="2">
        <f t="shared" ref="H106:N106" si="56">H17+H23</f>
        <v>6.3494436000000001E-2</v>
      </c>
      <c r="I106" s="2">
        <f t="shared" si="56"/>
        <v>6.3494436000000001E-2</v>
      </c>
      <c r="J106" s="2">
        <f t="shared" si="56"/>
        <v>6.3494436000000001E-2</v>
      </c>
      <c r="K106" s="2">
        <f t="shared" si="56"/>
        <v>6.3494436000000001E-2</v>
      </c>
      <c r="L106" s="2">
        <f t="shared" si="56"/>
        <v>6.3494436000000001E-2</v>
      </c>
      <c r="M106" s="2">
        <f t="shared" si="56"/>
        <v>6.3494436000000001E-2</v>
      </c>
      <c r="N106" s="2">
        <f t="shared" si="56"/>
        <v>6.3494436000000001E-2</v>
      </c>
    </row>
    <row r="107" spans="3:16" hidden="1" outlineLevel="1">
      <c r="D107" s="248" t="s">
        <v>387</v>
      </c>
      <c r="G107" s="2">
        <f>G22</f>
        <v>6.4028478E-2</v>
      </c>
      <c r="H107" s="2">
        <f t="shared" ref="H107:N107" si="57">H22</f>
        <v>6.4028478E-2</v>
      </c>
      <c r="I107" s="2">
        <f t="shared" si="57"/>
        <v>6.4028478E-2</v>
      </c>
      <c r="J107" s="2">
        <f t="shared" si="57"/>
        <v>6.4028478E-2</v>
      </c>
      <c r="K107" s="2">
        <f t="shared" si="57"/>
        <v>6.4028478E-2</v>
      </c>
      <c r="L107" s="2">
        <f t="shared" si="57"/>
        <v>6.4028478E-2</v>
      </c>
      <c r="M107" s="2">
        <f t="shared" si="57"/>
        <v>6.4028478E-2</v>
      </c>
      <c r="N107" s="2">
        <f t="shared" si="57"/>
        <v>6.4028478E-2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558.26289938938976</v>
      </c>
      <c r="H111" s="191">
        <f t="shared" ref="H111:N111" si="59">H99*H$53</f>
        <v>446.52463110298999</v>
      </c>
      <c r="I111" s="191">
        <f t="shared" si="59"/>
        <v>230.67468383847972</v>
      </c>
      <c r="J111" s="191">
        <f t="shared" si="59"/>
        <v>22.066458607421101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1257.5286729382806</v>
      </c>
      <c r="P111" s="191">
        <f t="shared" ref="P111:P119" si="61">SUM(I111:M111)</f>
        <v>252.74114244590083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558.26289938938976</v>
      </c>
      <c r="H113" s="191">
        <f t="shared" si="62"/>
        <v>446.52463110298999</v>
      </c>
      <c r="I113" s="191">
        <f t="shared" si="62"/>
        <v>230.67468383847972</v>
      </c>
      <c r="J113" s="191">
        <f t="shared" si="62"/>
        <v>22.066458607421101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1257.5286729382806</v>
      </c>
      <c r="P113" s="191">
        <f t="shared" si="61"/>
        <v>252.74114244590083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4866.5068958038264</v>
      </c>
      <c r="H115" s="191">
        <f t="shared" si="62"/>
        <v>3892.4585509546409</v>
      </c>
      <c r="I115" s="191">
        <f t="shared" si="62"/>
        <v>2010.8446053197724</v>
      </c>
      <c r="J115" s="191">
        <f t="shared" si="62"/>
        <v>192.35842664171403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10962.168478719956</v>
      </c>
      <c r="P115" s="191">
        <f t="shared" si="61"/>
        <v>2203.2030319614864</v>
      </c>
    </row>
    <row r="116" spans="4:16" hidden="1" outlineLevel="1">
      <c r="D116" s="248" t="s">
        <v>384</v>
      </c>
      <c r="G116" s="191">
        <f t="shared" si="62"/>
        <v>3840.0121572747444</v>
      </c>
      <c r="H116" s="191">
        <f t="shared" si="62"/>
        <v>3071.4203179783981</v>
      </c>
      <c r="I116" s="191">
        <f t="shared" si="62"/>
        <v>1586.6961449240548</v>
      </c>
      <c r="J116" s="191">
        <f t="shared" si="62"/>
        <v>151.78416730393141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8649.9127874811293</v>
      </c>
      <c r="P116" s="191">
        <f t="shared" si="61"/>
        <v>1738.4803122279861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714.87114410175582</v>
      </c>
      <c r="H118" s="191">
        <f t="shared" si="62"/>
        <v>571.78718889495974</v>
      </c>
      <c r="I118" s="191">
        <f t="shared" si="62"/>
        <v>295.3853378601554</v>
      </c>
      <c r="J118" s="191">
        <f t="shared" si="62"/>
        <v>28.256712971997601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1610.3003838288687</v>
      </c>
      <c r="P118" s="191">
        <f t="shared" si="61"/>
        <v>323.64205083215302</v>
      </c>
    </row>
    <row r="119" spans="4:16" hidden="1" outlineLevel="1">
      <c r="D119" s="248" t="s">
        <v>387</v>
      </c>
      <c r="G119" s="912">
        <f t="shared" si="62"/>
        <v>720.88381607097199</v>
      </c>
      <c r="H119" s="912">
        <f t="shared" si="62"/>
        <v>576.59640357846115</v>
      </c>
      <c r="I119" s="912">
        <f t="shared" si="62"/>
        <v>297.86977880552439</v>
      </c>
      <c r="J119" s="912">
        <f t="shared" si="62"/>
        <v>28.494375867514801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1623.8443743224723</v>
      </c>
      <c r="P119" s="912">
        <f t="shared" si="61"/>
        <v>326.3641546730392</v>
      </c>
    </row>
    <row r="120" spans="4:16" hidden="1" outlineLevel="1">
      <c r="D120" s="248" t="s">
        <v>440</v>
      </c>
      <c r="G120" s="191">
        <f>SUM(G111:G119)</f>
        <v>11258.799812030076</v>
      </c>
      <c r="H120" s="191">
        <f t="shared" ref="H120:P120" si="63">SUM(H111:H119)</f>
        <v>9005.3117236124399</v>
      </c>
      <c r="I120" s="191">
        <f t="shared" si="63"/>
        <v>4652.1452345864664</v>
      </c>
      <c r="J120" s="191">
        <f t="shared" si="63"/>
        <v>445.02660000000009</v>
      </c>
      <c r="K120" s="191">
        <f t="shared" si="63"/>
        <v>0</v>
      </c>
      <c r="L120" s="191">
        <f t="shared" si="63"/>
        <v>0</v>
      </c>
      <c r="M120" s="191">
        <f t="shared" si="63"/>
        <v>0</v>
      </c>
      <c r="N120" s="191">
        <f t="shared" si="63"/>
        <v>0</v>
      </c>
      <c r="O120" s="191">
        <f t="shared" si="63"/>
        <v>25361.283370228983</v>
      </c>
      <c r="P120" s="191">
        <f t="shared" si="63"/>
        <v>5097.1718345864665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140.3856734808256</v>
      </c>
      <c r="H123" s="191">
        <f t="shared" ref="H123:N123" si="64">H99*H$51</f>
        <v>113.02808496714269</v>
      </c>
      <c r="I123" s="191">
        <f t="shared" si="64"/>
        <v>58.860365838604736</v>
      </c>
      <c r="J123" s="191">
        <f t="shared" si="64"/>
        <v>5.6762207590402962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317.95034504561335</v>
      </c>
      <c r="P123" s="191">
        <f t="shared" ref="P123:P131" si="66">SUM(I123:M123)</f>
        <v>64.536586597645027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140.3856734808256</v>
      </c>
      <c r="H125" s="191">
        <f t="shared" si="67"/>
        <v>113.02808496714269</v>
      </c>
      <c r="I125" s="191">
        <f t="shared" si="67"/>
        <v>58.860365838604736</v>
      </c>
      <c r="J125" s="191">
        <f t="shared" si="67"/>
        <v>5.6762207590402962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317.95034504561335</v>
      </c>
      <c r="P125" s="191">
        <f t="shared" si="66"/>
        <v>64.536586597645027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1223.7744059541685</v>
      </c>
      <c r="H127" s="191">
        <f t="shared" si="67"/>
        <v>985.2919753645283</v>
      </c>
      <c r="I127" s="191">
        <f t="shared" si="67"/>
        <v>513.09943139049665</v>
      </c>
      <c r="J127" s="191">
        <f t="shared" si="67"/>
        <v>49.480930035271903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2771.646742744465</v>
      </c>
      <c r="P127" s="191">
        <f t="shared" si="66"/>
        <v>562.5803614257685</v>
      </c>
    </row>
    <row r="128" spans="4:16" hidden="1" outlineLevel="1">
      <c r="D128" s="248" t="s">
        <v>384</v>
      </c>
      <c r="G128" s="191">
        <f t="shared" si="67"/>
        <v>965.64305717468335</v>
      </c>
      <c r="H128" s="191">
        <f t="shared" si="67"/>
        <v>777.46384519200205</v>
      </c>
      <c r="I128" s="191">
        <f t="shared" si="67"/>
        <v>404.87111117199385</v>
      </c>
      <c r="J128" s="191">
        <f t="shared" si="67"/>
        <v>39.043892664066725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2187.0219062027463</v>
      </c>
      <c r="P128" s="191">
        <f t="shared" si="66"/>
        <v>443.91500383606058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179.76775301833842</v>
      </c>
      <c r="H130" s="191">
        <f t="shared" si="67"/>
        <v>144.73560128116844</v>
      </c>
      <c r="I130" s="191">
        <f t="shared" si="67"/>
        <v>75.372332847685911</v>
      </c>
      <c r="J130" s="191">
        <f t="shared" si="67"/>
        <v>7.2685582950748291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407.14424544226767</v>
      </c>
      <c r="P130" s="191">
        <f t="shared" si="66"/>
        <v>82.640891142760736</v>
      </c>
    </row>
    <row r="131" spans="4:16" hidden="1" outlineLevel="1">
      <c r="D131" s="248" t="s">
        <v>387</v>
      </c>
      <c r="G131" s="912">
        <f t="shared" si="67"/>
        <v>181.27975212259724</v>
      </c>
      <c r="H131" s="912">
        <f t="shared" si="67"/>
        <v>145.95295030966281</v>
      </c>
      <c r="I131" s="912">
        <f t="shared" si="67"/>
        <v>76.00627802327017</v>
      </c>
      <c r="J131" s="912">
        <f t="shared" si="67"/>
        <v>7.3296930283452895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410.5686734838755</v>
      </c>
      <c r="P131" s="912">
        <f t="shared" si="66"/>
        <v>83.335971051615459</v>
      </c>
    </row>
    <row r="132" spans="4:16" hidden="1" outlineLevel="1">
      <c r="D132" s="248" t="s">
        <v>441</v>
      </c>
      <c r="G132" s="191">
        <f>SUM(G123:G131)</f>
        <v>2831.2363152314383</v>
      </c>
      <c r="H132" s="191">
        <f t="shared" ref="H132:P132" si="68">SUM(H123:H131)</f>
        <v>2279.5005420816469</v>
      </c>
      <c r="I132" s="191">
        <f t="shared" si="68"/>
        <v>1187.0698851106558</v>
      </c>
      <c r="J132" s="191">
        <f t="shared" si="68"/>
        <v>114.47551554083934</v>
      </c>
      <c r="K132" s="191">
        <f t="shared" si="68"/>
        <v>0</v>
      </c>
      <c r="L132" s="191">
        <f t="shared" si="68"/>
        <v>0</v>
      </c>
      <c r="M132" s="191">
        <f t="shared" si="68"/>
        <v>0</v>
      </c>
      <c r="N132" s="191">
        <f t="shared" si="68"/>
        <v>0</v>
      </c>
      <c r="O132" s="191">
        <f t="shared" si="68"/>
        <v>6412.2822579645817</v>
      </c>
      <c r="P132" s="191">
        <f t="shared" si="68"/>
        <v>1301.5454006514951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700.6897215961078</v>
      </c>
      <c r="H135" s="191">
        <f t="shared" ref="H135:N135" si="69">H99*H$52</f>
        <v>564.15717062107728</v>
      </c>
      <c r="I135" s="191">
        <f t="shared" si="69"/>
        <v>294.46739747475755</v>
      </c>
      <c r="J135" s="191">
        <f t="shared" si="69"/>
        <v>28.462563130491329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1587.776852822434</v>
      </c>
      <c r="P135" s="191">
        <f t="shared" ref="P135:P143" si="71">SUM(I135:M135)</f>
        <v>322.92996060524888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700.6897215961078</v>
      </c>
      <c r="H137" s="191">
        <f t="shared" si="72"/>
        <v>564.15717062107728</v>
      </c>
      <c r="I137" s="191">
        <f t="shared" si="72"/>
        <v>294.46739747475755</v>
      </c>
      <c r="J137" s="191">
        <f t="shared" si="72"/>
        <v>28.462563130491329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1587.776852822434</v>
      </c>
      <c r="P137" s="191">
        <f t="shared" si="71"/>
        <v>322.92996060524888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6108.0744675957785</v>
      </c>
      <c r="H139" s="191">
        <f t="shared" si="72"/>
        <v>4917.8886222737747</v>
      </c>
      <c r="I139" s="191">
        <f t="shared" si="72"/>
        <v>2566.9404539827278</v>
      </c>
      <c r="J139" s="191">
        <f t="shared" si="72"/>
        <v>248.11475005465923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13841.018293906942</v>
      </c>
      <c r="P139" s="191">
        <f t="shared" si="71"/>
        <v>2815.0552040373868</v>
      </c>
    </row>
    <row r="140" spans="4:16" hidden="1" outlineLevel="1">
      <c r="D140" s="248" t="s">
        <v>384</v>
      </c>
      <c r="G140" s="191">
        <f t="shared" si="72"/>
        <v>4819.6952588994636</v>
      </c>
      <c r="H140" s="191">
        <f t="shared" si="72"/>
        <v>3880.5559104288791</v>
      </c>
      <c r="I140" s="191">
        <f t="shared" si="72"/>
        <v>2025.4944175242724</v>
      </c>
      <c r="J140" s="191">
        <f t="shared" si="72"/>
        <v>195.77978147541552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10921.525368328032</v>
      </c>
      <c r="P140" s="191">
        <f t="shared" si="71"/>
        <v>2221.274198999688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897.25264474071639</v>
      </c>
      <c r="H142" s="191">
        <f t="shared" si="72"/>
        <v>722.41892208172067</v>
      </c>
      <c r="I142" s="191">
        <f t="shared" si="72"/>
        <v>377.07367902056808</v>
      </c>
      <c r="J142" s="191">
        <f t="shared" si="72"/>
        <v>36.447102416115712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2033.1923482591208</v>
      </c>
      <c r="P142" s="191">
        <f t="shared" si="71"/>
        <v>413.52078143668382</v>
      </c>
    </row>
    <row r="143" spans="4:16" hidden="1" outlineLevel="1">
      <c r="D143" s="248" t="s">
        <v>387</v>
      </c>
      <c r="G143" s="912">
        <f t="shared" si="72"/>
        <v>904.79929964607879</v>
      </c>
      <c r="H143" s="912">
        <f t="shared" si="72"/>
        <v>728.4950772583154</v>
      </c>
      <c r="I143" s="912">
        <f t="shared" si="72"/>
        <v>380.2451881224286</v>
      </c>
      <c r="J143" s="912">
        <f t="shared" si="72"/>
        <v>36.753653425853123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2050.2932184526758</v>
      </c>
      <c r="P143" s="912">
        <f t="shared" si="71"/>
        <v>416.99884154828175</v>
      </c>
    </row>
    <row r="144" spans="4:16" hidden="1" outlineLevel="1">
      <c r="D144" s="248" t="s">
        <v>442</v>
      </c>
      <c r="G144" s="191">
        <f>SUM(G135:G143)</f>
        <v>14131.201114074252</v>
      </c>
      <c r="H144" s="191">
        <f t="shared" ref="H144:P144" si="73">SUM(H135:H143)</f>
        <v>11377.672873284844</v>
      </c>
      <c r="I144" s="191">
        <f t="shared" si="73"/>
        <v>5938.6885335995121</v>
      </c>
      <c r="J144" s="191">
        <f t="shared" si="73"/>
        <v>574.02041363302624</v>
      </c>
      <c r="K144" s="191">
        <f t="shared" si="73"/>
        <v>0</v>
      </c>
      <c r="L144" s="191">
        <f t="shared" si="73"/>
        <v>0</v>
      </c>
      <c r="M144" s="191">
        <f t="shared" si="73"/>
        <v>0</v>
      </c>
      <c r="N144" s="191">
        <f t="shared" si="73"/>
        <v>0</v>
      </c>
      <c r="O144" s="191">
        <f t="shared" si="73"/>
        <v>32021.582934591635</v>
      </c>
      <c r="P144" s="191">
        <f t="shared" si="73"/>
        <v>6512.7089472325388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1399.3382944663231</v>
      </c>
      <c r="H147" s="191">
        <f t="shared" si="74"/>
        <v>1123.7098866912099</v>
      </c>
      <c r="I147" s="191">
        <f t="shared" si="74"/>
        <v>584.00244715184203</v>
      </c>
      <c r="J147" s="191">
        <f t="shared" si="74"/>
        <v>56.205242496952721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3163.2558708063275</v>
      </c>
      <c r="P147" s="191">
        <f t="shared" ref="P147:P155" si="76">SUM(I147:M147)</f>
        <v>640.20768964879471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1399.3382944663231</v>
      </c>
      <c r="H149" s="191">
        <f t="shared" si="74"/>
        <v>1123.7098866912099</v>
      </c>
      <c r="I149" s="191">
        <f t="shared" si="74"/>
        <v>584.00244715184203</v>
      </c>
      <c r="J149" s="191">
        <f t="shared" si="74"/>
        <v>56.205242496952721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3163.2558708063275</v>
      </c>
      <c r="P149" s="191">
        <f t="shared" si="76"/>
        <v>640.20768964879471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12198.355769353773</v>
      </c>
      <c r="H151" s="191">
        <f t="shared" si="74"/>
        <v>9795.6391485929435</v>
      </c>
      <c r="I151" s="191">
        <f t="shared" si="74"/>
        <v>5090.8844906929971</v>
      </c>
      <c r="J151" s="191">
        <f t="shared" si="74"/>
        <v>489.9541067316452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27574.833515371356</v>
      </c>
      <c r="P151" s="191">
        <f t="shared" si="76"/>
        <v>5580.8385974246421</v>
      </c>
    </row>
    <row r="152" spans="4:16" hidden="1" outlineLevel="1">
      <c r="D152" s="248" t="s">
        <v>384</v>
      </c>
      <c r="G152" s="191">
        <f t="shared" si="74"/>
        <v>9625.3504733488917</v>
      </c>
      <c r="H152" s="191">
        <f t="shared" si="74"/>
        <v>7729.4400735992785</v>
      </c>
      <c r="I152" s="191">
        <f t="shared" si="74"/>
        <v>4017.061673620321</v>
      </c>
      <c r="J152" s="191">
        <f t="shared" si="74"/>
        <v>386.60784144341369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21758.460062011905</v>
      </c>
      <c r="P152" s="191">
        <f t="shared" si="76"/>
        <v>4403.6695150637352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1791.8915418608108</v>
      </c>
      <c r="H154" s="191">
        <f t="shared" si="74"/>
        <v>1438.9417122578488</v>
      </c>
      <c r="I154" s="191">
        <f t="shared" si="74"/>
        <v>747.83134972840935</v>
      </c>
      <c r="J154" s="191">
        <f t="shared" si="74"/>
        <v>71.972373683188138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4050.6369775302569</v>
      </c>
      <c r="P154" s="191">
        <f t="shared" si="76"/>
        <v>819.8037234115975</v>
      </c>
    </row>
    <row r="155" spans="4:16" hidden="1" outlineLevel="1">
      <c r="D155" s="248" t="s">
        <v>387</v>
      </c>
      <c r="G155" s="912">
        <f t="shared" si="74"/>
        <v>1806.962867839648</v>
      </c>
      <c r="H155" s="912">
        <f t="shared" si="74"/>
        <v>1451.0444311464394</v>
      </c>
      <c r="I155" s="912">
        <f t="shared" si="74"/>
        <v>754.12124495122316</v>
      </c>
      <c r="J155" s="912">
        <f t="shared" si="74"/>
        <v>72.577722321713225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4084.7062662590238</v>
      </c>
      <c r="P155" s="912">
        <f t="shared" si="76"/>
        <v>826.69896727293644</v>
      </c>
    </row>
    <row r="156" spans="4:16" hidden="1" outlineLevel="1">
      <c r="D156" s="248" t="s">
        <v>454</v>
      </c>
      <c r="G156" s="191">
        <f>SUM(G147:G155)</f>
        <v>28221.23724133577</v>
      </c>
      <c r="H156" s="191">
        <f t="shared" ref="H156:N156" si="77">SUM(H147:H155)</f>
        <v>22662.485138978929</v>
      </c>
      <c r="I156" s="191">
        <f t="shared" si="77"/>
        <v>11777.903653296635</v>
      </c>
      <c r="J156" s="191">
        <f t="shared" si="77"/>
        <v>1133.5225291738657</v>
      </c>
      <c r="K156" s="191">
        <f t="shared" si="77"/>
        <v>0</v>
      </c>
      <c r="L156" s="191">
        <f t="shared" si="77"/>
        <v>0</v>
      </c>
      <c r="M156" s="191">
        <f t="shared" si="77"/>
        <v>0</v>
      </c>
      <c r="N156" s="191">
        <f t="shared" si="77"/>
        <v>0</v>
      </c>
      <c r="O156" s="191">
        <f t="shared" ref="O156:P156" si="78">SUM(O147:O155)</f>
        <v>63795.148562785202</v>
      </c>
      <c r="P156" s="191">
        <f t="shared" si="78"/>
        <v>12911.426182470501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2" priority="4" operator="equal">
      <formula>"Error"</formula>
    </cfRule>
  </conditionalFormatting>
  <conditionalFormatting sqref="R11">
    <cfRule type="cellIs" dxfId="131" priority="3" operator="equal">
      <formula>"Error"</formula>
    </cfRule>
  </conditionalFormatting>
  <conditionalFormatting sqref="R54">
    <cfRule type="cellIs" dxfId="13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Project_Inputs!B8</f>
        <v>XB59</v>
      </c>
      <c r="F3" s="249" t="s">
        <v>63</v>
      </c>
      <c r="G3" s="249" t="str">
        <f>Project_Inputs!F8</f>
        <v>Yes</v>
      </c>
    </row>
    <row r="4" spans="1:21" ht="18.75">
      <c r="A4" s="6"/>
      <c r="B4" s="6"/>
      <c r="C4" s="13" t="s">
        <v>15</v>
      </c>
      <c r="D4" s="339" t="str">
        <f>Project_Inputs!D8</f>
        <v>HTS Rebuild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Project_Inputs!H8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Project_Inputs!I8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Project_Inputs!J8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7805.1815978098866</v>
      </c>
      <c r="G11" s="319">
        <f>IF(G$10="Prior",SUMIFS(Project_Inputs!$W$5:$W$50,Project_Inputs!$D$5:$D$50,$D$4),SUMIFS(Project_Inputs!M$5:M$50,Project_Inputs!$D$5:$D$50,$D$4))</f>
        <v>16881.750000000025</v>
      </c>
      <c r="H11" s="389">
        <f>IF(H$10="Prior",SUMIFS(Project_Inputs!$W$5:$W$50,Project_Inputs!$D$5:$D$50,$D$4),SUMIFS(Project_Inputs!N$5:N$50,Project_Inputs!$D$5:$D$50,$D$4))</f>
        <v>18923.223017864286</v>
      </c>
      <c r="I11" s="399">
        <f>IF(I$10="Prior",SUMIFS(Project_Inputs!$W$5:$W$50,Project_Inputs!$D$5:$D$50,$D$4),SUMIFS(Project_Inputs!O$5:O$50,Project_Inputs!$D$5:$D$50,$D$4))</f>
        <v>3639.5480000000002</v>
      </c>
      <c r="J11" s="320">
        <f>IF(J$10="Prior",SUMIFS(Project_Inputs!$W$5:$W$50,Project_Inputs!$D$5:$D$50,$D$4),SUMIFS(Project_Inputs!P$5:P$50,Project_Inputs!$D$5:$D$50,$D$4))</f>
        <v>0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47249.702615674199</v>
      </c>
      <c r="P11" s="300">
        <f t="shared" ref="P11" si="0">SUM(I11:M11)</f>
        <v>3639.5480000000002</v>
      </c>
      <c r="R11" s="608" t="str">
        <f>IF(O11=Project_Inputs!V8,"ok","error")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/>
      <c r="J13" s="10"/>
      <c r="K13" s="10"/>
      <c r="L13" s="10"/>
      <c r="M13" s="10"/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17482.389967799452</v>
      </c>
      <c r="H14" s="447">
        <f>IF($G$3="Yes",SUMIFS(Project_Inputs!AL$5:AL$50,Project_Inputs!$D$5:$D$50,$D$4),IF(AND(H$13="X",H$10="Prior"),H11,IF(H$13="X",SUM($F11:H11)-SUM($F14:G14),0)))</f>
        <v>13702.413758545517</v>
      </c>
      <c r="I14" s="448">
        <f>IF($G$3="Yes",SUMIFS(Project_Inputs!AM$5:AM$50,Project_Inputs!$D$5:$D$50,$D$4),IF(AND(I$13="X",I$10="Prior"),I11,IF(I$13="X",SUM($F11:I11)-SUM($F14:H14),0)))</f>
        <v>16064.89888932923</v>
      </c>
      <c r="J14" s="447">
        <f>IF($G$3="Yes",SUMIFS(Project_Inputs!AN$5:AN$50,Project_Inputs!$D$5:$D$50,$D$4),IF(AND(J$13="X",J$10="Prior"),J11,IF(J$13="X",SUM($F11:J11)-SUM($F14:I14),0)))</f>
        <v>0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 t="shared" ref="O14" si="1">SUM(F14:N14)</f>
        <v>47249.702615674199</v>
      </c>
      <c r="P14" s="451">
        <f t="shared" ref="P14" si="2">SUM(I14:M14)</f>
        <v>16064.89888932923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0.13063318055555556</v>
      </c>
      <c r="G17" s="341">
        <v>0.13063318055555556</v>
      </c>
      <c r="H17" s="392">
        <v>0.13063318055555556</v>
      </c>
      <c r="I17" s="404">
        <v>0.13063318055555601</v>
      </c>
      <c r="J17" s="341">
        <v>0.13063318055555601</v>
      </c>
      <c r="K17" s="341">
        <v>0.13063318055555601</v>
      </c>
      <c r="L17" s="341">
        <v>0.13063318055555601</v>
      </c>
      <c r="M17" s="341">
        <v>0.13063318055555601</v>
      </c>
      <c r="N17" s="342">
        <v>0.13063318055555601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0.40952448718452389</v>
      </c>
      <c r="G18" s="341">
        <v>0.40952448718452389</v>
      </c>
      <c r="H18" s="392">
        <v>0.40952448718452389</v>
      </c>
      <c r="I18" s="404">
        <v>0.409524487184524</v>
      </c>
      <c r="J18" s="341">
        <v>0.409524487184524</v>
      </c>
      <c r="K18" s="341">
        <v>0.409524487184524</v>
      </c>
      <c r="L18" s="341">
        <v>0.409524487184524</v>
      </c>
      <c r="M18" s="341">
        <v>0.409524487184524</v>
      </c>
      <c r="N18" s="342">
        <v>0.409524487184524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0.32880604288888887</v>
      </c>
      <c r="G19" s="341">
        <v>0.32880604288888887</v>
      </c>
      <c r="H19" s="392">
        <v>0.32880604288888887</v>
      </c>
      <c r="I19" s="404">
        <v>0.32880604288888898</v>
      </c>
      <c r="J19" s="341">
        <v>0.32880604288888898</v>
      </c>
      <c r="K19" s="341">
        <v>0.32880604288888898</v>
      </c>
      <c r="L19" s="341">
        <v>0.32880604288888898</v>
      </c>
      <c r="M19" s="341">
        <v>0.32880604288888898</v>
      </c>
      <c r="N19" s="342">
        <v>0.32880604288888898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1.4167023857142858E-2</v>
      </c>
      <c r="G21" s="341">
        <v>1.4167023857142858E-2</v>
      </c>
      <c r="H21" s="392">
        <v>1.4167023857142858E-2</v>
      </c>
      <c r="I21" s="404">
        <v>1.4167023857142899E-2</v>
      </c>
      <c r="J21" s="341">
        <v>1.4167023857142899E-2</v>
      </c>
      <c r="K21" s="341">
        <v>1.4167023857142899E-2</v>
      </c>
      <c r="L21" s="341">
        <v>1.4167023857142899E-2</v>
      </c>
      <c r="M21" s="341">
        <v>1.4167023857142899E-2</v>
      </c>
      <c r="N21" s="342">
        <v>1.4167023857142899E-2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0.11353940188888889</v>
      </c>
      <c r="G22" s="341">
        <v>0.11353940188888889</v>
      </c>
      <c r="H22" s="392">
        <v>0.11353940188888889</v>
      </c>
      <c r="I22" s="404">
        <v>0.113539401888889</v>
      </c>
      <c r="J22" s="341">
        <v>0.113539401888889</v>
      </c>
      <c r="K22" s="341">
        <v>0.113539401888889</v>
      </c>
      <c r="L22" s="341">
        <v>0.113539401888889</v>
      </c>
      <c r="M22" s="341">
        <v>0.113539401888889</v>
      </c>
      <c r="N22" s="342">
        <v>0.113539401888889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3.3298636249999999E-3</v>
      </c>
      <c r="G23" s="341">
        <v>3.3298636249999999E-3</v>
      </c>
      <c r="H23" s="392">
        <v>3.3298636249999999E-3</v>
      </c>
      <c r="I23" s="404">
        <v>3.3298636249999999E-3</v>
      </c>
      <c r="J23" s="341">
        <v>3.3298636249999999E-3</v>
      </c>
      <c r="K23" s="341">
        <v>3.3298636249999999E-3</v>
      </c>
      <c r="L23" s="341">
        <v>3.3298636249999999E-3</v>
      </c>
      <c r="M23" s="341">
        <v>3.3298636249999999E-3</v>
      </c>
      <c r="N23" s="342">
        <v>3.3298636249999999E-3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3">+SUM(G17:G26)</f>
        <v>1</v>
      </c>
      <c r="H27" s="393">
        <f t="shared" si="3"/>
        <v>1</v>
      </c>
      <c r="I27" s="405">
        <f t="shared" si="3"/>
        <v>1.0000000000000009</v>
      </c>
      <c r="J27" s="332">
        <f t="shared" si="3"/>
        <v>1.0000000000000009</v>
      </c>
      <c r="K27" s="332">
        <f t="shared" si="3"/>
        <v>1.0000000000000009</v>
      </c>
      <c r="L27" s="332">
        <f t="shared" si="3"/>
        <v>1.0000000000000009</v>
      </c>
      <c r="M27" s="332">
        <f t="shared" si="3"/>
        <v>1.0000000000000009</v>
      </c>
      <c r="N27" s="332">
        <f t="shared" si="3"/>
        <v>1.0000000000000009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4">+SUM(F29:F31)</f>
        <v>1</v>
      </c>
      <c r="G32" s="595">
        <f t="shared" si="4"/>
        <v>1</v>
      </c>
      <c r="H32" s="595">
        <f t="shared" si="4"/>
        <v>1</v>
      </c>
      <c r="I32" s="595">
        <f t="shared" si="4"/>
        <v>1</v>
      </c>
      <c r="J32" s="595">
        <f t="shared" si="4"/>
        <v>1</v>
      </c>
      <c r="K32" s="595">
        <f t="shared" si="4"/>
        <v>1</v>
      </c>
      <c r="L32" s="595">
        <f t="shared" si="4"/>
        <v>1</v>
      </c>
      <c r="M32" s="595">
        <f t="shared" si="4"/>
        <v>1</v>
      </c>
      <c r="N32" s="595">
        <f t="shared" si="4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5">SUM(F34:N34)</f>
        <v>0</v>
      </c>
      <c r="P34" s="435">
        <f t="shared" ref="P34:P43" si="6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5"/>
        <v>0</v>
      </c>
      <c r="P35" s="435">
        <f t="shared" si="6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5"/>
        <v>0</v>
      </c>
      <c r="P36" s="435">
        <f t="shared" si="6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5"/>
        <v>0</v>
      </c>
      <c r="P37" s="435">
        <f t="shared" si="6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5"/>
        <v>0</v>
      </c>
      <c r="P38" s="435">
        <f t="shared" si="6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5"/>
        <v>0</v>
      </c>
      <c r="P39" s="435">
        <f t="shared" si="6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5"/>
        <v>0</v>
      </c>
      <c r="P40" s="435">
        <f t="shared" si="6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5"/>
        <v>0</v>
      </c>
      <c r="P41" s="435">
        <f t="shared" si="6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5"/>
        <v>0</v>
      </c>
      <c r="P42" s="435">
        <f t="shared" si="6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5"/>
        <v>0</v>
      </c>
      <c r="P43" s="435">
        <f t="shared" si="6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7">+SUM(F33:F43)</f>
        <v>0</v>
      </c>
      <c r="G44" s="253">
        <f t="shared" si="7"/>
        <v>0</v>
      </c>
      <c r="H44" s="253">
        <f t="shared" si="7"/>
        <v>0</v>
      </c>
      <c r="I44" s="408">
        <f t="shared" si="7"/>
        <v>0</v>
      </c>
      <c r="J44" s="5">
        <f t="shared" si="7"/>
        <v>0</v>
      </c>
      <c r="K44" s="5">
        <f t="shared" si="7"/>
        <v>0</v>
      </c>
      <c r="L44" s="5">
        <f t="shared" si="7"/>
        <v>0</v>
      </c>
      <c r="M44" s="5">
        <f t="shared" si="7"/>
        <v>0</v>
      </c>
      <c r="N44" s="286">
        <f t="shared" si="7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9.9180281250001414</v>
      </c>
      <c r="H46" s="290">
        <f>IF(H$10="Prior",0,(H11*H29)*(Assumptions!H28-1))</f>
        <v>23.680095512037369</v>
      </c>
      <c r="I46" s="407">
        <f>IF(I$10="Prior",0,(I11*I29)*(Assumptions!I28-1))</f>
        <v>7.5209479276127436</v>
      </c>
      <c r="J46" s="282">
        <f>IF(J$10="Prior",0,(J11*J29)*(Assumptions!J28-1))</f>
        <v>0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8">SUM(F46:N46)</f>
        <v>41.119071564650255</v>
      </c>
      <c r="P46" s="300">
        <f t="shared" ref="P46:P47" si="9">SUM(I46:M46)</f>
        <v>7.5209479276127436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34.607587499999987</v>
      </c>
      <c r="H47" s="290">
        <f>IF(H$10="Prior",0,(H11*H30)*(Assumptions!H30-1))</f>
        <v>101.73278445590856</v>
      </c>
      <c r="I47" s="407">
        <f>IF(I$10="Prior",0,(I11*I30)*(Assumptions!I30-1))</f>
        <v>38.649663508548294</v>
      </c>
      <c r="J47" s="282">
        <f>IF(J$10="Prior",0,(J11*J30)*(Assumptions!J30-1))</f>
        <v>0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8"/>
        <v>174.99003546445684</v>
      </c>
      <c r="P47" s="300">
        <f t="shared" si="9"/>
        <v>38.649663508548294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10">SUM(G46:G47)</f>
        <v>44.525615625000128</v>
      </c>
      <c r="H48" s="253">
        <f t="shared" si="10"/>
        <v>125.41287996794593</v>
      </c>
      <c r="I48" s="408">
        <f t="shared" si="10"/>
        <v>46.170611436161039</v>
      </c>
      <c r="J48" s="5">
        <f t="shared" si="10"/>
        <v>0</v>
      </c>
      <c r="K48" s="5">
        <f t="shared" si="10"/>
        <v>0</v>
      </c>
      <c r="L48" s="5">
        <f t="shared" si="10"/>
        <v>0</v>
      </c>
      <c r="M48" s="5">
        <f t="shared" si="10"/>
        <v>0</v>
      </c>
      <c r="N48" s="286">
        <f t="shared" si="10"/>
        <v>0</v>
      </c>
      <c r="O48" s="433">
        <f>SUM(O46:O47)</f>
        <v>216.10910702910709</v>
      </c>
      <c r="P48" s="434">
        <f>SUM(P46:P47)</f>
        <v>46.170611436161039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11">F44+F48</f>
        <v>0</v>
      </c>
      <c r="G49" s="253">
        <f t="shared" si="11"/>
        <v>44.525615625000128</v>
      </c>
      <c r="H49" s="253">
        <f t="shared" si="11"/>
        <v>125.41287996794593</v>
      </c>
      <c r="I49" s="408">
        <f t="shared" si="11"/>
        <v>46.170611436161039</v>
      </c>
      <c r="J49" s="5">
        <f t="shared" si="11"/>
        <v>0</v>
      </c>
      <c r="K49" s="5">
        <f t="shared" si="11"/>
        <v>0</v>
      </c>
      <c r="L49" s="5">
        <f t="shared" si="11"/>
        <v>0</v>
      </c>
      <c r="M49" s="5">
        <f t="shared" si="11"/>
        <v>0</v>
      </c>
      <c r="N49" s="286">
        <f t="shared" si="11"/>
        <v>0</v>
      </c>
      <c r="O49" s="370">
        <f>O44+O48</f>
        <v>216.10910702910709</v>
      </c>
      <c r="P49" s="371">
        <f>P44+P48</f>
        <v>46.170611436161039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2">IF(ISERROR(F49/F11),0,F49/F11)</f>
        <v>0</v>
      </c>
      <c r="G50" s="441">
        <f t="shared" si="12"/>
        <v>2.6375000000000036E-3</v>
      </c>
      <c r="H50" s="441">
        <f t="shared" si="12"/>
        <v>6.6274587499999928E-3</v>
      </c>
      <c r="I50" s="442">
        <f t="shared" si="12"/>
        <v>1.2685809181843744E-2</v>
      </c>
      <c r="J50" s="443">
        <f t="shared" si="12"/>
        <v>0</v>
      </c>
      <c r="K50" s="443">
        <f t="shared" si="12"/>
        <v>0</v>
      </c>
      <c r="L50" s="443">
        <f t="shared" si="12"/>
        <v>0</v>
      </c>
      <c r="M50" s="443">
        <f t="shared" si="12"/>
        <v>0</v>
      </c>
      <c r="N50" s="444">
        <f t="shared" si="12"/>
        <v>0</v>
      </c>
      <c r="O50" s="444">
        <f t="shared" si="12"/>
        <v>4.5737665014936408E-3</v>
      </c>
      <c r="P50" s="444">
        <f t="shared" si="12"/>
        <v>1.2685809181843744E-2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793.72241436374986</v>
      </c>
      <c r="G51" s="280">
        <f>(G29*G$11+G46)*Assumptions!$G$21</f>
        <v>1726.8201658188468</v>
      </c>
      <c r="H51" s="280">
        <f>(H29*H$11+H46)*Assumptions!$G$21</f>
        <v>1948.4159716888537</v>
      </c>
      <c r="I51" s="410">
        <f>(I29*I$11+I46)*Assumptions!$G$21</f>
        <v>377.76011208428292</v>
      </c>
      <c r="J51" s="280">
        <f>(J29*J$11+J46)*Assumptions!$G$21</f>
        <v>0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3">SUM(F51:N51)</f>
        <v>4846.7186639557331</v>
      </c>
      <c r="P51" s="375">
        <f>SUM(I51:M51)</f>
        <v>377.76011208428292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3968.612071818749</v>
      </c>
      <c r="G52" s="282">
        <f>(G30*G$11+G47)*Assumptions!$G$21</f>
        <v>8618.8648117246375</v>
      </c>
      <c r="H52" s="282">
        <f>(H30*H$11+H47)*Assumptions!$G$21</f>
        <v>9725.1301930882255</v>
      </c>
      <c r="I52" s="407">
        <f>(I30*I$11+I47)*Assumptions!$G$21</f>
        <v>1889.8631615754223</v>
      </c>
      <c r="J52" s="282">
        <f>(J30*J$11+J47)*Assumptions!$G$21</f>
        <v>0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3"/>
        <v>24202.470238207035</v>
      </c>
      <c r="P52" s="376">
        <f>SUM(I52:M52)</f>
        <v>1889.8631615754223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3174.8896574549995</v>
      </c>
      <c r="G53" s="282">
        <f>(G31*G$11+G$44)*Assumptions!$G$21</f>
        <v>6866.9374060150494</v>
      </c>
      <c r="H53" s="282">
        <f>(H31*H$11+H$44)*Assumptions!$G$21</f>
        <v>7697.3410922290068</v>
      </c>
      <c r="I53" s="407">
        <f>(I31*I$11+I$44)*Assumptions!$G$21</f>
        <v>1480.4477203007521</v>
      </c>
      <c r="J53" s="282">
        <f>(J31*J$11+J$44)*Assumptions!$G$21</f>
        <v>0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3"/>
        <v>19219.615875999807</v>
      </c>
      <c r="P53" s="376">
        <f>SUM(I53:M53)</f>
        <v>1480.4477203007521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4">+SUM(F51:F53)</f>
        <v>7937.2241436374989</v>
      </c>
      <c r="G54" s="5">
        <f t="shared" si="14"/>
        <v>17212.622383558533</v>
      </c>
      <c r="H54" s="5">
        <f t="shared" si="14"/>
        <v>19370.887257006085</v>
      </c>
      <c r="I54" s="411">
        <f t="shared" si="14"/>
        <v>3748.0709939604576</v>
      </c>
      <c r="J54" s="382">
        <f t="shared" si="14"/>
        <v>0</v>
      </c>
      <c r="K54" s="382">
        <f t="shared" si="14"/>
        <v>0</v>
      </c>
      <c r="L54" s="382">
        <f t="shared" si="14"/>
        <v>0</v>
      </c>
      <c r="M54" s="382">
        <f t="shared" si="14"/>
        <v>0</v>
      </c>
      <c r="N54" s="286">
        <f t="shared" si="14"/>
        <v>0</v>
      </c>
      <c r="O54" s="372">
        <f t="shared" si="14"/>
        <v>48268.804778162579</v>
      </c>
      <c r="P54" s="428">
        <f t="shared" si="14"/>
        <v>3748.0709939604576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635.62655237603803</v>
      </c>
      <c r="G57" s="290">
        <f t="shared" ref="G57:N57" si="15">G54*G56</f>
        <v>1023.200640495034</v>
      </c>
      <c r="H57" s="290">
        <f t="shared" si="15"/>
        <v>1406.2041219174416</v>
      </c>
      <c r="I57" s="407">
        <f t="shared" si="15"/>
        <v>330.52975893537854</v>
      </c>
      <c r="J57" s="282">
        <f t="shared" si="15"/>
        <v>0</v>
      </c>
      <c r="K57" s="282">
        <f t="shared" si="15"/>
        <v>0</v>
      </c>
      <c r="L57" s="282">
        <f t="shared" si="15"/>
        <v>0</v>
      </c>
      <c r="M57" s="282">
        <f t="shared" si="15"/>
        <v>0</v>
      </c>
      <c r="N57" s="283">
        <f t="shared" si="15"/>
        <v>0</v>
      </c>
      <c r="O57" s="309">
        <f>SUM(F57:N57)</f>
        <v>3395.5610737238922</v>
      </c>
      <c r="P57" s="300">
        <f>SUM(I57:M57)</f>
        <v>330.52975893537854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6">F54+F57</f>
        <v>8572.8506960135364</v>
      </c>
      <c r="G59" s="5">
        <f t="shared" si="16"/>
        <v>18235.823024053567</v>
      </c>
      <c r="H59" s="5">
        <f t="shared" si="16"/>
        <v>20777.091378923527</v>
      </c>
      <c r="I59" s="411">
        <f t="shared" si="16"/>
        <v>4078.6007528958362</v>
      </c>
      <c r="J59" s="382">
        <f t="shared" si="16"/>
        <v>0</v>
      </c>
      <c r="K59" s="382">
        <f t="shared" si="16"/>
        <v>0</v>
      </c>
      <c r="L59" s="382">
        <f t="shared" si="16"/>
        <v>0</v>
      </c>
      <c r="M59" s="382">
        <f t="shared" si="16"/>
        <v>0</v>
      </c>
      <c r="N59" s="418">
        <f>N54+N57</f>
        <v>0</v>
      </c>
      <c r="O59" s="419">
        <f t="shared" ref="O59:P59" si="17">O54+O57</f>
        <v>51664.365851886469</v>
      </c>
      <c r="P59" s="429">
        <f t="shared" si="17"/>
        <v>4078.6007528958362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635.62655237603803</v>
      </c>
      <c r="G60" s="290">
        <f t="shared" ref="G60:N60" si="18">G57+F60</f>
        <v>1658.8271928710719</v>
      </c>
      <c r="H60" s="290">
        <f t="shared" si="18"/>
        <v>3065.0313147885136</v>
      </c>
      <c r="I60" s="290">
        <f t="shared" si="18"/>
        <v>3395.5610737238922</v>
      </c>
      <c r="J60" s="290">
        <f t="shared" si="18"/>
        <v>3395.5610737238922</v>
      </c>
      <c r="K60" s="290">
        <f t="shared" si="18"/>
        <v>3395.5610737238922</v>
      </c>
      <c r="L60" s="290">
        <f t="shared" si="18"/>
        <v>3395.5610737238922</v>
      </c>
      <c r="M60" s="290">
        <f t="shared" si="18"/>
        <v>3395.5610737238922</v>
      </c>
      <c r="N60" s="290">
        <f t="shared" si="18"/>
        <v>3395.5610737238922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44.525615625000128</v>
      </c>
      <c r="H61" s="252">
        <f t="shared" ref="H61:N61" si="19">H49+G61</f>
        <v>169.93849559294605</v>
      </c>
      <c r="I61" s="252">
        <f t="shared" si="19"/>
        <v>216.10910702910709</v>
      </c>
      <c r="J61" s="252">
        <f t="shared" si="19"/>
        <v>216.10910702910709</v>
      </c>
      <c r="K61" s="252">
        <f t="shared" si="19"/>
        <v>216.10910702910709</v>
      </c>
      <c r="L61" s="252">
        <f t="shared" si="19"/>
        <v>216.10910702910709</v>
      </c>
      <c r="M61" s="252">
        <f t="shared" si="19"/>
        <v>216.10910702910709</v>
      </c>
      <c r="N61" s="252">
        <f t="shared" si="19"/>
        <v>216.10910702910709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20">F$59*F17</f>
        <v>1119.8987528481564</v>
      </c>
      <c r="G64" s="280">
        <f t="shared" si="20"/>
        <v>2382.2035616803469</v>
      </c>
      <c r="H64" s="280">
        <f t="shared" si="20"/>
        <v>2714.1775295221942</v>
      </c>
      <c r="I64" s="415">
        <f t="shared" si="20"/>
        <v>532.80058856706842</v>
      </c>
      <c r="J64" s="380">
        <f t="shared" si="20"/>
        <v>0</v>
      </c>
      <c r="K64" s="380">
        <f t="shared" si="20"/>
        <v>0</v>
      </c>
      <c r="L64" s="380">
        <f t="shared" si="20"/>
        <v>0</v>
      </c>
      <c r="M64" s="380">
        <f t="shared" si="20"/>
        <v>0</v>
      </c>
      <c r="N64" s="281">
        <f t="shared" si="20"/>
        <v>0</v>
      </c>
      <c r="O64" s="373">
        <f>SUM(F64:N64)</f>
        <v>6749.0804326177658</v>
      </c>
      <c r="P64" s="430">
        <f>SUM(I64:M64)</f>
        <v>532.80058856706842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21">F$59*F18</f>
        <v>3510.7922849944321</v>
      </c>
      <c r="G65" s="282">
        <f t="shared" si="21"/>
        <v>7468.0160723132703</v>
      </c>
      <c r="H65" s="282">
        <f t="shared" si="21"/>
        <v>8508.7276921396497</v>
      </c>
      <c r="I65" s="416">
        <f t="shared" si="21"/>
        <v>1670.2868817600809</v>
      </c>
      <c r="J65" s="381">
        <f t="shared" si="21"/>
        <v>0</v>
      </c>
      <c r="K65" s="381">
        <f t="shared" si="21"/>
        <v>0</v>
      </c>
      <c r="L65" s="381">
        <f t="shared" si="21"/>
        <v>0</v>
      </c>
      <c r="M65" s="381">
        <f t="shared" si="21"/>
        <v>0</v>
      </c>
      <c r="N65" s="283">
        <f t="shared" si="21"/>
        <v>0</v>
      </c>
      <c r="O65" s="374">
        <f t="shared" ref="O65:O73" si="22">SUM(F65:N65)</f>
        <v>21157.822931207429</v>
      </c>
      <c r="P65" s="431">
        <f t="shared" ref="P65:P73" si="23">SUM(I65:M65)</f>
        <v>1670.2868817600809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4">F$59*F19</f>
        <v>2818.8051136334675</v>
      </c>
      <c r="G66" s="282">
        <f t="shared" si="24"/>
        <v>5996.0488073611441</v>
      </c>
      <c r="H66" s="282">
        <f t="shared" si="24"/>
        <v>6831.6331990446924</v>
      </c>
      <c r="I66" s="416">
        <f t="shared" si="24"/>
        <v>1341.0685740833233</v>
      </c>
      <c r="J66" s="381">
        <f t="shared" si="24"/>
        <v>0</v>
      </c>
      <c r="K66" s="381">
        <f t="shared" si="24"/>
        <v>0</v>
      </c>
      <c r="L66" s="381">
        <f t="shared" si="24"/>
        <v>0</v>
      </c>
      <c r="M66" s="381">
        <f t="shared" si="24"/>
        <v>0</v>
      </c>
      <c r="N66" s="283">
        <f t="shared" si="24"/>
        <v>0</v>
      </c>
      <c r="O66" s="374">
        <f t="shared" si="22"/>
        <v>16987.555694122628</v>
      </c>
      <c r="P66" s="431">
        <f t="shared" si="23"/>
        <v>1341.0685740833233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5">F$59*F20</f>
        <v>0</v>
      </c>
      <c r="G67" s="282">
        <f t="shared" si="25"/>
        <v>0</v>
      </c>
      <c r="H67" s="282">
        <f t="shared" si="25"/>
        <v>0</v>
      </c>
      <c r="I67" s="416">
        <f t="shared" si="25"/>
        <v>0</v>
      </c>
      <c r="J67" s="381">
        <f t="shared" si="25"/>
        <v>0</v>
      </c>
      <c r="K67" s="381">
        <f t="shared" si="25"/>
        <v>0</v>
      </c>
      <c r="L67" s="381">
        <f t="shared" si="25"/>
        <v>0</v>
      </c>
      <c r="M67" s="381">
        <f t="shared" si="25"/>
        <v>0</v>
      </c>
      <c r="N67" s="283">
        <f t="shared" si="25"/>
        <v>0</v>
      </c>
      <c r="O67" s="374">
        <f t="shared" si="22"/>
        <v>0</v>
      </c>
      <c r="P67" s="431">
        <f t="shared" si="23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6">F$59*F21</f>
        <v>121.45178033414751</v>
      </c>
      <c r="G68" s="282">
        <f t="shared" si="26"/>
        <v>258.34733983640189</v>
      </c>
      <c r="H68" s="282">
        <f t="shared" si="26"/>
        <v>294.34954924724678</v>
      </c>
      <c r="I68" s="416">
        <f t="shared" si="26"/>
        <v>57.781634170036298</v>
      </c>
      <c r="J68" s="381">
        <f t="shared" si="26"/>
        <v>0</v>
      </c>
      <c r="K68" s="381">
        <f t="shared" si="26"/>
        <v>0</v>
      </c>
      <c r="L68" s="381">
        <f t="shared" si="26"/>
        <v>0</v>
      </c>
      <c r="M68" s="381">
        <f t="shared" si="26"/>
        <v>0</v>
      </c>
      <c r="N68" s="283">
        <f t="shared" si="26"/>
        <v>0</v>
      </c>
      <c r="O68" s="374">
        <f t="shared" si="22"/>
        <v>731.93030358783244</v>
      </c>
      <c r="P68" s="431">
        <f t="shared" si="23"/>
        <v>57.781634170036298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7">F$59*F22</f>
        <v>973.35634050812178</v>
      </c>
      <c r="G69" s="282">
        <f t="shared" si="27"/>
        <v>2070.4844391026709</v>
      </c>
      <c r="H69" s="282">
        <f t="shared" si="27"/>
        <v>2359.018528153767</v>
      </c>
      <c r="I69" s="416">
        <f t="shared" si="27"/>
        <v>463.0818900273656</v>
      </c>
      <c r="J69" s="381">
        <f t="shared" si="27"/>
        <v>0</v>
      </c>
      <c r="K69" s="381">
        <f t="shared" si="27"/>
        <v>0</v>
      </c>
      <c r="L69" s="381">
        <f t="shared" si="27"/>
        <v>0</v>
      </c>
      <c r="M69" s="381">
        <f t="shared" si="27"/>
        <v>0</v>
      </c>
      <c r="N69" s="283">
        <f t="shared" si="27"/>
        <v>0</v>
      </c>
      <c r="O69" s="374">
        <f t="shared" si="22"/>
        <v>5865.9411977919253</v>
      </c>
      <c r="P69" s="431">
        <f t="shared" si="23"/>
        <v>463.0818900273656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8">F$59*F23</f>
        <v>28.546423695211406</v>
      </c>
      <c r="G70" s="282">
        <f t="shared" si="28"/>
        <v>60.722803759733466</v>
      </c>
      <c r="H70" s="282">
        <f t="shared" si="28"/>
        <v>69.184880815978545</v>
      </c>
      <c r="I70" s="416">
        <f t="shared" si="28"/>
        <v>13.581184287965458</v>
      </c>
      <c r="J70" s="381">
        <f t="shared" si="28"/>
        <v>0</v>
      </c>
      <c r="K70" s="381">
        <f t="shared" si="28"/>
        <v>0</v>
      </c>
      <c r="L70" s="381">
        <f t="shared" si="28"/>
        <v>0</v>
      </c>
      <c r="M70" s="381">
        <f t="shared" si="28"/>
        <v>0</v>
      </c>
      <c r="N70" s="283">
        <f t="shared" si="28"/>
        <v>0</v>
      </c>
      <c r="O70" s="374">
        <f t="shared" si="22"/>
        <v>172.0352925588889</v>
      </c>
      <c r="P70" s="431">
        <f t="shared" si="23"/>
        <v>13.581184287965458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9">F$59*F24</f>
        <v>0</v>
      </c>
      <c r="G71" s="282">
        <f t="shared" si="29"/>
        <v>0</v>
      </c>
      <c r="H71" s="282">
        <f t="shared" si="29"/>
        <v>0</v>
      </c>
      <c r="I71" s="416">
        <f t="shared" si="29"/>
        <v>0</v>
      </c>
      <c r="J71" s="381">
        <f t="shared" si="29"/>
        <v>0</v>
      </c>
      <c r="K71" s="381">
        <f t="shared" si="29"/>
        <v>0</v>
      </c>
      <c r="L71" s="381">
        <f t="shared" si="29"/>
        <v>0</v>
      </c>
      <c r="M71" s="381">
        <f t="shared" si="29"/>
        <v>0</v>
      </c>
      <c r="N71" s="283">
        <f t="shared" si="29"/>
        <v>0</v>
      </c>
      <c r="O71" s="374">
        <f t="shared" si="22"/>
        <v>0</v>
      </c>
      <c r="P71" s="431">
        <f t="shared" si="23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30">F$59*F25</f>
        <v>0</v>
      </c>
      <c r="G72" s="282">
        <f t="shared" si="30"/>
        <v>0</v>
      </c>
      <c r="H72" s="282">
        <f t="shared" si="30"/>
        <v>0</v>
      </c>
      <c r="I72" s="416">
        <f t="shared" si="30"/>
        <v>0</v>
      </c>
      <c r="J72" s="381">
        <f t="shared" si="30"/>
        <v>0</v>
      </c>
      <c r="K72" s="381">
        <f t="shared" si="30"/>
        <v>0</v>
      </c>
      <c r="L72" s="381">
        <f t="shared" si="30"/>
        <v>0</v>
      </c>
      <c r="M72" s="381">
        <f t="shared" si="30"/>
        <v>0</v>
      </c>
      <c r="N72" s="283">
        <f t="shared" si="30"/>
        <v>0</v>
      </c>
      <c r="O72" s="374">
        <f t="shared" si="22"/>
        <v>0</v>
      </c>
      <c r="P72" s="431">
        <f t="shared" si="23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31">F$59*F26</f>
        <v>0</v>
      </c>
      <c r="G73" s="282">
        <f t="shared" si="31"/>
        <v>0</v>
      </c>
      <c r="H73" s="282">
        <f t="shared" si="31"/>
        <v>0</v>
      </c>
      <c r="I73" s="416">
        <f t="shared" si="31"/>
        <v>0</v>
      </c>
      <c r="J73" s="381">
        <f t="shared" si="31"/>
        <v>0</v>
      </c>
      <c r="K73" s="381">
        <f t="shared" si="31"/>
        <v>0</v>
      </c>
      <c r="L73" s="381">
        <f t="shared" si="31"/>
        <v>0</v>
      </c>
      <c r="M73" s="381">
        <f t="shared" si="31"/>
        <v>0</v>
      </c>
      <c r="N73" s="283">
        <f t="shared" si="31"/>
        <v>0</v>
      </c>
      <c r="O73" s="374">
        <f t="shared" si="22"/>
        <v>0</v>
      </c>
      <c r="P73" s="431">
        <f t="shared" si="23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8572.8506960135383</v>
      </c>
      <c r="G74" s="5">
        <f t="shared" ref="G74:N74" si="32">+SUM(G64:G73)</f>
        <v>18235.823024053567</v>
      </c>
      <c r="H74" s="5">
        <f t="shared" si="32"/>
        <v>20777.091378923527</v>
      </c>
      <c r="I74" s="411">
        <f t="shared" si="32"/>
        <v>4078.6007528958398</v>
      </c>
      <c r="J74" s="382">
        <f t="shared" si="32"/>
        <v>0</v>
      </c>
      <c r="K74" s="382">
        <f t="shared" si="32"/>
        <v>0</v>
      </c>
      <c r="L74" s="382">
        <f t="shared" si="32"/>
        <v>0</v>
      </c>
      <c r="M74" s="382">
        <f t="shared" si="32"/>
        <v>0</v>
      </c>
      <c r="N74" s="286">
        <f t="shared" si="32"/>
        <v>0</v>
      </c>
      <c r="O74" s="372">
        <f>SUM(O64:O73)</f>
        <v>51664.365851886469</v>
      </c>
      <c r="P74" s="428">
        <f>SUM(P64:P73)</f>
        <v>4078.6007528958398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3">G74-G59</f>
        <v>0</v>
      </c>
      <c r="H75" s="423">
        <f t="shared" si="33"/>
        <v>0</v>
      </c>
      <c r="I75" s="423">
        <f t="shared" si="33"/>
        <v>3.637978807091713E-12</v>
      </c>
      <c r="J75" s="423">
        <f t="shared" si="33"/>
        <v>0</v>
      </c>
      <c r="K75" s="423">
        <f t="shared" si="33"/>
        <v>0</v>
      </c>
      <c r="L75" s="423">
        <f t="shared" si="33"/>
        <v>0</v>
      </c>
      <c r="M75" s="423">
        <f t="shared" si="33"/>
        <v>0</v>
      </c>
      <c r="N75" s="423">
        <f t="shared" si="33"/>
        <v>0</v>
      </c>
      <c r="O75" s="423">
        <f t="shared" si="33"/>
        <v>0</v>
      </c>
      <c r="P75" s="423">
        <f t="shared" si="33"/>
        <v>3.637978807091713E-12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4">F14</f>
        <v>0</v>
      </c>
      <c r="G76" s="280">
        <f t="shared" si="34"/>
        <v>17482.389967799452</v>
      </c>
      <c r="H76" s="280">
        <f t="shared" si="34"/>
        <v>13702.413758545517</v>
      </c>
      <c r="I76" s="410">
        <f t="shared" si="34"/>
        <v>16064.89888932923</v>
      </c>
      <c r="J76" s="280">
        <f t="shared" si="34"/>
        <v>0</v>
      </c>
      <c r="K76" s="280">
        <f t="shared" si="34"/>
        <v>0</v>
      </c>
      <c r="L76" s="280">
        <f t="shared" si="34"/>
        <v>0</v>
      </c>
      <c r="M76" s="280">
        <f t="shared" si="34"/>
        <v>0</v>
      </c>
      <c r="N76" s="281">
        <f t="shared" si="34"/>
        <v>0</v>
      </c>
      <c r="O76" s="377">
        <f>SUM(F76:N76)</f>
        <v>47249.702615674199</v>
      </c>
      <c r="P76" s="378">
        <f t="shared" ref="P76:P80" si="35">SUM(I76:M76)</f>
        <v>16064.89888932923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44.525615625000128</v>
      </c>
      <c r="H77" s="282">
        <f>IF(H$10="Prior",0,IF(AND(H76&lt;&gt;0,SUM($F76:G76)=0),H76/SUM($F$76:H76)*H61,IF(H76&lt;&gt;0,SUM($F$76:H76)/SUM($F$11:H11)*H61-G83,0)))</f>
        <v>76.994215646399141</v>
      </c>
      <c r="I77" s="407">
        <f>IF(I$10="Prior",0,IF(AND(I76&lt;&gt;0,SUM($F76:H76)=0),I76/SUM($F$76:I76)*I61,IF(I76&lt;&gt;0,SUM($F$76:I76)/SUM($F$11:I11)*I61-H83,0)))</f>
        <v>94.589275757707824</v>
      </c>
      <c r="J77" s="282">
        <f>IF(J$10="Prior",0,IF(AND(J76&lt;&gt;0,SUM($F76:I76)=0),J76/SUM($F$76:J76)*J61,IF(J76&lt;&gt;0,SUM($F$76:J76)/SUM($F$11:J11)*J61-I83,0)))</f>
        <v>0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216.10910702910709</v>
      </c>
      <c r="P77" s="455">
        <f t="shared" si="35"/>
        <v>94.589275757707824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6">SUM(G76:G77)</f>
        <v>17526.915583424452</v>
      </c>
      <c r="H78" s="457">
        <f t="shared" si="36"/>
        <v>13779.407974191916</v>
      </c>
      <c r="I78" s="458">
        <f t="shared" si="36"/>
        <v>16159.488165086937</v>
      </c>
      <c r="J78" s="457">
        <f t="shared" si="36"/>
        <v>0</v>
      </c>
      <c r="K78" s="457">
        <f t="shared" si="36"/>
        <v>0</v>
      </c>
      <c r="L78" s="457">
        <f t="shared" si="36"/>
        <v>0</v>
      </c>
      <c r="M78" s="457">
        <f t="shared" si="36"/>
        <v>0</v>
      </c>
      <c r="N78" s="459">
        <f t="shared" si="36"/>
        <v>0</v>
      </c>
      <c r="O78" s="460">
        <f>SUM(F78:N78)</f>
        <v>47465.811722703307</v>
      </c>
      <c r="P78" s="461">
        <f t="shared" si="35"/>
        <v>16159.488165086937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17823.423553820732</v>
      </c>
      <c r="H79" s="457">
        <f>H78*Assumptions!$G$21</f>
        <v>14012.5182594696</v>
      </c>
      <c r="I79" s="458">
        <f>I78*Assumptions!$G$21</f>
        <v>16432.862964872245</v>
      </c>
      <c r="J79" s="457">
        <f>J78*Assumptions!$G$21</f>
        <v>0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48268.804778162579</v>
      </c>
      <c r="P79" s="461">
        <f t="shared" si="35"/>
        <v>16432.862964872245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1175.5928462293052</v>
      </c>
      <c r="H80" s="282">
        <f>IF(H$10="Prior",H79*H56,IF(AND(H79&lt;&gt;0,SUM($F79:G79)=0),H79/SUM($F$54:H54)*H60,IF(H79&lt;&gt;0,SUM($F$79:H79)/SUM($F$54:H54)*H60-G82,0)))</f>
        <v>1016.1535671720128</v>
      </c>
      <c r="I80" s="407">
        <f>IF(I$10="Prior",I79*I56,IF(AND(I79&lt;&gt;0,SUM($F79:H79)=0),I79/SUM($F$54:I54)*I60,IF(I79&lt;&gt;0,SUM($F$79:I79)/SUM($F$54:I54)*I60-H82,0)))</f>
        <v>1203.814660322575</v>
      </c>
      <c r="J80" s="282">
        <f>IF(J$10="Prior",J79*J56,IF(AND(J79&lt;&gt;0,SUM($F79:I79)=0),J79/SUM($F$54:J54)*J60,IF(J79&lt;&gt;0,SUM($F$79:J79)/SUM($F$54:J54)*J60-I82,0)))</f>
        <v>0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3395.5610737238931</v>
      </c>
      <c r="P80" s="300">
        <f t="shared" si="35"/>
        <v>1203.814660322575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7">SUM(G79:G80)</f>
        <v>18999.016400050037</v>
      </c>
      <c r="H81" s="307">
        <f t="shared" si="37"/>
        <v>15028.671826641612</v>
      </c>
      <c r="I81" s="417">
        <f t="shared" si="37"/>
        <v>17636.677625194821</v>
      </c>
      <c r="J81" s="387">
        <f t="shared" si="37"/>
        <v>0</v>
      </c>
      <c r="K81" s="387">
        <f t="shared" si="37"/>
        <v>0</v>
      </c>
      <c r="L81" s="387">
        <f t="shared" si="37"/>
        <v>0</v>
      </c>
      <c r="M81" s="387">
        <f t="shared" si="37"/>
        <v>0</v>
      </c>
      <c r="N81" s="420">
        <f t="shared" si="37"/>
        <v>0</v>
      </c>
      <c r="O81" s="421">
        <f t="shared" si="37"/>
        <v>51664.365851886469</v>
      </c>
      <c r="P81" s="388">
        <f t="shared" si="37"/>
        <v>17636.677625194821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8">G80+F82</f>
        <v>1175.5928462293052</v>
      </c>
      <c r="H82" s="252">
        <f t="shared" si="38"/>
        <v>2191.746413401318</v>
      </c>
      <c r="I82" s="252">
        <f t="shared" si="38"/>
        <v>3395.5610737238931</v>
      </c>
      <c r="J82" s="252">
        <f t="shared" si="38"/>
        <v>3395.5610737238931</v>
      </c>
      <c r="K82" s="252">
        <f t="shared" si="38"/>
        <v>3395.5610737238931</v>
      </c>
      <c r="L82" s="252">
        <f t="shared" si="38"/>
        <v>3395.5610737238931</v>
      </c>
      <c r="M82" s="252">
        <f t="shared" si="38"/>
        <v>3395.5610737238931</v>
      </c>
      <c r="N82" s="252">
        <f t="shared" si="38"/>
        <v>3395.5610737238931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9">G77+F83</f>
        <v>44.525615625000128</v>
      </c>
      <c r="H83" s="252">
        <f t="shared" si="39"/>
        <v>121.51983127139927</v>
      </c>
      <c r="I83" s="252">
        <f t="shared" si="39"/>
        <v>216.10910702910709</v>
      </c>
      <c r="J83" s="252">
        <f t="shared" si="39"/>
        <v>216.10910702910709</v>
      </c>
      <c r="K83" s="252">
        <f t="shared" si="39"/>
        <v>216.10910702910709</v>
      </c>
      <c r="L83" s="252">
        <f t="shared" si="39"/>
        <v>216.10910702910709</v>
      </c>
      <c r="M83" s="252">
        <f t="shared" si="39"/>
        <v>216.10910702910709</v>
      </c>
      <c r="N83" s="252">
        <f t="shared" si="39"/>
        <v>216.10910702910709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40">IF($O$74=0,0,F$81/$O$81*$O$74*F17)</f>
        <v>0</v>
      </c>
      <c r="G85" s="344">
        <f t="shared" si="40"/>
        <v>2481.9019397656975</v>
      </c>
      <c r="H85" s="344">
        <f t="shared" si="40"/>
        <v>1963.2432002398648</v>
      </c>
      <c r="I85" s="415">
        <f t="shared" si="40"/>
        <v>2303.9352926122097</v>
      </c>
      <c r="J85" s="380">
        <f t="shared" si="40"/>
        <v>0</v>
      </c>
      <c r="K85" s="380">
        <f t="shared" si="40"/>
        <v>0</v>
      </c>
      <c r="L85" s="380">
        <f t="shared" si="40"/>
        <v>0</v>
      </c>
      <c r="M85" s="380">
        <f t="shared" si="40"/>
        <v>0</v>
      </c>
      <c r="N85" s="345">
        <f t="shared" si="40"/>
        <v>0</v>
      </c>
      <c r="O85" s="373">
        <f>SUM(F85:N85)</f>
        <v>6749.0804326177713</v>
      </c>
      <c r="P85" s="430">
        <f t="shared" ref="P85:P94" si="41">SUM(I85:M85)</f>
        <v>2303.9352926122097</v>
      </c>
    </row>
    <row r="86" spans="1:17">
      <c r="C86" s="255" t="s">
        <v>24</v>
      </c>
      <c r="D86" s="348" t="s">
        <v>4</v>
      </c>
      <c r="E86" s="264"/>
      <c r="F86" s="294">
        <f t="shared" ref="F86:N86" si="42">IF($O$74=0,0,F$81/$O$81*$O$74*F18)</f>
        <v>0</v>
      </c>
      <c r="G86" s="290">
        <f t="shared" si="42"/>
        <v>7780.5624482408502</v>
      </c>
      <c r="H86" s="290">
        <f t="shared" si="42"/>
        <v>6154.6091228699079</v>
      </c>
      <c r="I86" s="416">
        <f t="shared" si="42"/>
        <v>7222.6513600966782</v>
      </c>
      <c r="J86" s="381">
        <f t="shared" si="42"/>
        <v>0</v>
      </c>
      <c r="K86" s="381">
        <f t="shared" si="42"/>
        <v>0</v>
      </c>
      <c r="L86" s="381">
        <f t="shared" si="42"/>
        <v>0</v>
      </c>
      <c r="M86" s="381">
        <f t="shared" si="42"/>
        <v>0</v>
      </c>
      <c r="N86" s="346">
        <f t="shared" si="42"/>
        <v>0</v>
      </c>
      <c r="O86" s="374">
        <f t="shared" ref="O86:O94" si="43">SUM(F86:N86)</f>
        <v>21157.822931207436</v>
      </c>
      <c r="P86" s="431">
        <f t="shared" si="41"/>
        <v>7222.6513600966782</v>
      </c>
    </row>
    <row r="87" spans="1:17">
      <c r="C87" s="255" t="s">
        <v>26</v>
      </c>
      <c r="D87" s="348" t="s">
        <v>5</v>
      </c>
      <c r="E87" s="264"/>
      <c r="F87" s="294">
        <f t="shared" ref="F87:N87" si="44">IF($O$74=0,0,F$81/$O$81*$O$74*F19)</f>
        <v>0</v>
      </c>
      <c r="G87" s="290">
        <f t="shared" si="44"/>
        <v>6246.9914012815552</v>
      </c>
      <c r="H87" s="290">
        <f t="shared" si="44"/>
        <v>4941.5181131937579</v>
      </c>
      <c r="I87" s="416">
        <f t="shared" si="44"/>
        <v>5799.0461796473173</v>
      </c>
      <c r="J87" s="381">
        <f t="shared" si="44"/>
        <v>0</v>
      </c>
      <c r="K87" s="381">
        <f t="shared" si="44"/>
        <v>0</v>
      </c>
      <c r="L87" s="381">
        <f t="shared" si="44"/>
        <v>0</v>
      </c>
      <c r="M87" s="381">
        <f t="shared" si="44"/>
        <v>0</v>
      </c>
      <c r="N87" s="346">
        <f t="shared" si="44"/>
        <v>0</v>
      </c>
      <c r="O87" s="374">
        <f t="shared" si="43"/>
        <v>16987.555694122631</v>
      </c>
      <c r="P87" s="431">
        <f t="shared" si="41"/>
        <v>5799.0461796473173</v>
      </c>
    </row>
    <row r="88" spans="1:17">
      <c r="C88" s="255"/>
      <c r="D88" s="348" t="s">
        <v>6</v>
      </c>
      <c r="E88" s="264"/>
      <c r="F88" s="294">
        <f t="shared" ref="F88:N88" si="45">IF($O$74=0,0,F$81/$O$81*$O$74*F20)</f>
        <v>0</v>
      </c>
      <c r="G88" s="290">
        <f t="shared" si="45"/>
        <v>0</v>
      </c>
      <c r="H88" s="290">
        <f t="shared" si="45"/>
        <v>0</v>
      </c>
      <c r="I88" s="416">
        <f t="shared" si="45"/>
        <v>0</v>
      </c>
      <c r="J88" s="381">
        <f t="shared" si="45"/>
        <v>0</v>
      </c>
      <c r="K88" s="381">
        <f t="shared" si="45"/>
        <v>0</v>
      </c>
      <c r="L88" s="381">
        <f t="shared" si="45"/>
        <v>0</v>
      </c>
      <c r="M88" s="381">
        <f t="shared" si="45"/>
        <v>0</v>
      </c>
      <c r="N88" s="346">
        <f t="shared" si="45"/>
        <v>0</v>
      </c>
      <c r="O88" s="374">
        <f t="shared" si="43"/>
        <v>0</v>
      </c>
      <c r="P88" s="431">
        <f t="shared" si="41"/>
        <v>0</v>
      </c>
    </row>
    <row r="89" spans="1:17">
      <c r="C89" s="255"/>
      <c r="D89" s="348" t="s">
        <v>7</v>
      </c>
      <c r="E89" s="264"/>
      <c r="F89" s="294">
        <f t="shared" ref="F89:N89" si="46">IF($O$74=0,0,F$81/$O$81*$O$74*F21)</f>
        <v>0</v>
      </c>
      <c r="G89" s="290">
        <f t="shared" si="46"/>
        <v>269.15951860175727</v>
      </c>
      <c r="H89" s="290">
        <f t="shared" si="46"/>
        <v>212.91155230920245</v>
      </c>
      <c r="I89" s="416">
        <f t="shared" si="46"/>
        <v>249.8592326768734</v>
      </c>
      <c r="J89" s="381">
        <f t="shared" si="46"/>
        <v>0</v>
      </c>
      <c r="K89" s="381">
        <f t="shared" si="46"/>
        <v>0</v>
      </c>
      <c r="L89" s="381">
        <f t="shared" si="46"/>
        <v>0</v>
      </c>
      <c r="M89" s="381">
        <f t="shared" si="46"/>
        <v>0</v>
      </c>
      <c r="N89" s="346">
        <f t="shared" si="46"/>
        <v>0</v>
      </c>
      <c r="O89" s="374">
        <f t="shared" si="43"/>
        <v>731.93030358783312</v>
      </c>
      <c r="P89" s="431">
        <f t="shared" si="41"/>
        <v>249.8592326768734</v>
      </c>
    </row>
    <row r="90" spans="1:17">
      <c r="C90" s="255"/>
      <c r="D90" s="348" t="s">
        <v>8</v>
      </c>
      <c r="E90" s="264"/>
      <c r="F90" s="294">
        <f t="shared" ref="F90:N90" si="47">IF($O$74=0,0,F$81/$O$81*$O$74*F22)</f>
        <v>0</v>
      </c>
      <c r="G90" s="290">
        <f t="shared" si="47"/>
        <v>2157.136958538872</v>
      </c>
      <c r="H90" s="290">
        <f t="shared" si="47"/>
        <v>1706.3464103812839</v>
      </c>
      <c r="I90" s="416">
        <f t="shared" si="47"/>
        <v>2002.4578288717712</v>
      </c>
      <c r="J90" s="381">
        <f t="shared" si="47"/>
        <v>0</v>
      </c>
      <c r="K90" s="381">
        <f t="shared" si="47"/>
        <v>0</v>
      </c>
      <c r="L90" s="381">
        <f t="shared" si="47"/>
        <v>0</v>
      </c>
      <c r="M90" s="381">
        <f t="shared" si="47"/>
        <v>0</v>
      </c>
      <c r="N90" s="346">
        <f t="shared" si="47"/>
        <v>0</v>
      </c>
      <c r="O90" s="374">
        <f t="shared" si="43"/>
        <v>5865.9411977919272</v>
      </c>
      <c r="P90" s="431">
        <f t="shared" si="41"/>
        <v>2002.4578288717712</v>
      </c>
    </row>
    <row r="91" spans="1:17">
      <c r="C91" s="255"/>
      <c r="D91" s="348" t="s">
        <v>9</v>
      </c>
      <c r="E91" s="264"/>
      <c r="F91" s="294">
        <f t="shared" ref="F91:N91" si="48">IF($O$74=0,0,F$81/$O$81*$O$74*F23)</f>
        <v>0</v>
      </c>
      <c r="G91" s="290">
        <f t="shared" si="48"/>
        <v>63.264133621305064</v>
      </c>
      <c r="H91" s="290">
        <f t="shared" si="48"/>
        <v>50.043427647596204</v>
      </c>
      <c r="I91" s="416">
        <f t="shared" si="48"/>
        <v>58.727731289987616</v>
      </c>
      <c r="J91" s="381">
        <f t="shared" si="48"/>
        <v>0</v>
      </c>
      <c r="K91" s="381">
        <f t="shared" si="48"/>
        <v>0</v>
      </c>
      <c r="L91" s="381">
        <f t="shared" si="48"/>
        <v>0</v>
      </c>
      <c r="M91" s="381">
        <f t="shared" si="48"/>
        <v>0</v>
      </c>
      <c r="N91" s="346">
        <f t="shared" si="48"/>
        <v>0</v>
      </c>
      <c r="O91" s="374">
        <f t="shared" si="43"/>
        <v>172.0352925588889</v>
      </c>
      <c r="P91" s="431">
        <f t="shared" si="41"/>
        <v>58.727731289987616</v>
      </c>
    </row>
    <row r="92" spans="1:17">
      <c r="C92" s="255"/>
      <c r="D92" s="348" t="s">
        <v>10</v>
      </c>
      <c r="E92" s="264"/>
      <c r="F92" s="294">
        <f t="shared" ref="F92:N92" si="49">IF($O$74=0,0,F$81/$O$81*$O$74*F24)</f>
        <v>0</v>
      </c>
      <c r="G92" s="290">
        <f t="shared" si="49"/>
        <v>0</v>
      </c>
      <c r="H92" s="290">
        <f t="shared" si="49"/>
        <v>0</v>
      </c>
      <c r="I92" s="416">
        <f t="shared" si="49"/>
        <v>0</v>
      </c>
      <c r="J92" s="381">
        <f t="shared" si="49"/>
        <v>0</v>
      </c>
      <c r="K92" s="381">
        <f t="shared" si="49"/>
        <v>0</v>
      </c>
      <c r="L92" s="381">
        <f t="shared" si="49"/>
        <v>0</v>
      </c>
      <c r="M92" s="381">
        <f t="shared" si="49"/>
        <v>0</v>
      </c>
      <c r="N92" s="346">
        <f t="shared" si="49"/>
        <v>0</v>
      </c>
      <c r="O92" s="374">
        <f t="shared" si="43"/>
        <v>0</v>
      </c>
      <c r="P92" s="431">
        <f t="shared" si="41"/>
        <v>0</v>
      </c>
    </row>
    <row r="93" spans="1:17">
      <c r="C93" s="255"/>
      <c r="D93" s="348" t="s">
        <v>11</v>
      </c>
      <c r="E93" s="264"/>
      <c r="F93" s="294">
        <f t="shared" ref="F93:N93" si="50">IF($O$74=0,0,F$81/$O$81*$O$74*F25)</f>
        <v>0</v>
      </c>
      <c r="G93" s="290">
        <f t="shared" si="50"/>
        <v>0</v>
      </c>
      <c r="H93" s="290">
        <f t="shared" si="50"/>
        <v>0</v>
      </c>
      <c r="I93" s="416">
        <f t="shared" si="50"/>
        <v>0</v>
      </c>
      <c r="J93" s="381">
        <f t="shared" si="50"/>
        <v>0</v>
      </c>
      <c r="K93" s="381">
        <f t="shared" si="50"/>
        <v>0</v>
      </c>
      <c r="L93" s="381">
        <f t="shared" si="50"/>
        <v>0</v>
      </c>
      <c r="M93" s="381">
        <f t="shared" si="50"/>
        <v>0</v>
      </c>
      <c r="N93" s="346">
        <f t="shared" si="50"/>
        <v>0</v>
      </c>
      <c r="O93" s="374">
        <f t="shared" si="43"/>
        <v>0</v>
      </c>
      <c r="P93" s="431">
        <f t="shared" si="41"/>
        <v>0</v>
      </c>
    </row>
    <row r="94" spans="1:17">
      <c r="C94" s="255"/>
      <c r="D94" s="348" t="s">
        <v>12</v>
      </c>
      <c r="E94" s="264"/>
      <c r="F94" s="294">
        <f t="shared" ref="F94:N94" si="51">IF($O$74=0,0,F$81/$O$81*$O$74*F26)</f>
        <v>0</v>
      </c>
      <c r="G94" s="290">
        <f t="shared" si="51"/>
        <v>0</v>
      </c>
      <c r="H94" s="290">
        <f t="shared" si="51"/>
        <v>0</v>
      </c>
      <c r="I94" s="416">
        <f t="shared" si="51"/>
        <v>0</v>
      </c>
      <c r="J94" s="381">
        <f t="shared" si="51"/>
        <v>0</v>
      </c>
      <c r="K94" s="381">
        <f t="shared" si="51"/>
        <v>0</v>
      </c>
      <c r="L94" s="381">
        <f t="shared" si="51"/>
        <v>0</v>
      </c>
      <c r="M94" s="381">
        <f t="shared" si="51"/>
        <v>0</v>
      </c>
      <c r="N94" s="346">
        <f t="shared" si="51"/>
        <v>0</v>
      </c>
      <c r="O94" s="374">
        <f t="shared" si="43"/>
        <v>0</v>
      </c>
      <c r="P94" s="431">
        <f t="shared" si="41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2">+SUM(G85:G94)</f>
        <v>18999.016400050041</v>
      </c>
      <c r="H95" s="5">
        <f t="shared" ref="H95:N95" si="53">+SUM(H85:H94)</f>
        <v>15028.671826641612</v>
      </c>
      <c r="I95" s="411">
        <f t="shared" si="53"/>
        <v>17636.677625194836</v>
      </c>
      <c r="J95" s="382">
        <f t="shared" si="53"/>
        <v>0</v>
      </c>
      <c r="K95" s="382">
        <f t="shared" si="53"/>
        <v>0</v>
      </c>
      <c r="L95" s="382">
        <f t="shared" si="53"/>
        <v>0</v>
      </c>
      <c r="M95" s="382">
        <f t="shared" si="53"/>
        <v>0</v>
      </c>
      <c r="N95" s="286">
        <f t="shared" si="53"/>
        <v>0</v>
      </c>
      <c r="O95" s="372">
        <f>SUM(O85:O94)</f>
        <v>51664.36585188649</v>
      </c>
      <c r="P95" s="428">
        <f>SUM(P85:P94)</f>
        <v>17636.677625194836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4">G95-G81</f>
        <v>0</v>
      </c>
      <c r="H96" s="452">
        <f t="shared" si="54"/>
        <v>0</v>
      </c>
      <c r="I96" s="452">
        <f t="shared" si="54"/>
        <v>0</v>
      </c>
      <c r="J96" s="452">
        <f t="shared" si="54"/>
        <v>0</v>
      </c>
      <c r="K96" s="191">
        <f t="shared" si="54"/>
        <v>0</v>
      </c>
      <c r="L96" s="191">
        <f t="shared" si="54"/>
        <v>0</v>
      </c>
      <c r="M96" s="191">
        <f t="shared" si="54"/>
        <v>0</v>
      </c>
      <c r="N96" s="191">
        <f t="shared" si="54"/>
        <v>0</v>
      </c>
      <c r="O96" s="191">
        <f t="shared" si="54"/>
        <v>0</v>
      </c>
      <c r="P96" s="191">
        <f t="shared" si="54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7.0835119285714288E-3</v>
      </c>
      <c r="H99" s="2">
        <f t="shared" ref="H99:N99" si="55">0.5*H21</f>
        <v>7.0835119285714288E-3</v>
      </c>
      <c r="I99" s="2">
        <f t="shared" si="55"/>
        <v>7.0835119285714496E-3</v>
      </c>
      <c r="J99" s="2">
        <f t="shared" si="55"/>
        <v>7.0835119285714496E-3</v>
      </c>
      <c r="K99" s="2">
        <f t="shared" si="55"/>
        <v>7.0835119285714496E-3</v>
      </c>
      <c r="L99" s="2">
        <f t="shared" si="55"/>
        <v>7.0835119285714496E-3</v>
      </c>
      <c r="M99" s="2">
        <f t="shared" si="55"/>
        <v>7.0835119285714496E-3</v>
      </c>
      <c r="N99" s="2">
        <f t="shared" si="55"/>
        <v>7.0835119285714496E-3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7.0835119285714288E-3</v>
      </c>
      <c r="H101" s="2">
        <f t="shared" ref="H101:N101" si="56">0.5*H21</f>
        <v>7.0835119285714288E-3</v>
      </c>
      <c r="I101" s="2">
        <f t="shared" si="56"/>
        <v>7.0835119285714496E-3</v>
      </c>
      <c r="J101" s="2">
        <f t="shared" si="56"/>
        <v>7.0835119285714496E-3</v>
      </c>
      <c r="K101" s="2">
        <f t="shared" si="56"/>
        <v>7.0835119285714496E-3</v>
      </c>
      <c r="L101" s="2">
        <f t="shared" si="56"/>
        <v>7.0835119285714496E-3</v>
      </c>
      <c r="M101" s="2">
        <f t="shared" si="56"/>
        <v>7.0835119285714496E-3</v>
      </c>
      <c r="N101" s="2">
        <f t="shared" si="56"/>
        <v>7.0835119285714496E-3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0.40952448718452389</v>
      </c>
      <c r="H103" s="2">
        <f t="shared" ref="H103:N105" si="57">H18</f>
        <v>0.40952448718452389</v>
      </c>
      <c r="I103" s="2">
        <f t="shared" si="57"/>
        <v>0.409524487184524</v>
      </c>
      <c r="J103" s="2">
        <f t="shared" si="57"/>
        <v>0.409524487184524</v>
      </c>
      <c r="K103" s="2">
        <f t="shared" si="57"/>
        <v>0.409524487184524</v>
      </c>
      <c r="L103" s="2">
        <f t="shared" si="57"/>
        <v>0.409524487184524</v>
      </c>
      <c r="M103" s="2">
        <f t="shared" si="57"/>
        <v>0.409524487184524</v>
      </c>
      <c r="N103" s="2">
        <f t="shared" si="57"/>
        <v>0.409524487184524</v>
      </c>
    </row>
    <row r="104" spans="3:16" hidden="1" outlineLevel="1">
      <c r="D104" s="248" t="s">
        <v>384</v>
      </c>
      <c r="G104" s="2">
        <f>G19</f>
        <v>0.32880604288888887</v>
      </c>
      <c r="H104" s="2">
        <f t="shared" si="57"/>
        <v>0.32880604288888887</v>
      </c>
      <c r="I104" s="2">
        <f t="shared" si="57"/>
        <v>0.32880604288888898</v>
      </c>
      <c r="J104" s="2">
        <f t="shared" si="57"/>
        <v>0.32880604288888898</v>
      </c>
      <c r="K104" s="2">
        <f t="shared" si="57"/>
        <v>0.32880604288888898</v>
      </c>
      <c r="L104" s="2">
        <f t="shared" si="57"/>
        <v>0.32880604288888898</v>
      </c>
      <c r="M104" s="2">
        <f t="shared" si="57"/>
        <v>0.32880604288888898</v>
      </c>
      <c r="N104" s="2">
        <f t="shared" si="57"/>
        <v>0.32880604288888898</v>
      </c>
    </row>
    <row r="105" spans="3:16" hidden="1" outlineLevel="1">
      <c r="D105" s="248" t="s">
        <v>385</v>
      </c>
      <c r="G105" s="2">
        <f>G20</f>
        <v>0</v>
      </c>
      <c r="H105" s="2">
        <f t="shared" si="57"/>
        <v>0</v>
      </c>
      <c r="I105" s="2">
        <f t="shared" si="57"/>
        <v>0</v>
      </c>
      <c r="J105" s="2">
        <f t="shared" si="57"/>
        <v>0</v>
      </c>
      <c r="K105" s="2">
        <f t="shared" si="57"/>
        <v>0</v>
      </c>
      <c r="L105" s="2">
        <f t="shared" si="57"/>
        <v>0</v>
      </c>
      <c r="M105" s="2">
        <f t="shared" si="57"/>
        <v>0</v>
      </c>
      <c r="N105" s="2">
        <f t="shared" si="57"/>
        <v>0</v>
      </c>
    </row>
    <row r="106" spans="3:16" hidden="1" outlineLevel="1">
      <c r="D106" s="248" t="s">
        <v>386</v>
      </c>
      <c r="G106" s="2">
        <f>G17+G23</f>
        <v>0.13396304418055557</v>
      </c>
      <c r="H106" s="2">
        <f t="shared" ref="H106:N106" si="58">H17+H23</f>
        <v>0.13396304418055557</v>
      </c>
      <c r="I106" s="2">
        <f t="shared" si="58"/>
        <v>0.13396304418055602</v>
      </c>
      <c r="J106" s="2">
        <f t="shared" si="58"/>
        <v>0.13396304418055602</v>
      </c>
      <c r="K106" s="2">
        <f t="shared" si="58"/>
        <v>0.13396304418055602</v>
      </c>
      <c r="L106" s="2">
        <f t="shared" si="58"/>
        <v>0.13396304418055602</v>
      </c>
      <c r="M106" s="2">
        <f t="shared" si="58"/>
        <v>0.13396304418055602</v>
      </c>
      <c r="N106" s="2">
        <f t="shared" si="58"/>
        <v>0.13396304418055602</v>
      </c>
    </row>
    <row r="107" spans="3:16" hidden="1" outlineLevel="1">
      <c r="D107" s="248" t="s">
        <v>387</v>
      </c>
      <c r="G107" s="2">
        <f>G22</f>
        <v>0.11353940188888889</v>
      </c>
      <c r="H107" s="2">
        <f t="shared" ref="H107:N107" si="59">H22</f>
        <v>0.11353940188888889</v>
      </c>
      <c r="I107" s="2">
        <f t="shared" si="59"/>
        <v>0.113539401888889</v>
      </c>
      <c r="J107" s="2">
        <f t="shared" si="59"/>
        <v>0.113539401888889</v>
      </c>
      <c r="K107" s="2">
        <f t="shared" si="59"/>
        <v>0.113539401888889</v>
      </c>
      <c r="L107" s="2">
        <f t="shared" si="59"/>
        <v>0.113539401888889</v>
      </c>
      <c r="M107" s="2">
        <f t="shared" si="59"/>
        <v>0.113539401888889</v>
      </c>
      <c r="N107" s="2">
        <f t="shared" si="59"/>
        <v>0.113539401888889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60">SUM(H99:H107)</f>
        <v>1</v>
      </c>
      <c r="I108" s="2">
        <f t="shared" si="60"/>
        <v>1.0000000000000009</v>
      </c>
      <c r="J108" s="2">
        <f t="shared" si="60"/>
        <v>1.0000000000000009</v>
      </c>
      <c r="K108" s="2">
        <f t="shared" si="60"/>
        <v>1.0000000000000009</v>
      </c>
      <c r="L108" s="2">
        <f t="shared" si="60"/>
        <v>1.0000000000000009</v>
      </c>
      <c r="M108" s="2">
        <f t="shared" si="60"/>
        <v>1.0000000000000009</v>
      </c>
      <c r="N108" s="2">
        <f t="shared" si="60"/>
        <v>1.0000000000000009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48.642033028260947</v>
      </c>
      <c r="H111" s="191">
        <f t="shared" ref="H111:N111" si="61">H99*H$53</f>
        <v>54.5242074450872</v>
      </c>
      <c r="I111" s="191">
        <f t="shared" si="61"/>
        <v>10.486769086376786</v>
      </c>
      <c r="J111" s="191">
        <f t="shared" si="61"/>
        <v>0</v>
      </c>
      <c r="K111" s="191">
        <f t="shared" si="61"/>
        <v>0</v>
      </c>
      <c r="L111" s="191">
        <f t="shared" si="61"/>
        <v>0</v>
      </c>
      <c r="M111" s="191">
        <f t="shared" si="61"/>
        <v>0</v>
      </c>
      <c r="N111" s="191">
        <f t="shared" si="61"/>
        <v>0</v>
      </c>
      <c r="O111" s="191">
        <f t="shared" ref="O111:O119" si="62">SUM(F111:N111)</f>
        <v>113.65300955972494</v>
      </c>
      <c r="P111" s="191">
        <f t="shared" ref="P111:P119" si="63">SUM(I111:M111)</f>
        <v>10.486769086376786</v>
      </c>
    </row>
    <row r="112" spans="3:16" hidden="1" outlineLevel="1">
      <c r="D112" s="248" t="s">
        <v>380</v>
      </c>
      <c r="G112" s="191">
        <f t="shared" ref="G112:N119" si="64">G100*G$53</f>
        <v>0</v>
      </c>
      <c r="H112" s="191">
        <f t="shared" si="64"/>
        <v>0</v>
      </c>
      <c r="I112" s="191">
        <f t="shared" si="64"/>
        <v>0</v>
      </c>
      <c r="J112" s="191">
        <f t="shared" si="64"/>
        <v>0</v>
      </c>
      <c r="K112" s="191">
        <f t="shared" si="64"/>
        <v>0</v>
      </c>
      <c r="L112" s="191">
        <f t="shared" si="64"/>
        <v>0</v>
      </c>
      <c r="M112" s="191">
        <f t="shared" si="64"/>
        <v>0</v>
      </c>
      <c r="N112" s="191">
        <f t="shared" si="64"/>
        <v>0</v>
      </c>
      <c r="O112" s="191">
        <f t="shared" si="62"/>
        <v>0</v>
      </c>
      <c r="P112" s="191">
        <f t="shared" si="63"/>
        <v>0</v>
      </c>
    </row>
    <row r="113" spans="4:16" hidden="1" outlineLevel="1">
      <c r="D113" s="248" t="s">
        <v>381</v>
      </c>
      <c r="G113" s="191">
        <f t="shared" si="64"/>
        <v>48.642033028260947</v>
      </c>
      <c r="H113" s="191">
        <f t="shared" si="64"/>
        <v>54.5242074450872</v>
      </c>
      <c r="I113" s="191">
        <f t="shared" si="64"/>
        <v>10.486769086376786</v>
      </c>
      <c r="J113" s="191">
        <f t="shared" si="64"/>
        <v>0</v>
      </c>
      <c r="K113" s="191">
        <f t="shared" si="64"/>
        <v>0</v>
      </c>
      <c r="L113" s="191">
        <f t="shared" si="64"/>
        <v>0</v>
      </c>
      <c r="M113" s="191">
        <f t="shared" si="64"/>
        <v>0</v>
      </c>
      <c r="N113" s="191">
        <f t="shared" si="64"/>
        <v>0</v>
      </c>
      <c r="O113" s="191">
        <f t="shared" si="62"/>
        <v>113.65300955972494</v>
      </c>
      <c r="P113" s="191">
        <f t="shared" si="63"/>
        <v>10.486769086376786</v>
      </c>
    </row>
    <row r="114" spans="4:16" hidden="1" outlineLevel="1">
      <c r="D114" s="248" t="s">
        <v>382</v>
      </c>
      <c r="G114" s="191">
        <f t="shared" si="64"/>
        <v>0</v>
      </c>
      <c r="H114" s="191">
        <f t="shared" si="64"/>
        <v>0</v>
      </c>
      <c r="I114" s="191">
        <f t="shared" si="64"/>
        <v>0</v>
      </c>
      <c r="J114" s="191">
        <f t="shared" si="64"/>
        <v>0</v>
      </c>
      <c r="K114" s="191">
        <f t="shared" si="64"/>
        <v>0</v>
      </c>
      <c r="L114" s="191">
        <f t="shared" si="64"/>
        <v>0</v>
      </c>
      <c r="M114" s="191">
        <f t="shared" si="64"/>
        <v>0</v>
      </c>
      <c r="N114" s="191">
        <f t="shared" si="64"/>
        <v>0</v>
      </c>
      <c r="O114" s="191">
        <f t="shared" si="62"/>
        <v>0</v>
      </c>
      <c r="P114" s="191">
        <f t="shared" si="63"/>
        <v>0</v>
      </c>
    </row>
    <row r="115" spans="4:16" hidden="1" outlineLevel="1">
      <c r="D115" s="248" t="s">
        <v>383</v>
      </c>
      <c r="G115" s="191">
        <f t="shared" si="64"/>
        <v>2812.1790197265377</v>
      </c>
      <c r="H115" s="191">
        <f t="shared" si="64"/>
        <v>3152.249663479447</v>
      </c>
      <c r="I115" s="191">
        <f t="shared" si="64"/>
        <v>606.27959345966315</v>
      </c>
      <c r="J115" s="191">
        <f t="shared" si="64"/>
        <v>0</v>
      </c>
      <c r="K115" s="191">
        <f t="shared" si="64"/>
        <v>0</v>
      </c>
      <c r="L115" s="191">
        <f t="shared" si="64"/>
        <v>0</v>
      </c>
      <c r="M115" s="191">
        <f t="shared" si="64"/>
        <v>0</v>
      </c>
      <c r="N115" s="191">
        <f t="shared" si="64"/>
        <v>0</v>
      </c>
      <c r="O115" s="191">
        <f t="shared" si="62"/>
        <v>6570.7082766656476</v>
      </c>
      <c r="P115" s="191">
        <f t="shared" si="63"/>
        <v>606.27959345966315</v>
      </c>
    </row>
    <row r="116" spans="4:16" hidden="1" outlineLevel="1">
      <c r="D116" s="248" t="s">
        <v>384</v>
      </c>
      <c r="G116" s="191">
        <f t="shared" si="64"/>
        <v>2257.8905152374996</v>
      </c>
      <c r="H116" s="191">
        <f t="shared" si="64"/>
        <v>2530.9322653018576</v>
      </c>
      <c r="I116" s="191">
        <f t="shared" si="64"/>
        <v>486.78015661596697</v>
      </c>
      <c r="J116" s="191">
        <f t="shared" si="64"/>
        <v>0</v>
      </c>
      <c r="K116" s="191">
        <f t="shared" si="64"/>
        <v>0</v>
      </c>
      <c r="L116" s="191">
        <f t="shared" si="64"/>
        <v>0</v>
      </c>
      <c r="M116" s="191">
        <f t="shared" si="64"/>
        <v>0</v>
      </c>
      <c r="N116" s="191">
        <f t="shared" si="64"/>
        <v>0</v>
      </c>
      <c r="O116" s="191">
        <f t="shared" si="62"/>
        <v>5275.6029371553241</v>
      </c>
      <c r="P116" s="191">
        <f t="shared" si="63"/>
        <v>486.78015661596697</v>
      </c>
    </row>
    <row r="117" spans="4:16" hidden="1" outlineLevel="1">
      <c r="D117" s="248" t="s">
        <v>385</v>
      </c>
      <c r="G117" s="191">
        <f t="shared" si="64"/>
        <v>0</v>
      </c>
      <c r="H117" s="191">
        <f t="shared" si="64"/>
        <v>0</v>
      </c>
      <c r="I117" s="191">
        <f t="shared" si="64"/>
        <v>0</v>
      </c>
      <c r="J117" s="191">
        <f t="shared" si="64"/>
        <v>0</v>
      </c>
      <c r="K117" s="191">
        <f t="shared" si="64"/>
        <v>0</v>
      </c>
      <c r="L117" s="191">
        <f t="shared" si="64"/>
        <v>0</v>
      </c>
      <c r="M117" s="191">
        <f t="shared" si="64"/>
        <v>0</v>
      </c>
      <c r="N117" s="191">
        <f t="shared" si="64"/>
        <v>0</v>
      </c>
      <c r="O117" s="191">
        <f t="shared" si="62"/>
        <v>0</v>
      </c>
      <c r="P117" s="191">
        <f t="shared" si="63"/>
        <v>0</v>
      </c>
    </row>
    <row r="118" spans="4:16" hidden="1" outlineLevel="1">
      <c r="D118" s="248" t="s">
        <v>386</v>
      </c>
      <c r="G118" s="191">
        <f t="shared" si="64"/>
        <v>919.91583910710381</v>
      </c>
      <c r="H118" s="191">
        <f t="shared" si="64"/>
        <v>1031.1592448110803</v>
      </c>
      <c r="I118" s="191">
        <f t="shared" si="64"/>
        <v>198.32528336165308</v>
      </c>
      <c r="J118" s="191">
        <f t="shared" si="64"/>
        <v>0</v>
      </c>
      <c r="K118" s="191">
        <f t="shared" si="64"/>
        <v>0</v>
      </c>
      <c r="L118" s="191">
        <f t="shared" si="64"/>
        <v>0</v>
      </c>
      <c r="M118" s="191">
        <f t="shared" si="64"/>
        <v>0</v>
      </c>
      <c r="N118" s="191">
        <f t="shared" si="64"/>
        <v>0</v>
      </c>
      <c r="O118" s="191">
        <f t="shared" si="62"/>
        <v>2149.4003672798372</v>
      </c>
      <c r="P118" s="191">
        <f t="shared" si="63"/>
        <v>198.32528336165308</v>
      </c>
    </row>
    <row r="119" spans="4:16" hidden="1" outlineLevel="1">
      <c r="D119" s="248" t="s">
        <v>387</v>
      </c>
      <c r="G119" s="912">
        <f t="shared" si="64"/>
        <v>779.66796588738691</v>
      </c>
      <c r="H119" s="912">
        <f t="shared" si="64"/>
        <v>873.95150374644822</v>
      </c>
      <c r="I119" s="912">
        <f t="shared" si="64"/>
        <v>168.08914869071663</v>
      </c>
      <c r="J119" s="912">
        <f t="shared" si="64"/>
        <v>0</v>
      </c>
      <c r="K119" s="912">
        <f t="shared" si="64"/>
        <v>0</v>
      </c>
      <c r="L119" s="912">
        <f t="shared" si="64"/>
        <v>0</v>
      </c>
      <c r="M119" s="912">
        <f t="shared" si="64"/>
        <v>0</v>
      </c>
      <c r="N119" s="912">
        <f t="shared" si="64"/>
        <v>0</v>
      </c>
      <c r="O119" s="912">
        <f t="shared" si="62"/>
        <v>1821.7086183245519</v>
      </c>
      <c r="P119" s="912">
        <f t="shared" si="63"/>
        <v>168.08914869071663</v>
      </c>
    </row>
    <row r="120" spans="4:16" hidden="1" outlineLevel="1">
      <c r="D120" s="248" t="s">
        <v>440</v>
      </c>
      <c r="G120" s="191">
        <f>SUM(G111:G119)</f>
        <v>6866.9374060150503</v>
      </c>
      <c r="H120" s="191">
        <f t="shared" ref="H120:P120" si="65">SUM(H111:H119)</f>
        <v>7697.3410922290077</v>
      </c>
      <c r="I120" s="191">
        <f t="shared" si="65"/>
        <v>1480.4477203007536</v>
      </c>
      <c r="J120" s="191">
        <f t="shared" si="65"/>
        <v>0</v>
      </c>
      <c r="K120" s="191">
        <f t="shared" si="65"/>
        <v>0</v>
      </c>
      <c r="L120" s="191">
        <f t="shared" si="65"/>
        <v>0</v>
      </c>
      <c r="M120" s="191">
        <f t="shared" si="65"/>
        <v>0</v>
      </c>
      <c r="N120" s="191">
        <f t="shared" si="65"/>
        <v>0</v>
      </c>
      <c r="O120" s="191">
        <f t="shared" si="65"/>
        <v>16044.726218544811</v>
      </c>
      <c r="P120" s="191">
        <f t="shared" si="65"/>
        <v>1480.4477203007536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12.231951243075494</v>
      </c>
      <c r="H123" s="191">
        <f t="shared" ref="H123:N123" si="66">H99*H$51</f>
        <v>13.801627777277087</v>
      </c>
      <c r="I123" s="191">
        <f t="shared" si="66"/>
        <v>2.6758682600875057</v>
      </c>
      <c r="J123" s="191">
        <f t="shared" si="66"/>
        <v>0</v>
      </c>
      <c r="K123" s="191">
        <f t="shared" si="66"/>
        <v>0</v>
      </c>
      <c r="L123" s="191">
        <f t="shared" si="66"/>
        <v>0</v>
      </c>
      <c r="M123" s="191">
        <f t="shared" si="66"/>
        <v>0</v>
      </c>
      <c r="N123" s="191">
        <f t="shared" si="66"/>
        <v>0</v>
      </c>
      <c r="O123" s="191">
        <f t="shared" ref="O123:O131" si="67">SUM(F123:N123)</f>
        <v>28.709447280440088</v>
      </c>
      <c r="P123" s="191">
        <f t="shared" ref="P123:P131" si="68">SUM(I123:M123)</f>
        <v>2.6758682600875057</v>
      </c>
    </row>
    <row r="124" spans="4:16" hidden="1" outlineLevel="1">
      <c r="D124" s="248" t="s">
        <v>380</v>
      </c>
      <c r="G124" s="191">
        <f t="shared" ref="G124:N131" si="69">G100*G$51</f>
        <v>0</v>
      </c>
      <c r="H124" s="191">
        <f t="shared" si="69"/>
        <v>0</v>
      </c>
      <c r="I124" s="191">
        <f t="shared" si="69"/>
        <v>0</v>
      </c>
      <c r="J124" s="191">
        <f t="shared" si="69"/>
        <v>0</v>
      </c>
      <c r="K124" s="191">
        <f t="shared" si="69"/>
        <v>0</v>
      </c>
      <c r="L124" s="191">
        <f t="shared" si="69"/>
        <v>0</v>
      </c>
      <c r="M124" s="191">
        <f t="shared" si="69"/>
        <v>0</v>
      </c>
      <c r="N124" s="191">
        <f t="shared" si="69"/>
        <v>0</v>
      </c>
      <c r="O124" s="191">
        <f t="shared" si="67"/>
        <v>0</v>
      </c>
      <c r="P124" s="191">
        <f t="shared" si="68"/>
        <v>0</v>
      </c>
    </row>
    <row r="125" spans="4:16" hidden="1" outlineLevel="1">
      <c r="D125" s="248" t="s">
        <v>381</v>
      </c>
      <c r="G125" s="191">
        <f t="shared" si="69"/>
        <v>12.231951243075494</v>
      </c>
      <c r="H125" s="191">
        <f t="shared" si="69"/>
        <v>13.801627777277087</v>
      </c>
      <c r="I125" s="191">
        <f t="shared" si="69"/>
        <v>2.6758682600875057</v>
      </c>
      <c r="J125" s="191">
        <f t="shared" si="69"/>
        <v>0</v>
      </c>
      <c r="K125" s="191">
        <f t="shared" si="69"/>
        <v>0</v>
      </c>
      <c r="L125" s="191">
        <f t="shared" si="69"/>
        <v>0</v>
      </c>
      <c r="M125" s="191">
        <f t="shared" si="69"/>
        <v>0</v>
      </c>
      <c r="N125" s="191">
        <f t="shared" si="69"/>
        <v>0</v>
      </c>
      <c r="O125" s="191">
        <f t="shared" si="67"/>
        <v>28.709447280440088</v>
      </c>
      <c r="P125" s="191">
        <f t="shared" si="68"/>
        <v>2.6758682600875057</v>
      </c>
    </row>
    <row r="126" spans="4:16" hidden="1" outlineLevel="1">
      <c r="D126" s="248" t="s">
        <v>382</v>
      </c>
      <c r="G126" s="191">
        <f t="shared" si="69"/>
        <v>0</v>
      </c>
      <c r="H126" s="191">
        <f t="shared" si="69"/>
        <v>0</v>
      </c>
      <c r="I126" s="191">
        <f t="shared" si="69"/>
        <v>0</v>
      </c>
      <c r="J126" s="191">
        <f t="shared" si="69"/>
        <v>0</v>
      </c>
      <c r="K126" s="191">
        <f t="shared" si="69"/>
        <v>0</v>
      </c>
      <c r="L126" s="191">
        <f t="shared" si="69"/>
        <v>0</v>
      </c>
      <c r="M126" s="191">
        <f t="shared" si="69"/>
        <v>0</v>
      </c>
      <c r="N126" s="191">
        <f t="shared" si="69"/>
        <v>0</v>
      </c>
      <c r="O126" s="191">
        <f t="shared" si="67"/>
        <v>0</v>
      </c>
      <c r="P126" s="191">
        <f t="shared" si="68"/>
        <v>0</v>
      </c>
    </row>
    <row r="127" spans="4:16" hidden="1" outlineLevel="1">
      <c r="D127" s="248" t="s">
        <v>383</v>
      </c>
      <c r="G127" s="191">
        <f t="shared" si="69"/>
        <v>707.17514286685775</v>
      </c>
      <c r="H127" s="191">
        <f t="shared" si="69"/>
        <v>797.92405162801367</v>
      </c>
      <c r="I127" s="191">
        <f t="shared" si="69"/>
        <v>154.70201618008429</v>
      </c>
      <c r="J127" s="191">
        <f t="shared" si="69"/>
        <v>0</v>
      </c>
      <c r="K127" s="191">
        <f t="shared" si="69"/>
        <v>0</v>
      </c>
      <c r="L127" s="191">
        <f t="shared" si="69"/>
        <v>0</v>
      </c>
      <c r="M127" s="191">
        <f t="shared" si="69"/>
        <v>0</v>
      </c>
      <c r="N127" s="191">
        <f t="shared" si="69"/>
        <v>0</v>
      </c>
      <c r="O127" s="191">
        <f t="shared" si="67"/>
        <v>1659.8012106749557</v>
      </c>
      <c r="P127" s="191">
        <f t="shared" si="68"/>
        <v>154.70201618008429</v>
      </c>
    </row>
    <row r="128" spans="4:16" hidden="1" outlineLevel="1">
      <c r="D128" s="248" t="s">
        <v>384</v>
      </c>
      <c r="G128" s="191">
        <f t="shared" si="69"/>
        <v>567.78890550362996</v>
      </c>
      <c r="H128" s="191">
        <f t="shared" si="69"/>
        <v>640.65094555252131</v>
      </c>
      <c r="I128" s="191">
        <f t="shared" si="69"/>
        <v>124.20980761569623</v>
      </c>
      <c r="J128" s="191">
        <f t="shared" si="69"/>
        <v>0</v>
      </c>
      <c r="K128" s="191">
        <f t="shared" si="69"/>
        <v>0</v>
      </c>
      <c r="L128" s="191">
        <f t="shared" si="69"/>
        <v>0</v>
      </c>
      <c r="M128" s="191">
        <f t="shared" si="69"/>
        <v>0</v>
      </c>
      <c r="N128" s="191">
        <f t="shared" si="69"/>
        <v>0</v>
      </c>
      <c r="O128" s="191">
        <f t="shared" si="67"/>
        <v>1332.6496586718476</v>
      </c>
      <c r="P128" s="191">
        <f t="shared" si="68"/>
        <v>124.20980761569623</v>
      </c>
    </row>
    <row r="129" spans="4:16" hidden="1" outlineLevel="1">
      <c r="D129" s="248" t="s">
        <v>385</v>
      </c>
      <c r="G129" s="191">
        <f t="shared" si="69"/>
        <v>0</v>
      </c>
      <c r="H129" s="191">
        <f t="shared" si="69"/>
        <v>0</v>
      </c>
      <c r="I129" s="191">
        <f t="shared" si="69"/>
        <v>0</v>
      </c>
      <c r="J129" s="191">
        <f t="shared" si="69"/>
        <v>0</v>
      </c>
      <c r="K129" s="191">
        <f t="shared" si="69"/>
        <v>0</v>
      </c>
      <c r="L129" s="191">
        <f t="shared" si="69"/>
        <v>0</v>
      </c>
      <c r="M129" s="191">
        <f t="shared" si="69"/>
        <v>0</v>
      </c>
      <c r="N129" s="191">
        <f t="shared" si="69"/>
        <v>0</v>
      </c>
      <c r="O129" s="191">
        <f t="shared" si="67"/>
        <v>0</v>
      </c>
      <c r="P129" s="191">
        <f t="shared" si="68"/>
        <v>0</v>
      </c>
    </row>
    <row r="130" spans="4:16" hidden="1" outlineLevel="1">
      <c r="D130" s="248" t="s">
        <v>386</v>
      </c>
      <c r="G130" s="191">
        <f t="shared" si="69"/>
        <v>231.33008616546448</v>
      </c>
      <c r="H130" s="191">
        <f t="shared" si="69"/>
        <v>261.01573489745402</v>
      </c>
      <c r="I130" s="191">
        <f t="shared" si="69"/>
        <v>50.605894584798584</v>
      </c>
      <c r="J130" s="191">
        <f t="shared" si="69"/>
        <v>0</v>
      </c>
      <c r="K130" s="191">
        <f t="shared" si="69"/>
        <v>0</v>
      </c>
      <c r="L130" s="191">
        <f t="shared" si="69"/>
        <v>0</v>
      </c>
      <c r="M130" s="191">
        <f t="shared" si="69"/>
        <v>0</v>
      </c>
      <c r="N130" s="191">
        <f t="shared" si="69"/>
        <v>0</v>
      </c>
      <c r="O130" s="191">
        <f t="shared" si="67"/>
        <v>542.95171564771704</v>
      </c>
      <c r="P130" s="191">
        <f t="shared" si="68"/>
        <v>50.605894584798584</v>
      </c>
    </row>
    <row r="131" spans="4:16" hidden="1" outlineLevel="1">
      <c r="D131" s="248" t="s">
        <v>387</v>
      </c>
      <c r="G131" s="912">
        <f t="shared" si="69"/>
        <v>196.06212879674379</v>
      </c>
      <c r="H131" s="912">
        <f t="shared" si="69"/>
        <v>221.22198405631073</v>
      </c>
      <c r="I131" s="912">
        <f t="shared" si="69"/>
        <v>42.890657183529157</v>
      </c>
      <c r="J131" s="912">
        <f t="shared" si="69"/>
        <v>0</v>
      </c>
      <c r="K131" s="912">
        <f t="shared" si="69"/>
        <v>0</v>
      </c>
      <c r="L131" s="912">
        <f t="shared" si="69"/>
        <v>0</v>
      </c>
      <c r="M131" s="912">
        <f t="shared" si="69"/>
        <v>0</v>
      </c>
      <c r="N131" s="912">
        <f t="shared" si="69"/>
        <v>0</v>
      </c>
      <c r="O131" s="912">
        <f t="shared" si="67"/>
        <v>460.17477003658371</v>
      </c>
      <c r="P131" s="912">
        <f t="shared" si="68"/>
        <v>42.890657183529157</v>
      </c>
    </row>
    <row r="132" spans="4:16" hidden="1" outlineLevel="1">
      <c r="D132" s="248" t="s">
        <v>441</v>
      </c>
      <c r="G132" s="191">
        <f>SUM(G123:G131)</f>
        <v>1726.820165818847</v>
      </c>
      <c r="H132" s="191">
        <f t="shared" ref="H132:P132" si="70">SUM(H123:H131)</f>
        <v>1948.4159716888539</v>
      </c>
      <c r="I132" s="191">
        <f t="shared" si="70"/>
        <v>377.76011208428326</v>
      </c>
      <c r="J132" s="191">
        <f t="shared" si="70"/>
        <v>0</v>
      </c>
      <c r="K132" s="191">
        <f t="shared" si="70"/>
        <v>0</v>
      </c>
      <c r="L132" s="191">
        <f t="shared" si="70"/>
        <v>0</v>
      </c>
      <c r="M132" s="191">
        <f t="shared" si="70"/>
        <v>0</v>
      </c>
      <c r="N132" s="191">
        <f t="shared" si="70"/>
        <v>0</v>
      </c>
      <c r="O132" s="191">
        <f t="shared" si="70"/>
        <v>4052.996249591984</v>
      </c>
      <c r="P132" s="191">
        <f t="shared" si="70"/>
        <v>377.76011208428326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61.051831704596012</v>
      </c>
      <c r="H135" s="191">
        <f t="shared" ref="H135:N135" si="71">H99*H$52</f>
        <v>68.888075729650609</v>
      </c>
      <c r="I135" s="191">
        <f t="shared" si="71"/>
        <v>13.386868248387257</v>
      </c>
      <c r="J135" s="191">
        <f t="shared" si="71"/>
        <v>0</v>
      </c>
      <c r="K135" s="191">
        <f t="shared" si="71"/>
        <v>0</v>
      </c>
      <c r="L135" s="191">
        <f t="shared" si="71"/>
        <v>0</v>
      </c>
      <c r="M135" s="191">
        <f t="shared" si="71"/>
        <v>0</v>
      </c>
      <c r="N135" s="191">
        <f t="shared" si="71"/>
        <v>0</v>
      </c>
      <c r="O135" s="191">
        <f t="shared" ref="O135:O143" si="72">SUM(F135:N135)</f>
        <v>143.32677568263387</v>
      </c>
      <c r="P135" s="191">
        <f t="shared" ref="P135:P143" si="73">SUM(I135:M135)</f>
        <v>13.386868248387257</v>
      </c>
    </row>
    <row r="136" spans="4:16" hidden="1" outlineLevel="1">
      <c r="D136" s="248" t="s">
        <v>380</v>
      </c>
      <c r="G136" s="191">
        <f t="shared" ref="G136:N143" si="74">G100*G$52</f>
        <v>0</v>
      </c>
      <c r="H136" s="191">
        <f t="shared" si="74"/>
        <v>0</v>
      </c>
      <c r="I136" s="191">
        <f t="shared" si="74"/>
        <v>0</v>
      </c>
      <c r="J136" s="191">
        <f t="shared" si="74"/>
        <v>0</v>
      </c>
      <c r="K136" s="191">
        <f t="shared" si="74"/>
        <v>0</v>
      </c>
      <c r="L136" s="191">
        <f t="shared" si="74"/>
        <v>0</v>
      </c>
      <c r="M136" s="191">
        <f t="shared" si="74"/>
        <v>0</v>
      </c>
      <c r="N136" s="191">
        <f t="shared" si="74"/>
        <v>0</v>
      </c>
      <c r="O136" s="191">
        <f t="shared" si="72"/>
        <v>0</v>
      </c>
      <c r="P136" s="191">
        <f t="shared" si="73"/>
        <v>0</v>
      </c>
    </row>
    <row r="137" spans="4:16" hidden="1" outlineLevel="1">
      <c r="D137" s="248" t="s">
        <v>381</v>
      </c>
      <c r="G137" s="191">
        <f t="shared" si="74"/>
        <v>61.051831704596012</v>
      </c>
      <c r="H137" s="191">
        <f t="shared" si="74"/>
        <v>68.888075729650609</v>
      </c>
      <c r="I137" s="191">
        <f t="shared" si="74"/>
        <v>13.386868248387257</v>
      </c>
      <c r="J137" s="191">
        <f t="shared" si="74"/>
        <v>0</v>
      </c>
      <c r="K137" s="191">
        <f t="shared" si="74"/>
        <v>0</v>
      </c>
      <c r="L137" s="191">
        <f t="shared" si="74"/>
        <v>0</v>
      </c>
      <c r="M137" s="191">
        <f t="shared" si="74"/>
        <v>0</v>
      </c>
      <c r="N137" s="191">
        <f t="shared" si="74"/>
        <v>0</v>
      </c>
      <c r="O137" s="191">
        <f t="shared" si="72"/>
        <v>143.32677568263387</v>
      </c>
      <c r="P137" s="191">
        <f t="shared" si="73"/>
        <v>13.386868248387257</v>
      </c>
    </row>
    <row r="138" spans="4:16" hidden="1" outlineLevel="1">
      <c r="D138" s="248" t="s">
        <v>382</v>
      </c>
      <c r="G138" s="191">
        <f t="shared" si="74"/>
        <v>0</v>
      </c>
      <c r="H138" s="191">
        <f t="shared" si="74"/>
        <v>0</v>
      </c>
      <c r="I138" s="191">
        <f t="shared" si="74"/>
        <v>0</v>
      </c>
      <c r="J138" s="191">
        <f t="shared" si="74"/>
        <v>0</v>
      </c>
      <c r="K138" s="191">
        <f t="shared" si="74"/>
        <v>0</v>
      </c>
      <c r="L138" s="191">
        <f t="shared" si="74"/>
        <v>0</v>
      </c>
      <c r="M138" s="191">
        <f t="shared" si="74"/>
        <v>0</v>
      </c>
      <c r="N138" s="191">
        <f t="shared" si="74"/>
        <v>0</v>
      </c>
      <c r="O138" s="191">
        <f t="shared" si="72"/>
        <v>0</v>
      </c>
      <c r="P138" s="191">
        <f t="shared" si="73"/>
        <v>0</v>
      </c>
    </row>
    <row r="139" spans="4:16" hidden="1" outlineLevel="1">
      <c r="D139" s="248" t="s">
        <v>383</v>
      </c>
      <c r="G139" s="191">
        <f t="shared" si="74"/>
        <v>3529.63619213427</v>
      </c>
      <c r="H139" s="191">
        <f t="shared" si="74"/>
        <v>3982.6789551271854</v>
      </c>
      <c r="I139" s="191">
        <f t="shared" si="74"/>
        <v>773.94524209309805</v>
      </c>
      <c r="J139" s="191">
        <f t="shared" si="74"/>
        <v>0</v>
      </c>
      <c r="K139" s="191">
        <f t="shared" si="74"/>
        <v>0</v>
      </c>
      <c r="L139" s="191">
        <f t="shared" si="74"/>
        <v>0</v>
      </c>
      <c r="M139" s="191">
        <f t="shared" si="74"/>
        <v>0</v>
      </c>
      <c r="N139" s="191">
        <f t="shared" si="74"/>
        <v>0</v>
      </c>
      <c r="O139" s="191">
        <f t="shared" si="72"/>
        <v>8286.2603893545529</v>
      </c>
      <c r="P139" s="191">
        <f t="shared" si="73"/>
        <v>773.94524209309805</v>
      </c>
    </row>
    <row r="140" spans="4:16" hidden="1" outlineLevel="1">
      <c r="D140" s="248" t="s">
        <v>384</v>
      </c>
      <c r="G140" s="191">
        <f t="shared" si="74"/>
        <v>2833.9348329374661</v>
      </c>
      <c r="H140" s="191">
        <f t="shared" si="74"/>
        <v>3197.6815753685951</v>
      </c>
      <c r="I140" s="191">
        <f t="shared" si="74"/>
        <v>621.3984277590996</v>
      </c>
      <c r="J140" s="191">
        <f t="shared" si="74"/>
        <v>0</v>
      </c>
      <c r="K140" s="191">
        <f t="shared" si="74"/>
        <v>0</v>
      </c>
      <c r="L140" s="191">
        <f t="shared" si="74"/>
        <v>0</v>
      </c>
      <c r="M140" s="191">
        <f t="shared" si="74"/>
        <v>0</v>
      </c>
      <c r="N140" s="191">
        <f t="shared" si="74"/>
        <v>0</v>
      </c>
      <c r="O140" s="191">
        <f t="shared" si="72"/>
        <v>6653.014836065161</v>
      </c>
      <c r="P140" s="191">
        <f t="shared" si="73"/>
        <v>621.3984277590996</v>
      </c>
    </row>
    <row r="141" spans="4:16" hidden="1" outlineLevel="1">
      <c r="D141" s="248" t="s">
        <v>385</v>
      </c>
      <c r="G141" s="191">
        <f t="shared" si="74"/>
        <v>0</v>
      </c>
      <c r="H141" s="191">
        <f t="shared" si="74"/>
        <v>0</v>
      </c>
      <c r="I141" s="191">
        <f t="shared" si="74"/>
        <v>0</v>
      </c>
      <c r="J141" s="191">
        <f t="shared" si="74"/>
        <v>0</v>
      </c>
      <c r="K141" s="191">
        <f t="shared" si="74"/>
        <v>0</v>
      </c>
      <c r="L141" s="191">
        <f t="shared" si="74"/>
        <v>0</v>
      </c>
      <c r="M141" s="191">
        <f t="shared" si="74"/>
        <v>0</v>
      </c>
      <c r="N141" s="191">
        <f t="shared" si="74"/>
        <v>0</v>
      </c>
      <c r="O141" s="191">
        <f t="shared" si="72"/>
        <v>0</v>
      </c>
      <c r="P141" s="191">
        <f t="shared" si="73"/>
        <v>0</v>
      </c>
    </row>
    <row r="142" spans="4:16" hidden="1" outlineLevel="1">
      <c r="D142" s="248" t="s">
        <v>386</v>
      </c>
      <c r="G142" s="191">
        <f t="shared" si="74"/>
        <v>1154.6093675593033</v>
      </c>
      <c r="H142" s="191">
        <f t="shared" si="74"/>
        <v>1302.808045718333</v>
      </c>
      <c r="I142" s="191">
        <f t="shared" si="74"/>
        <v>253.17182220933358</v>
      </c>
      <c r="J142" s="191">
        <f t="shared" si="74"/>
        <v>0</v>
      </c>
      <c r="K142" s="191">
        <f t="shared" si="74"/>
        <v>0</v>
      </c>
      <c r="L142" s="191">
        <f t="shared" si="74"/>
        <v>0</v>
      </c>
      <c r="M142" s="191">
        <f t="shared" si="74"/>
        <v>0</v>
      </c>
      <c r="N142" s="191">
        <f t="shared" si="74"/>
        <v>0</v>
      </c>
      <c r="O142" s="191">
        <f t="shared" si="72"/>
        <v>2710.5892354869698</v>
      </c>
      <c r="P142" s="191">
        <f t="shared" si="73"/>
        <v>253.17182220933358</v>
      </c>
    </row>
    <row r="143" spans="4:16" hidden="1" outlineLevel="1">
      <c r="D143" s="248" t="s">
        <v>387</v>
      </c>
      <c r="G143" s="912">
        <f t="shared" si="74"/>
        <v>978.58075568440631</v>
      </c>
      <c r="H143" s="912">
        <f t="shared" si="74"/>
        <v>1104.1854654148117</v>
      </c>
      <c r="I143" s="912">
        <f t="shared" si="74"/>
        <v>214.57393301711824</v>
      </c>
      <c r="J143" s="912">
        <f t="shared" si="74"/>
        <v>0</v>
      </c>
      <c r="K143" s="912">
        <f t="shared" si="74"/>
        <v>0</v>
      </c>
      <c r="L143" s="912">
        <f t="shared" si="74"/>
        <v>0</v>
      </c>
      <c r="M143" s="912">
        <f t="shared" si="74"/>
        <v>0</v>
      </c>
      <c r="N143" s="912">
        <f t="shared" si="74"/>
        <v>0</v>
      </c>
      <c r="O143" s="912">
        <f t="shared" si="72"/>
        <v>2297.3401541163362</v>
      </c>
      <c r="P143" s="912">
        <f t="shared" si="73"/>
        <v>214.57393301711824</v>
      </c>
    </row>
    <row r="144" spans="4:16" hidden="1" outlineLevel="1">
      <c r="D144" s="248" t="s">
        <v>442</v>
      </c>
      <c r="G144" s="191">
        <f>SUM(G135:G143)</f>
        <v>8618.8648117246375</v>
      </c>
      <c r="H144" s="191">
        <f t="shared" ref="H144:P144" si="75">SUM(H135:H143)</f>
        <v>9725.1301930882273</v>
      </c>
      <c r="I144" s="191">
        <f t="shared" si="75"/>
        <v>1889.8631615754239</v>
      </c>
      <c r="J144" s="191">
        <f t="shared" si="75"/>
        <v>0</v>
      </c>
      <c r="K144" s="191">
        <f t="shared" si="75"/>
        <v>0</v>
      </c>
      <c r="L144" s="191">
        <f t="shared" si="75"/>
        <v>0</v>
      </c>
      <c r="M144" s="191">
        <f t="shared" si="75"/>
        <v>0</v>
      </c>
      <c r="N144" s="191">
        <f t="shared" si="75"/>
        <v>0</v>
      </c>
      <c r="O144" s="191">
        <f t="shared" si="75"/>
        <v>20233.858166388287</v>
      </c>
      <c r="P144" s="191">
        <f t="shared" si="75"/>
        <v>1889.8631615754239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6">G111+G123+G135</f>
        <v>121.92581597593245</v>
      </c>
      <c r="H147" s="191">
        <f t="shared" si="76"/>
        <v>137.21391095201488</v>
      </c>
      <c r="I147" s="191">
        <f t="shared" si="76"/>
        <v>26.549505594851546</v>
      </c>
      <c r="J147" s="191">
        <f t="shared" si="76"/>
        <v>0</v>
      </c>
      <c r="K147" s="191">
        <f t="shared" si="76"/>
        <v>0</v>
      </c>
      <c r="L147" s="191">
        <f t="shared" si="76"/>
        <v>0</v>
      </c>
      <c r="M147" s="191">
        <f t="shared" si="76"/>
        <v>0</v>
      </c>
      <c r="N147" s="191">
        <f t="shared" si="76"/>
        <v>0</v>
      </c>
      <c r="O147" s="191">
        <f t="shared" ref="O147:O155" si="77">SUM(F147:N147)</f>
        <v>285.68923252279887</v>
      </c>
      <c r="P147" s="191">
        <f t="shared" ref="P147:P155" si="78">SUM(I147:M147)</f>
        <v>26.549505594851546</v>
      </c>
    </row>
    <row r="148" spans="4:16" hidden="1" outlineLevel="1">
      <c r="D148" s="248" t="s">
        <v>380</v>
      </c>
      <c r="G148" s="191">
        <f t="shared" si="76"/>
        <v>0</v>
      </c>
      <c r="H148" s="191">
        <f t="shared" si="76"/>
        <v>0</v>
      </c>
      <c r="I148" s="191">
        <f t="shared" si="76"/>
        <v>0</v>
      </c>
      <c r="J148" s="191">
        <f t="shared" si="76"/>
        <v>0</v>
      </c>
      <c r="K148" s="191">
        <f t="shared" si="76"/>
        <v>0</v>
      </c>
      <c r="L148" s="191">
        <f t="shared" si="76"/>
        <v>0</v>
      </c>
      <c r="M148" s="191">
        <f t="shared" si="76"/>
        <v>0</v>
      </c>
      <c r="N148" s="191">
        <f t="shared" si="76"/>
        <v>0</v>
      </c>
      <c r="O148" s="191">
        <f t="shared" si="77"/>
        <v>0</v>
      </c>
      <c r="P148" s="191">
        <f t="shared" si="78"/>
        <v>0</v>
      </c>
    </row>
    <row r="149" spans="4:16" hidden="1" outlineLevel="1">
      <c r="D149" s="248" t="s">
        <v>381</v>
      </c>
      <c r="G149" s="191">
        <f t="shared" si="76"/>
        <v>121.92581597593245</v>
      </c>
      <c r="H149" s="191">
        <f t="shared" si="76"/>
        <v>137.21391095201488</v>
      </c>
      <c r="I149" s="191">
        <f t="shared" si="76"/>
        <v>26.549505594851546</v>
      </c>
      <c r="J149" s="191">
        <f t="shared" si="76"/>
        <v>0</v>
      </c>
      <c r="K149" s="191">
        <f t="shared" si="76"/>
        <v>0</v>
      </c>
      <c r="L149" s="191">
        <f t="shared" si="76"/>
        <v>0</v>
      </c>
      <c r="M149" s="191">
        <f t="shared" si="76"/>
        <v>0</v>
      </c>
      <c r="N149" s="191">
        <f t="shared" si="76"/>
        <v>0</v>
      </c>
      <c r="O149" s="191">
        <f t="shared" si="77"/>
        <v>285.68923252279887</v>
      </c>
      <c r="P149" s="191">
        <f t="shared" si="78"/>
        <v>26.549505594851546</v>
      </c>
    </row>
    <row r="150" spans="4:16" hidden="1" outlineLevel="1">
      <c r="D150" s="248" t="s">
        <v>382</v>
      </c>
      <c r="G150" s="191">
        <f t="shared" si="76"/>
        <v>0</v>
      </c>
      <c r="H150" s="191">
        <f t="shared" si="76"/>
        <v>0</v>
      </c>
      <c r="I150" s="191">
        <f t="shared" si="76"/>
        <v>0</v>
      </c>
      <c r="J150" s="191">
        <f t="shared" si="76"/>
        <v>0</v>
      </c>
      <c r="K150" s="191">
        <f t="shared" si="76"/>
        <v>0</v>
      </c>
      <c r="L150" s="191">
        <f t="shared" si="76"/>
        <v>0</v>
      </c>
      <c r="M150" s="191">
        <f t="shared" si="76"/>
        <v>0</v>
      </c>
      <c r="N150" s="191">
        <f t="shared" si="76"/>
        <v>0</v>
      </c>
      <c r="O150" s="191">
        <f t="shared" si="77"/>
        <v>0</v>
      </c>
      <c r="P150" s="191">
        <f t="shared" si="78"/>
        <v>0</v>
      </c>
    </row>
    <row r="151" spans="4:16" hidden="1" outlineLevel="1">
      <c r="D151" s="248" t="s">
        <v>383</v>
      </c>
      <c r="G151" s="191">
        <f t="shared" si="76"/>
        <v>7048.9903547276654</v>
      </c>
      <c r="H151" s="191">
        <f t="shared" si="76"/>
        <v>7932.8526702346462</v>
      </c>
      <c r="I151" s="191">
        <f t="shared" si="76"/>
        <v>1534.9268517328455</v>
      </c>
      <c r="J151" s="191">
        <f t="shared" si="76"/>
        <v>0</v>
      </c>
      <c r="K151" s="191">
        <f t="shared" si="76"/>
        <v>0</v>
      </c>
      <c r="L151" s="191">
        <f t="shared" si="76"/>
        <v>0</v>
      </c>
      <c r="M151" s="191">
        <f t="shared" si="76"/>
        <v>0</v>
      </c>
      <c r="N151" s="191">
        <f t="shared" si="76"/>
        <v>0</v>
      </c>
      <c r="O151" s="191">
        <f t="shared" si="77"/>
        <v>16516.769876695158</v>
      </c>
      <c r="P151" s="191">
        <f t="shared" si="78"/>
        <v>1534.9268517328455</v>
      </c>
    </row>
    <row r="152" spans="4:16" hidden="1" outlineLevel="1">
      <c r="D152" s="248" t="s">
        <v>384</v>
      </c>
      <c r="G152" s="191">
        <f t="shared" si="76"/>
        <v>5659.6142536785956</v>
      </c>
      <c r="H152" s="191">
        <f t="shared" si="76"/>
        <v>6369.2647862229742</v>
      </c>
      <c r="I152" s="191">
        <f t="shared" si="76"/>
        <v>1232.3883919907628</v>
      </c>
      <c r="J152" s="191">
        <f t="shared" si="76"/>
        <v>0</v>
      </c>
      <c r="K152" s="191">
        <f t="shared" si="76"/>
        <v>0</v>
      </c>
      <c r="L152" s="191">
        <f t="shared" si="76"/>
        <v>0</v>
      </c>
      <c r="M152" s="191">
        <f t="shared" si="76"/>
        <v>0</v>
      </c>
      <c r="N152" s="191">
        <f t="shared" si="76"/>
        <v>0</v>
      </c>
      <c r="O152" s="191">
        <f t="shared" si="77"/>
        <v>13261.267431892333</v>
      </c>
      <c r="P152" s="191">
        <f t="shared" si="78"/>
        <v>1232.3883919907628</v>
      </c>
    </row>
    <row r="153" spans="4:16" hidden="1" outlineLevel="1">
      <c r="D153" s="248" t="s">
        <v>385</v>
      </c>
      <c r="G153" s="191">
        <f t="shared" si="76"/>
        <v>0</v>
      </c>
      <c r="H153" s="191">
        <f t="shared" si="76"/>
        <v>0</v>
      </c>
      <c r="I153" s="191">
        <f t="shared" si="76"/>
        <v>0</v>
      </c>
      <c r="J153" s="191">
        <f t="shared" si="76"/>
        <v>0</v>
      </c>
      <c r="K153" s="191">
        <f t="shared" si="76"/>
        <v>0</v>
      </c>
      <c r="L153" s="191">
        <f t="shared" si="76"/>
        <v>0</v>
      </c>
      <c r="M153" s="191">
        <f t="shared" si="76"/>
        <v>0</v>
      </c>
      <c r="N153" s="191">
        <f t="shared" si="76"/>
        <v>0</v>
      </c>
      <c r="O153" s="191">
        <f t="shared" si="77"/>
        <v>0</v>
      </c>
      <c r="P153" s="191">
        <f t="shared" si="78"/>
        <v>0</v>
      </c>
    </row>
    <row r="154" spans="4:16" hidden="1" outlineLevel="1">
      <c r="D154" s="248" t="s">
        <v>386</v>
      </c>
      <c r="G154" s="191">
        <f t="shared" si="76"/>
        <v>2305.8552928318713</v>
      </c>
      <c r="H154" s="191">
        <f t="shared" si="76"/>
        <v>2594.9830254268672</v>
      </c>
      <c r="I154" s="191">
        <f t="shared" si="76"/>
        <v>502.10300015578525</v>
      </c>
      <c r="J154" s="191">
        <f t="shared" si="76"/>
        <v>0</v>
      </c>
      <c r="K154" s="191">
        <f t="shared" si="76"/>
        <v>0</v>
      </c>
      <c r="L154" s="191">
        <f t="shared" si="76"/>
        <v>0</v>
      </c>
      <c r="M154" s="191">
        <f t="shared" si="76"/>
        <v>0</v>
      </c>
      <c r="N154" s="191">
        <f t="shared" si="76"/>
        <v>0</v>
      </c>
      <c r="O154" s="191">
        <f t="shared" si="77"/>
        <v>5402.9413184145242</v>
      </c>
      <c r="P154" s="191">
        <f t="shared" si="78"/>
        <v>502.10300015578525</v>
      </c>
    </row>
    <row r="155" spans="4:16" hidden="1" outlineLevel="1">
      <c r="D155" s="248" t="s">
        <v>387</v>
      </c>
      <c r="G155" s="912">
        <f t="shared" si="76"/>
        <v>1954.3108503685371</v>
      </c>
      <c r="H155" s="912">
        <f t="shared" si="76"/>
        <v>2199.3589532175706</v>
      </c>
      <c r="I155" s="912">
        <f t="shared" si="76"/>
        <v>425.55373889136399</v>
      </c>
      <c r="J155" s="912">
        <f t="shared" si="76"/>
        <v>0</v>
      </c>
      <c r="K155" s="912">
        <f t="shared" si="76"/>
        <v>0</v>
      </c>
      <c r="L155" s="912">
        <f t="shared" si="76"/>
        <v>0</v>
      </c>
      <c r="M155" s="912">
        <f t="shared" si="76"/>
        <v>0</v>
      </c>
      <c r="N155" s="912">
        <f t="shared" si="76"/>
        <v>0</v>
      </c>
      <c r="O155" s="912">
        <f t="shared" si="77"/>
        <v>4579.2235424774717</v>
      </c>
      <c r="P155" s="912">
        <f t="shared" si="78"/>
        <v>425.55373889136399</v>
      </c>
    </row>
    <row r="156" spans="4:16" hidden="1" outlineLevel="1">
      <c r="D156" s="248" t="s">
        <v>454</v>
      </c>
      <c r="G156" s="191">
        <f>SUM(G147:G155)</f>
        <v>17212.622383558533</v>
      </c>
      <c r="H156" s="191">
        <f t="shared" ref="H156:N156" si="79">SUM(H147:H155)</f>
        <v>19370.887257006088</v>
      </c>
      <c r="I156" s="191">
        <f t="shared" si="79"/>
        <v>3748.0709939604603</v>
      </c>
      <c r="J156" s="191">
        <f t="shared" si="79"/>
        <v>0</v>
      </c>
      <c r="K156" s="191">
        <f t="shared" si="79"/>
        <v>0</v>
      </c>
      <c r="L156" s="191">
        <f t="shared" si="79"/>
        <v>0</v>
      </c>
      <c r="M156" s="191">
        <f t="shared" si="79"/>
        <v>0</v>
      </c>
      <c r="N156" s="191">
        <f t="shared" si="79"/>
        <v>0</v>
      </c>
      <c r="O156" s="191">
        <f t="shared" ref="O156:P156" si="80">SUM(O147:O155)</f>
        <v>40331.580634525082</v>
      </c>
      <c r="P156" s="191">
        <f t="shared" si="80"/>
        <v>3748.0709939604603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9" priority="4" operator="equal">
      <formula>"Error"</formula>
    </cfRule>
  </conditionalFormatting>
  <conditionalFormatting sqref="R11">
    <cfRule type="cellIs" dxfId="128" priority="3" operator="equal">
      <formula>"Error"</formula>
    </cfRule>
  </conditionalFormatting>
  <conditionalFormatting sqref="R54">
    <cfRule type="cellIs" dxfId="12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F11" sqref="F11:H11"/>
    </sheetView>
  </sheetViews>
  <sheetFormatPr defaultRowHeight="15" outlineLevelRow="1"/>
  <cols>
    <col min="1" max="1" width="4" style="248" customWidth="1"/>
    <col min="2" max="2" width="6.5703125" style="248" customWidth="1"/>
    <col min="3" max="3" width="26.42578125" style="248" customWidth="1"/>
    <col min="4" max="4" width="25.5703125" style="248" customWidth="1"/>
    <col min="5" max="5" width="21.42578125" style="248" customWidth="1"/>
    <col min="6" max="6" width="14.7109375" style="248" customWidth="1"/>
    <col min="7" max="9" width="12.140625" style="248" customWidth="1"/>
    <col min="10" max="10" width="11.28515625" style="248" customWidth="1"/>
    <col min="11" max="11" width="12.7109375" style="248" customWidth="1"/>
    <col min="12" max="14" width="11.28515625" style="248" customWidth="1"/>
    <col min="15" max="15" width="12.28515625" style="248" customWidth="1"/>
    <col min="16" max="16" width="12.5703125" style="248" customWidth="1"/>
    <col min="17" max="19" width="9.140625" style="248"/>
    <col min="20" max="20" width="11.85546875" style="248" customWidth="1"/>
    <col min="21" max="16384" width="9.140625" style="248"/>
  </cols>
  <sheetData>
    <row r="1" spans="1:21">
      <c r="B1" s="573" t="s">
        <v>294</v>
      </c>
      <c r="C1" s="483" t="s">
        <v>290</v>
      </c>
    </row>
    <row r="2" spans="1:21">
      <c r="A2" s="6"/>
      <c r="B2" s="6"/>
      <c r="C2" s="572" t="s">
        <v>293</v>
      </c>
    </row>
    <row r="3" spans="1:21" ht="18.75">
      <c r="A3" s="6"/>
      <c r="B3" s="6"/>
      <c r="D3" s="339" t="str">
        <f>Project_Inputs!B9</f>
        <v>XC19</v>
      </c>
      <c r="F3" s="249" t="s">
        <v>63</v>
      </c>
      <c r="G3" s="249" t="str">
        <f>Project_Inputs!F9</f>
        <v>Yes</v>
      </c>
    </row>
    <row r="4" spans="1:21" ht="18.75">
      <c r="A4" s="6"/>
      <c r="B4" s="6"/>
      <c r="C4" s="13" t="s">
        <v>15</v>
      </c>
      <c r="D4" s="339" t="str">
        <f>Project_Inputs!D9</f>
        <v>SMTS H2 Transformer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48" t="s">
        <v>20</v>
      </c>
      <c r="D6" s="338" t="str">
        <f>Project_Inputs!H9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48" t="s">
        <v>21</v>
      </c>
      <c r="D7" s="338" t="str">
        <f>Project_Inputs!I9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48" t="s">
        <v>13</v>
      </c>
      <c r="D8" s="338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48" t="s">
        <v>278</v>
      </c>
      <c r="D9" s="338" t="str">
        <f>Project_Inputs!J9</f>
        <v>Repex_OHD</v>
      </c>
      <c r="E9" s="7"/>
      <c r="F9" s="272" t="s">
        <v>256</v>
      </c>
      <c r="G9" s="274" t="s">
        <v>256</v>
      </c>
      <c r="H9" s="274" t="s">
        <v>256</v>
      </c>
      <c r="I9" s="397" t="s">
        <v>256</v>
      </c>
      <c r="J9" s="274" t="s">
        <v>256</v>
      </c>
      <c r="K9" s="272" t="s">
        <v>256</v>
      </c>
      <c r="L9" s="275" t="s">
        <v>256</v>
      </c>
      <c r="M9" s="275" t="s">
        <v>256</v>
      </c>
      <c r="N9" s="275" t="s">
        <v>256</v>
      </c>
      <c r="O9" s="355" t="s">
        <v>265</v>
      </c>
      <c r="P9" s="364" t="s">
        <v>231</v>
      </c>
      <c r="Q9" s="7"/>
    </row>
    <row r="10" spans="1:21">
      <c r="A10" s="6"/>
      <c r="B10" s="6"/>
      <c r="E10" s="263"/>
      <c r="F10" s="273" t="s">
        <v>64</v>
      </c>
      <c r="G10" s="277" t="s">
        <v>72</v>
      </c>
      <c r="H10" s="278" t="s">
        <v>73</v>
      </c>
      <c r="I10" s="398" t="s">
        <v>74</v>
      </c>
      <c r="J10" s="279" t="s">
        <v>75</v>
      </c>
      <c r="K10" s="273" t="s">
        <v>76</v>
      </c>
      <c r="L10" s="276" t="s">
        <v>77</v>
      </c>
      <c r="M10" s="276" t="s">
        <v>78</v>
      </c>
      <c r="N10" s="276" t="s">
        <v>79</v>
      </c>
      <c r="O10" s="356" t="s">
        <v>16</v>
      </c>
      <c r="P10" s="365" t="s">
        <v>16</v>
      </c>
      <c r="R10" s="383" t="s">
        <v>50</v>
      </c>
      <c r="T10" s="383"/>
      <c r="U10" s="6"/>
    </row>
    <row r="11" spans="1:21">
      <c r="A11" s="6"/>
      <c r="B11" s="6"/>
      <c r="C11" s="254" t="s">
        <v>22</v>
      </c>
      <c r="D11" s="349" t="str">
        <f>"Direct Expenditure (As incurred) - "&amp;Assumptions!C7</f>
        <v>Direct Expenditure (As incurred) - $ 2015/16</v>
      </c>
      <c r="E11" s="347"/>
      <c r="F11" s="318">
        <f>IF(F$10="Prior",SUMIFS(Project_Inputs!$W$5:$W$50,Project_Inputs!$D$5:$D$50,$D$4),SUMIFS(Project_Inputs!L$5:L$50,Project_Inputs!$D$5:$D$50,$D$4))</f>
        <v>187.70011289256797</v>
      </c>
      <c r="G11" s="319">
        <f>IF(G$10="Prior",SUMIFS(Project_Inputs!$W$5:$W$50,Project_Inputs!$D$5:$D$50,$D$4),SUMIFS(Project_Inputs!M$5:M$50,Project_Inputs!$D$5:$D$50,$D$4))</f>
        <v>2180.1887999999999</v>
      </c>
      <c r="H11" s="389">
        <f>IF(H$10="Prior",SUMIFS(Project_Inputs!$W$5:$W$50,Project_Inputs!$D$5:$D$50,$D$4),SUMIFS(Project_Inputs!N$5:N$50,Project_Inputs!$D$5:$D$50,$D$4))</f>
        <v>8414.7736024383285</v>
      </c>
      <c r="I11" s="399">
        <f>IF(I$10="Prior",SUMIFS(Project_Inputs!$W$5:$W$50,Project_Inputs!$D$5:$D$50,$D$4),SUMIFS(Project_Inputs!O$5:O$50,Project_Inputs!$D$5:$D$50,$D$4))</f>
        <v>16207.048000000001</v>
      </c>
      <c r="J11" s="320">
        <f>IF(J$10="Prior",SUMIFS(Project_Inputs!$W$5:$W$50,Project_Inputs!$D$5:$D$50,$D$4),SUMIFS(Project_Inputs!P$5:P$50,Project_Inputs!$D$5:$D$50,$D$4))</f>
        <v>816.202</v>
      </c>
      <c r="K11" s="320">
        <f>IF(K$10="Prior",SUMIFS(Project_Inputs!$W$5:$W$50,Project_Inputs!$D$5:$D$50,$D$4),SUMIFS(Project_Inputs!Q$5:Q$50,Project_Inputs!$D$5:$D$50,$D$4))</f>
        <v>0</v>
      </c>
      <c r="L11" s="320">
        <f>IF(L$10="Prior",SUMIFS(Project_Inputs!$W$5:$W$50,Project_Inputs!$D$5:$D$50,$D$4),SUMIFS(Project_Inputs!R$5:R$50,Project_Inputs!$D$5:$D$50,$D$4))</f>
        <v>0</v>
      </c>
      <c r="M11" s="320">
        <f>IF(M$10="Prior",SUMIFS(Project_Inputs!$W$5:$W$50,Project_Inputs!$D$5:$D$50,$D$4),SUMIFS(Project_Inputs!S$5:S$50,Project_Inputs!$D$5:$D$50,$D$4))</f>
        <v>0</v>
      </c>
      <c r="N11" s="321">
        <f>IF(N$10="Prior",SUMIFS(Project_Inputs!$W$5:$W$50,Project_Inputs!$D$5:$D$50,$D$4),SUMIFS(Project_Inputs!T$5:T$50,Project_Inputs!$D$5:$D$50,$D$4))</f>
        <v>0</v>
      </c>
      <c r="O11" s="357">
        <f>SUM(F11:N11)</f>
        <v>27805.912515330896</v>
      </c>
      <c r="P11" s="300">
        <f t="shared" ref="P11" si="0">SUM(I11:M11)</f>
        <v>17023.25</v>
      </c>
      <c r="R11" s="608" t="str">
        <f>IF(O11=Project_Inputs!V9,"ok","error")</f>
        <v>ok</v>
      </c>
      <c r="T11" s="6"/>
      <c r="U11" s="6"/>
    </row>
    <row r="12" spans="1:21" ht="15" hidden="1" customHeight="1">
      <c r="A12" s="6"/>
      <c r="B12" s="6"/>
      <c r="C12" s="482"/>
      <c r="D12" s="348"/>
      <c r="E12" s="313"/>
      <c r="F12" s="424"/>
      <c r="G12" s="322"/>
      <c r="H12" s="390"/>
      <c r="I12" s="400"/>
      <c r="J12" s="323"/>
      <c r="K12" s="323"/>
      <c r="L12" s="323"/>
      <c r="M12" s="323"/>
      <c r="N12" s="324"/>
      <c r="O12" s="357"/>
      <c r="P12" s="300"/>
    </row>
    <row r="13" spans="1:21">
      <c r="A13" s="6"/>
      <c r="B13" s="6"/>
      <c r="C13" s="1006" t="s">
        <v>284</v>
      </c>
      <c r="D13" s="350" t="s">
        <v>65</v>
      </c>
      <c r="E13" s="264"/>
      <c r="F13" s="336"/>
      <c r="G13" s="10"/>
      <c r="H13" s="391"/>
      <c r="I13" s="401"/>
      <c r="J13" s="10"/>
      <c r="K13" s="10"/>
      <c r="L13" s="10"/>
      <c r="M13" s="10"/>
      <c r="N13" s="337"/>
      <c r="O13" s="358"/>
      <c r="P13" s="255"/>
    </row>
    <row r="14" spans="1:21">
      <c r="A14" s="6"/>
      <c r="B14" s="6"/>
      <c r="C14" s="1006"/>
      <c r="D14" s="350" t="str">
        <f>"Direct Expenditure (As Commissioned) - "&amp;Assumptions!C7</f>
        <v>Direct Expenditure (As Commissioned) - $ 2015/16</v>
      </c>
      <c r="E14" s="264"/>
      <c r="F14" s="446">
        <f>IF($G$3="Yes",SUMIFS(Project_Inputs!AJ$5:AJ$50,Project_Inputs!$D$5:$D$50,$D$4),IF(AND(F$13="X",F$10="Prior"),F11,IF(F$13="X",SUM($F11:F11)-SUM(E14:$F14),0)))</f>
        <v>0</v>
      </c>
      <c r="G14" s="447">
        <f>IF($G$3="Yes",SUMIFS(Project_Inputs!AK$5:AK$50,Project_Inputs!$D$5:$D$50,$D$4),IF(AND(G$13="X",G$10="Prior"),G11,IF(G$13="X",SUM($F11:G11)-SUM(F14:$F14),0)))</f>
        <v>0</v>
      </c>
      <c r="H14" s="447">
        <f>IF($G$3="Yes",SUMIFS(Project_Inputs!AL$5:AL$50,Project_Inputs!$D$5:$D$50,$D$4),IF(AND(H$13="X",H$10="Prior"),H11,IF(H$13="X",SUM($F11:H11)-SUM($F14:G14),0)))</f>
        <v>11400.424131285667</v>
      </c>
      <c r="I14" s="448">
        <f>IF($G$3="Yes",SUMIFS(Project_Inputs!AM$5:AM$50,Project_Inputs!$D$5:$D$50,$D$4),IF(AND(I$13="X",I$10="Prior"),I11,IF(I$13="X",SUM($F11:I11)-SUM($F14:H14),0)))</f>
        <v>15571.311008585304</v>
      </c>
      <c r="J14" s="447">
        <f>IF($G$3="Yes",SUMIFS(Project_Inputs!AN$5:AN$50,Project_Inputs!$D$5:$D$50,$D$4),IF(AND(J$13="X",J$10="Prior"),J11,IF(J$13="X",SUM($F11:J11)-SUM($F14:I14),0)))</f>
        <v>834.17737545992679</v>
      </c>
      <c r="K14" s="447">
        <f>IF($G$3="Yes",SUMIFS(Project_Inputs!AO$5:AO$50,Project_Inputs!$D$5:$D$50,$D$4),IF(AND(K$13="X",K$10="Prior"),K11,IF(K$13="X",SUM($F11:K11)-SUM($F14:J14),0)))</f>
        <v>0</v>
      </c>
      <c r="L14" s="447">
        <f>IF($G$3="Yes",SUMIFS(Project_Inputs!AP$5:AP$50,Project_Inputs!$D$5:$D$50,$D$4),IF(AND(L$13="X",L$10="Prior"),L11,IF(L$13="X",SUM($F11:L11)-SUM($F14:K14),0)))</f>
        <v>0</v>
      </c>
      <c r="M14" s="447">
        <f>IF($G$3="Yes",SUMIFS(Project_Inputs!AQ$5:AQ$50,Project_Inputs!$D$5:$D$50,$D$4),IF(AND(M$13="X",M$10="Prior"),M11,IF(M$13="X",SUM($F11:M11)-SUM($F14:L14),0)))</f>
        <v>0</v>
      </c>
      <c r="N14" s="449">
        <f>IF($G$3="Yes",SUMIFS(Project_Inputs!AR$5:AR$50,Project_Inputs!$D$5:$D$50,$D$4),IF(AND(N$13="X",N$10="Prior"),N11,IF(N$13="X",SUM($F11:N11)-SUM($F14:M14),0)))</f>
        <v>0</v>
      </c>
      <c r="O14" s="450">
        <f>SUM(F14:N14)</f>
        <v>27805.9125153309</v>
      </c>
      <c r="P14" s="451">
        <f>SUM(I14:M14)</f>
        <v>16405.488384045231</v>
      </c>
      <c r="R14" s="607" t="str">
        <f>IF(AND(O$11&lt;&gt;0,O$14=0),"Error","ok")</f>
        <v>ok</v>
      </c>
    </row>
    <row r="15" spans="1:21">
      <c r="A15" s="6"/>
      <c r="B15" s="6"/>
      <c r="C15" s="256"/>
      <c r="D15" s="351"/>
      <c r="E15" s="265"/>
      <c r="F15" s="327"/>
      <c r="G15" s="328"/>
      <c r="H15" s="328"/>
      <c r="I15" s="402"/>
      <c r="J15" s="328"/>
      <c r="K15" s="328"/>
      <c r="L15" s="328"/>
      <c r="M15" s="328"/>
      <c r="N15" s="329"/>
      <c r="O15" s="368"/>
      <c r="P15" s="369"/>
    </row>
    <row r="16" spans="1:21">
      <c r="A16" s="6"/>
      <c r="B16" s="6"/>
      <c r="C16" s="255"/>
      <c r="D16" s="301"/>
      <c r="E16" s="264"/>
      <c r="F16" s="325"/>
      <c r="G16" s="326"/>
      <c r="H16" s="330"/>
      <c r="I16" s="403"/>
      <c r="J16" s="330"/>
      <c r="K16" s="330"/>
      <c r="L16" s="330"/>
      <c r="M16" s="330"/>
      <c r="N16" s="331"/>
      <c r="O16" s="359"/>
      <c r="P16" s="255"/>
    </row>
    <row r="17" spans="1:27">
      <c r="A17" s="6"/>
      <c r="B17" s="6"/>
      <c r="C17" s="255" t="s">
        <v>2</v>
      </c>
      <c r="D17" s="348" t="s">
        <v>3</v>
      </c>
      <c r="E17" s="269"/>
      <c r="F17" s="340">
        <v>0.13063318055555556</v>
      </c>
      <c r="G17" s="341">
        <v>0.13063318055555556</v>
      </c>
      <c r="H17" s="392">
        <v>0.13063318055555556</v>
      </c>
      <c r="I17" s="404">
        <v>0.13063318055555556</v>
      </c>
      <c r="J17" s="341">
        <v>0.13063318055555556</v>
      </c>
      <c r="K17" s="341">
        <v>0.13063318055555556</v>
      </c>
      <c r="L17" s="341">
        <v>0.13063318055555556</v>
      </c>
      <c r="M17" s="341">
        <v>0.13063318055555556</v>
      </c>
      <c r="N17" s="342">
        <v>0.13063318055555556</v>
      </c>
      <c r="O17" s="360"/>
      <c r="P17" s="255"/>
    </row>
    <row r="18" spans="1:27">
      <c r="A18" s="6"/>
      <c r="B18" s="6"/>
      <c r="C18" s="255"/>
      <c r="D18" s="348" t="s">
        <v>4</v>
      </c>
      <c r="E18" s="269"/>
      <c r="F18" s="340">
        <v>0.40952448718452389</v>
      </c>
      <c r="G18" s="341">
        <v>0.40952448718452389</v>
      </c>
      <c r="H18" s="392">
        <v>0.40952448718452389</v>
      </c>
      <c r="I18" s="404">
        <v>0.40952448718452389</v>
      </c>
      <c r="J18" s="341">
        <v>0.40952448718452389</v>
      </c>
      <c r="K18" s="341">
        <v>0.40952448718452389</v>
      </c>
      <c r="L18" s="341">
        <v>0.40952448718452389</v>
      </c>
      <c r="M18" s="341">
        <v>0.40952448718452389</v>
      </c>
      <c r="N18" s="342">
        <v>0.40952448718452389</v>
      </c>
      <c r="O18" s="360"/>
      <c r="P18" s="255"/>
    </row>
    <row r="19" spans="1:27">
      <c r="A19" s="6"/>
      <c r="B19" s="6"/>
      <c r="C19" s="255"/>
      <c r="D19" s="348" t="s">
        <v>5</v>
      </c>
      <c r="E19" s="269"/>
      <c r="F19" s="340">
        <v>0.32880604288888887</v>
      </c>
      <c r="G19" s="341">
        <v>0.32880604288888887</v>
      </c>
      <c r="H19" s="392">
        <v>0.32880604288888887</v>
      </c>
      <c r="I19" s="404">
        <v>0.32880604288888887</v>
      </c>
      <c r="J19" s="341">
        <v>0.32880604288888887</v>
      </c>
      <c r="K19" s="341">
        <v>0.32880604288888887</v>
      </c>
      <c r="L19" s="341">
        <v>0.32880604288888887</v>
      </c>
      <c r="M19" s="341">
        <v>0.32880604288888887</v>
      </c>
      <c r="N19" s="342">
        <v>0.32880604288888887</v>
      </c>
      <c r="O19" s="360"/>
      <c r="P19" s="255"/>
    </row>
    <row r="20" spans="1:27">
      <c r="A20" s="6"/>
      <c r="B20" s="6"/>
      <c r="C20" s="255"/>
      <c r="D20" s="348" t="s">
        <v>6</v>
      </c>
      <c r="E20" s="269"/>
      <c r="F20" s="340">
        <v>0</v>
      </c>
      <c r="G20" s="341">
        <v>0</v>
      </c>
      <c r="H20" s="392">
        <v>0</v>
      </c>
      <c r="I20" s="404">
        <v>0</v>
      </c>
      <c r="J20" s="341">
        <v>0</v>
      </c>
      <c r="K20" s="341">
        <v>0</v>
      </c>
      <c r="L20" s="341">
        <v>0</v>
      </c>
      <c r="M20" s="341">
        <v>0</v>
      </c>
      <c r="N20" s="342">
        <v>0</v>
      </c>
      <c r="O20" s="360"/>
      <c r="P20" s="255"/>
    </row>
    <row r="21" spans="1:27">
      <c r="A21" s="6"/>
      <c r="B21" s="6"/>
      <c r="C21" s="255"/>
      <c r="D21" s="348" t="s">
        <v>7</v>
      </c>
      <c r="E21" s="269"/>
      <c r="F21" s="340">
        <v>1.4167023857142858E-2</v>
      </c>
      <c r="G21" s="341">
        <v>1.4167023857142858E-2</v>
      </c>
      <c r="H21" s="392">
        <v>1.4167023857142858E-2</v>
      </c>
      <c r="I21" s="404">
        <v>1.4167023857142858E-2</v>
      </c>
      <c r="J21" s="341">
        <v>1.4167023857142858E-2</v>
      </c>
      <c r="K21" s="341">
        <v>1.4167023857142858E-2</v>
      </c>
      <c r="L21" s="341">
        <v>1.4167023857142858E-2</v>
      </c>
      <c r="M21" s="341">
        <v>1.4167023857142858E-2</v>
      </c>
      <c r="N21" s="342">
        <v>1.4167023857142858E-2</v>
      </c>
      <c r="O21" s="360"/>
      <c r="P21" s="255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55"/>
      <c r="D22" s="348" t="s">
        <v>8</v>
      </c>
      <c r="E22" s="269"/>
      <c r="F22" s="340">
        <v>0.11353940188888889</v>
      </c>
      <c r="G22" s="341">
        <v>0.11353940188888889</v>
      </c>
      <c r="H22" s="392">
        <v>0.11353940188888889</v>
      </c>
      <c r="I22" s="404">
        <v>0.11353940188888889</v>
      </c>
      <c r="J22" s="341">
        <v>0.11353940188888889</v>
      </c>
      <c r="K22" s="341">
        <v>0.11353940188888889</v>
      </c>
      <c r="L22" s="341">
        <v>0.11353940188888889</v>
      </c>
      <c r="M22" s="341">
        <v>0.11353940188888889</v>
      </c>
      <c r="N22" s="342">
        <v>0.11353940188888889</v>
      </c>
      <c r="O22" s="360"/>
      <c r="P22" s="255"/>
    </row>
    <row r="23" spans="1:27">
      <c r="A23" s="6"/>
      <c r="B23" s="6"/>
      <c r="C23" s="255"/>
      <c r="D23" s="348" t="s">
        <v>9</v>
      </c>
      <c r="E23" s="269"/>
      <c r="F23" s="340">
        <v>3.3298636249999999E-3</v>
      </c>
      <c r="G23" s="341">
        <v>3.3298636249999999E-3</v>
      </c>
      <c r="H23" s="392">
        <v>3.3298636249999999E-3</v>
      </c>
      <c r="I23" s="404">
        <v>3.3298636249999999E-3</v>
      </c>
      <c r="J23" s="341">
        <v>3.3298636249999999E-3</v>
      </c>
      <c r="K23" s="341">
        <v>3.3298636249999999E-3</v>
      </c>
      <c r="L23" s="341">
        <v>3.3298636249999999E-3</v>
      </c>
      <c r="M23" s="341">
        <v>3.3298636249999999E-3</v>
      </c>
      <c r="N23" s="342">
        <v>3.3298636249999999E-3</v>
      </c>
      <c r="O23" s="360"/>
      <c r="P23" s="255"/>
    </row>
    <row r="24" spans="1:27">
      <c r="A24" s="6"/>
      <c r="B24" s="6"/>
      <c r="C24" s="255"/>
      <c r="D24" s="348" t="s">
        <v>10</v>
      </c>
      <c r="E24" s="269"/>
      <c r="F24" s="340"/>
      <c r="G24" s="341"/>
      <c r="H24" s="392"/>
      <c r="I24" s="404"/>
      <c r="J24" s="341"/>
      <c r="K24" s="341"/>
      <c r="L24" s="341"/>
      <c r="M24" s="341"/>
      <c r="N24" s="342"/>
      <c r="O24" s="360"/>
      <c r="P24" s="255"/>
    </row>
    <row r="25" spans="1:27">
      <c r="A25" s="6"/>
      <c r="B25" s="6"/>
      <c r="C25" s="255"/>
      <c r="D25" s="348" t="s">
        <v>11</v>
      </c>
      <c r="E25" s="269"/>
      <c r="F25" s="340"/>
      <c r="G25" s="341"/>
      <c r="H25" s="392"/>
      <c r="I25" s="404"/>
      <c r="J25" s="341"/>
      <c r="K25" s="341"/>
      <c r="L25" s="341"/>
      <c r="M25" s="341"/>
      <c r="N25" s="342"/>
      <c r="O25" s="360"/>
      <c r="P25" s="255"/>
      <c r="T25" s="31"/>
    </row>
    <row r="26" spans="1:27">
      <c r="A26" s="6"/>
      <c r="B26" s="6"/>
      <c r="C26" s="255"/>
      <c r="D26" s="348" t="s">
        <v>12</v>
      </c>
      <c r="E26" s="269"/>
      <c r="F26" s="340"/>
      <c r="G26" s="341"/>
      <c r="H26" s="392"/>
      <c r="I26" s="404"/>
      <c r="J26" s="341"/>
      <c r="K26" s="341"/>
      <c r="L26" s="341"/>
      <c r="M26" s="341"/>
      <c r="N26" s="342"/>
      <c r="O26" s="360"/>
      <c r="P26" s="255"/>
      <c r="T26" s="31"/>
    </row>
    <row r="27" spans="1:27">
      <c r="A27" s="6"/>
      <c r="B27" s="6"/>
      <c r="C27" s="256"/>
      <c r="D27" s="462"/>
      <c r="E27" s="463" t="s">
        <v>16</v>
      </c>
      <c r="F27" s="332">
        <f>+SUM(F17:F26)</f>
        <v>1</v>
      </c>
      <c r="G27" s="332">
        <f t="shared" ref="G27:N27" si="1">+SUM(G17:G26)</f>
        <v>1</v>
      </c>
      <c r="H27" s="393">
        <f t="shared" si="1"/>
        <v>1</v>
      </c>
      <c r="I27" s="405">
        <f t="shared" si="1"/>
        <v>1</v>
      </c>
      <c r="J27" s="332">
        <f t="shared" si="1"/>
        <v>1</v>
      </c>
      <c r="K27" s="332">
        <f t="shared" si="1"/>
        <v>1</v>
      </c>
      <c r="L27" s="332">
        <f t="shared" si="1"/>
        <v>1</v>
      </c>
      <c r="M27" s="332">
        <f t="shared" si="1"/>
        <v>1</v>
      </c>
      <c r="N27" s="332">
        <f t="shared" si="1"/>
        <v>1</v>
      </c>
      <c r="O27" s="72"/>
      <c r="P27" s="256"/>
      <c r="T27" s="31"/>
    </row>
    <row r="28" spans="1:27">
      <c r="A28" s="6"/>
      <c r="B28" s="6"/>
      <c r="C28" s="257"/>
      <c r="D28" s="302"/>
      <c r="E28" s="268"/>
      <c r="F28" s="333"/>
      <c r="G28" s="334"/>
      <c r="H28" s="394"/>
      <c r="I28" s="406"/>
      <c r="J28" s="334"/>
      <c r="K28" s="334"/>
      <c r="L28" s="334"/>
      <c r="M28" s="334"/>
      <c r="N28" s="335"/>
      <c r="O28" s="360"/>
      <c r="P28" s="255"/>
      <c r="T28" s="31"/>
    </row>
    <row r="29" spans="1:27">
      <c r="A29" s="6"/>
      <c r="B29" s="250"/>
      <c r="C29" s="258" t="s">
        <v>58</v>
      </c>
      <c r="D29" s="350" t="s">
        <v>0</v>
      </c>
      <c r="E29" s="269"/>
      <c r="F29" s="340">
        <v>0.1</v>
      </c>
      <c r="G29" s="341">
        <v>0.1</v>
      </c>
      <c r="H29" s="392">
        <v>0.1</v>
      </c>
      <c r="I29" s="404">
        <v>0.1</v>
      </c>
      <c r="J29" s="341">
        <v>0.1</v>
      </c>
      <c r="K29" s="341">
        <v>0.1</v>
      </c>
      <c r="L29" s="341">
        <v>0.1</v>
      </c>
      <c r="M29" s="341">
        <v>0.1</v>
      </c>
      <c r="N29" s="342">
        <v>0.1</v>
      </c>
      <c r="O29" s="360"/>
      <c r="P29" s="255"/>
      <c r="T29" s="31"/>
    </row>
    <row r="30" spans="1:27">
      <c r="A30" s="6"/>
      <c r="B30" s="250"/>
      <c r="C30" s="258"/>
      <c r="D30" s="350" t="s">
        <v>1</v>
      </c>
      <c r="E30" s="269"/>
      <c r="F30" s="340">
        <v>0.5</v>
      </c>
      <c r="G30" s="341">
        <v>0.5</v>
      </c>
      <c r="H30" s="392">
        <v>0.5</v>
      </c>
      <c r="I30" s="404">
        <v>0.5</v>
      </c>
      <c r="J30" s="341">
        <v>0.5</v>
      </c>
      <c r="K30" s="341">
        <v>0.5</v>
      </c>
      <c r="L30" s="341">
        <v>0.5</v>
      </c>
      <c r="M30" s="341">
        <v>0.5</v>
      </c>
      <c r="N30" s="342">
        <v>0.5</v>
      </c>
      <c r="O30" s="360"/>
      <c r="P30" s="255"/>
      <c r="T30" s="31"/>
    </row>
    <row r="31" spans="1:27">
      <c r="A31" s="6"/>
      <c r="B31" s="250"/>
      <c r="C31" s="258"/>
      <c r="D31" s="350" t="s">
        <v>57</v>
      </c>
      <c r="E31" s="269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298"/>
      <c r="P31" s="255"/>
      <c r="T31" s="31"/>
    </row>
    <row r="32" spans="1:27">
      <c r="A32" s="6"/>
      <c r="B32" s="250"/>
      <c r="C32" s="259"/>
      <c r="D32" s="464"/>
      <c r="E32" s="463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3"/>
      <c r="P32" s="256"/>
    </row>
    <row r="33" spans="1:22">
      <c r="A33" s="6"/>
      <c r="B33" s="250"/>
      <c r="C33" s="258" t="s">
        <v>59</v>
      </c>
      <c r="D33" s="271"/>
      <c r="E33" s="264"/>
      <c r="F33" s="298"/>
      <c r="G33" s="6"/>
      <c r="H33" s="6"/>
      <c r="I33" s="407"/>
      <c r="J33" s="282"/>
      <c r="K33" s="282"/>
      <c r="L33" s="282"/>
      <c r="M33" s="282"/>
      <c r="N33" s="283"/>
      <c r="O33" s="361"/>
      <c r="P33" s="366"/>
      <c r="Q33" s="11"/>
      <c r="R33" s="11"/>
      <c r="S33" s="11"/>
      <c r="T33" s="11"/>
      <c r="U33" s="11"/>
    </row>
    <row r="34" spans="1:22">
      <c r="A34" s="6"/>
      <c r="B34" s="250"/>
      <c r="C34" s="258" t="s">
        <v>266</v>
      </c>
      <c r="D34" s="350" t="s">
        <v>3</v>
      </c>
      <c r="E34" s="264"/>
      <c r="F34" s="294">
        <f>IF(F$10="Prior",0,(F$11*F$31*F17)*(Assumptions!F54-1))</f>
        <v>0</v>
      </c>
      <c r="G34" s="290">
        <f>IF(G$10="Prior",0,(G$11*G$31*G17)*(Assumptions!G54-1))</f>
        <v>0</v>
      </c>
      <c r="H34" s="290">
        <f>IF(H$10="Prior",0,(H$11*H$31*H17)*(Assumptions!H54-1))</f>
        <v>0</v>
      </c>
      <c r="I34" s="407">
        <f>IF(I$10="Prior",0,(I$11*I$31*I17)*(Assumptions!I54-1))</f>
        <v>0</v>
      </c>
      <c r="J34" s="282">
        <f>IF(J$10="Prior",0,(J$11*J$31*J17)*(Assumptions!J54-1))</f>
        <v>0</v>
      </c>
      <c r="K34" s="282">
        <f>IF(K$10="Prior",0,(K$11*K$31*K17)*(Assumptions!K54-1))</f>
        <v>0</v>
      </c>
      <c r="L34" s="282">
        <f>IF(L$10="Prior",0,(L$11*L$31*L17)*(Assumptions!L54-1))</f>
        <v>0</v>
      </c>
      <c r="M34" s="282">
        <f>IF(M$10="Prior",0,(M$11*M$31*M17)*(Assumptions!M54-1))</f>
        <v>0</v>
      </c>
      <c r="N34" s="283">
        <f>IF(N$10="Prior",0,(N$11*N$31*N17)*(Assumptions!N54-1))</f>
        <v>0</v>
      </c>
      <c r="O34" s="432">
        <f t="shared" ref="O34:O43" si="3">SUM(F34:N34)</f>
        <v>0</v>
      </c>
      <c r="P34" s="435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0"/>
      <c r="C35" s="258"/>
      <c r="D35" s="350" t="s">
        <v>4</v>
      </c>
      <c r="E35" s="264"/>
      <c r="F35" s="294">
        <f>IF(F$10="Prior",0,(F$11*F$31*F18)*(Assumptions!F55-1))</f>
        <v>0</v>
      </c>
      <c r="G35" s="290">
        <f>IF(G$10="Prior",0,(G$11*G$31*G18)*(Assumptions!G55-1))</f>
        <v>0</v>
      </c>
      <c r="H35" s="290">
        <f>IF(H$10="Prior",0,(H$11*H$31*H18)*(Assumptions!H55-1))</f>
        <v>0</v>
      </c>
      <c r="I35" s="407">
        <f>IF(I$10="Prior",0,(I$11*I$31*I18)*(Assumptions!I55-1))</f>
        <v>0</v>
      </c>
      <c r="J35" s="282">
        <f>IF(J$10="Prior",0,(J$11*J$31*J18)*(Assumptions!J55-1))</f>
        <v>0</v>
      </c>
      <c r="K35" s="282">
        <f>IF(K$10="Prior",0,(K$11*K$31*K18)*(Assumptions!K55-1))</f>
        <v>0</v>
      </c>
      <c r="L35" s="282">
        <f>IF(L$10="Prior",0,(L$11*L$31*L18)*(Assumptions!L55-1))</f>
        <v>0</v>
      </c>
      <c r="M35" s="282">
        <f>IF(M$10="Prior",0,(M$11*M$31*M18)*(Assumptions!M55-1))</f>
        <v>0</v>
      </c>
      <c r="N35" s="283">
        <f>IF(N$10="Prior",0,(N$11*N$31*N18)*(Assumptions!N55-1))</f>
        <v>0</v>
      </c>
      <c r="O35" s="432">
        <f t="shared" si="3"/>
        <v>0</v>
      </c>
      <c r="P35" s="435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0"/>
      <c r="C36" s="258"/>
      <c r="D36" s="350" t="s">
        <v>5</v>
      </c>
      <c r="E36" s="264"/>
      <c r="F36" s="294">
        <f>IF(F$10="Prior",0,(F$11*F$31*F19)*(Assumptions!F56-1))</f>
        <v>0</v>
      </c>
      <c r="G36" s="290">
        <f>IF(G$10="Prior",0,(G$11*G$31*G19)*(Assumptions!G56-1))</f>
        <v>0</v>
      </c>
      <c r="H36" s="290">
        <f>IF(H$10="Prior",0,(H$11*H$31*H19)*(Assumptions!H56-1))</f>
        <v>0</v>
      </c>
      <c r="I36" s="407">
        <f>IF(I$10="Prior",0,(I$11*I$31*I19)*(Assumptions!I56-1))</f>
        <v>0</v>
      </c>
      <c r="J36" s="282">
        <f>IF(J$10="Prior",0,(J$11*J$31*J19)*(Assumptions!J56-1))</f>
        <v>0</v>
      </c>
      <c r="K36" s="282">
        <f>IF(K$10="Prior",0,(K$11*K$31*K19)*(Assumptions!K56-1))</f>
        <v>0</v>
      </c>
      <c r="L36" s="282">
        <f>IF(L$10="Prior",0,(L$11*L$31*L19)*(Assumptions!L56-1))</f>
        <v>0</v>
      </c>
      <c r="M36" s="282">
        <f>IF(M$10="Prior",0,(M$11*M$31*M19)*(Assumptions!M56-1))</f>
        <v>0</v>
      </c>
      <c r="N36" s="283">
        <f>IF(N$10="Prior",0,(N$11*N$31*N19)*(Assumptions!N56-1))</f>
        <v>0</v>
      </c>
      <c r="O36" s="432">
        <f t="shared" si="3"/>
        <v>0</v>
      </c>
      <c r="P36" s="435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0"/>
      <c r="C37" s="258"/>
      <c r="D37" s="350" t="s">
        <v>6</v>
      </c>
      <c r="E37" s="264"/>
      <c r="F37" s="294">
        <f>IF(F$10="Prior",0,(F$11*F$31*F20)*(Assumptions!F57-1))</f>
        <v>0</v>
      </c>
      <c r="G37" s="290">
        <f>IF(G$10="Prior",0,(G$11*G$31*G20)*(Assumptions!G57-1))</f>
        <v>0</v>
      </c>
      <c r="H37" s="290">
        <f>IF(H$10="Prior",0,(H$11*H$31*H20)*(Assumptions!H57-1))</f>
        <v>0</v>
      </c>
      <c r="I37" s="407">
        <f>IF(I$10="Prior",0,(I$11*I$31*I20)*(Assumptions!I57-1))</f>
        <v>0</v>
      </c>
      <c r="J37" s="282">
        <f>IF(J$10="Prior",0,(J$11*J$31*J20)*(Assumptions!J57-1))</f>
        <v>0</v>
      </c>
      <c r="K37" s="282">
        <f>IF(K$10="Prior",0,(K$11*K$31*K20)*(Assumptions!K57-1))</f>
        <v>0</v>
      </c>
      <c r="L37" s="282">
        <f>IF(L$10="Prior",0,(L$11*L$31*L20)*(Assumptions!L57-1))</f>
        <v>0</v>
      </c>
      <c r="M37" s="282">
        <f>IF(M$10="Prior",0,(M$11*M$31*M20)*(Assumptions!M57-1))</f>
        <v>0</v>
      </c>
      <c r="N37" s="283">
        <f>IF(N$10="Prior",0,(N$11*N$31*N20)*(Assumptions!N57-1))</f>
        <v>0</v>
      </c>
      <c r="O37" s="432">
        <f t="shared" si="3"/>
        <v>0</v>
      </c>
      <c r="P37" s="435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0"/>
      <c r="C38" s="258"/>
      <c r="D38" s="350" t="s">
        <v>7</v>
      </c>
      <c r="E38" s="264"/>
      <c r="F38" s="294">
        <f>IF(F$10="Prior",0,(F$11*F$31*F21)*(Assumptions!F58-1))</f>
        <v>0</v>
      </c>
      <c r="G38" s="290">
        <f>IF(G$10="Prior",0,(G$11*G$31*G21)*(Assumptions!G58-1))</f>
        <v>0</v>
      </c>
      <c r="H38" s="290">
        <f>IF(H$10="Prior",0,(H$11*H$31*H21)*(Assumptions!H58-1))</f>
        <v>0</v>
      </c>
      <c r="I38" s="407">
        <f>IF(I$10="Prior",0,(I$11*I$31*I21)*(Assumptions!I58-1))</f>
        <v>0</v>
      </c>
      <c r="J38" s="282">
        <f>IF(J$10="Prior",0,(J$11*J$31*J21)*(Assumptions!J58-1))</f>
        <v>0</v>
      </c>
      <c r="K38" s="282">
        <f>IF(K$10="Prior",0,(K$11*K$31*K21)*(Assumptions!K58-1))</f>
        <v>0</v>
      </c>
      <c r="L38" s="282">
        <f>IF(L$10="Prior",0,(L$11*L$31*L21)*(Assumptions!L58-1))</f>
        <v>0</v>
      </c>
      <c r="M38" s="282">
        <f>IF(M$10="Prior",0,(M$11*M$31*M21)*(Assumptions!M58-1))</f>
        <v>0</v>
      </c>
      <c r="N38" s="283">
        <f>IF(N$10="Prior",0,(N$11*N$31*N21)*(Assumptions!N58-1))</f>
        <v>0</v>
      </c>
      <c r="O38" s="432">
        <f t="shared" si="3"/>
        <v>0</v>
      </c>
      <c r="P38" s="435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0"/>
      <c r="C39" s="258"/>
      <c r="D39" s="350" t="s">
        <v>8</v>
      </c>
      <c r="E39" s="264"/>
      <c r="F39" s="294">
        <f>IF(F$10="Prior",0,(F$11*F$31*F22)*(Assumptions!F59-1))</f>
        <v>0</v>
      </c>
      <c r="G39" s="290">
        <f>IF(G$10="Prior",0,(G$11*G$31*G22)*(Assumptions!G59-1))</f>
        <v>0</v>
      </c>
      <c r="H39" s="290">
        <f>IF(H$10="Prior",0,(H$11*H$31*H22)*(Assumptions!H59-1))</f>
        <v>0</v>
      </c>
      <c r="I39" s="407">
        <f>IF(I$10="Prior",0,(I$11*I$31*I22)*(Assumptions!I59-1))</f>
        <v>0</v>
      </c>
      <c r="J39" s="282">
        <f>IF(J$10="Prior",0,(J$11*J$31*J22)*(Assumptions!J59-1))</f>
        <v>0</v>
      </c>
      <c r="K39" s="282">
        <f>IF(K$10="Prior",0,(K$11*K$31*K22)*(Assumptions!K59-1))</f>
        <v>0</v>
      </c>
      <c r="L39" s="282">
        <f>IF(L$10="Prior",0,(L$11*L$31*L22)*(Assumptions!L59-1))</f>
        <v>0</v>
      </c>
      <c r="M39" s="282">
        <f>IF(M$10="Prior",0,(M$11*M$31*M22)*(Assumptions!M59-1))</f>
        <v>0</v>
      </c>
      <c r="N39" s="283">
        <f>IF(N$10="Prior",0,(N$11*N$31*N22)*(Assumptions!N59-1))</f>
        <v>0</v>
      </c>
      <c r="O39" s="432">
        <f t="shared" si="3"/>
        <v>0</v>
      </c>
      <c r="P39" s="435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0"/>
      <c r="C40" s="258"/>
      <c r="D40" s="350" t="s">
        <v>9</v>
      </c>
      <c r="E40" s="264"/>
      <c r="F40" s="294">
        <f>IF(F$10="Prior",0,(F$11*F$31*F23)*(Assumptions!F60-1))</f>
        <v>0</v>
      </c>
      <c r="G40" s="290">
        <f>IF(G$10="Prior",0,(G$11*G$31*G23)*(Assumptions!G60-1))</f>
        <v>0</v>
      </c>
      <c r="H40" s="290">
        <f>IF(H$10="Prior",0,(H$11*H$31*H23)*(Assumptions!H60-1))</f>
        <v>0</v>
      </c>
      <c r="I40" s="407">
        <f>IF(I$10="Prior",0,(I$11*I$31*I23)*(Assumptions!I60-1))</f>
        <v>0</v>
      </c>
      <c r="J40" s="282">
        <f>IF(J$10="Prior",0,(J$11*J$31*J23)*(Assumptions!J60-1))</f>
        <v>0</v>
      </c>
      <c r="K40" s="282">
        <f>IF(K$10="Prior",0,(K$11*K$31*K23)*(Assumptions!K60-1))</f>
        <v>0</v>
      </c>
      <c r="L40" s="282">
        <f>IF(L$10="Prior",0,(L$11*L$31*L23)*(Assumptions!L60-1))</f>
        <v>0</v>
      </c>
      <c r="M40" s="282">
        <f>IF(M$10="Prior",0,(M$11*M$31*M23)*(Assumptions!M60-1))</f>
        <v>0</v>
      </c>
      <c r="N40" s="283">
        <f>IF(N$10="Prior",0,(N$11*N$31*N23)*(Assumptions!N60-1))</f>
        <v>0</v>
      </c>
      <c r="O40" s="432">
        <f t="shared" si="3"/>
        <v>0</v>
      </c>
      <c r="P40" s="435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0"/>
      <c r="C41" s="258"/>
      <c r="D41" s="350" t="s">
        <v>10</v>
      </c>
      <c r="E41" s="264"/>
      <c r="F41" s="294">
        <f>IF(F$10="Prior",0,(F$11*F$31*F24)*(Assumptions!F61-1))</f>
        <v>0</v>
      </c>
      <c r="G41" s="290">
        <f>IF(G$10="Prior",0,(G$11*G$31*G24)*(Assumptions!G61-1))</f>
        <v>0</v>
      </c>
      <c r="H41" s="290">
        <f>IF(H$10="Prior",0,(H$11*H$31*H24)*(Assumptions!H61-1))</f>
        <v>0</v>
      </c>
      <c r="I41" s="407">
        <f>IF(I$10="Prior",0,(I$11*I$31*I24)*(Assumptions!I61-1))</f>
        <v>0</v>
      </c>
      <c r="J41" s="282">
        <f>IF(J$10="Prior",0,(J$11*J$31*J24)*(Assumptions!J61-1))</f>
        <v>0</v>
      </c>
      <c r="K41" s="282">
        <f>IF(K$10="Prior",0,(K$11*K$31*K24)*(Assumptions!K61-1))</f>
        <v>0</v>
      </c>
      <c r="L41" s="282">
        <f>IF(L$10="Prior",0,(L$11*L$31*L24)*(Assumptions!L61-1))</f>
        <v>0</v>
      </c>
      <c r="M41" s="282">
        <f>IF(M$10="Prior",0,(M$11*M$31*M24)*(Assumptions!M61-1))</f>
        <v>0</v>
      </c>
      <c r="N41" s="283">
        <f>IF(N$10="Prior",0,(N$11*N$31*N24)*(Assumptions!N61-1))</f>
        <v>0</v>
      </c>
      <c r="O41" s="432">
        <f t="shared" si="3"/>
        <v>0</v>
      </c>
      <c r="P41" s="435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0"/>
      <c r="C42" s="258"/>
      <c r="D42" s="350" t="s">
        <v>11</v>
      </c>
      <c r="E42" s="264"/>
      <c r="F42" s="294">
        <f>IF(F$10="Prior",0,(F$11*F$31*F25)*(Assumptions!F62-1))</f>
        <v>0</v>
      </c>
      <c r="G42" s="290">
        <f>IF(G$10="Prior",0,(G$11*G$31*G25)*(Assumptions!G62-1))</f>
        <v>0</v>
      </c>
      <c r="H42" s="290">
        <f>IF(H$10="Prior",0,(H$11*H$31*H25)*(Assumptions!H62-1))</f>
        <v>0</v>
      </c>
      <c r="I42" s="407">
        <f>IF(I$10="Prior",0,(I$11*I$31*I25)*(Assumptions!I62-1))</f>
        <v>0</v>
      </c>
      <c r="J42" s="282">
        <f>IF(J$10="Prior",0,(J$11*J$31*J25)*(Assumptions!J62-1))</f>
        <v>0</v>
      </c>
      <c r="K42" s="282">
        <f>IF(K$10="Prior",0,(K$11*K$31*K25)*(Assumptions!K62-1))</f>
        <v>0</v>
      </c>
      <c r="L42" s="282">
        <f>IF(L$10="Prior",0,(L$11*L$31*L25)*(Assumptions!L62-1))</f>
        <v>0</v>
      </c>
      <c r="M42" s="282">
        <f>IF(M$10="Prior",0,(M$11*M$31*M25)*(Assumptions!M62-1))</f>
        <v>0</v>
      </c>
      <c r="N42" s="283">
        <f>IF(N$10="Prior",0,(N$11*N$31*N25)*(Assumptions!N62-1))</f>
        <v>0</v>
      </c>
      <c r="O42" s="432">
        <f t="shared" si="3"/>
        <v>0</v>
      </c>
      <c r="P42" s="435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0"/>
      <c r="C43" s="258"/>
      <c r="D43" s="350" t="s">
        <v>12</v>
      </c>
      <c r="E43" s="264"/>
      <c r="F43" s="294">
        <f>IF(F$10="Prior",0,(F$11*F$31*F26)*(Assumptions!F63-1))</f>
        <v>0</v>
      </c>
      <c r="G43" s="290">
        <f>IF(G$10="Prior",0,(G$11*G$31*G26)*(Assumptions!G63-1))</f>
        <v>0</v>
      </c>
      <c r="H43" s="290">
        <f>IF(H$10="Prior",0,(H$11*H$31*H26)*(Assumptions!H63-1))</f>
        <v>0</v>
      </c>
      <c r="I43" s="407">
        <f>IF(I$10="Prior",0,(I$11*I$31*I26)*(Assumptions!I63-1))</f>
        <v>0</v>
      </c>
      <c r="J43" s="282">
        <f>IF(J$10="Prior",0,(J$11*J$31*J26)*(Assumptions!J63-1))</f>
        <v>0</v>
      </c>
      <c r="K43" s="282">
        <f>IF(K$10="Prior",0,(K$11*K$31*K26)*(Assumptions!K63-1))</f>
        <v>0</v>
      </c>
      <c r="L43" s="282">
        <f>IF(L$10="Prior",0,(L$11*L$31*L26)*(Assumptions!L63-1))</f>
        <v>0</v>
      </c>
      <c r="M43" s="282">
        <f>IF(M$10="Prior",0,(M$11*M$31*M26)*(Assumptions!M63-1))</f>
        <v>0</v>
      </c>
      <c r="N43" s="283">
        <f>IF(N$10="Prior",0,(N$11*N$31*N26)*(Assumptions!N63-1))</f>
        <v>0</v>
      </c>
      <c r="O43" s="432">
        <f t="shared" si="3"/>
        <v>0</v>
      </c>
      <c r="P43" s="435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0"/>
      <c r="C44" s="258"/>
      <c r="D44" s="465" t="s">
        <v>61</v>
      </c>
      <c r="E44" s="466"/>
      <c r="F44" s="292">
        <f t="shared" ref="F44:N44" si="5">+SUM(F33:F43)</f>
        <v>0</v>
      </c>
      <c r="G44" s="253">
        <f t="shared" si="5"/>
        <v>0</v>
      </c>
      <c r="H44" s="253">
        <f t="shared" si="5"/>
        <v>0</v>
      </c>
      <c r="I44" s="408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6">
        <f t="shared" si="5"/>
        <v>0</v>
      </c>
      <c r="O44" s="370">
        <f>SUM(O34:O43)</f>
        <v>0</v>
      </c>
      <c r="P44" s="371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0"/>
      <c r="C45" s="258"/>
      <c r="D45" s="284"/>
      <c r="E45" s="6"/>
      <c r="F45" s="293"/>
      <c r="G45" s="287"/>
      <c r="H45" s="287"/>
      <c r="I45" s="409"/>
      <c r="J45" s="288"/>
      <c r="K45" s="288"/>
      <c r="L45" s="288"/>
      <c r="M45" s="288"/>
      <c r="N45" s="289"/>
      <c r="O45" s="298"/>
      <c r="P45" s="255"/>
    </row>
    <row r="46" spans="1:22">
      <c r="A46" s="6"/>
      <c r="B46" s="250"/>
      <c r="C46" s="258" t="s">
        <v>165</v>
      </c>
      <c r="D46" s="352" t="s">
        <v>270</v>
      </c>
      <c r="E46" s="6"/>
      <c r="F46" s="291">
        <f>IF(F$10="Prior",0,(F11*F29)*(Assumptions!F28-1))</f>
        <v>0</v>
      </c>
      <c r="G46" s="290">
        <f>IF(G$10="Prior",0,(G11*G29)*(Assumptions!G28-1))</f>
        <v>1.2808609200000163</v>
      </c>
      <c r="H46" s="290">
        <f>IF(H$10="Prior",0,(H11*H29)*(Assumptions!H28-1))</f>
        <v>10.530058353685227</v>
      </c>
      <c r="I46" s="407">
        <f>IF(I$10="Prior",0,(I11*I29)*(Assumptions!I28-1))</f>
        <v>33.491071987049018</v>
      </c>
      <c r="J46" s="282">
        <f>IF(J$10="Prior",0,(J11*J29)*(Assumptions!J28-1))</f>
        <v>2.3614269278862374</v>
      </c>
      <c r="K46" s="282">
        <f>IF(K$10="Prior",0,(K11*K29)*(Assumptions!K28-1))</f>
        <v>0</v>
      </c>
      <c r="L46" s="282">
        <f>IF(L$10="Prior",0,(L11*L29)*(Assumptions!L28-1))</f>
        <v>0</v>
      </c>
      <c r="M46" s="282">
        <f>IF(M$10="Prior",0,(M11*M29)*(Assumptions!M28-1))</f>
        <v>0</v>
      </c>
      <c r="N46" s="283">
        <f>IF(N$10="Prior",0,(N11*N29)*(Assumptions!N28-1))</f>
        <v>0</v>
      </c>
      <c r="O46" s="362">
        <f t="shared" ref="O46:O47" si="6">SUM(F46:N46)</f>
        <v>47.663418188620497</v>
      </c>
      <c r="P46" s="300">
        <f t="shared" ref="P46:P47" si="7">SUM(I46:M46)</f>
        <v>35.852498914935254</v>
      </c>
    </row>
    <row r="47" spans="1:22">
      <c r="A47" s="6"/>
      <c r="B47" s="250"/>
      <c r="C47" s="258"/>
      <c r="D47" s="352" t="s">
        <v>271</v>
      </c>
      <c r="E47" s="6"/>
      <c r="F47" s="294">
        <f>IF(F$10="Prior",0,(F11*F30)*(Assumptions!F30-1))</f>
        <v>0</v>
      </c>
      <c r="G47" s="290">
        <f>IF(G$10="Prior",0,(G11*G30)*(Assumptions!G30-1))</f>
        <v>4.469387039999992</v>
      </c>
      <c r="H47" s="290">
        <f>IF(H$10="Prior",0,(H11*H30)*(Assumptions!H30-1))</f>
        <v>45.238506587063632</v>
      </c>
      <c r="I47" s="407">
        <f>IF(I$10="Prior",0,(I11*I30)*(Assumptions!I30-1))</f>
        <v>172.10844634193327</v>
      </c>
      <c r="J47" s="282">
        <f>IF(J$10="Prior",0,(J11*J30)*(Assumptions!J30-1))</f>
        <v>13.012353357397762</v>
      </c>
      <c r="K47" s="282">
        <f>IF(K$10="Prior",0,(K11*K30)*(Assumptions!K30-1))</f>
        <v>0</v>
      </c>
      <c r="L47" s="282">
        <f>IF(L$10="Prior",0,(L11*L30)*(Assumptions!L30-1))</f>
        <v>0</v>
      </c>
      <c r="M47" s="282">
        <f>IF(M$10="Prior",0,(M11*M30)*(Assumptions!M30-1))</f>
        <v>0</v>
      </c>
      <c r="N47" s="283">
        <f>IF(N$10="Prior",0,(N11*N30)*(Assumptions!N30-1))</f>
        <v>0</v>
      </c>
      <c r="O47" s="362">
        <f t="shared" si="6"/>
        <v>234.82869332639464</v>
      </c>
      <c r="P47" s="300">
        <f t="shared" si="7"/>
        <v>185.12079969933103</v>
      </c>
    </row>
    <row r="48" spans="1:22">
      <c r="A48" s="6"/>
      <c r="B48" s="250"/>
      <c r="C48" s="258"/>
      <c r="D48" s="465" t="s">
        <v>273</v>
      </c>
      <c r="E48" s="467"/>
      <c r="F48" s="292">
        <f>SUM(F46:F47)</f>
        <v>0</v>
      </c>
      <c r="G48" s="253">
        <f t="shared" ref="G48:N48" si="8">SUM(G46:G47)</f>
        <v>5.7502479600000083</v>
      </c>
      <c r="H48" s="253">
        <f t="shared" si="8"/>
        <v>55.76856494074886</v>
      </c>
      <c r="I48" s="408">
        <f t="shared" si="8"/>
        <v>205.5995183289823</v>
      </c>
      <c r="J48" s="5">
        <f t="shared" si="8"/>
        <v>15.373780285283999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6">
        <f t="shared" si="8"/>
        <v>0</v>
      </c>
      <c r="O48" s="433">
        <f>SUM(O46:O47)</f>
        <v>282.49211151501515</v>
      </c>
      <c r="P48" s="434">
        <f>SUM(P46:P47)</f>
        <v>220.9732986142663</v>
      </c>
    </row>
    <row r="49" spans="1:18">
      <c r="A49" s="6"/>
      <c r="B49" s="250"/>
      <c r="C49" s="439"/>
      <c r="D49" s="465" t="s">
        <v>60</v>
      </c>
      <c r="E49" s="467"/>
      <c r="F49" s="292">
        <f t="shared" ref="F49:N49" si="9">F44+F48</f>
        <v>0</v>
      </c>
      <c r="G49" s="253">
        <f t="shared" si="9"/>
        <v>5.7502479600000083</v>
      </c>
      <c r="H49" s="253">
        <f t="shared" si="9"/>
        <v>55.76856494074886</v>
      </c>
      <c r="I49" s="408">
        <f t="shared" si="9"/>
        <v>205.5995183289823</v>
      </c>
      <c r="J49" s="5">
        <f t="shared" si="9"/>
        <v>15.373780285283999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6">
        <f t="shared" si="9"/>
        <v>0</v>
      </c>
      <c r="O49" s="370">
        <f>O44+O48</f>
        <v>282.49211151501515</v>
      </c>
      <c r="P49" s="371">
        <f>P44+P48</f>
        <v>220.9732986142663</v>
      </c>
    </row>
    <row r="50" spans="1:18">
      <c r="A50" s="6"/>
      <c r="B50" s="250"/>
      <c r="C50" s="260"/>
      <c r="D50" s="386" t="s">
        <v>283</v>
      </c>
      <c r="E50" s="445"/>
      <c r="F50" s="440">
        <f t="shared" ref="F50:P50" si="10">IF(ISERROR(F49/F11),0,F49/F11)</f>
        <v>0</v>
      </c>
      <c r="G50" s="441">
        <f t="shared" si="10"/>
        <v>2.637500000000004E-3</v>
      </c>
      <c r="H50" s="441">
        <f t="shared" si="10"/>
        <v>6.6274587499999928E-3</v>
      </c>
      <c r="I50" s="442">
        <f t="shared" si="10"/>
        <v>1.2685809181843744E-2</v>
      </c>
      <c r="J50" s="443">
        <f t="shared" si="10"/>
        <v>1.8835754243782789E-2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4">
        <f t="shared" si="10"/>
        <v>0</v>
      </c>
      <c r="O50" s="444">
        <f t="shared" si="10"/>
        <v>1.0159426034274619E-2</v>
      </c>
      <c r="P50" s="444">
        <f t="shared" si="10"/>
        <v>1.2980676346424231E-2</v>
      </c>
    </row>
    <row r="51" spans="1:18">
      <c r="A51" s="6"/>
      <c r="B51" s="6"/>
      <c r="C51" s="261" t="s">
        <v>277</v>
      </c>
      <c r="D51" s="349" t="s">
        <v>17</v>
      </c>
      <c r="E51" s="267"/>
      <c r="F51" s="308">
        <f>(F29*F$11+F46)*Assumptions!$G$21</f>
        <v>19.087549074225429</v>
      </c>
      <c r="G51" s="280">
        <f>(G29*G$11+G46)*Assumptions!$G$21</f>
        <v>223.00969894308273</v>
      </c>
      <c r="H51" s="280">
        <f>(H29*H$11+H46)*Assumptions!$G$21</f>
        <v>866.42107793469427</v>
      </c>
      <c r="I51" s="410">
        <f>(I29*I$11+I46)*Assumptions!$G$21</f>
        <v>1682.1803886184093</v>
      </c>
      <c r="J51" s="280">
        <f>(J29*J$11+J46)*Assumptions!$G$21</f>
        <v>85.402368736816669</v>
      </c>
      <c r="K51" s="280">
        <f>(K29*K$11+K46)*Assumptions!$G$21</f>
        <v>0</v>
      </c>
      <c r="L51" s="280">
        <f>(L29*L$11+L46)*Assumptions!$G$21</f>
        <v>0</v>
      </c>
      <c r="M51" s="280">
        <f>(M29*M$11+M46)*Assumptions!$G$21</f>
        <v>0</v>
      </c>
      <c r="N51" s="281">
        <f>(N29*N$11+N46)*Assumptions!$G$21</f>
        <v>0</v>
      </c>
      <c r="O51" s="373">
        <f t="shared" ref="O51:O53" si="11">SUM(F51:N51)</f>
        <v>2876.1010833072282</v>
      </c>
      <c r="P51" s="375">
        <f>SUM(I51:M51)</f>
        <v>1767.582757355226</v>
      </c>
    </row>
    <row r="52" spans="1:18">
      <c r="A52" s="6"/>
      <c r="B52" s="6"/>
      <c r="C52" s="255" t="s">
        <v>25</v>
      </c>
      <c r="D52" s="348" t="s">
        <v>19</v>
      </c>
      <c r="E52" s="264"/>
      <c r="F52" s="309">
        <f>(F30*F$11+F47)*Assumptions!$G$21</f>
        <v>95.437745371127136</v>
      </c>
      <c r="G52" s="282">
        <f>(G30*G$11+G47)*Assumptions!$G$21</f>
        <v>1113.0808435876691</v>
      </c>
      <c r="H52" s="282">
        <f>(H30*H$11+H47)*Assumptions!$G$21</f>
        <v>4324.5682171488152</v>
      </c>
      <c r="I52" s="407">
        <f>(I30*I$11+I47)*Assumptions!$G$21</f>
        <v>8415.6337471259139</v>
      </c>
      <c r="J52" s="282">
        <f>(J30*J$11+J47)*Assumptions!$G$21</f>
        <v>428.23745144051168</v>
      </c>
      <c r="K52" s="282">
        <f>(K30*K$11+K47)*Assumptions!$G$21</f>
        <v>0</v>
      </c>
      <c r="L52" s="282">
        <f>(L30*L$11+L47)*Assumptions!$G$21</f>
        <v>0</v>
      </c>
      <c r="M52" s="282">
        <f>(M30*M$11+M47)*Assumptions!$G$21</f>
        <v>0</v>
      </c>
      <c r="N52" s="283">
        <f>(N30*N$11+N47)*Assumptions!$G$21</f>
        <v>0</v>
      </c>
      <c r="O52" s="374">
        <f t="shared" si="11"/>
        <v>14376.958004674036</v>
      </c>
      <c r="P52" s="376">
        <f>SUM(I52:M52)</f>
        <v>8843.8711985664249</v>
      </c>
    </row>
    <row r="53" spans="1:18">
      <c r="A53" s="6"/>
      <c r="B53" s="6"/>
      <c r="C53" s="255"/>
      <c r="D53" s="348" t="s">
        <v>18</v>
      </c>
      <c r="E53" s="264"/>
      <c r="F53" s="309">
        <f>(F31*F$11+F$44)*Assumptions!$G$21</f>
        <v>76.350196296901714</v>
      </c>
      <c r="G53" s="282">
        <f>(G31*G$11+G$44)*Assumptions!$G$21</f>
        <v>886.82867729323311</v>
      </c>
      <c r="H53" s="282">
        <f>(H31*H$11+H$44)*Assumptions!$G$21</f>
        <v>3422.851517984313</v>
      </c>
      <c r="I53" s="407">
        <f>(I31*I$11+I$44)*Assumptions!$G$21</f>
        <v>6592.4909533834598</v>
      </c>
      <c r="J53" s="282">
        <f>(J31*J$11+J$44)*Assumptions!$G$21</f>
        <v>332.0039714285715</v>
      </c>
      <c r="K53" s="282">
        <f>(K31*K$11+K$44)*Assumptions!$G$21</f>
        <v>0</v>
      </c>
      <c r="L53" s="282">
        <f>(L31*L$11+L$44)*Assumptions!$G$21</f>
        <v>0</v>
      </c>
      <c r="M53" s="282">
        <f>(M31*M$11+M$44)*Assumptions!$G$21</f>
        <v>0</v>
      </c>
      <c r="N53" s="283">
        <f>(N31*N$11+N$44)*Assumptions!$G$21</f>
        <v>0</v>
      </c>
      <c r="O53" s="374">
        <f t="shared" si="11"/>
        <v>11310.52531638648</v>
      </c>
      <c r="P53" s="376">
        <f>SUM(I53:M53)</f>
        <v>6924.4949248120311</v>
      </c>
    </row>
    <row r="54" spans="1:18">
      <c r="A54" s="6"/>
      <c r="B54" s="6"/>
      <c r="C54" s="468"/>
      <c r="D54" s="469" t="str">
        <f>"Total Direct - As Incurred "&amp;Assumptions!$C$8</f>
        <v>Total Direct - As Incurred $ Mar 2017</v>
      </c>
      <c r="E54" s="466"/>
      <c r="F54" s="299">
        <f t="shared" ref="F54:P54" si="12">+SUM(F51:F53)</f>
        <v>190.87549074225427</v>
      </c>
      <c r="G54" s="5">
        <f t="shared" si="12"/>
        <v>2222.9192198239848</v>
      </c>
      <c r="H54" s="5">
        <f t="shared" si="12"/>
        <v>8613.8408130678217</v>
      </c>
      <c r="I54" s="411">
        <f t="shared" si="12"/>
        <v>16690.305089127782</v>
      </c>
      <c r="J54" s="382">
        <f t="shared" si="12"/>
        <v>845.64379160589988</v>
      </c>
      <c r="K54" s="382">
        <f t="shared" si="12"/>
        <v>0</v>
      </c>
      <c r="L54" s="382">
        <f t="shared" si="12"/>
        <v>0</v>
      </c>
      <c r="M54" s="382">
        <f t="shared" si="12"/>
        <v>0</v>
      </c>
      <c r="N54" s="286">
        <f t="shared" si="12"/>
        <v>0</v>
      </c>
      <c r="O54" s="372">
        <f t="shared" si="12"/>
        <v>28563.584404367743</v>
      </c>
      <c r="P54" s="428">
        <f t="shared" si="12"/>
        <v>17535.948880733682</v>
      </c>
      <c r="R54" s="616" t="str">
        <f>IF(ROUND(O11*(1+O50)*Assumptions!$G$21,0)-ROUND(O54,0)&lt;&gt;0,"Error","ok")</f>
        <v>ok</v>
      </c>
    </row>
    <row r="55" spans="1:18">
      <c r="A55" s="6"/>
      <c r="B55" s="6"/>
      <c r="C55" s="257"/>
      <c r="D55" s="302"/>
      <c r="E55" s="268"/>
      <c r="F55" s="296"/>
      <c r="G55" s="297"/>
      <c r="H55" s="395"/>
      <c r="I55" s="412"/>
      <c r="J55" s="303"/>
      <c r="K55" s="303"/>
      <c r="L55" s="303"/>
      <c r="M55" s="303"/>
      <c r="N55" s="304"/>
      <c r="O55" s="298"/>
      <c r="P55" s="255"/>
    </row>
    <row r="56" spans="1:18">
      <c r="A56" s="6"/>
      <c r="B56" s="250"/>
      <c r="C56" s="258" t="s">
        <v>274</v>
      </c>
      <c r="D56" s="350" t="s">
        <v>272</v>
      </c>
      <c r="E56" s="269"/>
      <c r="F56" s="314">
        <f>INDEX(OHD_Summary_tbl,MATCH($D$9,Assumptions!$C$95:$C$97,0),MATCH(F$10,Assumptions!$D$94:$N$94,0))</f>
        <v>8.0081718857033676E-2</v>
      </c>
      <c r="G56" s="315">
        <f>INDEX(OHD_Summary_tbl,MATCH($D$9,Assumptions!$C$95:$C$97,0),MATCH(G$10,Assumptions!$D$94:$N$94,0))</f>
        <v>5.9444785210206755E-2</v>
      </c>
      <c r="H56" s="396">
        <f>INDEX(OHD_Summary_tbl,MATCH($D$9,Assumptions!$C$95:$C$97,0),MATCH(H$10,Assumptions!$D$94:$N$94,0))</f>
        <v>7.2593686766146664E-2</v>
      </c>
      <c r="I56" s="413">
        <f>INDEX(OHD_Summary_tbl,MATCH($D$9,Assumptions!$C$95:$C$97,0),MATCH(I$10,Assumptions!$D$94:$N$94,0))</f>
        <v>8.8186632395166858E-2</v>
      </c>
      <c r="J56" s="316">
        <f>INDEX(OHD_Summary_tbl,MATCH($D$9,Assumptions!$C$95:$C$97,0),MATCH(J$10,Assumptions!$D$94:$N$94,0))</f>
        <v>0.12029963760355783</v>
      </c>
      <c r="K56" s="316">
        <f>INDEX(OHD_Summary_tbl,MATCH($D$9,Assumptions!$C$95:$C$97,0),MATCH(K$10,Assumptions!$D$94:$N$94,0))</f>
        <v>0.13048106234511045</v>
      </c>
      <c r="L56" s="316">
        <f>INDEX(OHD_Summary_tbl,MATCH($D$9,Assumptions!$C$95:$C$97,0),MATCH(L$10,Assumptions!$D$94:$N$94,0))</f>
        <v>0.1179104066006242</v>
      </c>
      <c r="M56" s="316">
        <f>INDEX(OHD_Summary_tbl,MATCH($D$9,Assumptions!$C$95:$C$97,0),MATCH(M$10,Assumptions!$D$94:$N$94,0))</f>
        <v>0.11103780756565028</v>
      </c>
      <c r="N56" s="317">
        <f>INDEX(OHD_Summary_tbl,MATCH($D$9,Assumptions!$C$95:$C$97,0),MATCH(N$10,Assumptions!$D$94:$N$94,0))</f>
        <v>0.11358310930202191</v>
      </c>
      <c r="O56" s="298"/>
      <c r="P56" s="367"/>
    </row>
    <row r="57" spans="1:18">
      <c r="A57" s="6"/>
      <c r="B57" s="250"/>
      <c r="C57" s="258"/>
      <c r="D57" s="350" t="s">
        <v>267</v>
      </c>
      <c r="E57" s="269"/>
      <c r="F57" s="294">
        <f>F54*F56</f>
        <v>15.285637386319541</v>
      </c>
      <c r="G57" s="290">
        <f t="shared" ref="G57:N57" si="13">G54*G56</f>
        <v>132.14095556207715</v>
      </c>
      <c r="H57" s="290">
        <f t="shared" si="13"/>
        <v>625.31046183729552</v>
      </c>
      <c r="I57" s="407">
        <f t="shared" si="13"/>
        <v>1471.8617994580943</v>
      </c>
      <c r="J57" s="282">
        <f t="shared" si="13"/>
        <v>101.73064167188834</v>
      </c>
      <c r="K57" s="282">
        <f t="shared" si="13"/>
        <v>0</v>
      </c>
      <c r="L57" s="282">
        <f t="shared" si="13"/>
        <v>0</v>
      </c>
      <c r="M57" s="282">
        <f t="shared" si="13"/>
        <v>0</v>
      </c>
      <c r="N57" s="283">
        <f t="shared" si="13"/>
        <v>0</v>
      </c>
      <c r="O57" s="309">
        <f>SUM(F57:N57)</f>
        <v>2346.3294959156747</v>
      </c>
      <c r="P57" s="300">
        <f>SUM(I57:M57)</f>
        <v>1573.5924411299827</v>
      </c>
    </row>
    <row r="58" spans="1:18">
      <c r="A58" s="6"/>
      <c r="B58" s="250"/>
      <c r="C58" s="259"/>
      <c r="D58" s="305"/>
      <c r="E58" s="266"/>
      <c r="F58" s="298"/>
      <c r="G58" s="6"/>
      <c r="H58" s="6"/>
      <c r="I58" s="414"/>
      <c r="J58" s="6"/>
      <c r="K58" s="6"/>
      <c r="L58" s="6"/>
      <c r="M58" s="6"/>
      <c r="N58" s="295"/>
      <c r="O58" s="298"/>
      <c r="P58" s="255"/>
    </row>
    <row r="59" spans="1:18">
      <c r="A59" s="6"/>
      <c r="B59" s="6"/>
      <c r="C59" s="468"/>
      <c r="D59" s="469" t="str">
        <f>"Total incl Overhead - As Incurred "&amp;Assumptions!$C$8</f>
        <v>Total incl Overhead - As Incurred $ Mar 2017</v>
      </c>
      <c r="E59" s="466"/>
      <c r="F59" s="299">
        <f t="shared" ref="F59:M59" si="14">F54+F57</f>
        <v>206.16112812857381</v>
      </c>
      <c r="G59" s="5">
        <f t="shared" si="14"/>
        <v>2355.0601753860619</v>
      </c>
      <c r="H59" s="5">
        <f t="shared" si="14"/>
        <v>9239.151274905118</v>
      </c>
      <c r="I59" s="411">
        <f t="shared" si="14"/>
        <v>18162.166888585874</v>
      </c>
      <c r="J59" s="382">
        <f t="shared" si="14"/>
        <v>947.37443327778817</v>
      </c>
      <c r="K59" s="382">
        <f t="shared" si="14"/>
        <v>0</v>
      </c>
      <c r="L59" s="382">
        <f t="shared" si="14"/>
        <v>0</v>
      </c>
      <c r="M59" s="382">
        <f t="shared" si="14"/>
        <v>0</v>
      </c>
      <c r="N59" s="418">
        <f>N54+N57</f>
        <v>0</v>
      </c>
      <c r="O59" s="419">
        <f t="shared" ref="O59:P59" si="15">O54+O57</f>
        <v>30909.913900283416</v>
      </c>
      <c r="P59" s="429">
        <f t="shared" si="15"/>
        <v>19109.541321863664</v>
      </c>
    </row>
    <row r="60" spans="1:18" hidden="1" outlineLevel="1">
      <c r="A60" s="6"/>
      <c r="B60" s="6"/>
      <c r="C60" s="6"/>
      <c r="D60" s="313" t="s">
        <v>263</v>
      </c>
      <c r="E60" s="313"/>
      <c r="F60" s="290">
        <f>F57</f>
        <v>15.285637386319541</v>
      </c>
      <c r="G60" s="290">
        <f t="shared" ref="G60:N60" si="16">G57+F60</f>
        <v>147.42659294839669</v>
      </c>
      <c r="H60" s="290">
        <f t="shared" si="16"/>
        <v>772.73705478569218</v>
      </c>
      <c r="I60" s="290">
        <f t="shared" si="16"/>
        <v>2244.5988542437863</v>
      </c>
      <c r="J60" s="290">
        <f t="shared" si="16"/>
        <v>2346.3294959156747</v>
      </c>
      <c r="K60" s="290">
        <f t="shared" si="16"/>
        <v>2346.3294959156747</v>
      </c>
      <c r="L60" s="290">
        <f t="shared" si="16"/>
        <v>2346.3294959156747</v>
      </c>
      <c r="M60" s="290">
        <f t="shared" si="16"/>
        <v>2346.3294959156747</v>
      </c>
      <c r="N60" s="290">
        <f t="shared" si="16"/>
        <v>2346.3294959156747</v>
      </c>
    </row>
    <row r="61" spans="1:18" hidden="1" outlineLevel="1" collapsed="1">
      <c r="A61" s="6"/>
      <c r="B61" s="6"/>
      <c r="D61" s="251" t="s">
        <v>288</v>
      </c>
      <c r="E61" s="251"/>
      <c r="F61" s="252">
        <f>F49</f>
        <v>0</v>
      </c>
      <c r="G61" s="252">
        <f>G49+F61</f>
        <v>5.7502479600000083</v>
      </c>
      <c r="H61" s="252">
        <f t="shared" ref="H61:N61" si="17">H49+G61</f>
        <v>61.51881290074887</v>
      </c>
      <c r="I61" s="252">
        <f t="shared" si="17"/>
        <v>267.11833122973115</v>
      </c>
      <c r="J61" s="252">
        <f t="shared" si="17"/>
        <v>282.49211151501515</v>
      </c>
      <c r="K61" s="252">
        <f t="shared" si="17"/>
        <v>282.49211151501515</v>
      </c>
      <c r="L61" s="252">
        <f t="shared" si="17"/>
        <v>282.49211151501515</v>
      </c>
      <c r="M61" s="252">
        <f t="shared" si="17"/>
        <v>282.49211151501515</v>
      </c>
      <c r="N61" s="252">
        <f t="shared" si="17"/>
        <v>282.49211151501515</v>
      </c>
    </row>
    <row r="62" spans="1:18" collapsed="1">
      <c r="A62" s="6"/>
      <c r="B62" s="6"/>
      <c r="D62" s="251"/>
      <c r="E62" s="251"/>
      <c r="F62" s="252"/>
      <c r="G62" s="252"/>
      <c r="H62" s="252"/>
      <c r="I62" s="252"/>
      <c r="J62" s="252"/>
      <c r="K62" s="252"/>
      <c r="L62" s="252"/>
      <c r="M62" s="252"/>
      <c r="N62" s="252"/>
    </row>
    <row r="63" spans="1:18">
      <c r="A63" s="6"/>
      <c r="B63" s="6"/>
      <c r="C63" s="384" t="s">
        <v>275</v>
      </c>
      <c r="D63" s="285"/>
      <c r="E63" s="285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62"/>
    </row>
    <row r="64" spans="1:18">
      <c r="A64" s="6"/>
      <c r="B64" s="6"/>
      <c r="C64" s="254" t="s">
        <v>23</v>
      </c>
      <c r="D64" s="349" t="s">
        <v>3</v>
      </c>
      <c r="E64" s="267"/>
      <c r="F64" s="308">
        <f t="shared" ref="F64:N64" si="18">F$59*F17</f>
        <v>26.931483874357006</v>
      </c>
      <c r="G64" s="280">
        <f t="shared" si="18"/>
        <v>307.64900111040578</v>
      </c>
      <c r="H64" s="280">
        <f t="shared" si="18"/>
        <v>1206.9397166747717</v>
      </c>
      <c r="I64" s="415">
        <f t="shared" si="18"/>
        <v>2372.5816264367713</v>
      </c>
      <c r="J64" s="380">
        <f t="shared" si="18"/>
        <v>123.75853539609443</v>
      </c>
      <c r="K64" s="380">
        <f t="shared" si="18"/>
        <v>0</v>
      </c>
      <c r="L64" s="380">
        <f t="shared" si="18"/>
        <v>0</v>
      </c>
      <c r="M64" s="380">
        <f t="shared" si="18"/>
        <v>0</v>
      </c>
      <c r="N64" s="281">
        <f t="shared" si="18"/>
        <v>0</v>
      </c>
      <c r="O64" s="373">
        <f>SUM(F64:N64)</f>
        <v>4037.8603634924002</v>
      </c>
      <c r="P64" s="430">
        <f>SUM(I64:M64)</f>
        <v>2496.3401618328658</v>
      </c>
    </row>
    <row r="65" spans="1:16">
      <c r="A65" s="6"/>
      <c r="B65" s="6"/>
      <c r="C65" s="255" t="s">
        <v>24</v>
      </c>
      <c r="D65" s="348" t="s">
        <v>4</v>
      </c>
      <c r="E65" s="264"/>
      <c r="F65" s="309">
        <f t="shared" ref="F65:N65" si="19">F$59*F18</f>
        <v>84.428030274237116</v>
      </c>
      <c r="G65" s="282">
        <f t="shared" si="19"/>
        <v>964.45481061367195</v>
      </c>
      <c r="H65" s="282">
        <f t="shared" si="19"/>
        <v>3783.6586878757585</v>
      </c>
      <c r="I65" s="416">
        <f t="shared" si="19"/>
        <v>7437.8520812078705</v>
      </c>
      <c r="J65" s="381">
        <f t="shared" si="19"/>
        <v>387.97302895981517</v>
      </c>
      <c r="K65" s="381">
        <f t="shared" si="19"/>
        <v>0</v>
      </c>
      <c r="L65" s="381">
        <f t="shared" si="19"/>
        <v>0</v>
      </c>
      <c r="M65" s="381">
        <f t="shared" si="19"/>
        <v>0</v>
      </c>
      <c r="N65" s="283">
        <f t="shared" si="19"/>
        <v>0</v>
      </c>
      <c r="O65" s="374">
        <f t="shared" ref="O65:O73" si="20">SUM(F65:N65)</f>
        <v>12658.366638931355</v>
      </c>
      <c r="P65" s="431">
        <f t="shared" ref="P65:P73" si="21">SUM(I65:M65)</f>
        <v>7825.825110167686</v>
      </c>
    </row>
    <row r="66" spans="1:16">
      <c r="A66" s="6"/>
      <c r="B66" s="6"/>
      <c r="C66" s="255" t="s">
        <v>25</v>
      </c>
      <c r="D66" s="348" t="s">
        <v>5</v>
      </c>
      <c r="E66" s="264"/>
      <c r="F66" s="309">
        <f t="shared" ref="F66:N66" si="22">F$59*F19</f>
        <v>67.787024737465558</v>
      </c>
      <c r="G66" s="282">
        <f t="shared" si="22"/>
        <v>774.35801703390359</v>
      </c>
      <c r="H66" s="282">
        <f t="shared" si="22"/>
        <v>3037.8887703533846</v>
      </c>
      <c r="I66" s="416">
        <f t="shared" si="22"/>
        <v>5971.8302249235239</v>
      </c>
      <c r="J66" s="381">
        <f t="shared" si="22"/>
        <v>311.50243854017322</v>
      </c>
      <c r="K66" s="381">
        <f t="shared" si="22"/>
        <v>0</v>
      </c>
      <c r="L66" s="381">
        <f t="shared" si="22"/>
        <v>0</v>
      </c>
      <c r="M66" s="381">
        <f t="shared" si="22"/>
        <v>0</v>
      </c>
      <c r="N66" s="283">
        <f t="shared" si="22"/>
        <v>0</v>
      </c>
      <c r="O66" s="374">
        <f t="shared" si="20"/>
        <v>10163.366475588451</v>
      </c>
      <c r="P66" s="431">
        <f t="shared" si="21"/>
        <v>6283.3326634636969</v>
      </c>
    </row>
    <row r="67" spans="1:16">
      <c r="A67" s="6"/>
      <c r="B67" s="6"/>
      <c r="C67" s="255"/>
      <c r="D67" s="348" t="s">
        <v>6</v>
      </c>
      <c r="E67" s="264"/>
      <c r="F67" s="309">
        <f t="shared" ref="F67:N67" si="23">F$59*F20</f>
        <v>0</v>
      </c>
      <c r="G67" s="282">
        <f t="shared" si="23"/>
        <v>0</v>
      </c>
      <c r="H67" s="282">
        <f t="shared" si="23"/>
        <v>0</v>
      </c>
      <c r="I67" s="416">
        <f t="shared" si="23"/>
        <v>0</v>
      </c>
      <c r="J67" s="381">
        <f t="shared" si="23"/>
        <v>0</v>
      </c>
      <c r="K67" s="381">
        <f t="shared" si="23"/>
        <v>0</v>
      </c>
      <c r="L67" s="381">
        <f t="shared" si="23"/>
        <v>0</v>
      </c>
      <c r="M67" s="381">
        <f t="shared" si="23"/>
        <v>0</v>
      </c>
      <c r="N67" s="283">
        <f t="shared" si="23"/>
        <v>0</v>
      </c>
      <c r="O67" s="374">
        <f t="shared" si="20"/>
        <v>0</v>
      </c>
      <c r="P67" s="431">
        <f t="shared" si="21"/>
        <v>0</v>
      </c>
    </row>
    <row r="68" spans="1:16">
      <c r="A68" s="6"/>
      <c r="B68" s="6"/>
      <c r="C68" s="255"/>
      <c r="D68" s="348" t="s">
        <v>7</v>
      </c>
      <c r="E68" s="264"/>
      <c r="F68" s="309">
        <f t="shared" ref="F68:N68" si="24">F$59*F21</f>
        <v>2.9206896206129906</v>
      </c>
      <c r="G68" s="282">
        <f t="shared" si="24"/>
        <v>33.364193689701381</v>
      </c>
      <c r="H68" s="282">
        <f t="shared" si="24"/>
        <v>130.89127653133266</v>
      </c>
      <c r="I68" s="416">
        <f t="shared" si="24"/>
        <v>257.30385160800614</v>
      </c>
      <c r="J68" s="381">
        <f t="shared" si="24"/>
        <v>13.42147619789362</v>
      </c>
      <c r="K68" s="381">
        <f t="shared" si="24"/>
        <v>0</v>
      </c>
      <c r="L68" s="381">
        <f t="shared" si="24"/>
        <v>0</v>
      </c>
      <c r="M68" s="381">
        <f t="shared" si="24"/>
        <v>0</v>
      </c>
      <c r="N68" s="283">
        <f t="shared" si="24"/>
        <v>0</v>
      </c>
      <c r="O68" s="374">
        <f t="shared" si="20"/>
        <v>437.90148764754679</v>
      </c>
      <c r="P68" s="431">
        <f t="shared" si="21"/>
        <v>270.72532780589978</v>
      </c>
    </row>
    <row r="69" spans="1:16">
      <c r="A69" s="6"/>
      <c r="B69" s="6"/>
      <c r="C69" s="255"/>
      <c r="D69" s="348" t="s">
        <v>8</v>
      </c>
      <c r="E69" s="264"/>
      <c r="F69" s="309">
        <f t="shared" ref="F69:N69" si="25">F$59*F22</f>
        <v>23.407411180456858</v>
      </c>
      <c r="G69" s="282">
        <f t="shared" si="25"/>
        <v>267.39212372567522</v>
      </c>
      <c r="H69" s="282">
        <f t="shared" si="25"/>
        <v>1049.0077097136923</v>
      </c>
      <c r="I69" s="416">
        <f t="shared" si="25"/>
        <v>2062.1215655362221</v>
      </c>
      <c r="J69" s="381">
        <f t="shared" si="25"/>
        <v>107.56432651918514</v>
      </c>
      <c r="K69" s="381">
        <f t="shared" si="25"/>
        <v>0</v>
      </c>
      <c r="L69" s="381">
        <f t="shared" si="25"/>
        <v>0</v>
      </c>
      <c r="M69" s="381">
        <f t="shared" si="25"/>
        <v>0</v>
      </c>
      <c r="N69" s="283">
        <f t="shared" si="25"/>
        <v>0</v>
      </c>
      <c r="O69" s="374">
        <f t="shared" si="20"/>
        <v>3509.4931366752317</v>
      </c>
      <c r="P69" s="431">
        <f t="shared" si="21"/>
        <v>2169.6858920554073</v>
      </c>
    </row>
    <row r="70" spans="1:16">
      <c r="A70" s="6"/>
      <c r="B70" s="6"/>
      <c r="C70" s="255"/>
      <c r="D70" s="348" t="s">
        <v>9</v>
      </c>
      <c r="E70" s="264"/>
      <c r="F70" s="309">
        <f t="shared" ref="F70:N70" si="26">F$59*F23</f>
        <v>0.68648844144430221</v>
      </c>
      <c r="G70" s="282">
        <f t="shared" si="26"/>
        <v>7.8420292127041673</v>
      </c>
      <c r="H70" s="282">
        <f t="shared" si="26"/>
        <v>30.765113756178927</v>
      </c>
      <c r="I70" s="416">
        <f t="shared" si="26"/>
        <v>60.477538873481528</v>
      </c>
      <c r="J70" s="381">
        <f t="shared" si="26"/>
        <v>3.1546276646266964</v>
      </c>
      <c r="K70" s="381">
        <f t="shared" si="26"/>
        <v>0</v>
      </c>
      <c r="L70" s="381">
        <f t="shared" si="26"/>
        <v>0</v>
      </c>
      <c r="M70" s="381">
        <f t="shared" si="26"/>
        <v>0</v>
      </c>
      <c r="N70" s="283">
        <f t="shared" si="26"/>
        <v>0</v>
      </c>
      <c r="O70" s="374">
        <f t="shared" si="20"/>
        <v>102.92579794843562</v>
      </c>
      <c r="P70" s="431">
        <f t="shared" si="21"/>
        <v>63.632166538108223</v>
      </c>
    </row>
    <row r="71" spans="1:16">
      <c r="A71" s="6"/>
      <c r="B71" s="6"/>
      <c r="C71" s="255"/>
      <c r="D71" s="348" t="s">
        <v>10</v>
      </c>
      <c r="E71" s="264"/>
      <c r="F71" s="309">
        <f t="shared" ref="F71:N71" si="27">F$59*F24</f>
        <v>0</v>
      </c>
      <c r="G71" s="282">
        <f t="shared" si="27"/>
        <v>0</v>
      </c>
      <c r="H71" s="282">
        <f t="shared" si="27"/>
        <v>0</v>
      </c>
      <c r="I71" s="416">
        <f t="shared" si="27"/>
        <v>0</v>
      </c>
      <c r="J71" s="381">
        <f t="shared" si="27"/>
        <v>0</v>
      </c>
      <c r="K71" s="381">
        <f t="shared" si="27"/>
        <v>0</v>
      </c>
      <c r="L71" s="381">
        <f t="shared" si="27"/>
        <v>0</v>
      </c>
      <c r="M71" s="381">
        <f t="shared" si="27"/>
        <v>0</v>
      </c>
      <c r="N71" s="283">
        <f t="shared" si="27"/>
        <v>0</v>
      </c>
      <c r="O71" s="374">
        <f t="shared" si="20"/>
        <v>0</v>
      </c>
      <c r="P71" s="431">
        <f t="shared" si="21"/>
        <v>0</v>
      </c>
    </row>
    <row r="72" spans="1:16">
      <c r="A72" s="6"/>
      <c r="B72" s="6"/>
      <c r="C72" s="255"/>
      <c r="D72" s="348" t="s">
        <v>11</v>
      </c>
      <c r="E72" s="264"/>
      <c r="F72" s="309">
        <f t="shared" ref="F72:N72" si="28">F$59*F25</f>
        <v>0</v>
      </c>
      <c r="G72" s="282">
        <f t="shared" si="28"/>
        <v>0</v>
      </c>
      <c r="H72" s="282">
        <f t="shared" si="28"/>
        <v>0</v>
      </c>
      <c r="I72" s="416">
        <f t="shared" si="28"/>
        <v>0</v>
      </c>
      <c r="J72" s="381">
        <f t="shared" si="28"/>
        <v>0</v>
      </c>
      <c r="K72" s="381">
        <f t="shared" si="28"/>
        <v>0</v>
      </c>
      <c r="L72" s="381">
        <f t="shared" si="28"/>
        <v>0</v>
      </c>
      <c r="M72" s="381">
        <f t="shared" si="28"/>
        <v>0</v>
      </c>
      <c r="N72" s="283">
        <f t="shared" si="28"/>
        <v>0</v>
      </c>
      <c r="O72" s="374">
        <f t="shared" si="20"/>
        <v>0</v>
      </c>
      <c r="P72" s="431">
        <f t="shared" si="21"/>
        <v>0</v>
      </c>
    </row>
    <row r="73" spans="1:16">
      <c r="A73" s="6"/>
      <c r="B73" s="6"/>
      <c r="C73" s="256"/>
      <c r="D73" s="351" t="s">
        <v>12</v>
      </c>
      <c r="E73" s="270"/>
      <c r="F73" s="309">
        <f t="shared" ref="F73:N73" si="29">F$59*F26</f>
        <v>0</v>
      </c>
      <c r="G73" s="282">
        <f t="shared" si="29"/>
        <v>0</v>
      </c>
      <c r="H73" s="282">
        <f t="shared" si="29"/>
        <v>0</v>
      </c>
      <c r="I73" s="416">
        <f t="shared" si="29"/>
        <v>0</v>
      </c>
      <c r="J73" s="381">
        <f t="shared" si="29"/>
        <v>0</v>
      </c>
      <c r="K73" s="381">
        <f t="shared" si="29"/>
        <v>0</v>
      </c>
      <c r="L73" s="381">
        <f t="shared" si="29"/>
        <v>0</v>
      </c>
      <c r="M73" s="381">
        <f t="shared" si="29"/>
        <v>0</v>
      </c>
      <c r="N73" s="283">
        <f t="shared" si="29"/>
        <v>0</v>
      </c>
      <c r="O73" s="374">
        <f t="shared" si="20"/>
        <v>0</v>
      </c>
      <c r="P73" s="431">
        <f t="shared" si="21"/>
        <v>0</v>
      </c>
    </row>
    <row r="74" spans="1:16">
      <c r="A74" s="6"/>
      <c r="B74" s="6"/>
      <c r="C74" s="468"/>
      <c r="D74" s="469" t="str">
        <f>"Total incl Overhead - As Incurred "&amp;Assumptions!$C$8</f>
        <v>Total incl Overhead - As Incurred $ Mar 2017</v>
      </c>
      <c r="E74" s="466"/>
      <c r="F74" s="299">
        <f>+SUM(F64:F73)</f>
        <v>206.16112812857381</v>
      </c>
      <c r="G74" s="5">
        <f t="shared" ref="G74:N74" si="30">+SUM(G64:G73)</f>
        <v>2355.0601753860624</v>
      </c>
      <c r="H74" s="5">
        <f t="shared" si="30"/>
        <v>9239.151274905118</v>
      </c>
      <c r="I74" s="411">
        <f t="shared" si="30"/>
        <v>18162.166888585878</v>
      </c>
      <c r="J74" s="382">
        <f t="shared" si="30"/>
        <v>947.37443327778817</v>
      </c>
      <c r="K74" s="382">
        <f t="shared" si="30"/>
        <v>0</v>
      </c>
      <c r="L74" s="382">
        <f t="shared" si="30"/>
        <v>0</v>
      </c>
      <c r="M74" s="382">
        <f t="shared" si="30"/>
        <v>0</v>
      </c>
      <c r="N74" s="286">
        <f t="shared" si="30"/>
        <v>0</v>
      </c>
      <c r="O74" s="372">
        <f>SUM(O64:O73)</f>
        <v>30909.91390028342</v>
      </c>
      <c r="P74" s="428">
        <f>SUM(P64:P73)</f>
        <v>19109.541321863664</v>
      </c>
    </row>
    <row r="75" spans="1:16">
      <c r="B75" s="6"/>
      <c r="E75" s="27" t="s">
        <v>50</v>
      </c>
      <c r="F75" s="423">
        <f>F74-F59</f>
        <v>0</v>
      </c>
      <c r="G75" s="423">
        <f t="shared" ref="G75:P75" si="31">G74-G59</f>
        <v>0</v>
      </c>
      <c r="H75" s="423">
        <f t="shared" si="31"/>
        <v>0</v>
      </c>
      <c r="I75" s="423">
        <f t="shared" si="31"/>
        <v>0</v>
      </c>
      <c r="J75" s="423">
        <f t="shared" si="31"/>
        <v>0</v>
      </c>
      <c r="K75" s="423">
        <f t="shared" si="31"/>
        <v>0</v>
      </c>
      <c r="L75" s="423">
        <f t="shared" si="31"/>
        <v>0</v>
      </c>
      <c r="M75" s="423">
        <f t="shared" si="31"/>
        <v>0</v>
      </c>
      <c r="N75" s="423">
        <f t="shared" si="31"/>
        <v>0</v>
      </c>
      <c r="O75" s="423">
        <f t="shared" si="31"/>
        <v>0</v>
      </c>
      <c r="P75" s="423">
        <f t="shared" si="31"/>
        <v>0</v>
      </c>
    </row>
    <row r="76" spans="1:16" hidden="1" outlineLevel="1">
      <c r="A76" s="6"/>
      <c r="B76" s="6"/>
      <c r="C76" s="310" t="s">
        <v>268</v>
      </c>
      <c r="D76" s="353" t="str">
        <f>"Direct Expenditure (As Commissioned) - "&amp;Assumptions!C7</f>
        <v>Direct Expenditure (As Commissioned) - $ 2015/16</v>
      </c>
      <c r="E76" s="311"/>
      <c r="F76" s="280">
        <f t="shared" ref="F76:N76" si="32">F14</f>
        <v>0</v>
      </c>
      <c r="G76" s="280">
        <f t="shared" si="32"/>
        <v>0</v>
      </c>
      <c r="H76" s="280">
        <f t="shared" si="32"/>
        <v>11400.424131285667</v>
      </c>
      <c r="I76" s="410">
        <f t="shared" si="32"/>
        <v>15571.311008585304</v>
      </c>
      <c r="J76" s="280">
        <f t="shared" si="32"/>
        <v>834.17737545992679</v>
      </c>
      <c r="K76" s="280">
        <f t="shared" si="32"/>
        <v>0</v>
      </c>
      <c r="L76" s="280">
        <f t="shared" si="32"/>
        <v>0</v>
      </c>
      <c r="M76" s="280">
        <f t="shared" si="32"/>
        <v>0</v>
      </c>
      <c r="N76" s="281">
        <f t="shared" si="32"/>
        <v>0</v>
      </c>
      <c r="O76" s="377">
        <f>SUM(F76:N76)</f>
        <v>27805.9125153309</v>
      </c>
      <c r="P76" s="378">
        <f t="shared" ref="P76:P80" si="33">SUM(I76:M76)</f>
        <v>16405.488384045231</v>
      </c>
    </row>
    <row r="77" spans="1:16" hidden="1" outlineLevel="1">
      <c r="A77" s="6"/>
      <c r="B77" s="6"/>
      <c r="C77" s="453"/>
      <c r="D77" s="350" t="str">
        <f>"Labour &amp; Material Escalation - "&amp;Assumptions!C7</f>
        <v>Labour &amp; Material Escalation - $ 2015/16</v>
      </c>
      <c r="E77" s="454"/>
      <c r="F77" s="282">
        <f>IF(F$10="Prior",0,IF(AND(F76&lt;&gt;0,SUM(E76:$F76)=0),F76/SUM($F$76:F76)*F61,IF(F76&lt;&gt;0,SUM($F$76:F76)/SUM($F$11:F11)*F61-E83,0)))</f>
        <v>0</v>
      </c>
      <c r="G77" s="282">
        <f>IF(G$10="Prior",0,IF(AND(G76&lt;&gt;0,SUM($F76:F76)=0),G76/SUM($F$76:G76)*G61,IF(G76&lt;&gt;0,SUM($F$76:G76)/SUM($F$11:G11)*G61-F83,0)))</f>
        <v>0</v>
      </c>
      <c r="H77" s="282">
        <f>IF(H$10="Prior",0,IF(AND(H76&lt;&gt;0,SUM($F76:G76)=0),H76/SUM($F$76:H76)*H61,IF(H76&lt;&gt;0,SUM($F$76:H76)/SUM($F$11:H11)*H61-G83,0)))</f>
        <v>61.51881290074887</v>
      </c>
      <c r="I77" s="407">
        <f>IF(I$10="Prior",0,IF(AND(I76&lt;&gt;0,SUM($F76:H76)=0),I76/SUM($F$76:I76)*I61,IF(I76&lt;&gt;0,SUM($F$76:I76)/SUM($F$11:I11)*I61-H83,0)))</f>
        <v>205.42161526131679</v>
      </c>
      <c r="J77" s="282">
        <f>IF(J$10="Prior",0,IF(AND(J76&lt;&gt;0,SUM($F76:I76)=0),J76/SUM($F$76:J76)*J61,IF(J76&lt;&gt;0,SUM($F$76:J76)/SUM($F$11:J11)*J61-I83,0)))</f>
        <v>15.551683352949567</v>
      </c>
      <c r="K77" s="282">
        <f>IF(K$10="Prior",0,IF(AND(K76&lt;&gt;0,SUM($F76:J76)=0),K76/SUM($F$76:K76)*K61,IF(K76&lt;&gt;0,SUM($F$76:K76)/SUM($F$11:K11)*K61-J83,0)))</f>
        <v>0</v>
      </c>
      <c r="L77" s="282">
        <f>IF(L$10="Prior",0,IF(AND(L76&lt;&gt;0,SUM($F76:K76)=0),L76/SUM($F$76:L76)*L61,IF(L76&lt;&gt;0,SUM($F$76:L76)/SUM($F$11:L11)*L61-K83,0)))</f>
        <v>0</v>
      </c>
      <c r="M77" s="282">
        <f>IF(M$10="Prior",0,IF(AND(M76&lt;&gt;0,SUM($F76:L76)=0),M76/SUM($F$76:M76)*M61,IF(M76&lt;&gt;0,SUM($F$76:M76)/SUM($F$11:M11)*M61-L83,0)))</f>
        <v>0</v>
      </c>
      <c r="N77" s="283">
        <f>IF(N$10="Prior",0,IF(AND(N76&lt;&gt;0,SUM($F76:M76)=0),N76/SUM($F$76:N76)*N61,IF(N76&lt;&gt;0,SUM($F$76:N76)/SUM($F$11:N11)*N61-M83,0)))</f>
        <v>0</v>
      </c>
      <c r="O77" s="379">
        <f>SUM(F77:N77)</f>
        <v>282.49211151501521</v>
      </c>
      <c r="P77" s="455">
        <f t="shared" si="33"/>
        <v>220.97329861426635</v>
      </c>
    </row>
    <row r="78" spans="1:16" hidden="1" outlineLevel="1">
      <c r="A78" s="6"/>
      <c r="B78" s="6"/>
      <c r="C78" s="453"/>
      <c r="D78" s="470" t="str">
        <f>"Total Direct Expenditure - "&amp;Assumptions!C7</f>
        <v>Total Direct Expenditure - $ 2015/16</v>
      </c>
      <c r="E78" s="471"/>
      <c r="F78" s="456">
        <f>SUM(F76:F77)</f>
        <v>0</v>
      </c>
      <c r="G78" s="457">
        <f t="shared" ref="G78:N78" si="34">SUM(G76:G77)</f>
        <v>0</v>
      </c>
      <c r="H78" s="457">
        <f t="shared" si="34"/>
        <v>11461.942944186416</v>
      </c>
      <c r="I78" s="458">
        <f t="shared" si="34"/>
        <v>15776.732623846621</v>
      </c>
      <c r="J78" s="457">
        <f t="shared" si="34"/>
        <v>849.72905881287636</v>
      </c>
      <c r="K78" s="457">
        <f t="shared" si="34"/>
        <v>0</v>
      </c>
      <c r="L78" s="457">
        <f t="shared" si="34"/>
        <v>0</v>
      </c>
      <c r="M78" s="457">
        <f t="shared" si="34"/>
        <v>0</v>
      </c>
      <c r="N78" s="459">
        <f t="shared" si="34"/>
        <v>0</v>
      </c>
      <c r="O78" s="460">
        <f>SUM(F78:N78)</f>
        <v>28088.404626845917</v>
      </c>
      <c r="P78" s="461">
        <f t="shared" si="33"/>
        <v>16626.461682659497</v>
      </c>
    </row>
    <row r="79" spans="1:16" hidden="1" outlineLevel="1">
      <c r="A79" s="6"/>
      <c r="B79" s="6"/>
      <c r="C79" s="453"/>
      <c r="D79" s="470" t="str">
        <f>"Total Direct Expenditure - "&amp;Assumptions!C8</f>
        <v>Total Direct Expenditure - $ Mar 2017</v>
      </c>
      <c r="E79" s="471"/>
      <c r="F79" s="456">
        <f>F78*Assumptions!$G$21</f>
        <v>0</v>
      </c>
      <c r="G79" s="457">
        <f>G78*Assumptions!$G$21</f>
        <v>0</v>
      </c>
      <c r="H79" s="457">
        <f>H78*Assumptions!$G$21</f>
        <v>11655.847993994081</v>
      </c>
      <c r="I79" s="458">
        <f>I78*Assumptions!$G$21</f>
        <v>16043.632235904179</v>
      </c>
      <c r="J79" s="457">
        <f>J78*Assumptions!$G$21</f>
        <v>864.1041744694852</v>
      </c>
      <c r="K79" s="457">
        <f>K78*Assumptions!$G$21</f>
        <v>0</v>
      </c>
      <c r="L79" s="457">
        <f>L78*Assumptions!$G$21</f>
        <v>0</v>
      </c>
      <c r="M79" s="457">
        <f>M78*Assumptions!$G$21</f>
        <v>0</v>
      </c>
      <c r="N79" s="459">
        <f>N78*Assumptions!$G$21</f>
        <v>0</v>
      </c>
      <c r="O79" s="460">
        <f>SUM(F79:N79)</f>
        <v>28563.584404367746</v>
      </c>
      <c r="P79" s="461">
        <f t="shared" si="33"/>
        <v>16907.736410373665</v>
      </c>
    </row>
    <row r="80" spans="1:16" hidden="1" outlineLevel="1">
      <c r="A80" s="6"/>
      <c r="B80" s="6"/>
      <c r="C80" s="258"/>
      <c r="D80" s="354" t="s">
        <v>264</v>
      </c>
      <c r="E80" s="312"/>
      <c r="F80" s="282">
        <f>IF(F$10="Prior",F79*F56,IF(AND(F79&lt;&gt;0,SUM(E79:$F79)=0),F79/SUM($F$54:F54)*F60,IF(F79&lt;&gt;0,SUM($F$79:F79)/SUM($F$54:F54)*F60-E82,0)))</f>
        <v>0</v>
      </c>
      <c r="G80" s="282">
        <f>IF(G$10="Prior",G79*G56,IF(AND(G79&lt;&gt;0,SUM($F79:F79)=0),G79/SUM($F$54:G54)*G60,IF(G79&lt;&gt;0,SUM($F$79:G79)/SUM($F$54:G54)*G60-F82,0)))</f>
        <v>0</v>
      </c>
      <c r="H80" s="282">
        <f>IF(H$10="Prior",H79*H56,IF(AND(H79&lt;&gt;0,SUM($F79:G79)=0),H79/SUM($F$54:H54)*H60,IF(H79&lt;&gt;0,SUM($F$79:H79)/SUM($F$54:H54)*H60-G82,0)))</f>
        <v>816.7576476938691</v>
      </c>
      <c r="I80" s="407">
        <f>IF(I$10="Prior",I79*I56,IF(AND(I79&lt;&gt;0,SUM($F79:H79)=0),I79/SUM($F$54:I54)*I60,IF(I79&lt;&gt;0,SUM($F$79:I79)/SUM($F$54:I54)*I60-H82,0)))</f>
        <v>1426.346284730025</v>
      </c>
      <c r="J80" s="282">
        <f>IF(J$10="Prior",J79*J56,IF(AND(J79&lt;&gt;0,SUM($F79:I79)=0),J79/SUM($F$54:J54)*J60,IF(J79&lt;&gt;0,SUM($F$79:J79)/SUM($F$54:J54)*J60-I82,0)))</f>
        <v>103.22556349178103</v>
      </c>
      <c r="K80" s="282">
        <f>IF(K$10="Prior",K79*K56,IF(AND(K79&lt;&gt;0,SUM($F79:J79)=0),K79/SUM($F$54:K54)*K60,IF(K79&lt;&gt;0,SUM($F$79:K79)/SUM($F$54:K54)*K60-J82,0)))</f>
        <v>0</v>
      </c>
      <c r="L80" s="282">
        <f>IF(L$10="Prior",L79*L56,IF(AND(L79&lt;&gt;0,SUM($F79:K79)=0),L79/SUM($F$54:L54)*L60,IF(L79&lt;&gt;0,SUM($F$79:L79)/SUM($F$54:L54)*L60-K82,0)))</f>
        <v>0</v>
      </c>
      <c r="M80" s="282">
        <f>IF(M$10="Prior",M79*M56,IF(AND(M79&lt;&gt;0,SUM($F79:L79)=0),M79/SUM($F$54:M54)*M60,IF(M79&lt;&gt;0,SUM($F$79:M79)/SUM($F$54:M54)*M60-L82,0)))</f>
        <v>0</v>
      </c>
      <c r="N80" s="283">
        <f>IF(N$10="Prior",N79*N56,IF(AND(N79&lt;&gt;0,SUM($F79:M79)=0),N79/SUM($F$54:N54)*N60,IF(N79&lt;&gt;0,SUM($F$79:N79)/SUM($F$54:N54)*N60-M82,0)))</f>
        <v>0</v>
      </c>
      <c r="O80" s="379">
        <f>SUM(F80:N80)</f>
        <v>2346.3294959156751</v>
      </c>
      <c r="P80" s="300">
        <f t="shared" si="33"/>
        <v>1529.571848221806</v>
      </c>
    </row>
    <row r="81" spans="1:17" hidden="1" outlineLevel="1">
      <c r="A81" s="6"/>
      <c r="B81" s="6"/>
      <c r="C81" s="468"/>
      <c r="D81" s="469" t="str">
        <f>"Total incl Overhead - As commissioned "&amp;Assumptions!$C$8</f>
        <v>Total incl Overhead - As commissioned $ Mar 2017</v>
      </c>
      <c r="E81" s="466"/>
      <c r="F81" s="306">
        <f>SUM(F79:F80)</f>
        <v>0</v>
      </c>
      <c r="G81" s="307">
        <f t="shared" ref="G81:P81" si="35">SUM(G79:G80)</f>
        <v>0</v>
      </c>
      <c r="H81" s="307">
        <f t="shared" si="35"/>
        <v>12472.605641687949</v>
      </c>
      <c r="I81" s="417">
        <f t="shared" si="35"/>
        <v>17469.978520634202</v>
      </c>
      <c r="J81" s="387">
        <f t="shared" si="35"/>
        <v>967.32973796126623</v>
      </c>
      <c r="K81" s="387">
        <f t="shared" si="35"/>
        <v>0</v>
      </c>
      <c r="L81" s="387">
        <f t="shared" si="35"/>
        <v>0</v>
      </c>
      <c r="M81" s="387">
        <f t="shared" si="35"/>
        <v>0</v>
      </c>
      <c r="N81" s="420">
        <f t="shared" si="35"/>
        <v>0</v>
      </c>
      <c r="O81" s="421">
        <f t="shared" si="35"/>
        <v>30909.91390028342</v>
      </c>
      <c r="P81" s="388">
        <f t="shared" si="35"/>
        <v>18437.308258595473</v>
      </c>
    </row>
    <row r="82" spans="1:17" hidden="1" outlineLevel="1">
      <c r="A82" s="6"/>
      <c r="B82" s="6"/>
      <c r="C82" s="6"/>
      <c r="D82" s="251" t="s">
        <v>286</v>
      </c>
      <c r="E82" s="251"/>
      <c r="F82" s="252">
        <f>F80</f>
        <v>0</v>
      </c>
      <c r="G82" s="252">
        <f t="shared" ref="G82:N82" si="36">G80+F82</f>
        <v>0</v>
      </c>
      <c r="H82" s="252">
        <f t="shared" si="36"/>
        <v>816.7576476938691</v>
      </c>
      <c r="I82" s="252">
        <f t="shared" si="36"/>
        <v>2243.1039324238941</v>
      </c>
      <c r="J82" s="252">
        <f t="shared" si="36"/>
        <v>2346.3294959156751</v>
      </c>
      <c r="K82" s="252">
        <f t="shared" si="36"/>
        <v>2346.3294959156751</v>
      </c>
      <c r="L82" s="252">
        <f t="shared" si="36"/>
        <v>2346.3294959156751</v>
      </c>
      <c r="M82" s="252">
        <f t="shared" si="36"/>
        <v>2346.3294959156751</v>
      </c>
      <c r="N82" s="252">
        <f t="shared" si="36"/>
        <v>2346.3294959156751</v>
      </c>
      <c r="O82" s="12"/>
    </row>
    <row r="83" spans="1:17" hidden="1" outlineLevel="1">
      <c r="A83" s="6"/>
      <c r="B83" s="6"/>
      <c r="C83" s="6"/>
      <c r="D83" s="251" t="s">
        <v>287</v>
      </c>
      <c r="E83" s="251"/>
      <c r="F83" s="252">
        <f>F77</f>
        <v>0</v>
      </c>
      <c r="G83" s="252">
        <f t="shared" ref="G83:N83" si="37">G77+F83</f>
        <v>0</v>
      </c>
      <c r="H83" s="252">
        <f t="shared" si="37"/>
        <v>61.51881290074887</v>
      </c>
      <c r="I83" s="252">
        <f t="shared" si="37"/>
        <v>266.94042816206564</v>
      </c>
      <c r="J83" s="252">
        <f t="shared" si="37"/>
        <v>282.49211151501521</v>
      </c>
      <c r="K83" s="252">
        <f t="shared" si="37"/>
        <v>282.49211151501521</v>
      </c>
      <c r="L83" s="252">
        <f t="shared" si="37"/>
        <v>282.49211151501521</v>
      </c>
      <c r="M83" s="252">
        <f t="shared" si="37"/>
        <v>282.49211151501521</v>
      </c>
      <c r="N83" s="252">
        <f t="shared" si="37"/>
        <v>282.49211151501521</v>
      </c>
      <c r="O83" s="12"/>
    </row>
    <row r="84" spans="1:17" collapsed="1">
      <c r="A84" s="6"/>
      <c r="B84" s="6"/>
      <c r="C84" s="384" t="s">
        <v>276</v>
      </c>
    </row>
    <row r="85" spans="1:17">
      <c r="B85" s="6"/>
      <c r="C85" s="254" t="s">
        <v>23</v>
      </c>
      <c r="D85" s="349" t="s">
        <v>3</v>
      </c>
      <c r="E85" s="267"/>
      <c r="F85" s="343">
        <f t="shared" ref="F85:N85" si="38">IF($O$74=0,0,F$81/$O$81*$O$74*F17)</f>
        <v>0</v>
      </c>
      <c r="G85" s="344">
        <f t="shared" si="38"/>
        <v>0</v>
      </c>
      <c r="H85" s="344">
        <f t="shared" si="38"/>
        <v>1629.3361447888628</v>
      </c>
      <c r="I85" s="415">
        <f t="shared" si="38"/>
        <v>2282.1588583876851</v>
      </c>
      <c r="J85" s="380">
        <f t="shared" si="38"/>
        <v>126.36536031585233</v>
      </c>
      <c r="K85" s="380">
        <f t="shared" si="38"/>
        <v>0</v>
      </c>
      <c r="L85" s="380">
        <f t="shared" si="38"/>
        <v>0</v>
      </c>
      <c r="M85" s="380">
        <f t="shared" si="38"/>
        <v>0</v>
      </c>
      <c r="N85" s="345">
        <f t="shared" si="38"/>
        <v>0</v>
      </c>
      <c r="O85" s="373">
        <f>SUM(F85:N85)</f>
        <v>4037.8603634924002</v>
      </c>
      <c r="P85" s="430">
        <f t="shared" ref="P85:P94" si="39">SUM(I85:M85)</f>
        <v>2408.5242187035374</v>
      </c>
    </row>
    <row r="86" spans="1:17">
      <c r="C86" s="255" t="s">
        <v>24</v>
      </c>
      <c r="D86" s="348" t="s">
        <v>4</v>
      </c>
      <c r="E86" s="264"/>
      <c r="F86" s="294">
        <f t="shared" ref="F86:N86" si="40">IF($O$74=0,0,F$81/$O$81*$O$74*F18)</f>
        <v>0</v>
      </c>
      <c r="G86" s="290">
        <f t="shared" si="40"/>
        <v>0</v>
      </c>
      <c r="H86" s="290">
        <f t="shared" si="40"/>
        <v>5107.8374292670569</v>
      </c>
      <c r="I86" s="416">
        <f t="shared" si="40"/>
        <v>7154.3839947873694</v>
      </c>
      <c r="J86" s="381">
        <f t="shared" si="40"/>
        <v>396.14521487692735</v>
      </c>
      <c r="K86" s="381">
        <f t="shared" si="40"/>
        <v>0</v>
      </c>
      <c r="L86" s="381">
        <f t="shared" si="40"/>
        <v>0</v>
      </c>
      <c r="M86" s="381">
        <f t="shared" si="40"/>
        <v>0</v>
      </c>
      <c r="N86" s="346">
        <f t="shared" si="40"/>
        <v>0</v>
      </c>
      <c r="O86" s="374">
        <f t="shared" ref="O86:O94" si="41">SUM(F86:N86)</f>
        <v>12658.366638931355</v>
      </c>
      <c r="P86" s="431">
        <f t="shared" si="39"/>
        <v>7550.529209664297</v>
      </c>
    </row>
    <row r="87" spans="1:17">
      <c r="C87" s="255" t="s">
        <v>26</v>
      </c>
      <c r="D87" s="348" t="s">
        <v>5</v>
      </c>
      <c r="E87" s="264"/>
      <c r="F87" s="294">
        <f t="shared" ref="F87:N87" si="42">IF($O$74=0,0,F$81/$O$81*$O$74*F19)</f>
        <v>0</v>
      </c>
      <c r="G87" s="290">
        <f t="shared" si="42"/>
        <v>0</v>
      </c>
      <c r="H87" s="290">
        <f t="shared" si="42"/>
        <v>4101.0681055570449</v>
      </c>
      <c r="I87" s="416">
        <f t="shared" si="42"/>
        <v>5744.2345067236165</v>
      </c>
      <c r="J87" s="381">
        <f t="shared" si="42"/>
        <v>318.06386330778969</v>
      </c>
      <c r="K87" s="381">
        <f t="shared" si="42"/>
        <v>0</v>
      </c>
      <c r="L87" s="381">
        <f t="shared" si="42"/>
        <v>0</v>
      </c>
      <c r="M87" s="381">
        <f t="shared" si="42"/>
        <v>0</v>
      </c>
      <c r="N87" s="346">
        <f t="shared" si="42"/>
        <v>0</v>
      </c>
      <c r="O87" s="374">
        <f t="shared" si="41"/>
        <v>10163.366475588453</v>
      </c>
      <c r="P87" s="431">
        <f t="shared" si="39"/>
        <v>6062.2983700314062</v>
      </c>
    </row>
    <row r="88" spans="1:17">
      <c r="C88" s="255"/>
      <c r="D88" s="348" t="s">
        <v>6</v>
      </c>
      <c r="E88" s="264"/>
      <c r="F88" s="294">
        <f t="shared" ref="F88:N88" si="43">IF($O$74=0,0,F$81/$O$81*$O$74*F20)</f>
        <v>0</v>
      </c>
      <c r="G88" s="290">
        <f t="shared" si="43"/>
        <v>0</v>
      </c>
      <c r="H88" s="290">
        <f t="shared" si="43"/>
        <v>0</v>
      </c>
      <c r="I88" s="416">
        <f t="shared" si="43"/>
        <v>0</v>
      </c>
      <c r="J88" s="381">
        <f t="shared" si="43"/>
        <v>0</v>
      </c>
      <c r="K88" s="381">
        <f t="shared" si="43"/>
        <v>0</v>
      </c>
      <c r="L88" s="381">
        <f t="shared" si="43"/>
        <v>0</v>
      </c>
      <c r="M88" s="381">
        <f t="shared" si="43"/>
        <v>0</v>
      </c>
      <c r="N88" s="346">
        <f t="shared" si="43"/>
        <v>0</v>
      </c>
      <c r="O88" s="374">
        <f t="shared" si="41"/>
        <v>0</v>
      </c>
      <c r="P88" s="431">
        <f t="shared" si="39"/>
        <v>0</v>
      </c>
    </row>
    <row r="89" spans="1:17">
      <c r="C89" s="255"/>
      <c r="D89" s="348" t="s">
        <v>7</v>
      </c>
      <c r="E89" s="264"/>
      <c r="F89" s="294">
        <f t="shared" ref="F89:N89" si="44">IF($O$74=0,0,F$81/$O$81*$O$74*F21)</f>
        <v>0</v>
      </c>
      <c r="G89" s="290">
        <f t="shared" si="44"/>
        <v>0</v>
      </c>
      <c r="H89" s="290">
        <f t="shared" si="44"/>
        <v>176.69970168652779</v>
      </c>
      <c r="I89" s="416">
        <f t="shared" si="44"/>
        <v>247.49760248559804</v>
      </c>
      <c r="J89" s="381">
        <f t="shared" si="44"/>
        <v>13.704183475421006</v>
      </c>
      <c r="K89" s="381">
        <f t="shared" si="44"/>
        <v>0</v>
      </c>
      <c r="L89" s="381">
        <f t="shared" si="44"/>
        <v>0</v>
      </c>
      <c r="M89" s="381">
        <f t="shared" si="44"/>
        <v>0</v>
      </c>
      <c r="N89" s="346">
        <f t="shared" si="44"/>
        <v>0</v>
      </c>
      <c r="O89" s="374">
        <f t="shared" si="41"/>
        <v>437.90148764754684</v>
      </c>
      <c r="P89" s="431">
        <f t="shared" si="39"/>
        <v>261.20178596101903</v>
      </c>
    </row>
    <row r="90" spans="1:17">
      <c r="C90" s="255"/>
      <c r="D90" s="348" t="s">
        <v>8</v>
      </c>
      <c r="E90" s="264"/>
      <c r="F90" s="294">
        <f t="shared" ref="F90:N90" si="45">IF($O$74=0,0,F$81/$O$81*$O$74*F22)</f>
        <v>0</v>
      </c>
      <c r="G90" s="290">
        <f t="shared" si="45"/>
        <v>0</v>
      </c>
      <c r="H90" s="290">
        <f t="shared" si="45"/>
        <v>1416.1321845532309</v>
      </c>
      <c r="I90" s="416">
        <f t="shared" si="45"/>
        <v>1983.5309122445433</v>
      </c>
      <c r="J90" s="381">
        <f t="shared" si="45"/>
        <v>109.83003987745778</v>
      </c>
      <c r="K90" s="381">
        <f t="shared" si="45"/>
        <v>0</v>
      </c>
      <c r="L90" s="381">
        <f t="shared" si="45"/>
        <v>0</v>
      </c>
      <c r="M90" s="381">
        <f t="shared" si="45"/>
        <v>0</v>
      </c>
      <c r="N90" s="346">
        <f t="shared" si="45"/>
        <v>0</v>
      </c>
      <c r="O90" s="374">
        <f t="shared" si="41"/>
        <v>3509.4931366752321</v>
      </c>
      <c r="P90" s="431">
        <f t="shared" si="39"/>
        <v>2093.360952122001</v>
      </c>
    </row>
    <row r="91" spans="1:17">
      <c r="C91" s="255"/>
      <c r="D91" s="348" t="s">
        <v>9</v>
      </c>
      <c r="E91" s="264"/>
      <c r="F91" s="294">
        <f t="shared" ref="F91:N91" si="46">IF($O$74=0,0,F$81/$O$81*$O$74*F23)</f>
        <v>0</v>
      </c>
      <c r="G91" s="290">
        <f t="shared" si="46"/>
        <v>0</v>
      </c>
      <c r="H91" s="290">
        <f t="shared" si="46"/>
        <v>41.532075835226486</v>
      </c>
      <c r="I91" s="416">
        <f t="shared" si="46"/>
        <v>58.172646005391137</v>
      </c>
      <c r="J91" s="381">
        <f t="shared" si="46"/>
        <v>3.2210761078180017</v>
      </c>
      <c r="K91" s="381">
        <f t="shared" si="46"/>
        <v>0</v>
      </c>
      <c r="L91" s="381">
        <f t="shared" si="46"/>
        <v>0</v>
      </c>
      <c r="M91" s="381">
        <f t="shared" si="46"/>
        <v>0</v>
      </c>
      <c r="N91" s="346">
        <f t="shared" si="46"/>
        <v>0</v>
      </c>
      <c r="O91" s="374">
        <f t="shared" si="41"/>
        <v>102.92579794843563</v>
      </c>
      <c r="P91" s="431">
        <f t="shared" si="39"/>
        <v>61.393722113209137</v>
      </c>
    </row>
    <row r="92" spans="1:17">
      <c r="C92" s="255"/>
      <c r="D92" s="348" t="s">
        <v>10</v>
      </c>
      <c r="E92" s="264"/>
      <c r="F92" s="294">
        <f t="shared" ref="F92:N92" si="47">IF($O$74=0,0,F$81/$O$81*$O$74*F24)</f>
        <v>0</v>
      </c>
      <c r="G92" s="290">
        <f t="shared" si="47"/>
        <v>0</v>
      </c>
      <c r="H92" s="290">
        <f t="shared" si="47"/>
        <v>0</v>
      </c>
      <c r="I92" s="416">
        <f t="shared" si="47"/>
        <v>0</v>
      </c>
      <c r="J92" s="381">
        <f t="shared" si="47"/>
        <v>0</v>
      </c>
      <c r="K92" s="381">
        <f t="shared" si="47"/>
        <v>0</v>
      </c>
      <c r="L92" s="381">
        <f t="shared" si="47"/>
        <v>0</v>
      </c>
      <c r="M92" s="381">
        <f t="shared" si="47"/>
        <v>0</v>
      </c>
      <c r="N92" s="346">
        <f t="shared" si="47"/>
        <v>0</v>
      </c>
      <c r="O92" s="374">
        <f t="shared" si="41"/>
        <v>0</v>
      </c>
      <c r="P92" s="431">
        <f t="shared" si="39"/>
        <v>0</v>
      </c>
    </row>
    <row r="93" spans="1:17">
      <c r="C93" s="255"/>
      <c r="D93" s="348" t="s">
        <v>11</v>
      </c>
      <c r="E93" s="264"/>
      <c r="F93" s="294">
        <f t="shared" ref="F93:N93" si="48">IF($O$74=0,0,F$81/$O$81*$O$74*F25)</f>
        <v>0</v>
      </c>
      <c r="G93" s="290">
        <f t="shared" si="48"/>
        <v>0</v>
      </c>
      <c r="H93" s="290">
        <f t="shared" si="48"/>
        <v>0</v>
      </c>
      <c r="I93" s="416">
        <f t="shared" si="48"/>
        <v>0</v>
      </c>
      <c r="J93" s="381">
        <f t="shared" si="48"/>
        <v>0</v>
      </c>
      <c r="K93" s="381">
        <f t="shared" si="48"/>
        <v>0</v>
      </c>
      <c r="L93" s="381">
        <f t="shared" si="48"/>
        <v>0</v>
      </c>
      <c r="M93" s="381">
        <f t="shared" si="48"/>
        <v>0</v>
      </c>
      <c r="N93" s="346">
        <f t="shared" si="48"/>
        <v>0</v>
      </c>
      <c r="O93" s="374">
        <f t="shared" si="41"/>
        <v>0</v>
      </c>
      <c r="P93" s="431">
        <f t="shared" si="39"/>
        <v>0</v>
      </c>
    </row>
    <row r="94" spans="1:17">
      <c r="C94" s="255"/>
      <c r="D94" s="348" t="s">
        <v>12</v>
      </c>
      <c r="E94" s="264"/>
      <c r="F94" s="294">
        <f t="shared" ref="F94:N94" si="49">IF($O$74=0,0,F$81/$O$81*$O$74*F26)</f>
        <v>0</v>
      </c>
      <c r="G94" s="290">
        <f t="shared" si="49"/>
        <v>0</v>
      </c>
      <c r="H94" s="290">
        <f t="shared" si="49"/>
        <v>0</v>
      </c>
      <c r="I94" s="416">
        <f t="shared" si="49"/>
        <v>0</v>
      </c>
      <c r="J94" s="381">
        <f t="shared" si="49"/>
        <v>0</v>
      </c>
      <c r="K94" s="381">
        <f t="shared" si="49"/>
        <v>0</v>
      </c>
      <c r="L94" s="381">
        <f t="shared" si="49"/>
        <v>0</v>
      </c>
      <c r="M94" s="381">
        <f t="shared" si="49"/>
        <v>0</v>
      </c>
      <c r="N94" s="346">
        <f t="shared" si="49"/>
        <v>0</v>
      </c>
      <c r="O94" s="374">
        <f t="shared" si="41"/>
        <v>0</v>
      </c>
      <c r="P94" s="431">
        <f t="shared" si="39"/>
        <v>0</v>
      </c>
    </row>
    <row r="95" spans="1:17">
      <c r="C95" s="468"/>
      <c r="D95" s="469" t="str">
        <f>"Total incl Overhead - As commissioned "&amp;Assumptions!$C$8</f>
        <v>Total incl Overhead - As commissioned $ Mar 2017</v>
      </c>
      <c r="E95" s="466"/>
      <c r="F95" s="299">
        <f>+SUM(F85:F94)</f>
        <v>0</v>
      </c>
      <c r="G95" s="5">
        <f t="shared" ref="G95" si="50">+SUM(G85:G94)</f>
        <v>0</v>
      </c>
      <c r="H95" s="5">
        <f t="shared" ref="H95:N95" si="51">+SUM(H85:H94)</f>
        <v>12472.605641687951</v>
      </c>
      <c r="I95" s="411">
        <f t="shared" si="51"/>
        <v>17469.978520634206</v>
      </c>
      <c r="J95" s="382">
        <f t="shared" si="51"/>
        <v>967.32973796126623</v>
      </c>
      <c r="K95" s="382">
        <f t="shared" si="51"/>
        <v>0</v>
      </c>
      <c r="L95" s="382">
        <f t="shared" si="51"/>
        <v>0</v>
      </c>
      <c r="M95" s="382">
        <f t="shared" si="51"/>
        <v>0</v>
      </c>
      <c r="N95" s="286">
        <f t="shared" si="51"/>
        <v>0</v>
      </c>
      <c r="O95" s="372">
        <f>SUM(O85:O94)</f>
        <v>30909.913900283424</v>
      </c>
      <c r="P95" s="428">
        <f>SUM(P85:P94)</f>
        <v>18437.308258595469</v>
      </c>
      <c r="Q95" s="24"/>
    </row>
    <row r="96" spans="1:17">
      <c r="E96" s="27" t="s">
        <v>50</v>
      </c>
      <c r="F96" s="452">
        <f>F95-F81</f>
        <v>0</v>
      </c>
      <c r="G96" s="452">
        <f t="shared" ref="G96:P96" si="52">G95-G81</f>
        <v>0</v>
      </c>
      <c r="H96" s="452">
        <f t="shared" si="52"/>
        <v>0</v>
      </c>
      <c r="I96" s="452">
        <f t="shared" si="52"/>
        <v>0</v>
      </c>
      <c r="J96" s="452">
        <f t="shared" si="52"/>
        <v>0</v>
      </c>
      <c r="K96" s="191">
        <f t="shared" si="52"/>
        <v>0</v>
      </c>
      <c r="L96" s="191">
        <f t="shared" si="52"/>
        <v>0</v>
      </c>
      <c r="M96" s="191">
        <f t="shared" si="52"/>
        <v>0</v>
      </c>
      <c r="N96" s="191">
        <f t="shared" si="52"/>
        <v>0</v>
      </c>
      <c r="O96" s="191">
        <f t="shared" si="52"/>
        <v>0</v>
      </c>
      <c r="P96" s="191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2">
        <f>O95-O74</f>
        <v>0</v>
      </c>
      <c r="P97" s="14"/>
    </row>
    <row r="98" spans="3:16" hidden="1" outlineLevel="1">
      <c r="C98" s="248" t="s">
        <v>452</v>
      </c>
      <c r="F98" s="191"/>
      <c r="G98" s="617" t="s">
        <v>72</v>
      </c>
      <c r="H98" s="617" t="s">
        <v>73</v>
      </c>
      <c r="I98" s="617" t="s">
        <v>74</v>
      </c>
      <c r="J98" s="617" t="s">
        <v>75</v>
      </c>
      <c r="K98" s="617" t="s">
        <v>76</v>
      </c>
      <c r="L98" s="617" t="s">
        <v>77</v>
      </c>
      <c r="M98" s="617" t="s">
        <v>78</v>
      </c>
      <c r="N98" s="617" t="s">
        <v>79</v>
      </c>
    </row>
    <row r="99" spans="3:16" hidden="1" outlineLevel="1">
      <c r="C99" s="248" t="s">
        <v>451</v>
      </c>
      <c r="D99" s="248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48" t="s">
        <v>380</v>
      </c>
      <c r="F100" s="191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48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48" t="s">
        <v>382</v>
      </c>
      <c r="F102" s="191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48" t="s">
        <v>383</v>
      </c>
      <c r="F103" s="191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48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48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48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48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48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48" t="s">
        <v>443</v>
      </c>
      <c r="D110" s="248" t="s">
        <v>445</v>
      </c>
      <c r="G110" s="617" t="s">
        <v>72</v>
      </c>
      <c r="H110" s="617" t="s">
        <v>73</v>
      </c>
      <c r="I110" s="617" t="s">
        <v>74</v>
      </c>
      <c r="J110" s="617" t="s">
        <v>75</v>
      </c>
      <c r="K110" s="617" t="s">
        <v>76</v>
      </c>
      <c r="L110" s="617" t="s">
        <v>77</v>
      </c>
      <c r="M110" s="617" t="s">
        <v>78</v>
      </c>
      <c r="N110" s="617" t="s">
        <v>79</v>
      </c>
      <c r="O110" s="34" t="s">
        <v>16</v>
      </c>
      <c r="P110" s="34" t="s">
        <v>453</v>
      </c>
    </row>
    <row r="111" spans="3:16" hidden="1" outlineLevel="1">
      <c r="C111" s="248" t="s">
        <v>444</v>
      </c>
      <c r="D111" s="248" t="s">
        <v>379</v>
      </c>
      <c r="G111" s="191">
        <f>G99*G$53</f>
        <v>6.2818615142058389</v>
      </c>
      <c r="H111" s="191">
        <f t="shared" ref="H111:N111" si="59">H99*H$53</f>
        <v>24.245809557370702</v>
      </c>
      <c r="I111" s="191">
        <f t="shared" si="59"/>
        <v>46.69798830729097</v>
      </c>
      <c r="J111" s="191">
        <f t="shared" si="59"/>
        <v>2.3517540919473743</v>
      </c>
      <c r="K111" s="191">
        <f t="shared" si="59"/>
        <v>0</v>
      </c>
      <c r="L111" s="191">
        <f t="shared" si="59"/>
        <v>0</v>
      </c>
      <c r="M111" s="191">
        <f t="shared" si="59"/>
        <v>0</v>
      </c>
      <c r="N111" s="191">
        <f t="shared" si="59"/>
        <v>0</v>
      </c>
      <c r="O111" s="191">
        <f t="shared" ref="O111:O119" si="60">SUM(F111:N111)</f>
        <v>79.577413470814875</v>
      </c>
      <c r="P111" s="191">
        <f t="shared" ref="P111:P119" si="61">SUM(I111:M111)</f>
        <v>49.049742399238347</v>
      </c>
    </row>
    <row r="112" spans="3:16" hidden="1" outlineLevel="1">
      <c r="D112" s="248" t="s">
        <v>380</v>
      </c>
      <c r="G112" s="191">
        <f t="shared" ref="G112:N119" si="62">G100*G$53</f>
        <v>0</v>
      </c>
      <c r="H112" s="191">
        <f t="shared" si="62"/>
        <v>0</v>
      </c>
      <c r="I112" s="191">
        <f t="shared" si="62"/>
        <v>0</v>
      </c>
      <c r="J112" s="191">
        <f t="shared" si="62"/>
        <v>0</v>
      </c>
      <c r="K112" s="191">
        <f t="shared" si="62"/>
        <v>0</v>
      </c>
      <c r="L112" s="191">
        <f t="shared" si="62"/>
        <v>0</v>
      </c>
      <c r="M112" s="191">
        <f t="shared" si="62"/>
        <v>0</v>
      </c>
      <c r="N112" s="191">
        <f t="shared" si="62"/>
        <v>0</v>
      </c>
      <c r="O112" s="191">
        <f t="shared" si="60"/>
        <v>0</v>
      </c>
      <c r="P112" s="191">
        <f t="shared" si="61"/>
        <v>0</v>
      </c>
    </row>
    <row r="113" spans="4:16" hidden="1" outlineLevel="1">
      <c r="D113" s="248" t="s">
        <v>381</v>
      </c>
      <c r="G113" s="191">
        <f t="shared" si="62"/>
        <v>6.2818615142058389</v>
      </c>
      <c r="H113" s="191">
        <f t="shared" si="62"/>
        <v>24.245809557370702</v>
      </c>
      <c r="I113" s="191">
        <f t="shared" si="62"/>
        <v>46.69798830729097</v>
      </c>
      <c r="J113" s="191">
        <f t="shared" si="62"/>
        <v>2.3517540919473743</v>
      </c>
      <c r="K113" s="191">
        <f t="shared" si="62"/>
        <v>0</v>
      </c>
      <c r="L113" s="191">
        <f t="shared" si="62"/>
        <v>0</v>
      </c>
      <c r="M113" s="191">
        <f t="shared" si="62"/>
        <v>0</v>
      </c>
      <c r="N113" s="191">
        <f t="shared" si="62"/>
        <v>0</v>
      </c>
      <c r="O113" s="191">
        <f t="shared" si="60"/>
        <v>79.577413470814875</v>
      </c>
      <c r="P113" s="191">
        <f t="shared" si="61"/>
        <v>49.049742399238347</v>
      </c>
    </row>
    <row r="114" spans="4:16" hidden="1" outlineLevel="1">
      <c r="D114" s="248" t="s">
        <v>382</v>
      </c>
      <c r="G114" s="191">
        <f t="shared" si="62"/>
        <v>0</v>
      </c>
      <c r="H114" s="191">
        <f t="shared" si="62"/>
        <v>0</v>
      </c>
      <c r="I114" s="191">
        <f t="shared" si="62"/>
        <v>0</v>
      </c>
      <c r="J114" s="191">
        <f t="shared" si="62"/>
        <v>0</v>
      </c>
      <c r="K114" s="191">
        <f t="shared" si="62"/>
        <v>0</v>
      </c>
      <c r="L114" s="191">
        <f t="shared" si="62"/>
        <v>0</v>
      </c>
      <c r="M114" s="191">
        <f t="shared" si="62"/>
        <v>0</v>
      </c>
      <c r="N114" s="191">
        <f t="shared" si="62"/>
        <v>0</v>
      </c>
      <c r="O114" s="191">
        <f t="shared" si="60"/>
        <v>0</v>
      </c>
      <c r="P114" s="191">
        <f t="shared" si="61"/>
        <v>0</v>
      </c>
    </row>
    <row r="115" spans="4:16" hidden="1" outlineLevel="1">
      <c r="D115" s="248" t="s">
        <v>383</v>
      </c>
      <c r="G115" s="191">
        <f t="shared" si="62"/>
        <v>363.1780592890409</v>
      </c>
      <c r="H115" s="191">
        <f t="shared" si="62"/>
        <v>1401.7415126112949</v>
      </c>
      <c r="I115" s="191">
        <f t="shared" si="62"/>
        <v>2699.7864769529742</v>
      </c>
      <c r="J115" s="191">
        <f t="shared" si="62"/>
        <v>135.96375614251107</v>
      </c>
      <c r="K115" s="191">
        <f t="shared" si="62"/>
        <v>0</v>
      </c>
      <c r="L115" s="191">
        <f t="shared" si="62"/>
        <v>0</v>
      </c>
      <c r="M115" s="191">
        <f t="shared" si="62"/>
        <v>0</v>
      </c>
      <c r="N115" s="191">
        <f t="shared" si="62"/>
        <v>0</v>
      </c>
      <c r="O115" s="191">
        <f t="shared" si="60"/>
        <v>4600.6698049958204</v>
      </c>
      <c r="P115" s="191">
        <f t="shared" si="61"/>
        <v>2835.7502330954853</v>
      </c>
    </row>
    <row r="116" spans="4:16" hidden="1" outlineLevel="1">
      <c r="D116" s="248" t="s">
        <v>384</v>
      </c>
      <c r="G116" s="191">
        <f t="shared" si="62"/>
        <v>291.59462810117537</v>
      </c>
      <c r="H116" s="191">
        <f t="shared" si="62"/>
        <v>1125.4542630246483</v>
      </c>
      <c r="I116" s="191">
        <f t="shared" si="62"/>
        <v>2167.6508631628139</v>
      </c>
      <c r="J116" s="191">
        <f t="shared" si="62"/>
        <v>109.16491206882432</v>
      </c>
      <c r="K116" s="191">
        <f t="shared" si="62"/>
        <v>0</v>
      </c>
      <c r="L116" s="191">
        <f t="shared" si="62"/>
        <v>0</v>
      </c>
      <c r="M116" s="191">
        <f t="shared" si="62"/>
        <v>0</v>
      </c>
      <c r="N116" s="191">
        <f t="shared" si="62"/>
        <v>0</v>
      </c>
      <c r="O116" s="191">
        <f t="shared" si="60"/>
        <v>3693.8646663574618</v>
      </c>
      <c r="P116" s="191">
        <f t="shared" si="61"/>
        <v>2276.8157752316383</v>
      </c>
    </row>
    <row r="117" spans="4:16" hidden="1" outlineLevel="1">
      <c r="D117" s="248" t="s">
        <v>385</v>
      </c>
      <c r="G117" s="191">
        <f t="shared" si="62"/>
        <v>0</v>
      </c>
      <c r="H117" s="191">
        <f t="shared" si="62"/>
        <v>0</v>
      </c>
      <c r="I117" s="191">
        <f t="shared" si="62"/>
        <v>0</v>
      </c>
      <c r="J117" s="191">
        <f t="shared" si="62"/>
        <v>0</v>
      </c>
      <c r="K117" s="191">
        <f t="shared" si="62"/>
        <v>0</v>
      </c>
      <c r="L117" s="191">
        <f t="shared" si="62"/>
        <v>0</v>
      </c>
      <c r="M117" s="191">
        <f t="shared" si="62"/>
        <v>0</v>
      </c>
      <c r="N117" s="191">
        <f t="shared" si="62"/>
        <v>0</v>
      </c>
      <c r="O117" s="191">
        <f t="shared" si="60"/>
        <v>0</v>
      </c>
      <c r="P117" s="191">
        <f t="shared" si="61"/>
        <v>0</v>
      </c>
    </row>
    <row r="118" spans="4:16" hidden="1" outlineLevel="1">
      <c r="D118" s="248" t="s">
        <v>386</v>
      </c>
      <c r="G118" s="191">
        <f t="shared" si="62"/>
        <v>118.80226927681704</v>
      </c>
      <c r="H118" s="191">
        <f t="shared" si="62"/>
        <v>458.53560912721423</v>
      </c>
      <c r="I118" s="191">
        <f t="shared" si="62"/>
        <v>883.15015684802131</v>
      </c>
      <c r="J118" s="191">
        <f t="shared" si="62"/>
        <v>44.476262692605637</v>
      </c>
      <c r="K118" s="191">
        <f t="shared" si="62"/>
        <v>0</v>
      </c>
      <c r="L118" s="191">
        <f t="shared" si="62"/>
        <v>0</v>
      </c>
      <c r="M118" s="191">
        <f t="shared" si="62"/>
        <v>0</v>
      </c>
      <c r="N118" s="191">
        <f t="shared" si="62"/>
        <v>0</v>
      </c>
      <c r="O118" s="191">
        <f t="shared" si="60"/>
        <v>1504.9642979446583</v>
      </c>
      <c r="P118" s="191">
        <f t="shared" si="61"/>
        <v>927.6264195406269</v>
      </c>
    </row>
    <row r="119" spans="4:16" hidden="1" outlineLevel="1">
      <c r="D119" s="248" t="s">
        <v>387</v>
      </c>
      <c r="G119" s="912">
        <f t="shared" si="62"/>
        <v>100.68999759778815</v>
      </c>
      <c r="H119" s="912">
        <f t="shared" si="62"/>
        <v>388.62851410641429</v>
      </c>
      <c r="I119" s="912">
        <f t="shared" si="62"/>
        <v>748.5074798050689</v>
      </c>
      <c r="J119" s="912">
        <f t="shared" si="62"/>
        <v>37.695532340735767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1275.521523850007</v>
      </c>
      <c r="P119" s="912">
        <f t="shared" si="61"/>
        <v>786.20301214580468</v>
      </c>
    </row>
    <row r="120" spans="4:16" hidden="1" outlineLevel="1">
      <c r="D120" s="248" t="s">
        <v>440</v>
      </c>
      <c r="G120" s="191">
        <f>SUM(G111:G119)</f>
        <v>886.82867729323323</v>
      </c>
      <c r="H120" s="191">
        <f t="shared" ref="H120:P120" si="63">SUM(H111:H119)</f>
        <v>3422.8515179843134</v>
      </c>
      <c r="I120" s="191">
        <f t="shared" si="63"/>
        <v>6592.4909533834607</v>
      </c>
      <c r="J120" s="191">
        <f t="shared" si="63"/>
        <v>332.00397142857156</v>
      </c>
      <c r="K120" s="191">
        <f t="shared" si="63"/>
        <v>0</v>
      </c>
      <c r="L120" s="191">
        <f t="shared" si="63"/>
        <v>0</v>
      </c>
      <c r="M120" s="191">
        <f t="shared" si="63"/>
        <v>0</v>
      </c>
      <c r="N120" s="191">
        <f t="shared" si="63"/>
        <v>0</v>
      </c>
      <c r="O120" s="191">
        <f t="shared" si="63"/>
        <v>11234.175120089578</v>
      </c>
      <c r="P120" s="191">
        <f t="shared" si="63"/>
        <v>6924.4949248120311</v>
      </c>
    </row>
    <row r="121" spans="4:16" hidden="1" outlineLevel="1"/>
    <row r="122" spans="4:16" hidden="1" outlineLevel="1">
      <c r="D122" s="248" t="s">
        <v>446</v>
      </c>
      <c r="G122" s="617" t="s">
        <v>72</v>
      </c>
      <c r="H122" s="617" t="s">
        <v>73</v>
      </c>
      <c r="I122" s="617" t="s">
        <v>74</v>
      </c>
      <c r="J122" s="617" t="s">
        <v>75</v>
      </c>
      <c r="K122" s="617" t="s">
        <v>76</v>
      </c>
      <c r="L122" s="617" t="s">
        <v>77</v>
      </c>
      <c r="M122" s="617" t="s">
        <v>78</v>
      </c>
      <c r="N122" s="617" t="s">
        <v>79</v>
      </c>
      <c r="O122" s="617" t="s">
        <v>16</v>
      </c>
      <c r="P122" s="617" t="s">
        <v>453</v>
      </c>
    </row>
    <row r="123" spans="4:16" hidden="1" outlineLevel="1">
      <c r="D123" s="248" t="s">
        <v>379</v>
      </c>
      <c r="G123" s="191">
        <f>G99*G$51</f>
        <v>1.5796918626504497</v>
      </c>
      <c r="H123" s="191">
        <f t="shared" ref="H123:N123" si="64">H99*H$51</f>
        <v>6.1373040407161223</v>
      </c>
      <c r="I123" s="191">
        <f t="shared" si="64"/>
        <v>11.915744848787424</v>
      </c>
      <c r="J123" s="191">
        <f t="shared" si="64"/>
        <v>0.60494869767549653</v>
      </c>
      <c r="K123" s="191">
        <f t="shared" si="64"/>
        <v>0</v>
      </c>
      <c r="L123" s="191">
        <f t="shared" si="64"/>
        <v>0</v>
      </c>
      <c r="M123" s="191">
        <f t="shared" si="64"/>
        <v>0</v>
      </c>
      <c r="N123" s="191">
        <f t="shared" si="64"/>
        <v>0</v>
      </c>
      <c r="O123" s="191">
        <f t="shared" ref="O123:O131" si="65">SUM(F123:N123)</f>
        <v>20.237689449829492</v>
      </c>
      <c r="P123" s="191">
        <f t="shared" ref="P123:P131" si="66">SUM(I123:M123)</f>
        <v>12.520693546462921</v>
      </c>
    </row>
    <row r="124" spans="4:16" hidden="1" outlineLevel="1">
      <c r="D124" s="248" t="s">
        <v>380</v>
      </c>
      <c r="G124" s="191">
        <f t="shared" ref="G124:N131" si="67">G100*G$51</f>
        <v>0</v>
      </c>
      <c r="H124" s="191">
        <f t="shared" si="67"/>
        <v>0</v>
      </c>
      <c r="I124" s="191">
        <f t="shared" si="67"/>
        <v>0</v>
      </c>
      <c r="J124" s="191">
        <f t="shared" si="67"/>
        <v>0</v>
      </c>
      <c r="K124" s="191">
        <f t="shared" si="67"/>
        <v>0</v>
      </c>
      <c r="L124" s="191">
        <f t="shared" si="67"/>
        <v>0</v>
      </c>
      <c r="M124" s="191">
        <f t="shared" si="67"/>
        <v>0</v>
      </c>
      <c r="N124" s="191">
        <f t="shared" si="67"/>
        <v>0</v>
      </c>
      <c r="O124" s="191">
        <f t="shared" si="65"/>
        <v>0</v>
      </c>
      <c r="P124" s="191">
        <f t="shared" si="66"/>
        <v>0</v>
      </c>
    </row>
    <row r="125" spans="4:16" hidden="1" outlineLevel="1">
      <c r="D125" s="248" t="s">
        <v>381</v>
      </c>
      <c r="G125" s="191">
        <f t="shared" si="67"/>
        <v>1.5796918626504497</v>
      </c>
      <c r="H125" s="191">
        <f t="shared" si="67"/>
        <v>6.1373040407161223</v>
      </c>
      <c r="I125" s="191">
        <f t="shared" si="67"/>
        <v>11.915744848787424</v>
      </c>
      <c r="J125" s="191">
        <f t="shared" si="67"/>
        <v>0.60494869767549653</v>
      </c>
      <c r="K125" s="191">
        <f t="shared" si="67"/>
        <v>0</v>
      </c>
      <c r="L125" s="191">
        <f t="shared" si="67"/>
        <v>0</v>
      </c>
      <c r="M125" s="191">
        <f t="shared" si="67"/>
        <v>0</v>
      </c>
      <c r="N125" s="191">
        <f t="shared" si="67"/>
        <v>0</v>
      </c>
      <c r="O125" s="191">
        <f t="shared" si="65"/>
        <v>20.237689449829492</v>
      </c>
      <c r="P125" s="191">
        <f t="shared" si="66"/>
        <v>12.520693546462921</v>
      </c>
    </row>
    <row r="126" spans="4:16" hidden="1" outlineLevel="1">
      <c r="D126" s="248" t="s">
        <v>382</v>
      </c>
      <c r="G126" s="191">
        <f t="shared" si="67"/>
        <v>0</v>
      </c>
      <c r="H126" s="191">
        <f t="shared" si="67"/>
        <v>0</v>
      </c>
      <c r="I126" s="191">
        <f t="shared" si="67"/>
        <v>0</v>
      </c>
      <c r="J126" s="191">
        <f t="shared" si="67"/>
        <v>0</v>
      </c>
      <c r="K126" s="191">
        <f t="shared" si="67"/>
        <v>0</v>
      </c>
      <c r="L126" s="191">
        <f t="shared" si="67"/>
        <v>0</v>
      </c>
      <c r="M126" s="191">
        <f t="shared" si="67"/>
        <v>0</v>
      </c>
      <c r="N126" s="191">
        <f t="shared" si="67"/>
        <v>0</v>
      </c>
      <c r="O126" s="191">
        <f t="shared" si="65"/>
        <v>0</v>
      </c>
      <c r="P126" s="191">
        <f t="shared" si="66"/>
        <v>0</v>
      </c>
    </row>
    <row r="127" spans="4:16" hidden="1" outlineLevel="1">
      <c r="D127" s="248" t="s">
        <v>383</v>
      </c>
      <c r="G127" s="191">
        <f t="shared" si="67"/>
        <v>91.327932596841009</v>
      </c>
      <c r="H127" s="191">
        <f t="shared" si="67"/>
        <v>354.82064762706807</v>
      </c>
      <c r="I127" s="191">
        <f t="shared" si="67"/>
        <v>688.89406100081715</v>
      </c>
      <c r="J127" s="191">
        <f t="shared" si="67"/>
        <v>34.974361261288465</v>
      </c>
      <c r="K127" s="191">
        <f t="shared" si="67"/>
        <v>0</v>
      </c>
      <c r="L127" s="191">
        <f t="shared" si="67"/>
        <v>0</v>
      </c>
      <c r="M127" s="191">
        <f t="shared" si="67"/>
        <v>0</v>
      </c>
      <c r="N127" s="191">
        <f t="shared" si="67"/>
        <v>0</v>
      </c>
      <c r="O127" s="191">
        <f t="shared" si="65"/>
        <v>1170.0170024860147</v>
      </c>
      <c r="P127" s="191">
        <f t="shared" si="66"/>
        <v>723.86842226210558</v>
      </c>
    </row>
    <row r="128" spans="4:16" hidden="1" outlineLevel="1">
      <c r="D128" s="248" t="s">
        <v>384</v>
      </c>
      <c r="G128" s="191">
        <f t="shared" si="67"/>
        <v>73.326936635317452</v>
      </c>
      <c r="H128" s="191">
        <f t="shared" si="67"/>
        <v>284.88448611123243</v>
      </c>
      <c r="I128" s="191">
        <f t="shared" si="67"/>
        <v>553.11107700691241</v>
      </c>
      <c r="J128" s="191">
        <f t="shared" si="67"/>
        <v>28.080814917690443</v>
      </c>
      <c r="K128" s="191">
        <f t="shared" si="67"/>
        <v>0</v>
      </c>
      <c r="L128" s="191">
        <f t="shared" si="67"/>
        <v>0</v>
      </c>
      <c r="M128" s="191">
        <f t="shared" si="67"/>
        <v>0</v>
      </c>
      <c r="N128" s="191">
        <f t="shared" si="67"/>
        <v>0</v>
      </c>
      <c r="O128" s="191">
        <f t="shared" si="65"/>
        <v>939.40331467115277</v>
      </c>
      <c r="P128" s="191">
        <f t="shared" si="66"/>
        <v>581.19189192460283</v>
      </c>
    </row>
    <row r="129" spans="4:16" hidden="1" outlineLevel="1">
      <c r="D129" s="248" t="s">
        <v>385</v>
      </c>
      <c r="G129" s="191">
        <f t="shared" si="67"/>
        <v>0</v>
      </c>
      <c r="H129" s="191">
        <f t="shared" si="67"/>
        <v>0</v>
      </c>
      <c r="I129" s="191">
        <f t="shared" si="67"/>
        <v>0</v>
      </c>
      <c r="J129" s="191">
        <f t="shared" si="67"/>
        <v>0</v>
      </c>
      <c r="K129" s="191">
        <f t="shared" si="67"/>
        <v>0</v>
      </c>
      <c r="L129" s="191">
        <f t="shared" si="67"/>
        <v>0</v>
      </c>
      <c r="M129" s="191">
        <f t="shared" si="67"/>
        <v>0</v>
      </c>
      <c r="N129" s="191">
        <f t="shared" si="67"/>
        <v>0</v>
      </c>
      <c r="O129" s="191">
        <f t="shared" si="65"/>
        <v>0</v>
      </c>
      <c r="P129" s="191">
        <f t="shared" si="66"/>
        <v>0</v>
      </c>
    </row>
    <row r="130" spans="4:16" hidden="1" outlineLevel="1">
      <c r="D130" s="248" t="s">
        <v>386</v>
      </c>
      <c r="G130" s="191">
        <f t="shared" si="67"/>
        <v>29.875058152204588</v>
      </c>
      <c r="H130" s="191">
        <f t="shared" si="67"/>
        <v>116.06840514233004</v>
      </c>
      <c r="I130" s="191">
        <f t="shared" si="67"/>
        <v>225.35000572015213</v>
      </c>
      <c r="J130" s="191">
        <f t="shared" si="67"/>
        <v>11.440761296214269</v>
      </c>
      <c r="K130" s="191">
        <f t="shared" si="67"/>
        <v>0</v>
      </c>
      <c r="L130" s="191">
        <f t="shared" si="67"/>
        <v>0</v>
      </c>
      <c r="M130" s="191">
        <f t="shared" si="67"/>
        <v>0</v>
      </c>
      <c r="N130" s="191">
        <f t="shared" si="67"/>
        <v>0</v>
      </c>
      <c r="O130" s="191">
        <f t="shared" si="65"/>
        <v>382.73423031090101</v>
      </c>
      <c r="P130" s="191">
        <f t="shared" si="66"/>
        <v>236.7907670163664</v>
      </c>
    </row>
    <row r="131" spans="4:16" hidden="1" outlineLevel="1">
      <c r="D131" s="248" t="s">
        <v>387</v>
      </c>
      <c r="G131" s="912">
        <f t="shared" si="67"/>
        <v>25.320387833418788</v>
      </c>
      <c r="H131" s="912">
        <f t="shared" si="67"/>
        <v>98.372930972631579</v>
      </c>
      <c r="I131" s="912">
        <f t="shared" si="67"/>
        <v>190.99375519295288</v>
      </c>
      <c r="J131" s="912">
        <f t="shared" si="67"/>
        <v>9.6965338662725085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324.38360786527574</v>
      </c>
      <c r="P131" s="912">
        <f t="shared" si="66"/>
        <v>200.69028905922539</v>
      </c>
    </row>
    <row r="132" spans="4:16" hidden="1" outlineLevel="1">
      <c r="D132" s="248" t="s">
        <v>441</v>
      </c>
      <c r="G132" s="191">
        <f>SUM(G123:G131)</f>
        <v>223.00969894308273</v>
      </c>
      <c r="H132" s="191">
        <f t="shared" ref="H132:P132" si="68">SUM(H123:H131)</f>
        <v>866.42107793469427</v>
      </c>
      <c r="I132" s="191">
        <f t="shared" si="68"/>
        <v>1682.1803886184093</v>
      </c>
      <c r="J132" s="191">
        <f t="shared" si="68"/>
        <v>85.402368736816683</v>
      </c>
      <c r="K132" s="191">
        <f t="shared" si="68"/>
        <v>0</v>
      </c>
      <c r="L132" s="191">
        <f t="shared" si="68"/>
        <v>0</v>
      </c>
      <c r="M132" s="191">
        <f t="shared" si="68"/>
        <v>0</v>
      </c>
      <c r="N132" s="191">
        <f t="shared" si="68"/>
        <v>0</v>
      </c>
      <c r="O132" s="191">
        <f t="shared" si="68"/>
        <v>2857.0135342330032</v>
      </c>
      <c r="P132" s="191">
        <f t="shared" si="68"/>
        <v>1767.582757355226</v>
      </c>
    </row>
    <row r="133" spans="4:16" hidden="1" outlineLevel="1"/>
    <row r="134" spans="4:16" hidden="1" outlineLevel="1">
      <c r="D134" s="248" t="s">
        <v>447</v>
      </c>
      <c r="G134" s="617" t="s">
        <v>72</v>
      </c>
      <c r="H134" s="617" t="s">
        <v>73</v>
      </c>
      <c r="I134" s="617" t="s">
        <v>74</v>
      </c>
      <c r="J134" s="617" t="s">
        <v>75</v>
      </c>
      <c r="K134" s="617" t="s">
        <v>76</v>
      </c>
      <c r="L134" s="617" t="s">
        <v>77</v>
      </c>
      <c r="M134" s="617" t="s">
        <v>78</v>
      </c>
      <c r="N134" s="617" t="s">
        <v>79</v>
      </c>
      <c r="O134" s="617" t="s">
        <v>16</v>
      </c>
      <c r="P134" s="617" t="s">
        <v>453</v>
      </c>
    </row>
    <row r="135" spans="4:16" hidden="1" outlineLevel="1">
      <c r="D135" s="248" t="s">
        <v>379</v>
      </c>
      <c r="G135" s="191">
        <f>G99*G$52</f>
        <v>7.8845214330176026</v>
      </c>
      <c r="H135" s="191">
        <f t="shared" ref="H135:N135" si="69">H99*H$52</f>
        <v>30.63313055209451</v>
      </c>
      <c r="I135" s="191">
        <f t="shared" si="69"/>
        <v>59.612242034254685</v>
      </c>
      <c r="J135" s="191">
        <f t="shared" si="69"/>
        <v>3.0334250955398923</v>
      </c>
      <c r="K135" s="191">
        <f t="shared" si="69"/>
        <v>0</v>
      </c>
      <c r="L135" s="191">
        <f t="shared" si="69"/>
        <v>0</v>
      </c>
      <c r="M135" s="191">
        <f t="shared" si="69"/>
        <v>0</v>
      </c>
      <c r="N135" s="191">
        <f t="shared" si="69"/>
        <v>0</v>
      </c>
      <c r="O135" s="191">
        <f t="shared" ref="O135:O143" si="70">SUM(F135:N135)</f>
        <v>101.16331911490668</v>
      </c>
      <c r="P135" s="191">
        <f t="shared" ref="P135:P143" si="71">SUM(I135:M135)</f>
        <v>62.645667129794575</v>
      </c>
    </row>
    <row r="136" spans="4:16" hidden="1" outlineLevel="1">
      <c r="D136" s="248" t="s">
        <v>380</v>
      </c>
      <c r="G136" s="191">
        <f t="shared" ref="G136:N143" si="72">G100*G$52</f>
        <v>0</v>
      </c>
      <c r="H136" s="191">
        <f t="shared" si="72"/>
        <v>0</v>
      </c>
      <c r="I136" s="191">
        <f t="shared" si="72"/>
        <v>0</v>
      </c>
      <c r="J136" s="191">
        <f t="shared" si="72"/>
        <v>0</v>
      </c>
      <c r="K136" s="191">
        <f t="shared" si="72"/>
        <v>0</v>
      </c>
      <c r="L136" s="191">
        <f t="shared" si="72"/>
        <v>0</v>
      </c>
      <c r="M136" s="191">
        <f t="shared" si="72"/>
        <v>0</v>
      </c>
      <c r="N136" s="191">
        <f t="shared" si="72"/>
        <v>0</v>
      </c>
      <c r="O136" s="191">
        <f t="shared" si="70"/>
        <v>0</v>
      </c>
      <c r="P136" s="191">
        <f t="shared" si="71"/>
        <v>0</v>
      </c>
    </row>
    <row r="137" spans="4:16" hidden="1" outlineLevel="1">
      <c r="D137" s="248" t="s">
        <v>381</v>
      </c>
      <c r="G137" s="191">
        <f t="shared" si="72"/>
        <v>7.8845214330176026</v>
      </c>
      <c r="H137" s="191">
        <f t="shared" si="72"/>
        <v>30.63313055209451</v>
      </c>
      <c r="I137" s="191">
        <f t="shared" si="72"/>
        <v>59.612242034254685</v>
      </c>
      <c r="J137" s="191">
        <f t="shared" si="72"/>
        <v>3.0334250955398923</v>
      </c>
      <c r="K137" s="191">
        <f t="shared" si="72"/>
        <v>0</v>
      </c>
      <c r="L137" s="191">
        <f t="shared" si="72"/>
        <v>0</v>
      </c>
      <c r="M137" s="191">
        <f t="shared" si="72"/>
        <v>0</v>
      </c>
      <c r="N137" s="191">
        <f t="shared" si="72"/>
        <v>0</v>
      </c>
      <c r="O137" s="191">
        <f t="shared" si="70"/>
        <v>101.16331911490668</v>
      </c>
      <c r="P137" s="191">
        <f t="shared" si="71"/>
        <v>62.645667129794575</v>
      </c>
    </row>
    <row r="138" spans="4:16" hidden="1" outlineLevel="1">
      <c r="D138" s="248" t="s">
        <v>382</v>
      </c>
      <c r="G138" s="191">
        <f t="shared" si="72"/>
        <v>0</v>
      </c>
      <c r="H138" s="191">
        <f t="shared" si="72"/>
        <v>0</v>
      </c>
      <c r="I138" s="191">
        <f t="shared" si="72"/>
        <v>0</v>
      </c>
      <c r="J138" s="191">
        <f t="shared" si="72"/>
        <v>0</v>
      </c>
      <c r="K138" s="191">
        <f t="shared" si="72"/>
        <v>0</v>
      </c>
      <c r="L138" s="191">
        <f t="shared" si="72"/>
        <v>0</v>
      </c>
      <c r="M138" s="191">
        <f t="shared" si="72"/>
        <v>0</v>
      </c>
      <c r="N138" s="191">
        <f t="shared" si="72"/>
        <v>0</v>
      </c>
      <c r="O138" s="191">
        <f t="shared" si="70"/>
        <v>0</v>
      </c>
      <c r="P138" s="191">
        <f t="shared" si="71"/>
        <v>0</v>
      </c>
    </row>
    <row r="139" spans="4:16" hidden="1" outlineLevel="1">
      <c r="D139" s="248" t="s">
        <v>383</v>
      </c>
      <c r="G139" s="191">
        <f t="shared" si="72"/>
        <v>455.83386166515743</v>
      </c>
      <c r="H139" s="191">
        <f t="shared" si="72"/>
        <v>1771.0165814223592</v>
      </c>
      <c r="I139" s="191">
        <f t="shared" si="72"/>
        <v>3446.4080946245131</v>
      </c>
      <c r="J139" s="191">
        <f t="shared" si="72"/>
        <v>175.37372269438299</v>
      </c>
      <c r="K139" s="191">
        <f t="shared" si="72"/>
        <v>0</v>
      </c>
      <c r="L139" s="191">
        <f t="shared" si="72"/>
        <v>0</v>
      </c>
      <c r="M139" s="191">
        <f t="shared" si="72"/>
        <v>0</v>
      </c>
      <c r="N139" s="191">
        <f t="shared" si="72"/>
        <v>0</v>
      </c>
      <c r="O139" s="191">
        <f t="shared" si="70"/>
        <v>5848.6322604064126</v>
      </c>
      <c r="P139" s="191">
        <f t="shared" si="71"/>
        <v>3621.7818173188962</v>
      </c>
    </row>
    <row r="140" spans="4:16" hidden="1" outlineLevel="1">
      <c r="D140" s="248" t="s">
        <v>384</v>
      </c>
      <c r="G140" s="191">
        <f t="shared" si="72"/>
        <v>365.98770759548773</v>
      </c>
      <c r="H140" s="191">
        <f t="shared" si="72"/>
        <v>1421.944162683759</v>
      </c>
      <c r="I140" s="191">
        <f t="shared" si="72"/>
        <v>2767.1112307946637</v>
      </c>
      <c r="J140" s="191">
        <f t="shared" si="72"/>
        <v>140.80706182497735</v>
      </c>
      <c r="K140" s="191">
        <f t="shared" si="72"/>
        <v>0</v>
      </c>
      <c r="L140" s="191">
        <f t="shared" si="72"/>
        <v>0</v>
      </c>
      <c r="M140" s="191">
        <f t="shared" si="72"/>
        <v>0</v>
      </c>
      <c r="N140" s="191">
        <f t="shared" si="72"/>
        <v>0</v>
      </c>
      <c r="O140" s="191">
        <f t="shared" si="70"/>
        <v>4695.8501628988879</v>
      </c>
      <c r="P140" s="191">
        <f t="shared" si="71"/>
        <v>2907.9182926196409</v>
      </c>
    </row>
    <row r="141" spans="4:16" hidden="1" outlineLevel="1">
      <c r="D141" s="248" t="s">
        <v>385</v>
      </c>
      <c r="G141" s="191">
        <f t="shared" si="72"/>
        <v>0</v>
      </c>
      <c r="H141" s="191">
        <f t="shared" si="72"/>
        <v>0</v>
      </c>
      <c r="I141" s="191">
        <f t="shared" si="72"/>
        <v>0</v>
      </c>
      <c r="J141" s="191">
        <f t="shared" si="72"/>
        <v>0</v>
      </c>
      <c r="K141" s="191">
        <f t="shared" si="72"/>
        <v>0</v>
      </c>
      <c r="L141" s="191">
        <f t="shared" si="72"/>
        <v>0</v>
      </c>
      <c r="M141" s="191">
        <f t="shared" si="72"/>
        <v>0</v>
      </c>
      <c r="N141" s="191">
        <f t="shared" si="72"/>
        <v>0</v>
      </c>
      <c r="O141" s="191">
        <f t="shared" si="70"/>
        <v>0</v>
      </c>
      <c r="P141" s="191">
        <f t="shared" si="71"/>
        <v>0</v>
      </c>
    </row>
    <row r="142" spans="4:16" hidden="1" outlineLevel="1">
      <c r="D142" s="248" t="s">
        <v>386</v>
      </c>
      <c r="G142" s="191">
        <f t="shared" si="72"/>
        <v>149.11169822606499</v>
      </c>
      <c r="H142" s="191">
        <f t="shared" si="72"/>
        <v>579.33232313573319</v>
      </c>
      <c r="I142" s="191">
        <f t="shared" si="72"/>
        <v>1127.3839154736033</v>
      </c>
      <c r="J142" s="191">
        <f t="shared" si="72"/>
        <v>57.367992627093791</v>
      </c>
      <c r="K142" s="191">
        <f t="shared" si="72"/>
        <v>0</v>
      </c>
      <c r="L142" s="191">
        <f t="shared" si="72"/>
        <v>0</v>
      </c>
      <c r="M142" s="191">
        <f t="shared" si="72"/>
        <v>0</v>
      </c>
      <c r="N142" s="191">
        <f t="shared" si="72"/>
        <v>0</v>
      </c>
      <c r="O142" s="191">
        <f t="shared" si="70"/>
        <v>1913.1959294624953</v>
      </c>
      <c r="P142" s="191">
        <f t="shared" si="71"/>
        <v>1184.7519081006972</v>
      </c>
    </row>
    <row r="143" spans="4:16" hidden="1" outlineLevel="1">
      <c r="D143" s="248" t="s">
        <v>387</v>
      </c>
      <c r="G143" s="912">
        <f t="shared" si="72"/>
        <v>126.37853323492384</v>
      </c>
      <c r="H143" s="912">
        <f t="shared" si="72"/>
        <v>491.00888880277506</v>
      </c>
      <c r="I143" s="912">
        <f t="shared" si="72"/>
        <v>955.50602216462505</v>
      </c>
      <c r="J143" s="912">
        <f t="shared" si="72"/>
        <v>48.621824102977797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1621.5152683053018</v>
      </c>
      <c r="P143" s="912">
        <f t="shared" si="71"/>
        <v>1004.1278462676029</v>
      </c>
    </row>
    <row r="144" spans="4:16" hidden="1" outlineLevel="1">
      <c r="D144" s="248" t="s">
        <v>442</v>
      </c>
      <c r="G144" s="191">
        <f>SUM(G135:G143)</f>
        <v>1113.0808435876691</v>
      </c>
      <c r="H144" s="191">
        <f t="shared" ref="H144:P144" si="73">SUM(H135:H143)</f>
        <v>4324.5682171488152</v>
      </c>
      <c r="I144" s="191">
        <f t="shared" si="73"/>
        <v>8415.6337471259139</v>
      </c>
      <c r="J144" s="191">
        <f t="shared" si="73"/>
        <v>428.23745144051168</v>
      </c>
      <c r="K144" s="191">
        <f t="shared" si="73"/>
        <v>0</v>
      </c>
      <c r="L144" s="191">
        <f t="shared" si="73"/>
        <v>0</v>
      </c>
      <c r="M144" s="191">
        <f t="shared" si="73"/>
        <v>0</v>
      </c>
      <c r="N144" s="191">
        <f t="shared" si="73"/>
        <v>0</v>
      </c>
      <c r="O144" s="191">
        <f t="shared" si="73"/>
        <v>14281.520259302912</v>
      </c>
      <c r="P144" s="191">
        <f t="shared" si="73"/>
        <v>8843.8711985664268</v>
      </c>
    </row>
    <row r="145" spans="4:16" hidden="1" outlineLevel="1" collapsed="1"/>
    <row r="146" spans="4:16" hidden="1" outlineLevel="1">
      <c r="D146" s="248" t="s">
        <v>454</v>
      </c>
      <c r="G146" s="617" t="s">
        <v>72</v>
      </c>
      <c r="H146" s="617" t="s">
        <v>73</v>
      </c>
      <c r="I146" s="617" t="s">
        <v>74</v>
      </c>
      <c r="J146" s="617" t="s">
        <v>75</v>
      </c>
      <c r="K146" s="617" t="s">
        <v>76</v>
      </c>
      <c r="L146" s="617" t="s">
        <v>77</v>
      </c>
      <c r="M146" s="617" t="s">
        <v>78</v>
      </c>
      <c r="N146" s="617" t="s">
        <v>79</v>
      </c>
      <c r="O146" s="617" t="s">
        <v>16</v>
      </c>
      <c r="P146" s="617" t="s">
        <v>453</v>
      </c>
    </row>
    <row r="147" spans="4:16" hidden="1" outlineLevel="1">
      <c r="D147" s="248" t="s">
        <v>379</v>
      </c>
      <c r="G147" s="191">
        <f t="shared" ref="G147:N155" si="74">G111+G123+G135</f>
        <v>15.746074809873893</v>
      </c>
      <c r="H147" s="191">
        <f t="shared" si="74"/>
        <v>61.016244150181336</v>
      </c>
      <c r="I147" s="191">
        <f t="shared" si="74"/>
        <v>118.22597519033309</v>
      </c>
      <c r="J147" s="191">
        <f t="shared" si="74"/>
        <v>5.9901278851627637</v>
      </c>
      <c r="K147" s="191">
        <f t="shared" si="74"/>
        <v>0</v>
      </c>
      <c r="L147" s="191">
        <f t="shared" si="74"/>
        <v>0</v>
      </c>
      <c r="M147" s="191">
        <f t="shared" si="74"/>
        <v>0</v>
      </c>
      <c r="N147" s="191">
        <f t="shared" si="74"/>
        <v>0</v>
      </c>
      <c r="O147" s="191">
        <f t="shared" ref="O147:O155" si="75">SUM(F147:N147)</f>
        <v>200.97842203555106</v>
      </c>
      <c r="P147" s="191">
        <f t="shared" ref="P147:P155" si="76">SUM(I147:M147)</f>
        <v>124.21610307549585</v>
      </c>
    </row>
    <row r="148" spans="4:16" hidden="1" outlineLevel="1">
      <c r="D148" s="248" t="s">
        <v>380</v>
      </c>
      <c r="G148" s="191">
        <f t="shared" si="74"/>
        <v>0</v>
      </c>
      <c r="H148" s="191">
        <f t="shared" si="74"/>
        <v>0</v>
      </c>
      <c r="I148" s="191">
        <f t="shared" si="74"/>
        <v>0</v>
      </c>
      <c r="J148" s="191">
        <f t="shared" si="74"/>
        <v>0</v>
      </c>
      <c r="K148" s="191">
        <f t="shared" si="74"/>
        <v>0</v>
      </c>
      <c r="L148" s="191">
        <f t="shared" si="74"/>
        <v>0</v>
      </c>
      <c r="M148" s="191">
        <f t="shared" si="74"/>
        <v>0</v>
      </c>
      <c r="N148" s="191">
        <f t="shared" si="74"/>
        <v>0</v>
      </c>
      <c r="O148" s="191">
        <f t="shared" si="75"/>
        <v>0</v>
      </c>
      <c r="P148" s="191">
        <f t="shared" si="76"/>
        <v>0</v>
      </c>
    </row>
    <row r="149" spans="4:16" hidden="1" outlineLevel="1">
      <c r="D149" s="248" t="s">
        <v>381</v>
      </c>
      <c r="G149" s="191">
        <f t="shared" si="74"/>
        <v>15.746074809873893</v>
      </c>
      <c r="H149" s="191">
        <f t="shared" si="74"/>
        <v>61.016244150181336</v>
      </c>
      <c r="I149" s="191">
        <f t="shared" si="74"/>
        <v>118.22597519033309</v>
      </c>
      <c r="J149" s="191">
        <f t="shared" si="74"/>
        <v>5.9901278851627637</v>
      </c>
      <c r="K149" s="191">
        <f t="shared" si="74"/>
        <v>0</v>
      </c>
      <c r="L149" s="191">
        <f t="shared" si="74"/>
        <v>0</v>
      </c>
      <c r="M149" s="191">
        <f t="shared" si="74"/>
        <v>0</v>
      </c>
      <c r="N149" s="191">
        <f t="shared" si="74"/>
        <v>0</v>
      </c>
      <c r="O149" s="191">
        <f t="shared" si="75"/>
        <v>200.97842203555106</v>
      </c>
      <c r="P149" s="191">
        <f t="shared" si="76"/>
        <v>124.21610307549585</v>
      </c>
    </row>
    <row r="150" spans="4:16" hidden="1" outlineLevel="1">
      <c r="D150" s="248" t="s">
        <v>382</v>
      </c>
      <c r="G150" s="191">
        <f t="shared" si="74"/>
        <v>0</v>
      </c>
      <c r="H150" s="191">
        <f t="shared" si="74"/>
        <v>0</v>
      </c>
      <c r="I150" s="191">
        <f t="shared" si="74"/>
        <v>0</v>
      </c>
      <c r="J150" s="191">
        <f t="shared" si="74"/>
        <v>0</v>
      </c>
      <c r="K150" s="191">
        <f t="shared" si="74"/>
        <v>0</v>
      </c>
      <c r="L150" s="191">
        <f t="shared" si="74"/>
        <v>0</v>
      </c>
      <c r="M150" s="191">
        <f t="shared" si="74"/>
        <v>0</v>
      </c>
      <c r="N150" s="191">
        <f t="shared" si="74"/>
        <v>0</v>
      </c>
      <c r="O150" s="191">
        <f t="shared" si="75"/>
        <v>0</v>
      </c>
      <c r="P150" s="191">
        <f t="shared" si="76"/>
        <v>0</v>
      </c>
    </row>
    <row r="151" spans="4:16" hidden="1" outlineLevel="1">
      <c r="D151" s="248" t="s">
        <v>383</v>
      </c>
      <c r="G151" s="191">
        <f t="shared" si="74"/>
        <v>910.33985355103937</v>
      </c>
      <c r="H151" s="191">
        <f t="shared" si="74"/>
        <v>3527.5787416607222</v>
      </c>
      <c r="I151" s="191">
        <f t="shared" si="74"/>
        <v>6835.0886325783049</v>
      </c>
      <c r="J151" s="191">
        <f t="shared" si="74"/>
        <v>346.31184009818253</v>
      </c>
      <c r="K151" s="191">
        <f t="shared" si="74"/>
        <v>0</v>
      </c>
      <c r="L151" s="191">
        <f t="shared" si="74"/>
        <v>0</v>
      </c>
      <c r="M151" s="191">
        <f t="shared" si="74"/>
        <v>0</v>
      </c>
      <c r="N151" s="191">
        <f t="shared" si="74"/>
        <v>0</v>
      </c>
      <c r="O151" s="191">
        <f t="shared" si="75"/>
        <v>11619.319067888247</v>
      </c>
      <c r="P151" s="191">
        <f t="shared" si="76"/>
        <v>7181.400472676487</v>
      </c>
    </row>
    <row r="152" spans="4:16" hidden="1" outlineLevel="1">
      <c r="D152" s="248" t="s">
        <v>384</v>
      </c>
      <c r="G152" s="191">
        <f t="shared" si="74"/>
        <v>730.90927233198056</v>
      </c>
      <c r="H152" s="191">
        <f t="shared" si="74"/>
        <v>2832.2829118196396</v>
      </c>
      <c r="I152" s="191">
        <f t="shared" si="74"/>
        <v>5487.8731709643907</v>
      </c>
      <c r="J152" s="191">
        <f t="shared" si="74"/>
        <v>278.05278881149212</v>
      </c>
      <c r="K152" s="191">
        <f t="shared" si="74"/>
        <v>0</v>
      </c>
      <c r="L152" s="191">
        <f t="shared" si="74"/>
        <v>0</v>
      </c>
      <c r="M152" s="191">
        <f t="shared" si="74"/>
        <v>0</v>
      </c>
      <c r="N152" s="191">
        <f t="shared" si="74"/>
        <v>0</v>
      </c>
      <c r="O152" s="191">
        <f t="shared" si="75"/>
        <v>9329.1181439275024</v>
      </c>
      <c r="P152" s="191">
        <f t="shared" si="76"/>
        <v>5765.9259597758828</v>
      </c>
    </row>
    <row r="153" spans="4:16" hidden="1" outlineLevel="1">
      <c r="D153" s="248" t="s">
        <v>385</v>
      </c>
      <c r="G153" s="191">
        <f t="shared" si="74"/>
        <v>0</v>
      </c>
      <c r="H153" s="191">
        <f t="shared" si="74"/>
        <v>0</v>
      </c>
      <c r="I153" s="191">
        <f t="shared" si="74"/>
        <v>0</v>
      </c>
      <c r="J153" s="191">
        <f t="shared" si="74"/>
        <v>0</v>
      </c>
      <c r="K153" s="191">
        <f t="shared" si="74"/>
        <v>0</v>
      </c>
      <c r="L153" s="191">
        <f t="shared" si="74"/>
        <v>0</v>
      </c>
      <c r="M153" s="191">
        <f t="shared" si="74"/>
        <v>0</v>
      </c>
      <c r="N153" s="191">
        <f t="shared" si="74"/>
        <v>0</v>
      </c>
      <c r="O153" s="191">
        <f t="shared" si="75"/>
        <v>0</v>
      </c>
      <c r="P153" s="191">
        <f t="shared" si="76"/>
        <v>0</v>
      </c>
    </row>
    <row r="154" spans="4:16" hidden="1" outlineLevel="1">
      <c r="D154" s="248" t="s">
        <v>386</v>
      </c>
      <c r="G154" s="191">
        <f t="shared" si="74"/>
        <v>297.78902565508662</v>
      </c>
      <c r="H154" s="191">
        <f t="shared" si="74"/>
        <v>1153.9363374052773</v>
      </c>
      <c r="I154" s="191">
        <f t="shared" si="74"/>
        <v>2235.8840780417768</v>
      </c>
      <c r="J154" s="191">
        <f t="shared" si="74"/>
        <v>113.28501661591369</v>
      </c>
      <c r="K154" s="191">
        <f t="shared" si="74"/>
        <v>0</v>
      </c>
      <c r="L154" s="191">
        <f t="shared" si="74"/>
        <v>0</v>
      </c>
      <c r="M154" s="191">
        <f t="shared" si="74"/>
        <v>0</v>
      </c>
      <c r="N154" s="191">
        <f t="shared" si="74"/>
        <v>0</v>
      </c>
      <c r="O154" s="191">
        <f t="shared" si="75"/>
        <v>3800.8944577180541</v>
      </c>
      <c r="P154" s="191">
        <f t="shared" si="76"/>
        <v>2349.1690946576905</v>
      </c>
    </row>
    <row r="155" spans="4:16" hidden="1" outlineLevel="1">
      <c r="D155" s="248" t="s">
        <v>387</v>
      </c>
      <c r="G155" s="912">
        <f t="shared" si="74"/>
        <v>252.38891866613079</v>
      </c>
      <c r="H155" s="912">
        <f t="shared" si="74"/>
        <v>978.010333881821</v>
      </c>
      <c r="I155" s="912">
        <f t="shared" si="74"/>
        <v>1895.007257162647</v>
      </c>
      <c r="J155" s="912">
        <f t="shared" si="74"/>
        <v>96.013890309986067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3221.4204000205846</v>
      </c>
      <c r="P155" s="912">
        <f t="shared" si="76"/>
        <v>1991.0211474726329</v>
      </c>
    </row>
    <row r="156" spans="4:16" hidden="1" outlineLevel="1">
      <c r="D156" s="248" t="s">
        <v>454</v>
      </c>
      <c r="G156" s="191">
        <f>SUM(G147:G155)</f>
        <v>2222.9192198239848</v>
      </c>
      <c r="H156" s="191">
        <f t="shared" ref="H156:N156" si="77">SUM(H147:H155)</f>
        <v>8613.8408130678235</v>
      </c>
      <c r="I156" s="191">
        <f t="shared" si="77"/>
        <v>16690.305089127785</v>
      </c>
      <c r="J156" s="191">
        <f t="shared" si="77"/>
        <v>845.64379160589999</v>
      </c>
      <c r="K156" s="191">
        <f t="shared" si="77"/>
        <v>0</v>
      </c>
      <c r="L156" s="191">
        <f t="shared" si="77"/>
        <v>0</v>
      </c>
      <c r="M156" s="191">
        <f t="shared" si="77"/>
        <v>0</v>
      </c>
      <c r="N156" s="191">
        <f t="shared" si="77"/>
        <v>0</v>
      </c>
      <c r="O156" s="191">
        <f t="shared" ref="O156:P156" si="78">SUM(O147:O155)</f>
        <v>28372.708913625494</v>
      </c>
      <c r="P156" s="191">
        <f t="shared" si="78"/>
        <v>17535.948880733686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6" priority="4" operator="equal">
      <formula>"Error"</formula>
    </cfRule>
  </conditionalFormatting>
  <conditionalFormatting sqref="R11">
    <cfRule type="cellIs" dxfId="125" priority="3" operator="equal">
      <formula>"Error"</formula>
    </cfRule>
  </conditionalFormatting>
  <conditionalFormatting sqref="R54">
    <cfRule type="cellIs" dxfId="12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49</vt:i4>
      </vt:variant>
    </vt:vector>
  </HeadingPairs>
  <TitlesOfParts>
    <vt:vector size="112" baseType="lpstr">
      <vt:lpstr>Contents</vt:lpstr>
      <vt:lpstr>Assumptions</vt:lpstr>
      <vt:lpstr>Lookups</vt:lpstr>
      <vt:lpstr>Project_Inputs</vt:lpstr>
      <vt:lpstr>Proj_1</vt:lpstr>
      <vt:lpstr>Proj_2</vt:lpstr>
      <vt:lpstr>Proj_3</vt:lpstr>
      <vt:lpstr>Proj_4</vt:lpstr>
      <vt:lpstr>Proj_5</vt:lpstr>
      <vt:lpstr>Proj_6</vt:lpstr>
      <vt:lpstr>Proj_7</vt:lpstr>
      <vt:lpstr>Proj_8</vt:lpstr>
      <vt:lpstr>Proj_9</vt:lpstr>
      <vt:lpstr>Proj_10</vt:lpstr>
      <vt:lpstr>Proj_11</vt:lpstr>
      <vt:lpstr>Proj_12</vt:lpstr>
      <vt:lpstr>Proj_13</vt:lpstr>
      <vt:lpstr>Proj_14</vt:lpstr>
      <vt:lpstr>Proj_15</vt:lpstr>
      <vt:lpstr>Proj_16</vt:lpstr>
      <vt:lpstr>Proj_17</vt:lpstr>
      <vt:lpstr>Proj_18</vt:lpstr>
      <vt:lpstr>Proj_19</vt:lpstr>
      <vt:lpstr>Proj_20</vt:lpstr>
      <vt:lpstr>Proj_21</vt:lpstr>
      <vt:lpstr>Proj_22</vt:lpstr>
      <vt:lpstr>Proj_23</vt:lpstr>
      <vt:lpstr>Proj_24</vt:lpstr>
      <vt:lpstr>Proj_25</vt:lpstr>
      <vt:lpstr>Proj_26</vt:lpstr>
      <vt:lpstr>Proj_27</vt:lpstr>
      <vt:lpstr>Proj_28</vt:lpstr>
      <vt:lpstr>Proj_29</vt:lpstr>
      <vt:lpstr>Proj_30</vt:lpstr>
      <vt:lpstr>Proj_31</vt:lpstr>
      <vt:lpstr>Proj_32</vt:lpstr>
      <vt:lpstr>Proj_33</vt:lpstr>
      <vt:lpstr>Proj_34</vt:lpstr>
      <vt:lpstr>Proj_35</vt:lpstr>
      <vt:lpstr>Proj_36</vt:lpstr>
      <vt:lpstr>Proj_37</vt:lpstr>
      <vt:lpstr>Proj_38</vt:lpstr>
      <vt:lpstr>Proj_39</vt:lpstr>
      <vt:lpstr>Proj_40</vt:lpstr>
      <vt:lpstr>Proj_41</vt:lpstr>
      <vt:lpstr>Proj_42</vt:lpstr>
      <vt:lpstr>Proj_43</vt:lpstr>
      <vt:lpstr>Proj_44</vt:lpstr>
      <vt:lpstr>Proj_45</vt:lpstr>
      <vt:lpstr>Proj_46</vt:lpstr>
      <vt:lpstr>Outputs--&gt;</vt:lpstr>
      <vt:lpstr>5.1(a)_Direct_Fcast</vt:lpstr>
      <vt:lpstr>5.1(b)_Total_Fcast</vt:lpstr>
      <vt:lpstr>5.1(c)_Total_Fcast</vt:lpstr>
      <vt:lpstr>5.1(d)_Repl_Fcast</vt:lpstr>
      <vt:lpstr>5.2(a)_Total_Fcast</vt:lpstr>
      <vt:lpstr>5.2(b)_Total_Fcast</vt:lpstr>
      <vt:lpstr>RIN_Outputs--&gt;</vt:lpstr>
      <vt:lpstr>2.1 Exp Summary</vt:lpstr>
      <vt:lpstr>2.6 Non Network - Submission</vt:lpstr>
      <vt:lpstr>2.10 Overheads - Submission</vt:lpstr>
      <vt:lpstr>2.12 Input Tables</vt:lpstr>
      <vt:lpstr>Error_Chks</vt:lpstr>
      <vt:lpstr>E_factor</vt:lpstr>
      <vt:lpstr>IT_OH_rates</vt:lpstr>
      <vt:lpstr>Millions</vt:lpstr>
      <vt:lpstr>Non_IT_rates</vt:lpstr>
      <vt:lpstr>OHD_Summary_tbl</vt:lpstr>
      <vt:lpstr>'5.1(b)_Total_Fcast'!Print_Area</vt:lpstr>
      <vt:lpstr>'5.2(a)_Total_Fcast'!Print_Area</vt:lpstr>
      <vt:lpstr>Assumptions!Print_Area</vt:lpstr>
      <vt:lpstr>Proj_1!Print_Area</vt:lpstr>
      <vt:lpstr>Proj_10!Print_Area</vt:lpstr>
      <vt:lpstr>Proj_11!Print_Area</vt:lpstr>
      <vt:lpstr>Proj_12!Print_Area</vt:lpstr>
      <vt:lpstr>Proj_2!Print_Area</vt:lpstr>
      <vt:lpstr>Proj_20!Print_Area</vt:lpstr>
      <vt:lpstr>Proj_21!Print_Area</vt:lpstr>
      <vt:lpstr>Proj_22!Print_Area</vt:lpstr>
      <vt:lpstr>Proj_23!Print_Area</vt:lpstr>
      <vt:lpstr>Proj_24!Print_Area</vt:lpstr>
      <vt:lpstr>Proj_25!Print_Area</vt:lpstr>
      <vt:lpstr>Proj_26!Print_Area</vt:lpstr>
      <vt:lpstr>Proj_27!Print_Area</vt:lpstr>
      <vt:lpstr>Proj_28!Print_Area</vt:lpstr>
      <vt:lpstr>Proj_29!Print_Area</vt:lpstr>
      <vt:lpstr>Proj_3!Print_Area</vt:lpstr>
      <vt:lpstr>Proj_30!Print_Area</vt:lpstr>
      <vt:lpstr>Proj_31!Print_Area</vt:lpstr>
      <vt:lpstr>Proj_32!Print_Area</vt:lpstr>
      <vt:lpstr>Proj_33!Print_Area</vt:lpstr>
      <vt:lpstr>Proj_34!Print_Area</vt:lpstr>
      <vt:lpstr>Proj_35!Print_Area</vt:lpstr>
      <vt:lpstr>Proj_36!Print_Area</vt:lpstr>
      <vt:lpstr>Proj_37!Print_Area</vt:lpstr>
      <vt:lpstr>Proj_38!Print_Area</vt:lpstr>
      <vt:lpstr>Proj_39!Print_Area</vt:lpstr>
      <vt:lpstr>Proj_4!Print_Area</vt:lpstr>
      <vt:lpstr>Proj_40!Print_Area</vt:lpstr>
      <vt:lpstr>Proj_41!Print_Area</vt:lpstr>
      <vt:lpstr>Proj_43!Print_Area</vt:lpstr>
      <vt:lpstr>Proj_44!Print_Area</vt:lpstr>
      <vt:lpstr>Proj_45!Print_Area</vt:lpstr>
      <vt:lpstr>Proj_46!Print_Area</vt:lpstr>
      <vt:lpstr>Proj_5!Print_Area</vt:lpstr>
      <vt:lpstr>Proj_6!Print_Area</vt:lpstr>
      <vt:lpstr>Proj_7!Print_Area</vt:lpstr>
      <vt:lpstr>Proj_8!Print_Area</vt:lpstr>
      <vt:lpstr>Proj_9!Print_Area</vt:lpstr>
      <vt:lpstr>Project_Inputs!Print_Area</vt:lpstr>
      <vt:lpstr>Repex_OH_rates</vt:lpstr>
      <vt:lpstr>Thousands</vt:lpstr>
    </vt:vector>
  </TitlesOfParts>
  <Company>SP-Ausnet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ncimdins</dc:creator>
  <cp:lastModifiedBy>Le Cornu, Matthew</cp:lastModifiedBy>
  <cp:lastPrinted>2016-06-11T12:12:00Z</cp:lastPrinted>
  <dcterms:created xsi:type="dcterms:W3CDTF">2012-04-12T01:41:42Z</dcterms:created>
  <dcterms:modified xsi:type="dcterms:W3CDTF">2016-07-18T23:09:06Z</dcterms:modified>
</cp:coreProperties>
</file>