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90" yWindow="-120" windowWidth="27810" windowHeight="11985" tabRatio="748" activeTab="1"/>
  </bookViews>
  <sheets>
    <sheet name="PC Changes" sheetId="33" r:id="rId1"/>
    <sheet name="Profile" sheetId="13" r:id="rId2"/>
    <sheet name="AER changes" sheetId="34" r:id="rId3"/>
    <sheet name="Assumptions" sheetId="15" r:id="rId4"/>
    <sheet name="Output" sheetId="14" r:id="rId5"/>
    <sheet name="T3 surge arrestors" sheetId="20" r:id="rId6"/>
    <sheet name="OtherAssets" sheetId="16" r:id="rId7"/>
    <sheet name="Underground cable" sheetId="22" r:id="rId8"/>
    <sheet name="Other_ACRs" sheetId="23" r:id="rId9"/>
    <sheet name="REFCL_Data" sheetId="19" r:id="rId10"/>
    <sheet name="ACRs_data" sheetId="29" r:id="rId11"/>
    <sheet name="UG_cable_data" sheetId="32" r:id="rId12"/>
  </sheets>
  <definedNames>
    <definedName name="_xlnm._FilterDatabase" localSheetId="1" hidden="1">Profile!$B$8:$L$16</definedName>
    <definedName name="_xlnm._FilterDatabase" localSheetId="7" hidden="1">'Underground cable'!$C$14:$E$14</definedName>
    <definedName name="_xlnm.Print_Area" localSheetId="8">Other_ACRs!$B$1:$I$47</definedName>
    <definedName name="_xlnm.Print_Area" localSheetId="9">REFCL_Data!$A$1:$Z$35</definedName>
    <definedName name="_xlnm.Print_Area" localSheetId="5">'T3 surge arrestors'!$B$1:$H$27</definedName>
    <definedName name="_xlnm.Print_Area" localSheetId="7">'Underground cable'!$B$1:$L$67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3" l="1"/>
  <c r="S65" i="22"/>
  <c r="R65" i="22"/>
  <c r="T65" i="22"/>
  <c r="R66" i="22"/>
  <c r="Q66" i="22"/>
  <c r="T64" i="22"/>
  <c r="S64" i="22"/>
  <c r="U64" i="22" s="1"/>
  <c r="R64" i="22"/>
  <c r="Q64" i="22"/>
  <c r="T63" i="22"/>
  <c r="R63" i="22"/>
  <c r="Q63" i="22"/>
  <c r="S63" i="22" s="1"/>
  <c r="U63" i="22" s="1"/>
  <c r="T62" i="22"/>
  <c r="R62" i="22"/>
  <c r="Q62" i="22"/>
  <c r="S62" i="22" s="1"/>
  <c r="U62" i="22" s="1"/>
  <c r="T61" i="22"/>
  <c r="R61" i="22"/>
  <c r="S61" i="22" s="1"/>
  <c r="U61" i="22" s="1"/>
  <c r="Q61" i="22"/>
  <c r="T60" i="22"/>
  <c r="S60" i="22"/>
  <c r="U60" i="22" s="1"/>
  <c r="R60" i="22"/>
  <c r="Q60" i="22"/>
  <c r="T59" i="22"/>
  <c r="R59" i="22"/>
  <c r="Q59" i="22"/>
  <c r="S59" i="22" s="1"/>
  <c r="U59" i="22" s="1"/>
  <c r="T58" i="22"/>
  <c r="R58" i="22"/>
  <c r="Q58" i="22"/>
  <c r="S58" i="22" s="1"/>
  <c r="U58" i="22" s="1"/>
  <c r="T57" i="22"/>
  <c r="R57" i="22"/>
  <c r="S57" i="22" s="1"/>
  <c r="U57" i="22" s="1"/>
  <c r="Q57" i="22"/>
  <c r="T56" i="22"/>
  <c r="S56" i="22"/>
  <c r="U56" i="22" s="1"/>
  <c r="R56" i="22"/>
  <c r="Q56" i="22"/>
  <c r="T55" i="22"/>
  <c r="R55" i="22"/>
  <c r="Q55" i="22"/>
  <c r="S55" i="22" s="1"/>
  <c r="U55" i="22" s="1"/>
  <c r="T54" i="22"/>
  <c r="R54" i="22"/>
  <c r="Q54" i="22"/>
  <c r="S54" i="22" s="1"/>
  <c r="U54" i="22" s="1"/>
  <c r="T53" i="22"/>
  <c r="R53" i="22"/>
  <c r="S53" i="22" s="1"/>
  <c r="U53" i="22" s="1"/>
  <c r="Q53" i="22"/>
  <c r="T52" i="22"/>
  <c r="S52" i="22"/>
  <c r="U52" i="22" s="1"/>
  <c r="R52" i="22"/>
  <c r="Q52" i="22"/>
  <c r="T51" i="22"/>
  <c r="R51" i="22"/>
  <c r="Q51" i="22"/>
  <c r="S51" i="22" s="1"/>
  <c r="U51" i="22" s="1"/>
  <c r="T50" i="22"/>
  <c r="R50" i="22"/>
  <c r="Q50" i="22"/>
  <c r="S50" i="22" s="1"/>
  <c r="U50" i="22" s="1"/>
  <c r="T49" i="22"/>
  <c r="R49" i="22"/>
  <c r="S49" i="22" s="1"/>
  <c r="U49" i="22" s="1"/>
  <c r="Q49" i="22"/>
  <c r="T48" i="22"/>
  <c r="S48" i="22"/>
  <c r="U48" i="22" s="1"/>
  <c r="R48" i="22"/>
  <c r="Q48" i="22"/>
  <c r="T47" i="22"/>
  <c r="R47" i="22"/>
  <c r="Q47" i="22"/>
  <c r="S47" i="22" s="1"/>
  <c r="U47" i="22" s="1"/>
  <c r="T46" i="22"/>
  <c r="R46" i="22"/>
  <c r="Q46" i="22"/>
  <c r="S46" i="22" s="1"/>
  <c r="U46" i="22" s="1"/>
  <c r="T45" i="22"/>
  <c r="R45" i="22"/>
  <c r="S45" i="22" s="1"/>
  <c r="U45" i="22" s="1"/>
  <c r="Q45" i="22"/>
  <c r="T44" i="22"/>
  <c r="S44" i="22"/>
  <c r="U44" i="22" s="1"/>
  <c r="R44" i="22"/>
  <c r="Q44" i="22"/>
  <c r="T43" i="22"/>
  <c r="R43" i="22"/>
  <c r="Q43" i="22"/>
  <c r="S43" i="22" s="1"/>
  <c r="U43" i="22" s="1"/>
  <c r="T42" i="22"/>
  <c r="R42" i="22"/>
  <c r="Q42" i="22"/>
  <c r="S42" i="22" s="1"/>
  <c r="U42" i="22" s="1"/>
  <c r="T41" i="22"/>
  <c r="R41" i="22"/>
  <c r="S41" i="22" s="1"/>
  <c r="U41" i="22" s="1"/>
  <c r="Q41" i="22"/>
  <c r="T40" i="22"/>
  <c r="S40" i="22"/>
  <c r="U40" i="22" s="1"/>
  <c r="R40" i="22"/>
  <c r="Q40" i="22"/>
  <c r="T39" i="22"/>
  <c r="R39" i="22"/>
  <c r="Q39" i="22"/>
  <c r="S39" i="22" s="1"/>
  <c r="U39" i="22" s="1"/>
  <c r="T38" i="22"/>
  <c r="R38" i="22"/>
  <c r="Q38" i="22"/>
  <c r="S38" i="22" s="1"/>
  <c r="U38" i="22" s="1"/>
  <c r="T37" i="22"/>
  <c r="R37" i="22"/>
  <c r="S37" i="22" s="1"/>
  <c r="U37" i="22" s="1"/>
  <c r="Q37" i="22"/>
  <c r="T36" i="22"/>
  <c r="S36" i="22"/>
  <c r="U36" i="22" s="1"/>
  <c r="R36" i="22"/>
  <c r="Q36" i="22"/>
  <c r="T35" i="22"/>
  <c r="R35" i="22"/>
  <c r="Q35" i="22"/>
  <c r="S35" i="22" s="1"/>
  <c r="U35" i="22" s="1"/>
  <c r="T34" i="22"/>
  <c r="R34" i="22"/>
  <c r="Q34" i="22"/>
  <c r="S34" i="22" s="1"/>
  <c r="U34" i="22" s="1"/>
  <c r="T33" i="22"/>
  <c r="R33" i="22"/>
  <c r="S33" i="22" s="1"/>
  <c r="U33" i="22" s="1"/>
  <c r="Q33" i="22"/>
  <c r="T32" i="22"/>
  <c r="S32" i="22"/>
  <c r="U32" i="22" s="1"/>
  <c r="R32" i="22"/>
  <c r="Q32" i="22"/>
  <c r="T31" i="22"/>
  <c r="R31" i="22"/>
  <c r="Q31" i="22"/>
  <c r="S31" i="22" s="1"/>
  <c r="U31" i="22" s="1"/>
  <c r="T30" i="22"/>
  <c r="R30" i="22"/>
  <c r="Q30" i="22"/>
  <c r="S30" i="22" s="1"/>
  <c r="U30" i="22" s="1"/>
  <c r="T29" i="22"/>
  <c r="R29" i="22"/>
  <c r="S29" i="22" s="1"/>
  <c r="U29" i="22" s="1"/>
  <c r="Q29" i="22"/>
  <c r="T28" i="22"/>
  <c r="S28" i="22"/>
  <c r="U28" i="22" s="1"/>
  <c r="R28" i="22"/>
  <c r="Q28" i="22"/>
  <c r="T27" i="22"/>
  <c r="R27" i="22"/>
  <c r="Q27" i="22"/>
  <c r="S27" i="22" s="1"/>
  <c r="U27" i="22" s="1"/>
  <c r="T26" i="22"/>
  <c r="R26" i="22"/>
  <c r="Q26" i="22"/>
  <c r="S26" i="22" s="1"/>
  <c r="U26" i="22" s="1"/>
  <c r="T25" i="22"/>
  <c r="R25" i="22"/>
  <c r="S25" i="22" s="1"/>
  <c r="U25" i="22" s="1"/>
  <c r="Q25" i="22"/>
  <c r="T24" i="22"/>
  <c r="S24" i="22"/>
  <c r="U24" i="22" s="1"/>
  <c r="R24" i="22"/>
  <c r="Q24" i="22"/>
  <c r="T23" i="22"/>
  <c r="R23" i="22"/>
  <c r="Q23" i="22"/>
  <c r="S23" i="22" s="1"/>
  <c r="U23" i="22" s="1"/>
  <c r="T22" i="22"/>
  <c r="R22" i="22"/>
  <c r="Q22" i="22"/>
  <c r="S22" i="22" s="1"/>
  <c r="U22" i="22" s="1"/>
  <c r="T21" i="22"/>
  <c r="R21" i="22"/>
  <c r="S21" i="22" s="1"/>
  <c r="U21" i="22" s="1"/>
  <c r="Q21" i="22"/>
  <c r="T20" i="22"/>
  <c r="S20" i="22"/>
  <c r="U20" i="22" s="1"/>
  <c r="R20" i="22"/>
  <c r="Q20" i="22"/>
  <c r="T19" i="22"/>
  <c r="R19" i="22"/>
  <c r="Q19" i="22"/>
  <c r="S19" i="22" s="1"/>
  <c r="U19" i="22" s="1"/>
  <c r="T18" i="22"/>
  <c r="R18" i="22"/>
  <c r="Q18" i="22"/>
  <c r="S18" i="22" s="1"/>
  <c r="U18" i="22" s="1"/>
  <c r="T17" i="22"/>
  <c r="R17" i="22"/>
  <c r="S17" i="22" s="1"/>
  <c r="U17" i="22" s="1"/>
  <c r="Q17" i="22"/>
  <c r="T16" i="22"/>
  <c r="S16" i="22"/>
  <c r="U16" i="22" s="1"/>
  <c r="R16" i="22"/>
  <c r="Q16" i="22"/>
  <c r="T15" i="22"/>
  <c r="R15" i="22"/>
  <c r="Q15" i="22"/>
  <c r="T66" i="22" l="1"/>
  <c r="U65" i="22"/>
  <c r="U66" i="22" s="1"/>
  <c r="S66" i="22"/>
  <c r="S15" i="22"/>
  <c r="F9" i="22"/>
  <c r="U15" i="22" l="1"/>
  <c r="D11" i="13"/>
  <c r="D7" i="22" l="1"/>
  <c r="G65" i="22"/>
  <c r="E65" i="22"/>
  <c r="I65" i="22" s="1"/>
  <c r="C65" i="22"/>
  <c r="E64" i="22"/>
  <c r="O23" i="19"/>
  <c r="P23" i="19" l="1"/>
  <c r="P11" i="19"/>
  <c r="F24" i="20"/>
  <c r="G24" i="20"/>
  <c r="F23" i="20"/>
  <c r="G23" i="20" l="1"/>
  <c r="G56" i="23"/>
  <c r="G55" i="23"/>
  <c r="G22" i="20" l="1"/>
  <c r="G12" i="13" l="1"/>
  <c r="H12" i="13" l="1"/>
  <c r="N12" i="13" s="1"/>
  <c r="L12" i="13"/>
  <c r="I12" i="13"/>
  <c r="J12" i="13"/>
  <c r="K12" i="13"/>
  <c r="G11" i="13" l="1"/>
  <c r="I11" i="13" l="1"/>
  <c r="H11" i="13"/>
  <c r="N11" i="13" l="1"/>
  <c r="AF89" i="29" l="1"/>
  <c r="N120" i="29" l="1"/>
  <c r="AO94" i="29"/>
  <c r="AO90" i="29"/>
  <c r="AO91" i="29"/>
  <c r="AO92" i="29"/>
  <c r="AO93" i="29"/>
  <c r="AO89" i="29"/>
  <c r="AN90" i="29"/>
  <c r="AN91" i="29"/>
  <c r="AN92" i="29"/>
  <c r="AN93" i="29"/>
  <c r="AN62" i="29"/>
  <c r="AN63" i="29"/>
  <c r="AN64" i="29"/>
  <c r="AN65" i="29"/>
  <c r="AN61" i="29"/>
  <c r="AN34" i="29"/>
  <c r="AN35" i="29"/>
  <c r="AN36" i="29"/>
  <c r="AN37" i="29"/>
  <c r="AN33" i="29"/>
  <c r="AN6" i="29"/>
  <c r="AN7" i="29"/>
  <c r="AN8" i="29"/>
  <c r="AN9" i="29"/>
  <c r="AN5" i="29"/>
  <c r="AN10" i="29" s="1"/>
  <c r="AN66" i="29" l="1"/>
  <c r="AN38" i="29"/>
  <c r="D48" i="23" l="1"/>
  <c r="C15" i="23"/>
  <c r="C17" i="23"/>
  <c r="C18" i="23"/>
  <c r="C20" i="23"/>
  <c r="C23" i="23"/>
  <c r="C28" i="23"/>
  <c r="C13" i="23"/>
  <c r="AH119" i="29"/>
  <c r="AG119" i="29"/>
  <c r="AF119" i="29"/>
  <c r="AE119" i="29"/>
  <c r="AD119" i="29"/>
  <c r="AC119" i="29"/>
  <c r="AB119" i="29"/>
  <c r="AA119" i="29"/>
  <c r="Z119" i="29"/>
  <c r="Y119" i="29"/>
  <c r="X119" i="29"/>
  <c r="W119" i="29"/>
  <c r="V119" i="29"/>
  <c r="U119" i="29"/>
  <c r="T119" i="29"/>
  <c r="S119" i="29"/>
  <c r="R119" i="29"/>
  <c r="Q119" i="29"/>
  <c r="P119" i="29"/>
  <c r="O119" i="29"/>
  <c r="N119" i="29"/>
  <c r="M119" i="29"/>
  <c r="L119" i="29"/>
  <c r="K119" i="29"/>
  <c r="J119" i="29"/>
  <c r="I119" i="29"/>
  <c r="H119" i="29"/>
  <c r="G119" i="29"/>
  <c r="F119" i="29"/>
  <c r="E119" i="29"/>
  <c r="D119" i="29"/>
  <c r="E118" i="29"/>
  <c r="F118" i="29"/>
  <c r="G118" i="29"/>
  <c r="H118" i="29"/>
  <c r="I118" i="29"/>
  <c r="J118" i="29"/>
  <c r="K118" i="29"/>
  <c r="L118" i="29"/>
  <c r="M118" i="29"/>
  <c r="N118" i="29"/>
  <c r="O118" i="29"/>
  <c r="P118" i="29"/>
  <c r="Q118" i="29"/>
  <c r="R118" i="29"/>
  <c r="S118" i="29"/>
  <c r="T118" i="29"/>
  <c r="U118" i="29"/>
  <c r="V118" i="29"/>
  <c r="W118" i="29"/>
  <c r="X118" i="29"/>
  <c r="Y118" i="29"/>
  <c r="Z118" i="29"/>
  <c r="AA118" i="29"/>
  <c r="AB118" i="29"/>
  <c r="AC118" i="29"/>
  <c r="AD118" i="29"/>
  <c r="AE118" i="29"/>
  <c r="AF118" i="29"/>
  <c r="AG118" i="29"/>
  <c r="AH118" i="29"/>
  <c r="D118" i="29"/>
  <c r="AH111" i="29"/>
  <c r="AF111" i="29"/>
  <c r="AE111" i="29"/>
  <c r="AD111" i="29"/>
  <c r="AC111" i="29"/>
  <c r="AB111" i="29"/>
  <c r="AA111" i="29"/>
  <c r="Z111" i="29"/>
  <c r="Y111" i="29"/>
  <c r="X111" i="29"/>
  <c r="W111" i="29"/>
  <c r="V111" i="29"/>
  <c r="U111" i="29"/>
  <c r="T111" i="29"/>
  <c r="S111" i="29"/>
  <c r="R111" i="29"/>
  <c r="Q111" i="29"/>
  <c r="P111" i="29"/>
  <c r="O111" i="29"/>
  <c r="N111" i="29"/>
  <c r="M111" i="29"/>
  <c r="L111" i="29"/>
  <c r="K111" i="29"/>
  <c r="J111" i="29"/>
  <c r="I111" i="29"/>
  <c r="H111" i="29"/>
  <c r="G111" i="29"/>
  <c r="F111" i="29"/>
  <c r="E111" i="29"/>
  <c r="D111" i="29"/>
  <c r="AH110" i="29"/>
  <c r="AG110" i="29"/>
  <c r="AF110" i="29"/>
  <c r="AE110" i="29"/>
  <c r="AD110" i="29"/>
  <c r="AC110" i="29"/>
  <c r="AB110" i="29"/>
  <c r="AA110" i="29"/>
  <c r="Z110" i="29"/>
  <c r="Y110" i="29"/>
  <c r="X110" i="29"/>
  <c r="W110" i="29"/>
  <c r="V110" i="29"/>
  <c r="U110" i="29"/>
  <c r="T110" i="29"/>
  <c r="S110" i="29"/>
  <c r="R110" i="29"/>
  <c r="Q110" i="29"/>
  <c r="P110" i="29"/>
  <c r="O110" i="29"/>
  <c r="N110" i="29"/>
  <c r="M110" i="29"/>
  <c r="L110" i="29"/>
  <c r="K110" i="29"/>
  <c r="J110" i="29"/>
  <c r="I110" i="29"/>
  <c r="H110" i="29"/>
  <c r="G110" i="29"/>
  <c r="F110" i="29"/>
  <c r="E110" i="29"/>
  <c r="D110" i="29"/>
  <c r="AH109" i="29"/>
  <c r="AG109" i="29"/>
  <c r="AF109" i="29"/>
  <c r="AE109" i="29"/>
  <c r="AD109" i="29"/>
  <c r="AC109" i="29"/>
  <c r="AB109" i="29"/>
  <c r="AA109" i="29"/>
  <c r="Z109" i="29"/>
  <c r="Y109" i="29"/>
  <c r="X109" i="29"/>
  <c r="W109" i="29"/>
  <c r="V109" i="29"/>
  <c r="U109" i="29"/>
  <c r="T109" i="29"/>
  <c r="S109" i="29"/>
  <c r="R109" i="29"/>
  <c r="Q109" i="29"/>
  <c r="P109" i="29"/>
  <c r="O109" i="29"/>
  <c r="N109" i="29"/>
  <c r="M109" i="29"/>
  <c r="L109" i="29"/>
  <c r="K109" i="29"/>
  <c r="J109" i="29"/>
  <c r="I109" i="29"/>
  <c r="H109" i="29"/>
  <c r="G109" i="29"/>
  <c r="F109" i="29"/>
  <c r="E109" i="29"/>
  <c r="AI109" i="29" s="1"/>
  <c r="D109" i="29"/>
  <c r="AH108" i="29"/>
  <c r="AG108" i="29"/>
  <c r="AF108" i="29"/>
  <c r="AE108" i="29"/>
  <c r="AD108" i="29"/>
  <c r="AC108" i="29"/>
  <c r="AB108" i="29"/>
  <c r="AA108" i="29"/>
  <c r="Z108" i="29"/>
  <c r="Y108" i="29"/>
  <c r="X108" i="29"/>
  <c r="W108" i="29"/>
  <c r="V108" i="29"/>
  <c r="U108" i="29"/>
  <c r="T108" i="29"/>
  <c r="S108" i="29"/>
  <c r="R108" i="29"/>
  <c r="Q108" i="29"/>
  <c r="P108" i="29"/>
  <c r="O108" i="29"/>
  <c r="N108" i="29"/>
  <c r="M108" i="29"/>
  <c r="L108" i="29"/>
  <c r="K108" i="29"/>
  <c r="J108" i="29"/>
  <c r="I108" i="29"/>
  <c r="H108" i="29"/>
  <c r="G108" i="29"/>
  <c r="F108" i="29"/>
  <c r="E108" i="29"/>
  <c r="D108" i="29"/>
  <c r="AH107" i="29"/>
  <c r="AG107" i="29"/>
  <c r="AF107" i="29"/>
  <c r="AE107" i="29"/>
  <c r="AD107" i="29"/>
  <c r="AC107" i="29"/>
  <c r="AB107" i="29"/>
  <c r="AA107" i="29"/>
  <c r="Z107" i="29"/>
  <c r="Y107" i="29"/>
  <c r="X107" i="29"/>
  <c r="W107" i="29"/>
  <c r="V107" i="29"/>
  <c r="U107" i="29"/>
  <c r="T107" i="29"/>
  <c r="S107" i="29"/>
  <c r="R107" i="29"/>
  <c r="Q107" i="29"/>
  <c r="P107" i="29"/>
  <c r="O107" i="29"/>
  <c r="N107" i="29"/>
  <c r="M107" i="29"/>
  <c r="L107" i="29"/>
  <c r="K107" i="29"/>
  <c r="J107" i="29"/>
  <c r="I107" i="29"/>
  <c r="H107" i="29"/>
  <c r="G107" i="29"/>
  <c r="F107" i="29"/>
  <c r="E107" i="29"/>
  <c r="D107" i="29"/>
  <c r="AH106" i="29"/>
  <c r="AG106" i="29"/>
  <c r="AF106" i="29"/>
  <c r="AE106" i="29"/>
  <c r="AD106" i="29"/>
  <c r="AC106" i="29"/>
  <c r="AB106" i="29"/>
  <c r="AA106" i="29"/>
  <c r="Z106" i="29"/>
  <c r="Y106" i="29"/>
  <c r="X106" i="29"/>
  <c r="W106" i="29"/>
  <c r="V106" i="29"/>
  <c r="U106" i="29"/>
  <c r="T106" i="29"/>
  <c r="S106" i="29"/>
  <c r="R106" i="29"/>
  <c r="Q106" i="29"/>
  <c r="P106" i="29"/>
  <c r="O106" i="29"/>
  <c r="N106" i="29"/>
  <c r="M106" i="29"/>
  <c r="L106" i="29"/>
  <c r="K106" i="29"/>
  <c r="J106" i="29"/>
  <c r="I106" i="29"/>
  <c r="H106" i="29"/>
  <c r="G106" i="29"/>
  <c r="F106" i="29"/>
  <c r="E106" i="29"/>
  <c r="D106" i="29"/>
  <c r="AH105" i="29"/>
  <c r="AG105" i="29"/>
  <c r="AF105" i="29"/>
  <c r="AE105" i="29"/>
  <c r="AD105" i="29"/>
  <c r="AC105" i="29"/>
  <c r="AB105" i="29"/>
  <c r="AA105" i="29"/>
  <c r="Z105" i="29"/>
  <c r="Y105" i="29"/>
  <c r="X105" i="29"/>
  <c r="W105" i="29"/>
  <c r="V105" i="29"/>
  <c r="U105" i="29"/>
  <c r="T105" i="29"/>
  <c r="S105" i="29"/>
  <c r="R105" i="29"/>
  <c r="Q105" i="29"/>
  <c r="P105" i="29"/>
  <c r="O105" i="29"/>
  <c r="N105" i="29"/>
  <c r="M105" i="29"/>
  <c r="L105" i="29"/>
  <c r="K105" i="29"/>
  <c r="J105" i="29"/>
  <c r="I105" i="29"/>
  <c r="H105" i="29"/>
  <c r="G105" i="29"/>
  <c r="F105" i="29"/>
  <c r="E105" i="29"/>
  <c r="AI105" i="29" s="1"/>
  <c r="D105" i="29"/>
  <c r="AH104" i="29"/>
  <c r="AG104" i="29"/>
  <c r="AF104" i="29"/>
  <c r="AE104" i="29"/>
  <c r="AD104" i="29"/>
  <c r="AC104" i="29"/>
  <c r="AB104" i="29"/>
  <c r="AA104" i="29"/>
  <c r="Z104" i="29"/>
  <c r="Y104" i="29"/>
  <c r="X104" i="29"/>
  <c r="W104" i="29"/>
  <c r="V104" i="29"/>
  <c r="U104" i="29"/>
  <c r="T104" i="29"/>
  <c r="S104" i="29"/>
  <c r="R104" i="29"/>
  <c r="Q104" i="29"/>
  <c r="P104" i="29"/>
  <c r="O104" i="29"/>
  <c r="N104" i="29"/>
  <c r="M104" i="29"/>
  <c r="L104" i="29"/>
  <c r="K104" i="29"/>
  <c r="J104" i="29"/>
  <c r="I104" i="29"/>
  <c r="H104" i="29"/>
  <c r="G104" i="29"/>
  <c r="F104" i="29"/>
  <c r="E104" i="29"/>
  <c r="D104" i="29"/>
  <c r="AH103" i="29"/>
  <c r="AG103" i="29"/>
  <c r="AF103" i="29"/>
  <c r="AE103" i="29"/>
  <c r="AD103" i="29"/>
  <c r="AC103" i="29"/>
  <c r="AB103" i="29"/>
  <c r="AA103" i="29"/>
  <c r="Z103" i="29"/>
  <c r="Y103" i="29"/>
  <c r="X103" i="29"/>
  <c r="W103" i="29"/>
  <c r="V103" i="29"/>
  <c r="U103" i="29"/>
  <c r="T103" i="29"/>
  <c r="S103" i="29"/>
  <c r="R103" i="29"/>
  <c r="Q103" i="29"/>
  <c r="P103" i="29"/>
  <c r="O103" i="29"/>
  <c r="N103" i="29"/>
  <c r="M103" i="29"/>
  <c r="L103" i="29"/>
  <c r="K103" i="29"/>
  <c r="J103" i="29"/>
  <c r="I103" i="29"/>
  <c r="H103" i="29"/>
  <c r="G103" i="29"/>
  <c r="F103" i="29"/>
  <c r="E103" i="29"/>
  <c r="D103" i="29"/>
  <c r="AH102" i="29"/>
  <c r="AG102" i="29"/>
  <c r="AF102" i="29"/>
  <c r="AE102" i="29"/>
  <c r="AD102" i="29"/>
  <c r="AC102" i="29"/>
  <c r="AB102" i="29"/>
  <c r="AA102" i="29"/>
  <c r="Z102" i="29"/>
  <c r="Y102" i="29"/>
  <c r="X102" i="29"/>
  <c r="W102" i="29"/>
  <c r="V102" i="29"/>
  <c r="U102" i="29"/>
  <c r="T102" i="29"/>
  <c r="S102" i="29"/>
  <c r="R102" i="29"/>
  <c r="Q102" i="29"/>
  <c r="P102" i="29"/>
  <c r="O102" i="29"/>
  <c r="N102" i="29"/>
  <c r="M102" i="29"/>
  <c r="L102" i="29"/>
  <c r="K102" i="29"/>
  <c r="J102" i="29"/>
  <c r="I102" i="29"/>
  <c r="H102" i="29"/>
  <c r="G102" i="29"/>
  <c r="F102" i="29"/>
  <c r="E102" i="29"/>
  <c r="D102" i="29"/>
  <c r="AH101" i="29"/>
  <c r="AG101" i="29"/>
  <c r="AF101" i="29"/>
  <c r="AE101" i="29"/>
  <c r="AD101" i="29"/>
  <c r="AC101" i="29"/>
  <c r="AB101" i="29"/>
  <c r="AA101" i="29"/>
  <c r="AA112" i="29" s="1"/>
  <c r="C42" i="23" s="1"/>
  <c r="Z101" i="29"/>
  <c r="Y101" i="29"/>
  <c r="X101" i="29"/>
  <c r="W101" i="29"/>
  <c r="V101" i="29"/>
  <c r="U101" i="29"/>
  <c r="T101" i="29"/>
  <c r="S101" i="29"/>
  <c r="R101" i="29"/>
  <c r="Q101" i="29"/>
  <c r="P101" i="29"/>
  <c r="O101" i="29"/>
  <c r="N101" i="29"/>
  <c r="M101" i="29"/>
  <c r="L101" i="29"/>
  <c r="K101" i="29"/>
  <c r="J101" i="29"/>
  <c r="I101" i="29"/>
  <c r="H101" i="29"/>
  <c r="G101" i="29"/>
  <c r="F101" i="29"/>
  <c r="E101" i="29"/>
  <c r="D101" i="29"/>
  <c r="AH100" i="29"/>
  <c r="AG100" i="29"/>
  <c r="AF100" i="29"/>
  <c r="AE100" i="29"/>
  <c r="AD100" i="29"/>
  <c r="AC100" i="29"/>
  <c r="AB100" i="29"/>
  <c r="AA100" i="29"/>
  <c r="Z100" i="29"/>
  <c r="Y100" i="29"/>
  <c r="X100" i="29"/>
  <c r="W100" i="29"/>
  <c r="V100" i="29"/>
  <c r="U100" i="29"/>
  <c r="T100" i="29"/>
  <c r="S100" i="29"/>
  <c r="R100" i="29"/>
  <c r="Q100" i="29"/>
  <c r="P100" i="29"/>
  <c r="O100" i="29"/>
  <c r="N100" i="29"/>
  <c r="M100" i="29"/>
  <c r="L100" i="29"/>
  <c r="K100" i="29"/>
  <c r="J100" i="29"/>
  <c r="I100" i="29"/>
  <c r="H100" i="29"/>
  <c r="G100" i="29"/>
  <c r="F100" i="29"/>
  <c r="E100" i="29"/>
  <c r="D100" i="29"/>
  <c r="AH99" i="29"/>
  <c r="AG99" i="29"/>
  <c r="AF99" i="29"/>
  <c r="AE99" i="29"/>
  <c r="AD99" i="29"/>
  <c r="AC99" i="29"/>
  <c r="AB99" i="29"/>
  <c r="AA99" i="29"/>
  <c r="Z99" i="29"/>
  <c r="Y99" i="29"/>
  <c r="X99" i="29"/>
  <c r="W99" i="29"/>
  <c r="V99" i="29"/>
  <c r="U99" i="29"/>
  <c r="T99" i="29"/>
  <c r="S99" i="29"/>
  <c r="R99" i="29"/>
  <c r="Q99" i="29"/>
  <c r="P99" i="29"/>
  <c r="O99" i="29"/>
  <c r="N99" i="29"/>
  <c r="M99" i="29"/>
  <c r="L99" i="29"/>
  <c r="K99" i="29"/>
  <c r="J99" i="29"/>
  <c r="I99" i="29"/>
  <c r="H99" i="29"/>
  <c r="G99" i="29"/>
  <c r="F99" i="29"/>
  <c r="E99" i="29"/>
  <c r="D99" i="29"/>
  <c r="AH98" i="29"/>
  <c r="AG98" i="29"/>
  <c r="AF98" i="29"/>
  <c r="AE98" i="29"/>
  <c r="AD98" i="29"/>
  <c r="AC98" i="29"/>
  <c r="AB98" i="29"/>
  <c r="AA98" i="29"/>
  <c r="Z98" i="29"/>
  <c r="Y98" i="29"/>
  <c r="X98" i="29"/>
  <c r="W98" i="29"/>
  <c r="V98" i="29"/>
  <c r="U98" i="29"/>
  <c r="T98" i="29"/>
  <c r="S98" i="29"/>
  <c r="R98" i="29"/>
  <c r="Q98" i="29"/>
  <c r="P98" i="29"/>
  <c r="O98" i="29"/>
  <c r="N98" i="29"/>
  <c r="M98" i="29"/>
  <c r="L98" i="29"/>
  <c r="K98" i="29"/>
  <c r="J98" i="29"/>
  <c r="I98" i="29"/>
  <c r="H98" i="29"/>
  <c r="G98" i="29"/>
  <c r="F98" i="29"/>
  <c r="E98" i="29"/>
  <c r="D98" i="29"/>
  <c r="AH97" i="29"/>
  <c r="AG97" i="29"/>
  <c r="AF97" i="29"/>
  <c r="AE97" i="29"/>
  <c r="AD97" i="29"/>
  <c r="AC97" i="29"/>
  <c r="AB97" i="29"/>
  <c r="AA97" i="29"/>
  <c r="Z97" i="29"/>
  <c r="Y97" i="29"/>
  <c r="X97" i="29"/>
  <c r="W97" i="29"/>
  <c r="V97" i="29"/>
  <c r="U97" i="29"/>
  <c r="T97" i="29"/>
  <c r="S97" i="29"/>
  <c r="R97" i="29"/>
  <c r="Q97" i="29"/>
  <c r="P97" i="29"/>
  <c r="O97" i="29"/>
  <c r="N97" i="29"/>
  <c r="M97" i="29"/>
  <c r="L97" i="29"/>
  <c r="K97" i="29"/>
  <c r="J97" i="29"/>
  <c r="I97" i="29"/>
  <c r="H97" i="29"/>
  <c r="G97" i="29"/>
  <c r="F97" i="29"/>
  <c r="E97" i="29"/>
  <c r="D97" i="29"/>
  <c r="AH96" i="29"/>
  <c r="AG96" i="29"/>
  <c r="AF96" i="29"/>
  <c r="AE96" i="29"/>
  <c r="AD96" i="29"/>
  <c r="AC96" i="29"/>
  <c r="AB96" i="29"/>
  <c r="AA96" i="29"/>
  <c r="Z96" i="29"/>
  <c r="Y96" i="29"/>
  <c r="X96" i="29"/>
  <c r="W96" i="29"/>
  <c r="V96" i="29"/>
  <c r="U96" i="29"/>
  <c r="T96" i="29"/>
  <c r="S96" i="29"/>
  <c r="R96" i="29"/>
  <c r="Q96" i="29"/>
  <c r="P96" i="29"/>
  <c r="O96" i="29"/>
  <c r="N96" i="29"/>
  <c r="M96" i="29"/>
  <c r="L96" i="29"/>
  <c r="K96" i="29"/>
  <c r="J96" i="29"/>
  <c r="I96" i="29"/>
  <c r="H96" i="29"/>
  <c r="G96" i="29"/>
  <c r="F96" i="29"/>
  <c r="E96" i="29"/>
  <c r="D96" i="29"/>
  <c r="AH95" i="29"/>
  <c r="AG95" i="29"/>
  <c r="AF95" i="29"/>
  <c r="AE95" i="29"/>
  <c r="AD95" i="29"/>
  <c r="AC95" i="29"/>
  <c r="AB95" i="29"/>
  <c r="AA95" i="29"/>
  <c r="Z95" i="29"/>
  <c r="Y95" i="29"/>
  <c r="X95" i="29"/>
  <c r="W95" i="29"/>
  <c r="V95" i="29"/>
  <c r="U95" i="29"/>
  <c r="T95" i="29"/>
  <c r="S95" i="29"/>
  <c r="R95" i="29"/>
  <c r="Q95" i="29"/>
  <c r="P95" i="29"/>
  <c r="O95" i="29"/>
  <c r="N95" i="29"/>
  <c r="M95" i="29"/>
  <c r="L95" i="29"/>
  <c r="K95" i="29"/>
  <c r="J95" i="29"/>
  <c r="I95" i="29"/>
  <c r="H95" i="29"/>
  <c r="G95" i="29"/>
  <c r="F95" i="29"/>
  <c r="E95" i="29"/>
  <c r="D95" i="29"/>
  <c r="AH94" i="29"/>
  <c r="AG94" i="29"/>
  <c r="AF94" i="29"/>
  <c r="AE94" i="29"/>
  <c r="AD94" i="29"/>
  <c r="AC94" i="29"/>
  <c r="AB94" i="29"/>
  <c r="AA94" i="29"/>
  <c r="Z94" i="29"/>
  <c r="Y94" i="29"/>
  <c r="X94" i="29"/>
  <c r="W94" i="29"/>
  <c r="V94" i="29"/>
  <c r="U94" i="29"/>
  <c r="T94" i="29"/>
  <c r="S94" i="29"/>
  <c r="R94" i="29"/>
  <c r="Q94" i="29"/>
  <c r="P94" i="29"/>
  <c r="O94" i="29"/>
  <c r="N94" i="29"/>
  <c r="M94" i="29"/>
  <c r="L94" i="29"/>
  <c r="K94" i="29"/>
  <c r="J94" i="29"/>
  <c r="I94" i="29"/>
  <c r="H94" i="29"/>
  <c r="G94" i="29"/>
  <c r="F94" i="29"/>
  <c r="E94" i="29"/>
  <c r="D94" i="29"/>
  <c r="AH93" i="29"/>
  <c r="AG93" i="29"/>
  <c r="AF93" i="29"/>
  <c r="AE93" i="29"/>
  <c r="AD93" i="29"/>
  <c r="AC93" i="29"/>
  <c r="AB93" i="29"/>
  <c r="AA93" i="29"/>
  <c r="Z93" i="29"/>
  <c r="Y93" i="29"/>
  <c r="X93" i="29"/>
  <c r="W93" i="29"/>
  <c r="V93" i="29"/>
  <c r="U93" i="29"/>
  <c r="T93" i="29"/>
  <c r="S93" i="29"/>
  <c r="R93" i="29"/>
  <c r="Q93" i="29"/>
  <c r="P93" i="29"/>
  <c r="O93" i="29"/>
  <c r="N93" i="29"/>
  <c r="M93" i="29"/>
  <c r="L93" i="29"/>
  <c r="K93" i="29"/>
  <c r="J93" i="29"/>
  <c r="I93" i="29"/>
  <c r="H93" i="29"/>
  <c r="G93" i="29"/>
  <c r="F93" i="29"/>
  <c r="E93" i="29"/>
  <c r="D93" i="29"/>
  <c r="AH92" i="29"/>
  <c r="AG92" i="29"/>
  <c r="AF92" i="29"/>
  <c r="AE92" i="29"/>
  <c r="AD92" i="29"/>
  <c r="AC92" i="29"/>
  <c r="AB92" i="29"/>
  <c r="AA92" i="29"/>
  <c r="Z92" i="29"/>
  <c r="Y92" i="29"/>
  <c r="X92" i="29"/>
  <c r="W92" i="29"/>
  <c r="V92" i="29"/>
  <c r="U92" i="29"/>
  <c r="T92" i="29"/>
  <c r="S92" i="29"/>
  <c r="R92" i="29"/>
  <c r="Q92" i="29"/>
  <c r="P92" i="29"/>
  <c r="O92" i="29"/>
  <c r="N92" i="29"/>
  <c r="M92" i="29"/>
  <c r="L92" i="29"/>
  <c r="K92" i="29"/>
  <c r="J92" i="29"/>
  <c r="I92" i="29"/>
  <c r="H92" i="29"/>
  <c r="G92" i="29"/>
  <c r="F92" i="29"/>
  <c r="E92" i="29"/>
  <c r="D92" i="29"/>
  <c r="AH91" i="29"/>
  <c r="AG91" i="29"/>
  <c r="AF91" i="29"/>
  <c r="AE91" i="29"/>
  <c r="AD91" i="29"/>
  <c r="AC91" i="29"/>
  <c r="AB91" i="29"/>
  <c r="AA91" i="29"/>
  <c r="Z91" i="29"/>
  <c r="Y91" i="29"/>
  <c r="X91" i="29"/>
  <c r="W91" i="29"/>
  <c r="V91" i="29"/>
  <c r="U91" i="29"/>
  <c r="T91" i="29"/>
  <c r="S91" i="29"/>
  <c r="R91" i="29"/>
  <c r="Q91" i="29"/>
  <c r="P91" i="29"/>
  <c r="O91" i="29"/>
  <c r="N91" i="29"/>
  <c r="M91" i="29"/>
  <c r="L91" i="29"/>
  <c r="K91" i="29"/>
  <c r="J91" i="29"/>
  <c r="I91" i="29"/>
  <c r="H91" i="29"/>
  <c r="G91" i="29"/>
  <c r="F91" i="29"/>
  <c r="E91" i="29"/>
  <c r="D91" i="29"/>
  <c r="AH90" i="29"/>
  <c r="AH112" i="29" s="1"/>
  <c r="C49" i="23" s="1"/>
  <c r="AG90" i="29"/>
  <c r="AE90" i="29"/>
  <c r="AD90" i="29"/>
  <c r="AC90" i="29"/>
  <c r="AB90" i="29"/>
  <c r="AA90" i="29"/>
  <c r="Z90" i="29"/>
  <c r="Y90" i="29"/>
  <c r="X90" i="29"/>
  <c r="W90" i="29"/>
  <c r="V90" i="29"/>
  <c r="U90" i="29"/>
  <c r="T90" i="29"/>
  <c r="S90" i="29"/>
  <c r="R90" i="29"/>
  <c r="Q90" i="29"/>
  <c r="P90" i="29"/>
  <c r="O90" i="29"/>
  <c r="N90" i="29"/>
  <c r="M90" i="29"/>
  <c r="L90" i="29"/>
  <c r="K90" i="29"/>
  <c r="J90" i="29"/>
  <c r="I90" i="29"/>
  <c r="H90" i="29"/>
  <c r="G90" i="29"/>
  <c r="F90" i="29"/>
  <c r="E90" i="29"/>
  <c r="D90" i="29"/>
  <c r="AH89" i="29"/>
  <c r="AG89" i="29"/>
  <c r="AE89" i="29"/>
  <c r="AD89" i="29"/>
  <c r="AC89" i="29"/>
  <c r="AB89" i="29"/>
  <c r="AA89" i="29"/>
  <c r="Z89" i="29"/>
  <c r="Y89" i="29"/>
  <c r="X89" i="29"/>
  <c r="W89" i="29"/>
  <c r="V89" i="29"/>
  <c r="U89" i="29"/>
  <c r="T89" i="29"/>
  <c r="S89" i="29"/>
  <c r="R89" i="29"/>
  <c r="Q89" i="29"/>
  <c r="P89" i="29"/>
  <c r="O89" i="29"/>
  <c r="N89" i="29"/>
  <c r="M89" i="29"/>
  <c r="L89" i="29"/>
  <c r="K89" i="29"/>
  <c r="J89" i="29"/>
  <c r="I89" i="29"/>
  <c r="H89" i="29"/>
  <c r="G89" i="29"/>
  <c r="F89" i="29"/>
  <c r="F112" i="29" s="1"/>
  <c r="C16" i="23" s="1"/>
  <c r="E89" i="29"/>
  <c r="D89" i="29"/>
  <c r="AF62" i="29"/>
  <c r="AF90" i="29" s="1"/>
  <c r="AF61" i="29"/>
  <c r="AH28" i="29"/>
  <c r="AI80" i="29"/>
  <c r="AI73" i="29"/>
  <c r="AI72" i="29"/>
  <c r="AI68" i="29"/>
  <c r="AI64" i="29"/>
  <c r="AG83" i="29"/>
  <c r="AG111" i="29" s="1"/>
  <c r="AG84" i="29"/>
  <c r="AE84" i="29"/>
  <c r="AD84" i="29"/>
  <c r="AC84" i="29"/>
  <c r="AB84" i="29"/>
  <c r="AA84" i="29"/>
  <c r="Z84" i="29"/>
  <c r="Y84" i="29"/>
  <c r="X84" i="29"/>
  <c r="W84" i="29"/>
  <c r="V84" i="29"/>
  <c r="U84" i="29"/>
  <c r="T84" i="29"/>
  <c r="S84" i="29"/>
  <c r="R84" i="29"/>
  <c r="Q84" i="29"/>
  <c r="P84" i="29"/>
  <c r="O84" i="29"/>
  <c r="N84" i="29"/>
  <c r="M84" i="29"/>
  <c r="L84" i="29"/>
  <c r="K84" i="29"/>
  <c r="J84" i="29"/>
  <c r="I84" i="29"/>
  <c r="H84" i="29"/>
  <c r="G84" i="29"/>
  <c r="F84" i="29"/>
  <c r="E84" i="29"/>
  <c r="AH56" i="29"/>
  <c r="AG56" i="29"/>
  <c r="AF56" i="29"/>
  <c r="AE56" i="29"/>
  <c r="AD56" i="29"/>
  <c r="AC56" i="29"/>
  <c r="AB56" i="29"/>
  <c r="AA56" i="29"/>
  <c r="Z56" i="29"/>
  <c r="Y56" i="29"/>
  <c r="X56" i="29"/>
  <c r="W56" i="29"/>
  <c r="V56" i="29"/>
  <c r="U56" i="29"/>
  <c r="T56" i="29"/>
  <c r="S56" i="29"/>
  <c r="R56" i="29"/>
  <c r="Q56" i="29"/>
  <c r="P56" i="29"/>
  <c r="O56" i="29"/>
  <c r="N56" i="29"/>
  <c r="M56" i="29"/>
  <c r="L56" i="29"/>
  <c r="K56" i="29"/>
  <c r="J56" i="29"/>
  <c r="I56" i="29"/>
  <c r="H56" i="29"/>
  <c r="G56" i="29"/>
  <c r="F56" i="29"/>
  <c r="E56" i="29"/>
  <c r="AG28" i="29"/>
  <c r="AI83" i="29"/>
  <c r="AI81" i="29"/>
  <c r="AI79" i="29"/>
  <c r="AI77" i="29"/>
  <c r="AI76" i="29"/>
  <c r="AI75" i="29"/>
  <c r="AI71" i="29"/>
  <c r="AI69" i="29"/>
  <c r="AI67" i="29"/>
  <c r="AI65" i="29"/>
  <c r="AI63" i="29"/>
  <c r="AI55" i="29"/>
  <c r="AI54" i="29"/>
  <c r="AI53" i="29"/>
  <c r="AI52" i="29"/>
  <c r="AI51" i="29"/>
  <c r="AI50" i="29"/>
  <c r="AI49" i="29"/>
  <c r="AI48" i="29"/>
  <c r="AI47" i="29"/>
  <c r="AI46" i="29"/>
  <c r="AI45" i="29"/>
  <c r="AI44" i="29"/>
  <c r="AI43" i="29"/>
  <c r="AI42" i="29"/>
  <c r="AI41" i="29"/>
  <c r="AI40" i="29"/>
  <c r="AI39" i="29"/>
  <c r="AI38" i="29"/>
  <c r="AI37" i="29"/>
  <c r="AI36" i="29"/>
  <c r="AI35" i="29"/>
  <c r="AI33" i="29"/>
  <c r="AI34" i="29"/>
  <c r="AG117" i="29"/>
  <c r="W112" i="29" l="1"/>
  <c r="C38" i="23" s="1"/>
  <c r="O112" i="29"/>
  <c r="C30" i="23" s="1"/>
  <c r="AI101" i="29"/>
  <c r="AI97" i="29"/>
  <c r="AI93" i="29"/>
  <c r="AF112" i="29"/>
  <c r="C47" i="23" s="1"/>
  <c r="S112" i="29"/>
  <c r="C34" i="23" s="1"/>
  <c r="R112" i="29"/>
  <c r="C33" i="23" s="1"/>
  <c r="Z112" i="29"/>
  <c r="C41" i="23" s="1"/>
  <c r="AI96" i="29"/>
  <c r="K112" i="29"/>
  <c r="C25" i="23" s="1"/>
  <c r="AE112" i="29"/>
  <c r="C46" i="23" s="1"/>
  <c r="G112" i="29"/>
  <c r="C19" i="23" s="1"/>
  <c r="AG112" i="29"/>
  <c r="C48" i="23" s="1"/>
  <c r="E48" i="23" s="1"/>
  <c r="J112" i="29"/>
  <c r="C24" i="23" s="1"/>
  <c r="AD112" i="29"/>
  <c r="C45" i="23" s="1"/>
  <c r="AI61" i="29"/>
  <c r="N112" i="29"/>
  <c r="C29" i="23" s="1"/>
  <c r="V112" i="29"/>
  <c r="C37" i="23" s="1"/>
  <c r="AI89" i="29"/>
  <c r="AI92" i="29"/>
  <c r="AI100" i="29"/>
  <c r="AI104" i="29"/>
  <c r="AI108" i="29"/>
  <c r="AI91" i="29"/>
  <c r="AI95" i="29"/>
  <c r="AI99" i="29"/>
  <c r="AI103" i="29"/>
  <c r="AI107" i="29"/>
  <c r="AI111" i="29"/>
  <c r="H112" i="29"/>
  <c r="C21" i="23" s="1"/>
  <c r="L112" i="29"/>
  <c r="C26" i="23" s="1"/>
  <c r="P112" i="29"/>
  <c r="C31" i="23" s="1"/>
  <c r="T112" i="29"/>
  <c r="C35" i="23" s="1"/>
  <c r="X112" i="29"/>
  <c r="C39" i="23" s="1"/>
  <c r="AB112" i="29"/>
  <c r="C43" i="23" s="1"/>
  <c r="AI90" i="29"/>
  <c r="AI94" i="29"/>
  <c r="AI98" i="29"/>
  <c r="AI102" i="29"/>
  <c r="AI106" i="29"/>
  <c r="AI110" i="29"/>
  <c r="M112" i="29"/>
  <c r="C27" i="23" s="1"/>
  <c r="Q112" i="29"/>
  <c r="C32" i="23" s="1"/>
  <c r="U112" i="29"/>
  <c r="C36" i="23" s="1"/>
  <c r="AC112" i="29"/>
  <c r="C44" i="23" s="1"/>
  <c r="I112" i="29"/>
  <c r="C22" i="23" s="1"/>
  <c r="Y112" i="29"/>
  <c r="C40" i="23" s="1"/>
  <c r="E112" i="29"/>
  <c r="C14" i="23" s="1"/>
  <c r="AI56" i="29"/>
  <c r="AF84" i="29"/>
  <c r="AH84" i="29"/>
  <c r="AI66" i="29"/>
  <c r="AI70" i="29"/>
  <c r="AI74" i="29"/>
  <c r="AI78" i="29"/>
  <c r="AI82" i="29"/>
  <c r="AI62" i="29"/>
  <c r="AN89" i="29" l="1"/>
  <c r="AN94" i="29" s="1"/>
  <c r="AI112" i="29"/>
  <c r="AI84" i="29"/>
  <c r="I28" i="29" l="1"/>
  <c r="J28" i="29"/>
  <c r="I117" i="29"/>
  <c r="J117" i="29"/>
  <c r="E117" i="29" l="1"/>
  <c r="F117" i="29"/>
  <c r="G117" i="29"/>
  <c r="H117" i="29"/>
  <c r="K117" i="29"/>
  <c r="L117" i="29"/>
  <c r="M117" i="29"/>
  <c r="N117" i="29"/>
  <c r="O117" i="29"/>
  <c r="P117" i="29"/>
  <c r="Q117" i="29"/>
  <c r="R117" i="29"/>
  <c r="S117" i="29"/>
  <c r="T117" i="29"/>
  <c r="U117" i="29"/>
  <c r="V117" i="29"/>
  <c r="W117" i="29"/>
  <c r="X117" i="29"/>
  <c r="Y117" i="29"/>
  <c r="Z117" i="29"/>
  <c r="AA117" i="29"/>
  <c r="AB117" i="29"/>
  <c r="AC117" i="29"/>
  <c r="AD117" i="29"/>
  <c r="AE117" i="29"/>
  <c r="AF117" i="29"/>
  <c r="D117" i="29"/>
  <c r="AI118" i="29" l="1"/>
  <c r="D65" i="22" l="1"/>
  <c r="O22" i="19" l="1"/>
  <c r="O21" i="19"/>
  <c r="O20" i="19"/>
  <c r="O19" i="19"/>
  <c r="O18" i="19"/>
  <c r="O17" i="19"/>
  <c r="O16" i="19"/>
  <c r="O15" i="19"/>
  <c r="O14" i="19"/>
  <c r="O13" i="19"/>
  <c r="O12" i="19"/>
  <c r="O11" i="19"/>
  <c r="A2" i="33" l="1"/>
  <c r="A1" i="33"/>
  <c r="A1" i="20"/>
  <c r="A1" i="22"/>
  <c r="A1" i="32"/>
  <c r="A1" i="29"/>
  <c r="A1" i="23"/>
  <c r="D14" i="23"/>
  <c r="E14" i="23" s="1"/>
  <c r="AI27" i="29"/>
  <c r="E37" i="32" l="1"/>
  <c r="F37" i="32"/>
  <c r="G37" i="32"/>
  <c r="H37" i="32"/>
  <c r="I37" i="32"/>
  <c r="J37" i="32"/>
  <c r="K37" i="32"/>
  <c r="L37" i="32"/>
  <c r="M37" i="32"/>
  <c r="N37" i="32"/>
  <c r="O37" i="32"/>
  <c r="P37" i="32"/>
  <c r="Q37" i="32"/>
  <c r="R37" i="32"/>
  <c r="S37" i="32"/>
  <c r="T37" i="32"/>
  <c r="U37" i="32"/>
  <c r="V37" i="32"/>
  <c r="W37" i="32"/>
  <c r="X37" i="32"/>
  <c r="Y37" i="32"/>
  <c r="Z37" i="32"/>
  <c r="AA37" i="32"/>
  <c r="AB37" i="32"/>
  <c r="AC37" i="32"/>
  <c r="AD37" i="32"/>
  <c r="AE37" i="32"/>
  <c r="AF37" i="32"/>
  <c r="AG37" i="32"/>
  <c r="AH37" i="32"/>
  <c r="AI37" i="32"/>
  <c r="AJ37" i="32"/>
  <c r="AK37" i="32"/>
  <c r="AL37" i="32"/>
  <c r="AM37" i="32"/>
  <c r="AN37" i="32"/>
  <c r="AO37" i="32"/>
  <c r="AP37" i="32"/>
  <c r="AQ37" i="32"/>
  <c r="AR37" i="32"/>
  <c r="AS37" i="32"/>
  <c r="AT37" i="32"/>
  <c r="AU37" i="32"/>
  <c r="AV37" i="32"/>
  <c r="AW37" i="32"/>
  <c r="AX37" i="32"/>
  <c r="AY37" i="32"/>
  <c r="AZ37" i="32"/>
  <c r="BA37" i="32"/>
  <c r="BB37" i="32"/>
  <c r="BC37" i="32"/>
  <c r="BD37" i="32"/>
  <c r="BE37" i="32"/>
  <c r="D37" i="32"/>
  <c r="BG37" i="32" l="1"/>
  <c r="AI25" i="29" l="1"/>
  <c r="AI24" i="29"/>
  <c r="AI23" i="29"/>
  <c r="AI22" i="29"/>
  <c r="AI21" i="29"/>
  <c r="AI20" i="29"/>
  <c r="AI19" i="29"/>
  <c r="AI18" i="29"/>
  <c r="AI17" i="29"/>
  <c r="AI16" i="29"/>
  <c r="AI15" i="29"/>
  <c r="AI14" i="29"/>
  <c r="AI13" i="29"/>
  <c r="AI12" i="29"/>
  <c r="AI11" i="29"/>
  <c r="AI10" i="29"/>
  <c r="AI9" i="29"/>
  <c r="AI8" i="29"/>
  <c r="AI7" i="29"/>
  <c r="AI6" i="29"/>
  <c r="AI5" i="29"/>
  <c r="AI26" i="29"/>
  <c r="N23" i="19"/>
  <c r="AH120" i="29"/>
  <c r="AH121" i="29" s="1"/>
  <c r="AF28" i="29"/>
  <c r="AE28" i="29"/>
  <c r="AD28" i="29"/>
  <c r="AC28" i="29"/>
  <c r="AB28" i="29"/>
  <c r="AA28" i="29"/>
  <c r="Z28" i="29"/>
  <c r="Y28" i="29"/>
  <c r="X28" i="29"/>
  <c r="W28" i="29"/>
  <c r="V28" i="29"/>
  <c r="U28" i="29"/>
  <c r="T28" i="29"/>
  <c r="S28" i="29"/>
  <c r="R28" i="29"/>
  <c r="Q28" i="29"/>
  <c r="P28" i="29"/>
  <c r="O28" i="29"/>
  <c r="N28" i="29"/>
  <c r="M28" i="29"/>
  <c r="L28" i="29"/>
  <c r="K28" i="29"/>
  <c r="H28" i="29"/>
  <c r="G28" i="29"/>
  <c r="F28" i="29"/>
  <c r="E28" i="29"/>
  <c r="J23" i="19"/>
  <c r="K23" i="19"/>
  <c r="L23" i="19"/>
  <c r="M13" i="19"/>
  <c r="A2" i="19"/>
  <c r="A1" i="16"/>
  <c r="N12" i="19"/>
  <c r="N13" i="19"/>
  <c r="N14" i="19"/>
  <c r="N15" i="19"/>
  <c r="N16" i="19"/>
  <c r="N17" i="19"/>
  <c r="N18" i="19"/>
  <c r="N19" i="19"/>
  <c r="N20" i="19"/>
  <c r="N21" i="19"/>
  <c r="N22" i="19"/>
  <c r="N11" i="19"/>
  <c r="M22" i="19"/>
  <c r="L22" i="19"/>
  <c r="K22" i="19"/>
  <c r="M21" i="19"/>
  <c r="L21" i="19"/>
  <c r="K21" i="19"/>
  <c r="M20" i="19"/>
  <c r="L20" i="19"/>
  <c r="K20" i="19"/>
  <c r="M19" i="19"/>
  <c r="L19" i="19"/>
  <c r="K19" i="19"/>
  <c r="L18" i="19"/>
  <c r="K18" i="19"/>
  <c r="M17" i="19"/>
  <c r="L17" i="19"/>
  <c r="K17" i="19"/>
  <c r="L16" i="19"/>
  <c r="K16" i="19"/>
  <c r="M15" i="19"/>
  <c r="L15" i="19"/>
  <c r="K15" i="19"/>
  <c r="M14" i="19"/>
  <c r="L14" i="19"/>
  <c r="K14" i="19"/>
  <c r="L13" i="19"/>
  <c r="K13" i="19"/>
  <c r="M12" i="19"/>
  <c r="L12" i="19"/>
  <c r="K12" i="19"/>
  <c r="M11" i="19"/>
  <c r="L11" i="19"/>
  <c r="K11" i="19"/>
  <c r="C16" i="22"/>
  <c r="C17" i="22"/>
  <c r="G17" i="22" s="1"/>
  <c r="C18" i="22"/>
  <c r="C19" i="22"/>
  <c r="G19" i="22" s="1"/>
  <c r="C20" i="22"/>
  <c r="C21" i="22"/>
  <c r="G21" i="22" s="1"/>
  <c r="C22" i="22"/>
  <c r="C23" i="22"/>
  <c r="C24" i="22"/>
  <c r="C25" i="22"/>
  <c r="G25" i="22" s="1"/>
  <c r="C26" i="22"/>
  <c r="C27" i="22"/>
  <c r="G27" i="22" s="1"/>
  <c r="C28" i="22"/>
  <c r="C29" i="22"/>
  <c r="G29" i="22" s="1"/>
  <c r="C30" i="22"/>
  <c r="C31" i="22"/>
  <c r="C32" i="22"/>
  <c r="C33" i="22"/>
  <c r="G33" i="22" s="1"/>
  <c r="C34" i="22"/>
  <c r="C35" i="22"/>
  <c r="G35" i="22" s="1"/>
  <c r="C36" i="22"/>
  <c r="C37" i="22"/>
  <c r="C38" i="22"/>
  <c r="C39" i="22"/>
  <c r="G39" i="22" s="1"/>
  <c r="C40" i="22"/>
  <c r="G40" i="22" s="1"/>
  <c r="C41" i="22"/>
  <c r="C42" i="22"/>
  <c r="C43" i="22"/>
  <c r="G43" i="22" s="1"/>
  <c r="C44" i="22"/>
  <c r="C45" i="22"/>
  <c r="C46" i="22"/>
  <c r="C47" i="22"/>
  <c r="C48" i="22"/>
  <c r="C49" i="22"/>
  <c r="C50" i="22"/>
  <c r="C51" i="22"/>
  <c r="G51" i="22" s="1"/>
  <c r="C52" i="22"/>
  <c r="C53" i="22"/>
  <c r="C54" i="22"/>
  <c r="C55" i="22"/>
  <c r="G55" i="22" s="1"/>
  <c r="C56" i="22"/>
  <c r="C57" i="22"/>
  <c r="C58" i="22"/>
  <c r="C59" i="22"/>
  <c r="G59" i="22" s="1"/>
  <c r="C60" i="22"/>
  <c r="C61" i="22"/>
  <c r="C62" i="22"/>
  <c r="C63" i="22"/>
  <c r="G63" i="22" s="1"/>
  <c r="C64" i="22"/>
  <c r="C15" i="22"/>
  <c r="G15" i="22" s="1"/>
  <c r="A1" i="15"/>
  <c r="A2" i="15"/>
  <c r="A1" i="13"/>
  <c r="G9" i="13"/>
  <c r="N9" i="13" s="1"/>
  <c r="L12" i="15"/>
  <c r="K12" i="15"/>
  <c r="D13" i="23"/>
  <c r="D15" i="23"/>
  <c r="D16" i="23"/>
  <c r="D17" i="23"/>
  <c r="D18" i="23"/>
  <c r="D19" i="23"/>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9" i="23"/>
  <c r="B16" i="22"/>
  <c r="D16" i="22"/>
  <c r="B17" i="22"/>
  <c r="D17" i="22"/>
  <c r="B18" i="22"/>
  <c r="D18" i="22"/>
  <c r="B19" i="22"/>
  <c r="D19" i="22"/>
  <c r="B20" i="22"/>
  <c r="D20" i="22"/>
  <c r="B21" i="22"/>
  <c r="D21" i="22"/>
  <c r="B22" i="22"/>
  <c r="D22" i="22"/>
  <c r="B23" i="22"/>
  <c r="D23" i="22"/>
  <c r="B24" i="22"/>
  <c r="D24" i="22"/>
  <c r="B25" i="22"/>
  <c r="D25" i="22"/>
  <c r="B26" i="22"/>
  <c r="D26" i="22"/>
  <c r="B27" i="22"/>
  <c r="D27" i="22"/>
  <c r="B28" i="22"/>
  <c r="D28" i="22"/>
  <c r="B29" i="22"/>
  <c r="D29" i="22"/>
  <c r="B30" i="22"/>
  <c r="D30" i="22"/>
  <c r="B31" i="22"/>
  <c r="D31" i="22"/>
  <c r="B32" i="22"/>
  <c r="D32" i="22"/>
  <c r="B33" i="22"/>
  <c r="D33" i="22"/>
  <c r="D15" i="22"/>
  <c r="B34" i="22"/>
  <c r="D34" i="22"/>
  <c r="B35" i="22"/>
  <c r="D35" i="22"/>
  <c r="B36" i="22"/>
  <c r="D36" i="22"/>
  <c r="B37" i="22"/>
  <c r="D37" i="22"/>
  <c r="B38" i="22"/>
  <c r="D38" i="22"/>
  <c r="B39" i="22"/>
  <c r="D39" i="22"/>
  <c r="B40" i="22"/>
  <c r="D40" i="22"/>
  <c r="B41" i="22"/>
  <c r="D41" i="22"/>
  <c r="B42" i="22"/>
  <c r="D42" i="22"/>
  <c r="B43" i="22"/>
  <c r="D43" i="22"/>
  <c r="B44" i="22"/>
  <c r="D44" i="22"/>
  <c r="B45" i="22"/>
  <c r="D45" i="22"/>
  <c r="B46" i="22"/>
  <c r="D46" i="22"/>
  <c r="B47" i="22"/>
  <c r="D47" i="22"/>
  <c r="B48" i="22"/>
  <c r="D48" i="22"/>
  <c r="B49" i="22"/>
  <c r="D49" i="22"/>
  <c r="B50" i="22"/>
  <c r="D50" i="22"/>
  <c r="B51" i="22"/>
  <c r="D51" i="22"/>
  <c r="B52" i="22"/>
  <c r="D52" i="22"/>
  <c r="B53" i="22"/>
  <c r="D53" i="22"/>
  <c r="B54" i="22"/>
  <c r="D54" i="22"/>
  <c r="B55" i="22"/>
  <c r="D55" i="22"/>
  <c r="B56" i="22"/>
  <c r="D56" i="22"/>
  <c r="B57" i="22"/>
  <c r="D57" i="22"/>
  <c r="B58" i="22"/>
  <c r="D58" i="22"/>
  <c r="B59" i="22"/>
  <c r="D59" i="22"/>
  <c r="B60" i="22"/>
  <c r="D60" i="22"/>
  <c r="B61" i="22"/>
  <c r="D61" i="22"/>
  <c r="B62" i="22"/>
  <c r="D62" i="22"/>
  <c r="B63" i="22"/>
  <c r="D63" i="22"/>
  <c r="B64" i="22"/>
  <c r="D64" i="22"/>
  <c r="B21" i="13"/>
  <c r="B22" i="13"/>
  <c r="B23" i="13"/>
  <c r="B24" i="13"/>
  <c r="B25" i="13"/>
  <c r="B26" i="13"/>
  <c r="B27" i="13"/>
  <c r="B28" i="13"/>
  <c r="H23" i="13"/>
  <c r="I23" i="13" s="1"/>
  <c r="H24" i="13"/>
  <c r="BG7" i="32"/>
  <c r="BG8" i="32"/>
  <c r="BG9" i="32"/>
  <c r="BG10" i="32"/>
  <c r="BG11" i="32"/>
  <c r="BG12" i="32"/>
  <c r="BG13" i="32"/>
  <c r="BG14" i="32"/>
  <c r="BG15" i="32"/>
  <c r="BG16" i="32"/>
  <c r="BG17" i="32"/>
  <c r="BG18" i="32"/>
  <c r="BG19" i="32"/>
  <c r="BG20" i="32"/>
  <c r="BG21" i="32"/>
  <c r="BG22" i="32"/>
  <c r="BG23" i="32"/>
  <c r="BG24" i="32"/>
  <c r="BG25" i="32"/>
  <c r="BG26" i="32"/>
  <c r="BG27" i="32"/>
  <c r="BG28" i="32"/>
  <c r="BG29" i="32"/>
  <c r="BG30" i="32"/>
  <c r="BG31" i="32"/>
  <c r="BG32" i="32"/>
  <c r="BG33" i="32"/>
  <c r="BG34" i="32"/>
  <c r="BG35" i="32"/>
  <c r="G23" i="22"/>
  <c r="G31" i="22"/>
  <c r="G47" i="22"/>
  <c r="E26" i="20"/>
  <c r="D26" i="20"/>
  <c r="A2" i="14"/>
  <c r="D7" i="20"/>
  <c r="H21" i="13" l="1"/>
  <c r="I21" i="13" s="1"/>
  <c r="J21" i="13" s="1"/>
  <c r="F10" i="13"/>
  <c r="G10" i="13" s="1"/>
  <c r="J12" i="15"/>
  <c r="I12" i="15" s="1"/>
  <c r="H12" i="15" s="1"/>
  <c r="G12" i="15" s="1"/>
  <c r="D14" i="15" s="1"/>
  <c r="I24" i="13"/>
  <c r="J24" i="13" s="1"/>
  <c r="J23" i="13"/>
  <c r="F21" i="20"/>
  <c r="G18" i="20"/>
  <c r="G16" i="20"/>
  <c r="D13" i="13"/>
  <c r="D14" i="13" s="1"/>
  <c r="F19" i="20"/>
  <c r="F16" i="20"/>
  <c r="H24" i="20"/>
  <c r="G20" i="20"/>
  <c r="F18" i="20"/>
  <c r="F22" i="20"/>
  <c r="H22" i="20" s="1"/>
  <c r="F20" i="20"/>
  <c r="G17" i="20"/>
  <c r="G21" i="20"/>
  <c r="G19" i="20"/>
  <c r="F17" i="20"/>
  <c r="H23" i="20"/>
  <c r="AI28" i="29"/>
  <c r="P22" i="19"/>
  <c r="P21" i="19"/>
  <c r="P14" i="19"/>
  <c r="P20" i="19"/>
  <c r="P15" i="19"/>
  <c r="P19" i="19"/>
  <c r="M16" i="19"/>
  <c r="M23" i="19"/>
  <c r="P13" i="19"/>
  <c r="P12" i="19"/>
  <c r="P17" i="19"/>
  <c r="M18" i="19"/>
  <c r="G62" i="22"/>
  <c r="G54" i="22"/>
  <c r="G46" i="22"/>
  <c r="G34" i="22"/>
  <c r="G26" i="22"/>
  <c r="G18" i="22"/>
  <c r="G38" i="22"/>
  <c r="G58" i="22"/>
  <c r="G50" i="22"/>
  <c r="G42" i="22"/>
  <c r="G36" i="22"/>
  <c r="G30" i="22"/>
  <c r="G22" i="22"/>
  <c r="G52" i="22"/>
  <c r="G20" i="22"/>
  <c r="G56" i="22"/>
  <c r="G24" i="22"/>
  <c r="G60" i="22"/>
  <c r="G44" i="22"/>
  <c r="G28" i="22"/>
  <c r="G64" i="22"/>
  <c r="G48" i="22"/>
  <c r="G32" i="22"/>
  <c r="G16" i="22"/>
  <c r="G61" i="22"/>
  <c r="G49" i="22"/>
  <c r="G37" i="22"/>
  <c r="G57" i="22"/>
  <c r="G53" i="22"/>
  <c r="G45" i="22"/>
  <c r="G41" i="22"/>
  <c r="C66" i="22"/>
  <c r="D66" i="22" s="1"/>
  <c r="J10" i="13" l="1"/>
  <c r="K10" i="13"/>
  <c r="L10" i="13"/>
  <c r="L17" i="13" s="1"/>
  <c r="L9" i="14" s="1"/>
  <c r="H10" i="13"/>
  <c r="N10" i="13" s="1"/>
  <c r="I10" i="13"/>
  <c r="H18" i="20"/>
  <c r="H19" i="20"/>
  <c r="H17" i="20"/>
  <c r="G26" i="20"/>
  <c r="H16" i="20"/>
  <c r="G14" i="13"/>
  <c r="H22" i="13"/>
  <c r="I22" i="13" s="1"/>
  <c r="K24" i="13"/>
  <c r="K23" i="13"/>
  <c r="K21" i="13"/>
  <c r="F26" i="20"/>
  <c r="H20" i="20"/>
  <c r="H21" i="20"/>
  <c r="C51" i="23"/>
  <c r="D51" i="23" s="1"/>
  <c r="D10" i="22"/>
  <c r="P16" i="19"/>
  <c r="D8" i="22"/>
  <c r="P18" i="19"/>
  <c r="J22" i="13" l="1"/>
  <c r="K22" i="13" s="1"/>
  <c r="L22" i="13" s="1"/>
  <c r="M22" i="13" s="1"/>
  <c r="J14" i="13"/>
  <c r="I14" i="13"/>
  <c r="H14" i="13"/>
  <c r="F31" i="22"/>
  <c r="F65" i="22"/>
  <c r="G13" i="13"/>
  <c r="H25" i="13" s="1"/>
  <c r="I25" i="13" s="1"/>
  <c r="J25" i="13" s="1"/>
  <c r="H26" i="13"/>
  <c r="I26" i="13" s="1"/>
  <c r="J26" i="13" s="1"/>
  <c r="K26" i="13" s="1"/>
  <c r="D15" i="13"/>
  <c r="L24" i="13"/>
  <c r="M24" i="13" s="1"/>
  <c r="N24" i="13" s="1"/>
  <c r="O24" i="13" s="1"/>
  <c r="L23" i="13"/>
  <c r="M23" i="13" s="1"/>
  <c r="L21" i="13"/>
  <c r="M21" i="13" s="1"/>
  <c r="H26" i="20"/>
  <c r="F52" i="22"/>
  <c r="F25" i="22"/>
  <c r="F55" i="22"/>
  <c r="F35" i="22"/>
  <c r="F34" i="22"/>
  <c r="F48" i="22"/>
  <c r="F59" i="22"/>
  <c r="F18" i="22"/>
  <c r="F30" i="22"/>
  <c r="F22" i="22"/>
  <c r="F15" i="22"/>
  <c r="F47" i="22"/>
  <c r="F56" i="22"/>
  <c r="F46" i="22"/>
  <c r="F53" i="22"/>
  <c r="F63" i="22"/>
  <c r="F32" i="22"/>
  <c r="F54" i="22"/>
  <c r="F27" i="22"/>
  <c r="F51" i="22"/>
  <c r="F64" i="22"/>
  <c r="F61" i="22"/>
  <c r="F23" i="22"/>
  <c r="F39" i="22"/>
  <c r="F43" i="22"/>
  <c r="F20" i="22"/>
  <c r="F42" i="22"/>
  <c r="F21" i="22"/>
  <c r="F57" i="22"/>
  <c r="F40" i="22"/>
  <c r="F58" i="22"/>
  <c r="F45" i="22"/>
  <c r="F50" i="22"/>
  <c r="F29" i="22"/>
  <c r="F38" i="22"/>
  <c r="F28" i="22"/>
  <c r="F26" i="22"/>
  <c r="F17" i="22"/>
  <c r="F24" i="22"/>
  <c r="F19" i="22"/>
  <c r="F33" i="22"/>
  <c r="F49" i="22"/>
  <c r="F16" i="22"/>
  <c r="F62" i="22"/>
  <c r="F60" i="22"/>
  <c r="F36" i="22"/>
  <c r="F37" i="22"/>
  <c r="F44" i="22"/>
  <c r="F41" i="22"/>
  <c r="E57" i="22"/>
  <c r="I57" i="22" s="1"/>
  <c r="E45" i="22"/>
  <c r="I45" i="22" s="1"/>
  <c r="E62" i="22"/>
  <c r="I62" i="22" s="1"/>
  <c r="E46" i="22"/>
  <c r="I46" i="22" s="1"/>
  <c r="E30" i="22"/>
  <c r="I64" i="22"/>
  <c r="E48" i="22"/>
  <c r="I48" i="22" s="1"/>
  <c r="E32" i="22"/>
  <c r="E16" i="22"/>
  <c r="E35" i="22"/>
  <c r="I35" i="22" s="1"/>
  <c r="E19" i="22"/>
  <c r="E21" i="22"/>
  <c r="E39" i="22"/>
  <c r="I39" i="22" s="1"/>
  <c r="E49" i="22"/>
  <c r="I49" i="22" s="1"/>
  <c r="E41" i="22"/>
  <c r="I41" i="22" s="1"/>
  <c r="E58" i="22"/>
  <c r="I58" i="22" s="1"/>
  <c r="E42" i="22"/>
  <c r="I42" i="22" s="1"/>
  <c r="E26" i="22"/>
  <c r="E60" i="22"/>
  <c r="I60" i="22" s="1"/>
  <c r="E44" i="22"/>
  <c r="I44" i="22" s="1"/>
  <c r="E28" i="22"/>
  <c r="E59" i="22"/>
  <c r="I59" i="22" s="1"/>
  <c r="E31" i="22"/>
  <c r="E33" i="22"/>
  <c r="E17" i="22"/>
  <c r="E63" i="22"/>
  <c r="I63" i="22" s="1"/>
  <c r="E37" i="22"/>
  <c r="I37" i="22" s="1"/>
  <c r="E61" i="22"/>
  <c r="I61" i="22" s="1"/>
  <c r="E22" i="22"/>
  <c r="E51" i="22"/>
  <c r="I51" i="22" s="1"/>
  <c r="E53" i="22"/>
  <c r="I53" i="22" s="1"/>
  <c r="E50" i="22"/>
  <c r="I50" i="22" s="1"/>
  <c r="E34" i="22"/>
  <c r="I34" i="22" s="1"/>
  <c r="E18" i="22"/>
  <c r="E52" i="22"/>
  <c r="I52" i="22" s="1"/>
  <c r="E36" i="22"/>
  <c r="I36" i="22" s="1"/>
  <c r="E20" i="22"/>
  <c r="E43" i="22"/>
  <c r="I43" i="22" s="1"/>
  <c r="E23" i="22"/>
  <c r="E25" i="22"/>
  <c r="E47" i="22"/>
  <c r="I47" i="22" s="1"/>
  <c r="E15" i="22"/>
  <c r="E54" i="22"/>
  <c r="I54" i="22" s="1"/>
  <c r="E38" i="22"/>
  <c r="I38" i="22" s="1"/>
  <c r="E56" i="22"/>
  <c r="I56" i="22" s="1"/>
  <c r="E40" i="22"/>
  <c r="I40" i="22" s="1"/>
  <c r="E24" i="22"/>
  <c r="E27" i="22"/>
  <c r="E29" i="22"/>
  <c r="E55" i="22"/>
  <c r="I55" i="22" s="1"/>
  <c r="E17" i="23"/>
  <c r="E21" i="23"/>
  <c r="E25" i="23"/>
  <c r="E29" i="23"/>
  <c r="E33" i="23"/>
  <c r="E37" i="23"/>
  <c r="E41" i="23"/>
  <c r="E45" i="23"/>
  <c r="E13" i="23"/>
  <c r="E18" i="23"/>
  <c r="E22" i="23"/>
  <c r="E26" i="23"/>
  <c r="E30" i="23"/>
  <c r="E34" i="23"/>
  <c r="E38" i="23"/>
  <c r="E42" i="23"/>
  <c r="E46" i="23"/>
  <c r="E16" i="23"/>
  <c r="E20" i="23"/>
  <c r="E24" i="23"/>
  <c r="E28" i="23"/>
  <c r="E32" i="23"/>
  <c r="E36" i="23"/>
  <c r="E40" i="23"/>
  <c r="E44" i="23"/>
  <c r="E49" i="23"/>
  <c r="E19" i="23"/>
  <c r="E35" i="23"/>
  <c r="E27" i="23"/>
  <c r="E43" i="23"/>
  <c r="E23" i="23"/>
  <c r="E39" i="23"/>
  <c r="E15" i="23"/>
  <c r="E31" i="23"/>
  <c r="E47" i="23"/>
  <c r="N14" i="13" l="1"/>
  <c r="K13" i="13"/>
  <c r="K17" i="13" s="1"/>
  <c r="K9" i="14" s="1"/>
  <c r="I13" i="13"/>
  <c r="J13" i="13"/>
  <c r="H13" i="13"/>
  <c r="N22" i="13"/>
  <c r="O22" i="13" s="1"/>
  <c r="P24" i="13"/>
  <c r="N23" i="13"/>
  <c r="O23" i="13" s="1"/>
  <c r="N21" i="13"/>
  <c r="O21" i="13" s="1"/>
  <c r="I17" i="22"/>
  <c r="H17" i="22"/>
  <c r="E51" i="23"/>
  <c r="G57" i="23" s="1"/>
  <c r="G15" i="13" s="1"/>
  <c r="I24" i="22"/>
  <c r="H24" i="22"/>
  <c r="I23" i="22"/>
  <c r="H23" i="22"/>
  <c r="I31" i="22"/>
  <c r="H31" i="22"/>
  <c r="I19" i="22"/>
  <c r="H19" i="22"/>
  <c r="L26" i="13"/>
  <c r="K25" i="13"/>
  <c r="L25" i="13" s="1"/>
  <c r="I29" i="22"/>
  <c r="H29" i="22"/>
  <c r="I20" i="22"/>
  <c r="H20" i="22"/>
  <c r="I30" i="22"/>
  <c r="H30" i="22"/>
  <c r="I15" i="22"/>
  <c r="H15" i="22"/>
  <c r="I18" i="22"/>
  <c r="H18" i="22"/>
  <c r="I26" i="22"/>
  <c r="H26" i="22"/>
  <c r="I22" i="22"/>
  <c r="H22" i="22"/>
  <c r="I28" i="22"/>
  <c r="H28" i="22"/>
  <c r="I16" i="22"/>
  <c r="H16" i="22"/>
  <c r="I27" i="22"/>
  <c r="H27" i="22"/>
  <c r="I25" i="22"/>
  <c r="H25" i="22"/>
  <c r="I33" i="22"/>
  <c r="H33" i="22"/>
  <c r="I21" i="22"/>
  <c r="H21" i="22"/>
  <c r="I32" i="22"/>
  <c r="H32" i="22"/>
  <c r="P22" i="13" l="1"/>
  <c r="R22" i="13" s="1"/>
  <c r="S22" i="13" s="1"/>
  <c r="N13" i="13"/>
  <c r="I15" i="13"/>
  <c r="J15" i="13"/>
  <c r="H15" i="13"/>
  <c r="H66" i="22"/>
  <c r="Q22" i="13"/>
  <c r="Q24" i="13"/>
  <c r="R24" i="13" s="1"/>
  <c r="P23" i="13"/>
  <c r="Q23" i="13"/>
  <c r="R23" i="13" s="1"/>
  <c r="S23" i="13" s="1"/>
  <c r="P21" i="13"/>
  <c r="I66" i="22"/>
  <c r="M25" i="13"/>
  <c r="N25" i="13" s="1"/>
  <c r="O25" i="13" s="1"/>
  <c r="H27" i="13"/>
  <c r="I27" i="13" s="1"/>
  <c r="M26" i="13"/>
  <c r="N26" i="13" s="1"/>
  <c r="T22" i="13" l="1"/>
  <c r="N15" i="13"/>
  <c r="U22" i="13"/>
  <c r="V22" i="13" s="1"/>
  <c r="S24" i="13"/>
  <c r="T24" i="13" s="1"/>
  <c r="Q21" i="13"/>
  <c r="T23" i="13"/>
  <c r="U23" i="13" s="1"/>
  <c r="V23" i="13" s="1"/>
  <c r="W23" i="13" s="1"/>
  <c r="X23" i="13" s="1"/>
  <c r="Y23" i="13" s="1"/>
  <c r="Z23" i="13" s="1"/>
  <c r="AA23" i="13" s="1"/>
  <c r="AB23" i="13" s="1"/>
  <c r="AC23" i="13" s="1"/>
  <c r="AD23" i="13" s="1"/>
  <c r="AE23" i="13" s="1"/>
  <c r="G16" i="13"/>
  <c r="O26" i="13"/>
  <c r="P26" i="13" s="1"/>
  <c r="J27" i="13"/>
  <c r="P25" i="13"/>
  <c r="I16" i="13" l="1"/>
  <c r="I17" i="13" s="1"/>
  <c r="I9" i="14" s="1"/>
  <c r="J16" i="13"/>
  <c r="J17" i="13" s="1"/>
  <c r="J9" i="14" s="1"/>
  <c r="H16" i="13"/>
  <c r="H17" i="13" s="1"/>
  <c r="H9" i="14" s="1"/>
  <c r="W22" i="13"/>
  <c r="X22" i="13" s="1"/>
  <c r="U24" i="13"/>
  <c r="V24" i="13" s="1"/>
  <c r="W24" i="13" s="1"/>
  <c r="X24" i="13" s="1"/>
  <c r="Y24" i="13" s="1"/>
  <c r="Z24" i="13" s="1"/>
  <c r="R21" i="13"/>
  <c r="S21" i="13" s="1"/>
  <c r="T21" i="13" s="1"/>
  <c r="U21" i="13" s="1"/>
  <c r="V21" i="13" s="1"/>
  <c r="W21" i="13" s="1"/>
  <c r="X21" i="13" s="1"/>
  <c r="Y21" i="13" s="1"/>
  <c r="Z21" i="13" s="1"/>
  <c r="AA21" i="13" s="1"/>
  <c r="AB21" i="13" s="1"/>
  <c r="AC21" i="13" s="1"/>
  <c r="AD21" i="13" s="1"/>
  <c r="AE21" i="13" s="1"/>
  <c r="AF21" i="13" s="1"/>
  <c r="AG21" i="13" s="1"/>
  <c r="AH21" i="13" s="1"/>
  <c r="AI21" i="13" s="1"/>
  <c r="AJ21" i="13" s="1"/>
  <c r="AK21" i="13" s="1"/>
  <c r="AL21" i="13" s="1"/>
  <c r="AM21" i="13" s="1"/>
  <c r="AN21" i="13" s="1"/>
  <c r="AO21" i="13" s="1"/>
  <c r="AP21" i="13" s="1"/>
  <c r="AQ21" i="13" s="1"/>
  <c r="AR21" i="13" s="1"/>
  <c r="AS21" i="13" s="1"/>
  <c r="AT21" i="13" s="1"/>
  <c r="AU21" i="13" s="1"/>
  <c r="AV21" i="13" s="1"/>
  <c r="AF23" i="13"/>
  <c r="AG23" i="13" s="1"/>
  <c r="AH23" i="13" s="1"/>
  <c r="AI23" i="13" s="1"/>
  <c r="AJ23" i="13" s="1"/>
  <c r="AK23" i="13" s="1"/>
  <c r="AL23" i="13" s="1"/>
  <c r="AM23" i="13" s="1"/>
  <c r="AN23" i="13" s="1"/>
  <c r="AO23" i="13" s="1"/>
  <c r="AP23" i="13" s="1"/>
  <c r="AQ23" i="13" s="1"/>
  <c r="AR23" i="13" s="1"/>
  <c r="AS23" i="13" s="1"/>
  <c r="AT23" i="13" s="1"/>
  <c r="AU23" i="13" s="1"/>
  <c r="AV23" i="13" s="1"/>
  <c r="AW23" i="13" s="1"/>
  <c r="AX23" i="13" s="1"/>
  <c r="AY23" i="13" s="1"/>
  <c r="AZ23" i="13" s="1"/>
  <c r="BA23" i="13" s="1"/>
  <c r="BB23" i="13" s="1"/>
  <c r="BC23" i="13" s="1"/>
  <c r="BD23" i="13" s="1"/>
  <c r="BE23" i="13" s="1"/>
  <c r="BF23" i="13" s="1"/>
  <c r="BG23" i="13" s="1"/>
  <c r="BH23" i="13" s="1"/>
  <c r="BI23" i="13" s="1"/>
  <c r="BJ23" i="13" s="1"/>
  <c r="BK23" i="13" s="1"/>
  <c r="BL23" i="13" s="1"/>
  <c r="BM23" i="13" s="1"/>
  <c r="BN23" i="13" s="1"/>
  <c r="BO23" i="13" s="1"/>
  <c r="BP23" i="13" s="1"/>
  <c r="BQ23" i="13" s="1"/>
  <c r="H28" i="13"/>
  <c r="H29" i="13" s="1"/>
  <c r="H13" i="14" s="1"/>
  <c r="G17" i="13"/>
  <c r="Q26" i="13"/>
  <c r="R26" i="13" s="1"/>
  <c r="S26" i="13" s="1"/>
  <c r="T26" i="13" s="1"/>
  <c r="U26" i="13" s="1"/>
  <c r="V26" i="13" s="1"/>
  <c r="W26" i="13" s="1"/>
  <c r="X26" i="13" s="1"/>
  <c r="Y26" i="13" s="1"/>
  <c r="Z26" i="13" s="1"/>
  <c r="AA26" i="13" s="1"/>
  <c r="AB26" i="13" s="1"/>
  <c r="AC26" i="13" s="1"/>
  <c r="Q25" i="13"/>
  <c r="R25" i="13" s="1"/>
  <c r="S25" i="13" s="1"/>
  <c r="K27" i="13"/>
  <c r="L27" i="13" s="1"/>
  <c r="N16" i="13" l="1"/>
  <c r="Y22" i="13"/>
  <c r="Z22" i="13" s="1"/>
  <c r="AA22" i="13" s="1"/>
  <c r="AB22" i="13" s="1"/>
  <c r="AC22" i="13" s="1"/>
  <c r="AD22" i="13" s="1"/>
  <c r="AE22" i="13" s="1"/>
  <c r="AF22" i="13" s="1"/>
  <c r="AG22" i="13" s="1"/>
  <c r="AH22" i="13" s="1"/>
  <c r="AI22" i="13" s="1"/>
  <c r="AA24" i="13"/>
  <c r="AB24" i="13" s="1"/>
  <c r="AC24" i="13" s="1"/>
  <c r="AD24" i="13" s="1"/>
  <c r="AE24" i="13" s="1"/>
  <c r="AF24" i="13" s="1"/>
  <c r="AG24" i="13" s="1"/>
  <c r="AH24" i="13" s="1"/>
  <c r="AI24" i="13" s="1"/>
  <c r="AJ24" i="13" s="1"/>
  <c r="AK24" i="13" s="1"/>
  <c r="AL24" i="13" s="1"/>
  <c r="AM24" i="13" s="1"/>
  <c r="AN24" i="13" s="1"/>
  <c r="AO24" i="13" s="1"/>
  <c r="AP24" i="13" s="1"/>
  <c r="AQ24" i="13" s="1"/>
  <c r="AR24" i="13" s="1"/>
  <c r="AS24" i="13" s="1"/>
  <c r="AT24" i="13" s="1"/>
  <c r="AU24" i="13" s="1"/>
  <c r="AV24" i="13" s="1"/>
  <c r="AW24" i="13" s="1"/>
  <c r="AX24" i="13" s="1"/>
  <c r="AY24" i="13" s="1"/>
  <c r="AZ24" i="13" s="1"/>
  <c r="BA24" i="13" s="1"/>
  <c r="BB24" i="13" s="1"/>
  <c r="BC24" i="13" s="1"/>
  <c r="BD24" i="13" s="1"/>
  <c r="BE24" i="13" s="1"/>
  <c r="BF24" i="13" s="1"/>
  <c r="BG24" i="13" s="1"/>
  <c r="BH24" i="13" s="1"/>
  <c r="BI24" i="13" s="1"/>
  <c r="BJ24" i="13" s="1"/>
  <c r="BK24" i="13" s="1"/>
  <c r="BL24" i="13" s="1"/>
  <c r="BM24" i="13" s="1"/>
  <c r="BN24" i="13" s="1"/>
  <c r="BO24" i="13" s="1"/>
  <c r="BP24" i="13" s="1"/>
  <c r="BQ24" i="13" s="1"/>
  <c r="AW21" i="13"/>
  <c r="AX21" i="13" s="1"/>
  <c r="AY21" i="13" s="1"/>
  <c r="AZ21" i="13" s="1"/>
  <c r="BA21" i="13" s="1"/>
  <c r="BB21" i="13" s="1"/>
  <c r="BC21" i="13" s="1"/>
  <c r="BD21" i="13" s="1"/>
  <c r="BE21" i="13" s="1"/>
  <c r="BF21" i="13" s="1"/>
  <c r="BG21" i="13" s="1"/>
  <c r="BH21" i="13" s="1"/>
  <c r="I28" i="13"/>
  <c r="J28" i="13" s="1"/>
  <c r="G8" i="14"/>
  <c r="G12" i="14" s="1"/>
  <c r="M27" i="13"/>
  <c r="AD26" i="13"/>
  <c r="AE26" i="13" s="1"/>
  <c r="AF26" i="13" s="1"/>
  <c r="T25" i="13"/>
  <c r="AJ22" i="13" l="1"/>
  <c r="AK22" i="13" s="1"/>
  <c r="AL22" i="13" s="1"/>
  <c r="BI21" i="13"/>
  <c r="BJ21" i="13" s="1"/>
  <c r="BK21" i="13" s="1"/>
  <c r="BL21" i="13" s="1"/>
  <c r="BM21" i="13" s="1"/>
  <c r="BN21" i="13" s="1"/>
  <c r="BO21" i="13" s="1"/>
  <c r="BP21" i="13" s="1"/>
  <c r="BQ21" i="13" s="1"/>
  <c r="I29" i="13"/>
  <c r="I13" i="14" s="1"/>
  <c r="AG26" i="13"/>
  <c r="AH26" i="13" s="1"/>
  <c r="AI26" i="13" s="1"/>
  <c r="AJ26" i="13" s="1"/>
  <c r="AK26" i="13" s="1"/>
  <c r="AL26" i="13" s="1"/>
  <c r="AM26" i="13" s="1"/>
  <c r="AN26" i="13" s="1"/>
  <c r="AO26" i="13" s="1"/>
  <c r="AP26" i="13" s="1"/>
  <c r="AQ26" i="13" s="1"/>
  <c r="AR26" i="13" s="1"/>
  <c r="AS26" i="13" s="1"/>
  <c r="AT26" i="13" s="1"/>
  <c r="AU26" i="13" s="1"/>
  <c r="AV26" i="13" s="1"/>
  <c r="AW26" i="13" s="1"/>
  <c r="AX26" i="13" s="1"/>
  <c r="AY26" i="13" s="1"/>
  <c r="AZ26" i="13" s="1"/>
  <c r="BA26" i="13" s="1"/>
  <c r="BB26" i="13" s="1"/>
  <c r="BC26" i="13" s="1"/>
  <c r="BD26" i="13" s="1"/>
  <c r="BE26" i="13" s="1"/>
  <c r="BF26" i="13" s="1"/>
  <c r="BG26" i="13" s="1"/>
  <c r="BH26" i="13" s="1"/>
  <c r="BI26" i="13" s="1"/>
  <c r="BJ26" i="13" s="1"/>
  <c r="BK26" i="13" s="1"/>
  <c r="BL26" i="13" s="1"/>
  <c r="BM26" i="13" s="1"/>
  <c r="BN26" i="13" s="1"/>
  <c r="BO26" i="13" s="1"/>
  <c r="BP26" i="13" s="1"/>
  <c r="BQ26" i="13" s="1"/>
  <c r="K28" i="13"/>
  <c r="J29" i="13"/>
  <c r="J13" i="14" s="1"/>
  <c r="N27" i="13"/>
  <c r="U25" i="13"/>
  <c r="V25" i="13" s="1"/>
  <c r="W25" i="13" s="1"/>
  <c r="X25" i="13" s="1"/>
  <c r="Y25" i="13" s="1"/>
  <c r="Z25" i="13" s="1"/>
  <c r="AA25" i="13" s="1"/>
  <c r="AB25" i="13" s="1"/>
  <c r="AC25" i="13" s="1"/>
  <c r="AD25" i="13" s="1"/>
  <c r="AE25" i="13" s="1"/>
  <c r="AF25" i="13" s="1"/>
  <c r="AG25" i="13" s="1"/>
  <c r="AH25" i="13" s="1"/>
  <c r="AI25" i="13" s="1"/>
  <c r="AJ25" i="13" s="1"/>
  <c r="AK25" i="13" s="1"/>
  <c r="AL25" i="13" s="1"/>
  <c r="AM25" i="13" s="1"/>
  <c r="AN25" i="13" s="1"/>
  <c r="AO25" i="13" s="1"/>
  <c r="AP25" i="13" s="1"/>
  <c r="AQ25" i="13" s="1"/>
  <c r="AR25" i="13" s="1"/>
  <c r="AS25" i="13" s="1"/>
  <c r="AT25" i="13" s="1"/>
  <c r="AU25" i="13" s="1"/>
  <c r="AV25" i="13" s="1"/>
  <c r="AW25" i="13" s="1"/>
  <c r="AX25" i="13" s="1"/>
  <c r="AY25" i="13" s="1"/>
  <c r="AZ25" i="13" s="1"/>
  <c r="BA25" i="13" s="1"/>
  <c r="BB25" i="13" s="1"/>
  <c r="BC25" i="13" s="1"/>
  <c r="BD25" i="13" s="1"/>
  <c r="BE25" i="13" s="1"/>
  <c r="BF25" i="13" s="1"/>
  <c r="BG25" i="13" s="1"/>
  <c r="BH25" i="13" s="1"/>
  <c r="BI25" i="13" s="1"/>
  <c r="BJ25" i="13" s="1"/>
  <c r="BK25" i="13" s="1"/>
  <c r="BL25" i="13" s="1"/>
  <c r="BM25" i="13" s="1"/>
  <c r="BN25" i="13" s="1"/>
  <c r="BO25" i="13" s="1"/>
  <c r="BP25" i="13" s="1"/>
  <c r="BQ25" i="13" s="1"/>
  <c r="AM22" i="13" l="1"/>
  <c r="AN22" i="13" s="1"/>
  <c r="AO22" i="13" s="1"/>
  <c r="AP22" i="13" s="1"/>
  <c r="AQ22" i="13" s="1"/>
  <c r="AR22" i="13" s="1"/>
  <c r="AS22" i="13" s="1"/>
  <c r="AT22" i="13" s="1"/>
  <c r="AU22" i="13" s="1"/>
  <c r="AV22" i="13" s="1"/>
  <c r="AW22" i="13" s="1"/>
  <c r="AX22" i="13" s="1"/>
  <c r="AY22" i="13" s="1"/>
  <c r="AZ22" i="13" s="1"/>
  <c r="BA22" i="13" s="1"/>
  <c r="BB22" i="13" s="1"/>
  <c r="BC22" i="13" s="1"/>
  <c r="BD22" i="13" s="1"/>
  <c r="BE22" i="13" s="1"/>
  <c r="BF22" i="13" s="1"/>
  <c r="BG22" i="13" s="1"/>
  <c r="BH22" i="13" s="1"/>
  <c r="BI22" i="13" s="1"/>
  <c r="BJ22" i="13" s="1"/>
  <c r="BK22" i="13" s="1"/>
  <c r="BL22" i="13" s="1"/>
  <c r="BM22" i="13" s="1"/>
  <c r="BN22" i="13" s="1"/>
  <c r="BO22" i="13" s="1"/>
  <c r="BP22" i="13" s="1"/>
  <c r="BQ22" i="13" s="1"/>
  <c r="O27" i="13"/>
  <c r="L28" i="13"/>
  <c r="K29" i="13"/>
  <c r="K13" i="14" s="1"/>
  <c r="L29" i="13" l="1"/>
  <c r="L13" i="14" s="1"/>
  <c r="M28" i="13"/>
  <c r="M29" i="13" s="1"/>
  <c r="M13" i="14" s="1"/>
  <c r="P27" i="13"/>
  <c r="Q27" i="13" l="1"/>
  <c r="R27" i="13" s="1"/>
  <c r="S27" i="13" s="1"/>
  <c r="T27" i="13" s="1"/>
  <c r="U27" i="13" s="1"/>
  <c r="V27" i="13" s="1"/>
  <c r="W27" i="13" s="1"/>
  <c r="X27" i="13" s="1"/>
  <c r="Y27" i="13" s="1"/>
  <c r="Z27" i="13" s="1"/>
  <c r="AA27" i="13" s="1"/>
  <c r="AB27" i="13" s="1"/>
  <c r="AC27" i="13" s="1"/>
  <c r="AD27" i="13" s="1"/>
  <c r="AE27" i="13" s="1"/>
  <c r="AF27" i="13" s="1"/>
  <c r="AG27" i="13" s="1"/>
  <c r="AH27" i="13" s="1"/>
  <c r="AI27" i="13" s="1"/>
  <c r="AJ27" i="13" s="1"/>
  <c r="AK27" i="13" s="1"/>
  <c r="AL27" i="13" s="1"/>
  <c r="AM27" i="13" s="1"/>
  <c r="AN27" i="13" s="1"/>
  <c r="AO27" i="13" s="1"/>
  <c r="AP27" i="13" s="1"/>
  <c r="AQ27" i="13" s="1"/>
  <c r="AR27" i="13" s="1"/>
  <c r="AS27" i="13" s="1"/>
  <c r="AT27" i="13" s="1"/>
  <c r="AU27" i="13" s="1"/>
  <c r="AV27" i="13" s="1"/>
  <c r="AW27" i="13" s="1"/>
  <c r="AX27" i="13" s="1"/>
  <c r="AY27" i="13" s="1"/>
  <c r="AZ27" i="13" s="1"/>
  <c r="BA27" i="13" s="1"/>
  <c r="BB27" i="13" s="1"/>
  <c r="BC27" i="13" s="1"/>
  <c r="BD27" i="13" s="1"/>
  <c r="BE27" i="13" s="1"/>
  <c r="BF27" i="13" s="1"/>
  <c r="BG27" i="13" s="1"/>
  <c r="BH27" i="13" s="1"/>
  <c r="BI27" i="13" s="1"/>
  <c r="BJ27" i="13" s="1"/>
  <c r="BK27" i="13" s="1"/>
  <c r="BL27" i="13" s="1"/>
  <c r="BM27" i="13" s="1"/>
  <c r="BN27" i="13" s="1"/>
  <c r="BO27" i="13" s="1"/>
  <c r="BP27" i="13" s="1"/>
  <c r="BQ27" i="13" s="1"/>
  <c r="N28" i="13"/>
  <c r="N29" i="13" l="1"/>
  <c r="N13" i="14" s="1"/>
  <c r="O28" i="13"/>
  <c r="P28" i="13" s="1"/>
  <c r="P29" i="13" s="1"/>
  <c r="P13" i="14" s="1"/>
  <c r="O29" i="13" l="1"/>
  <c r="O13" i="14" s="1"/>
  <c r="Q28" i="13"/>
  <c r="Q29" i="13" s="1"/>
  <c r="Q13" i="14" s="1"/>
  <c r="R28" i="13" l="1"/>
  <c r="R29" i="13" s="1"/>
  <c r="R13" i="14" s="1"/>
  <c r="S28" i="13" l="1"/>
  <c r="S29" i="13" s="1"/>
  <c r="S13" i="14" s="1"/>
  <c r="T28" i="13" l="1"/>
  <c r="U28" i="13" l="1"/>
  <c r="U29" i="13" s="1"/>
  <c r="U13" i="14" s="1"/>
  <c r="T29" i="13"/>
  <c r="T13" i="14" s="1"/>
  <c r="V28" i="13" l="1"/>
  <c r="V29" i="13" l="1"/>
  <c r="V13" i="14" s="1"/>
  <c r="W28" i="13"/>
  <c r="W29" i="13" s="1"/>
  <c r="W13" i="14" s="1"/>
  <c r="X28" i="13" l="1"/>
  <c r="X29" i="13" s="1"/>
  <c r="X13" i="14" s="1"/>
  <c r="Y28" i="13" l="1"/>
  <c r="Y29" i="13" l="1"/>
  <c r="Y13" i="14" s="1"/>
  <c r="Z28" i="13"/>
  <c r="Z29" i="13" l="1"/>
  <c r="Z13" i="14" s="1"/>
  <c r="AA28" i="13"/>
  <c r="AA29" i="13" s="1"/>
  <c r="AA13" i="14" s="1"/>
  <c r="AB28" i="13" l="1"/>
  <c r="AC28" i="13" s="1"/>
  <c r="AC29" i="13" l="1"/>
  <c r="AC13" i="14" s="1"/>
  <c r="AB29" i="13"/>
  <c r="AB13" i="14" s="1"/>
  <c r="AD28" i="13"/>
  <c r="AD29" i="13" s="1"/>
  <c r="AD13" i="14" s="1"/>
  <c r="AE28" i="13" l="1"/>
  <c r="AE29" i="13" s="1"/>
  <c r="AE13" i="14" s="1"/>
  <c r="AF28" i="13" l="1"/>
  <c r="AG28" i="13" l="1"/>
  <c r="AF29" i="13"/>
  <c r="AF13" i="14" s="1"/>
  <c r="AG29" i="13" l="1"/>
  <c r="AG13" i="14" s="1"/>
  <c r="AH28" i="13"/>
  <c r="AI28" i="13" l="1"/>
  <c r="AI29" i="13" s="1"/>
  <c r="AI13" i="14" s="1"/>
  <c r="AH29" i="13"/>
  <c r="AH13" i="14" s="1"/>
  <c r="AJ28" i="13" l="1"/>
  <c r="AJ29" i="13" l="1"/>
  <c r="AJ13" i="14" s="1"/>
  <c r="AK28" i="13"/>
  <c r="AK29" i="13" l="1"/>
  <c r="AK13" i="14" s="1"/>
  <c r="AL28" i="13"/>
  <c r="AL29" i="13" s="1"/>
  <c r="AL13" i="14" s="1"/>
  <c r="AM28" i="13" l="1"/>
  <c r="AM29" i="13" l="1"/>
  <c r="AM13" i="14" s="1"/>
  <c r="AN28" i="13"/>
  <c r="AN29" i="13" l="1"/>
  <c r="AN13" i="14" s="1"/>
  <c r="AO28" i="13"/>
  <c r="AO29" i="13" l="1"/>
  <c r="AO13" i="14" s="1"/>
  <c r="AP28" i="13"/>
  <c r="AP29" i="13" s="1"/>
  <c r="AP13" i="14" s="1"/>
  <c r="AQ28" i="13" l="1"/>
  <c r="AQ29" i="13" s="1"/>
  <c r="AQ13" i="14" s="1"/>
  <c r="AR28" i="13" l="1"/>
  <c r="AR29" i="13" s="1"/>
  <c r="AR13" i="14" s="1"/>
  <c r="AS28" i="13" l="1"/>
  <c r="AS29" i="13" s="1"/>
  <c r="AS13" i="14" s="1"/>
  <c r="AT28" i="13" l="1"/>
  <c r="AT29" i="13" s="1"/>
  <c r="AT13" i="14" s="1"/>
  <c r="AU28" i="13" l="1"/>
  <c r="AU29" i="13" s="1"/>
  <c r="AU13" i="14" s="1"/>
  <c r="AV28" i="13" l="1"/>
  <c r="AW28" i="13" s="1"/>
  <c r="AW29" i="13" s="1"/>
  <c r="AW13" i="14" s="1"/>
  <c r="AX28" i="13" l="1"/>
  <c r="AY28" i="13" s="1"/>
  <c r="AY29" i="13" s="1"/>
  <c r="AY13" i="14" s="1"/>
  <c r="AV29" i="13"/>
  <c r="AV13" i="14" s="1"/>
  <c r="AX29" i="13" l="1"/>
  <c r="AX13" i="14" s="1"/>
  <c r="AZ28" i="13"/>
  <c r="AZ29" i="13" l="1"/>
  <c r="AZ13" i="14" s="1"/>
  <c r="BA28" i="13"/>
  <c r="BA29" i="13" l="1"/>
  <c r="BA13" i="14" s="1"/>
  <c r="BB28" i="13"/>
  <c r="BB29" i="13" s="1"/>
  <c r="BB13" i="14" s="1"/>
  <c r="BC28" i="13" l="1"/>
  <c r="BC29" i="13" s="1"/>
  <c r="BC13" i="14" s="1"/>
  <c r="BD28" i="13" l="1"/>
  <c r="BD29" i="13" l="1"/>
  <c r="BD13" i="14" s="1"/>
  <c r="BE28" i="13"/>
  <c r="BE29" i="13" l="1"/>
  <c r="BE13" i="14" s="1"/>
  <c r="BF28" i="13"/>
  <c r="BG28" i="13" l="1"/>
  <c r="BF29" i="13"/>
  <c r="BF13" i="14" s="1"/>
  <c r="BH28" i="13" l="1"/>
  <c r="BG29" i="13"/>
  <c r="BG13" i="14" s="1"/>
  <c r="BH29" i="13" l="1"/>
  <c r="BH13" i="14" s="1"/>
  <c r="BI28" i="13"/>
  <c r="BI29" i="13" l="1"/>
  <c r="BI13" i="14" s="1"/>
  <c r="BJ28" i="13"/>
  <c r="BJ29" i="13" l="1"/>
  <c r="BJ13" i="14" s="1"/>
  <c r="BK28" i="13"/>
  <c r="BK29" i="13" l="1"/>
  <c r="BK13" i="14" s="1"/>
  <c r="BL28" i="13"/>
  <c r="BL29" i="13" l="1"/>
  <c r="BL13" i="14" s="1"/>
  <c r="BM28" i="13"/>
  <c r="BM29" i="13" l="1"/>
  <c r="BM13" i="14" s="1"/>
  <c r="BN28" i="13"/>
  <c r="BO28" i="13" l="1"/>
  <c r="BN29" i="13"/>
  <c r="BN13" i="14" s="1"/>
  <c r="BP28" i="13" l="1"/>
  <c r="BO29" i="13"/>
  <c r="BO13" i="14" s="1"/>
  <c r="BP29" i="13" l="1"/>
  <c r="BQ28" i="13"/>
  <c r="BP13" i="14" l="1"/>
  <c r="BQ29" i="13"/>
  <c r="E120" i="29" l="1"/>
  <c r="E121" i="29" s="1"/>
  <c r="I120" i="29"/>
  <c r="I121" i="29" s="1"/>
  <c r="L120" i="29"/>
  <c r="L121" i="29" s="1"/>
  <c r="M120" i="29"/>
  <c r="M121" i="29" s="1"/>
  <c r="O120" i="29"/>
  <c r="O121" i="29" s="1"/>
  <c r="P120" i="29"/>
  <c r="P121" i="29" s="1"/>
  <c r="T120" i="29"/>
  <c r="T121" i="29" s="1"/>
  <c r="X120" i="29"/>
  <c r="X121" i="29" s="1"/>
  <c r="AB120" i="29"/>
  <c r="AB121" i="29" s="1"/>
  <c r="AF120" i="29"/>
  <c r="AF121" i="29" s="1"/>
  <c r="AD120" i="29"/>
  <c r="AD121" i="29" s="1"/>
  <c r="AA120" i="29"/>
  <c r="AA121" i="29" s="1"/>
  <c r="Z120" i="29"/>
  <c r="Z121" i="29" s="1"/>
  <c r="Y120" i="29"/>
  <c r="Y121" i="29" s="1"/>
  <c r="S120" i="29"/>
  <c r="S121" i="29" s="1"/>
  <c r="R120" i="29"/>
  <c r="R121" i="29" s="1"/>
  <c r="Q120" i="29"/>
  <c r="Q121" i="29" s="1"/>
  <c r="N121" i="29"/>
  <c r="K120" i="29"/>
  <c r="K121" i="29" s="1"/>
  <c r="J120" i="29"/>
  <c r="J121" i="29" s="1"/>
  <c r="H120" i="29"/>
  <c r="H121" i="29" s="1"/>
  <c r="F120" i="29"/>
  <c r="F121" i="29" s="1"/>
  <c r="AG120" i="29" l="1"/>
  <c r="AG121" i="29" s="1"/>
  <c r="V120" i="29"/>
  <c r="V121" i="29" s="1"/>
  <c r="D120" i="29"/>
  <c r="D121" i="29" s="1"/>
  <c r="AE120" i="29"/>
  <c r="AE121" i="29" s="1"/>
  <c r="W120" i="29"/>
  <c r="W121" i="29" s="1"/>
  <c r="AC120" i="29"/>
  <c r="AC121" i="29" s="1"/>
  <c r="U120" i="29"/>
  <c r="U121" i="29" s="1"/>
  <c r="G120" i="29"/>
  <c r="G121" i="29" s="1"/>
  <c r="AI121" i="29" l="1"/>
  <c r="AI120" i="29"/>
  <c r="AI119" i="29"/>
</calcChain>
</file>

<file path=xl/comments1.xml><?xml version="1.0" encoding="utf-8"?>
<comments xmlns="http://schemas.openxmlformats.org/spreadsheetml/2006/main">
  <authors>
    <author>Author</author>
  </authors>
  <commentList>
    <comment ref="D9" authorId="0" shapeId="0">
      <text>
        <r>
          <rPr>
            <b/>
            <sz val="9"/>
            <color indexed="81"/>
            <rFont val="Tahoma"/>
            <family val="2"/>
          </rPr>
          <t>Author:</t>
        </r>
        <r>
          <rPr>
            <sz val="9"/>
            <color indexed="81"/>
            <rFont val="Tahoma"/>
            <family val="2"/>
          </rPr>
          <t xml:space="preserve">
Based on an age of 32 years which reflects the difference between 2021 and the latest installation year of 1989 (consistent with information provided by Powercor in response to IR015).
Standard life of 51 yrs minus 32 years = 19 years.</t>
        </r>
      </text>
    </comment>
    <comment ref="E9" authorId="0" shapeId="0">
      <text>
        <r>
          <rPr>
            <b/>
            <sz val="9"/>
            <color indexed="81"/>
            <rFont val="Tahoma"/>
            <family val="2"/>
          </rPr>
          <t>Author:</t>
        </r>
        <r>
          <rPr>
            <sz val="9"/>
            <color indexed="81"/>
            <rFont val="Tahoma"/>
            <family val="2"/>
          </rPr>
          <t xml:space="preserve">
Capex rejected.</t>
        </r>
      </text>
    </comment>
    <comment ref="F9" authorId="0" shapeId="0">
      <text>
        <r>
          <rPr>
            <b/>
            <sz val="9"/>
            <color indexed="81"/>
            <rFont val="Tahoma"/>
            <family val="2"/>
          </rPr>
          <t>Dunne, Stephen::</t>
        </r>
        <r>
          <rPr>
            <sz val="9"/>
            <color indexed="81"/>
            <rFont val="Tahoma"/>
            <family val="2"/>
          </rPr>
          <t xml:space="preserve">
Comment from capex PTRM input sheet:
"We would not accept this unit rate, however, as we are not accepting the proactive component, so we have not substituted the unit rate here."</t>
        </r>
      </text>
    </comment>
    <comment ref="F10" authorId="0" shapeId="0">
      <text>
        <r>
          <rPr>
            <b/>
            <sz val="9"/>
            <color indexed="81"/>
            <rFont val="Tahoma"/>
            <family val="2"/>
          </rPr>
          <t>Dunne, Stephen:</t>
        </r>
        <r>
          <rPr>
            <sz val="9"/>
            <color indexed="81"/>
            <rFont val="Tahoma"/>
            <family val="2"/>
          </rPr>
          <t xml:space="preserve">
Leave this as referencing the CPI escalator.</t>
        </r>
      </text>
    </comment>
    <comment ref="H10" authorId="0" shapeId="0">
      <text>
        <r>
          <rPr>
            <b/>
            <sz val="9"/>
            <color indexed="81"/>
            <rFont val="Tahoma"/>
            <family val="2"/>
          </rPr>
          <t>Dunne, Stephen:</t>
        </r>
        <r>
          <rPr>
            <sz val="9"/>
            <color indexed="81"/>
            <rFont val="Tahoma"/>
            <family val="2"/>
          </rPr>
          <t xml:space="preserve">
converted depreciation to formulas to reference amended residual amounts. Previously was pasted values.</t>
        </r>
      </text>
    </comment>
    <comment ref="D11" authorId="0" shapeId="0">
      <text>
        <r>
          <rPr>
            <b/>
            <sz val="9"/>
            <color indexed="81"/>
            <rFont val="Tahoma"/>
            <family val="2"/>
          </rPr>
          <t>Author:</t>
        </r>
        <r>
          <rPr>
            <sz val="9"/>
            <color indexed="81"/>
            <rFont val="Tahoma"/>
            <family val="2"/>
          </rPr>
          <t xml:space="preserve">
Updated to reflect the average age provided by Powercor in response to IR#015. With a 2 yr adjustment to calculate the average age at 2021 rather than 2019 (IR gave the age at 2019).</t>
        </r>
      </text>
    </comment>
    <comment ref="E12" authorId="0" shapeId="0">
      <text>
        <r>
          <rPr>
            <b/>
            <sz val="9"/>
            <color indexed="81"/>
            <rFont val="Tahoma"/>
            <family val="2"/>
          </rPr>
          <t>Dunne, Stephen:</t>
        </r>
        <r>
          <rPr>
            <sz val="9"/>
            <color indexed="81"/>
            <rFont val="Tahoma"/>
            <family val="2"/>
          </rPr>
          <t xml:space="preserve">
This takes the approved forecast volume of 302.1 (from capex PTRM input spreadsheet) and applies a 25% scrapping factor. Effectively we are saying that it is appropriate for 25% of of the approved volume to be scrapped and so accelerated depreciation should only apply to this 25% and the other 75% should be able to be redeployed.</t>
        </r>
      </text>
    </comment>
    <comment ref="G15" authorId="0" shapeId="0">
      <text>
        <r>
          <rPr>
            <b/>
            <sz val="9"/>
            <color indexed="81"/>
            <rFont val="Tahoma"/>
            <family val="2"/>
          </rPr>
          <t>Dunne, Stephen:</t>
        </r>
        <r>
          <rPr>
            <sz val="9"/>
            <color indexed="81"/>
            <rFont val="Tahoma"/>
            <family val="2"/>
          </rPr>
          <t xml:space="preserve">
accepted volume for accelerated of 22 as this reflects the RVE/VWVE types. Unit rate increases slightly due t taking it from final rather than proposed T3 model.</t>
        </r>
      </text>
    </comment>
    <comment ref="D16" authorId="0" shapeId="0">
      <text>
        <r>
          <rPr>
            <b/>
            <sz val="9"/>
            <color indexed="81"/>
            <rFont val="Tahoma"/>
            <family val="2"/>
          </rPr>
          <t>Author:</t>
        </r>
        <r>
          <rPr>
            <sz val="9"/>
            <color indexed="81"/>
            <rFont val="Tahoma"/>
            <family val="2"/>
          </rPr>
          <t xml:space="preserve">
amended to reflect correct composition. This is also consistent with backsolving where residual value = vol x unit rate x ratio of rem life to standard life.</t>
        </r>
      </text>
    </comment>
  </commentList>
</comments>
</file>

<file path=xl/comments2.xml><?xml version="1.0" encoding="utf-8"?>
<comments xmlns="http://schemas.openxmlformats.org/spreadsheetml/2006/main">
  <authors>
    <author>Author</author>
  </authors>
  <commentList>
    <comment ref="D10" authorId="0" shapeId="0">
      <text>
        <r>
          <rPr>
            <b/>
            <sz val="9"/>
            <color indexed="81"/>
            <rFont val="Tahoma"/>
            <family val="2"/>
          </rPr>
          <t>Author:</t>
        </r>
        <r>
          <rPr>
            <sz val="9"/>
            <color indexed="81"/>
            <rFont val="Tahoma"/>
            <family val="2"/>
          </rPr>
          <t xml:space="preserve">
these are the implied rates for the T3 surge arrestors from the final T3 cost model</t>
        </r>
      </text>
    </comment>
    <comment ref="G10" authorId="0" shapeId="0">
      <text>
        <r>
          <rPr>
            <b/>
            <sz val="9"/>
            <color indexed="81"/>
            <rFont val="Tahoma"/>
            <family val="2"/>
          </rPr>
          <t>Author:</t>
        </r>
        <r>
          <rPr>
            <sz val="9"/>
            <color indexed="81"/>
            <rFont val="Tahoma"/>
            <family val="2"/>
          </rPr>
          <t xml:space="preserve">
these are the rates from the capex PTRM input sheet. I have converted these to $2015 in this sheet but they get converted back to $2021 in the Profile sheet.</t>
        </r>
      </text>
    </comment>
  </commentList>
</comments>
</file>

<file path=xl/comments3.xml><?xml version="1.0" encoding="utf-8"?>
<comments xmlns="http://schemas.openxmlformats.org/spreadsheetml/2006/main">
  <authors>
    <author>Author</author>
  </authors>
  <commentList>
    <comment ref="D7" authorId="0" shapeId="0">
      <text>
        <r>
          <rPr>
            <b/>
            <sz val="9"/>
            <color indexed="81"/>
            <rFont val="Tahoma"/>
            <family val="2"/>
          </rPr>
          <t>Author:</t>
        </r>
        <r>
          <rPr>
            <sz val="9"/>
            <color indexed="81"/>
            <rFont val="Tahoma"/>
            <family val="2"/>
          </rPr>
          <t xml:space="preserve">
amended to reflect volume of T1-T3, WPD and GHP.</t>
        </r>
      </text>
    </comment>
    <comment ref="E65" authorId="0" shapeId="0">
      <text>
        <r>
          <rPr>
            <b/>
            <sz val="9"/>
            <color indexed="81"/>
            <rFont val="Tahoma"/>
            <family val="2"/>
          </rPr>
          <t>Author:</t>
        </r>
        <r>
          <rPr>
            <sz val="9"/>
            <color indexed="81"/>
            <rFont val="Tahoma"/>
            <family val="2"/>
          </rPr>
          <t xml:space="preserve">
re-arranged this row a bit. PC had the volume of 1967 in cell I65 which is a revenue column which didn't seem right.</t>
        </r>
      </text>
    </comment>
  </commentList>
</comments>
</file>

<file path=xl/comments4.xml><?xml version="1.0" encoding="utf-8"?>
<comments xmlns="http://schemas.openxmlformats.org/spreadsheetml/2006/main">
  <authors>
    <author>Author</author>
  </authors>
  <commentList>
    <comment ref="AM5" authorId="0" shapeId="0">
      <text>
        <r>
          <rPr>
            <b/>
            <sz val="9"/>
            <color indexed="81"/>
            <rFont val="Tahoma"/>
            <family val="2"/>
          </rPr>
          <t>SD:</t>
        </r>
        <r>
          <rPr>
            <sz val="9"/>
            <color indexed="81"/>
            <rFont val="Tahoma"/>
            <family val="2"/>
          </rPr>
          <t xml:space="preserve">
</t>
        </r>
      </text>
    </comment>
    <comment ref="AM33" authorId="0" shapeId="0">
      <text>
        <r>
          <rPr>
            <b/>
            <sz val="9"/>
            <color indexed="81"/>
            <rFont val="Tahoma"/>
            <family val="2"/>
          </rPr>
          <t>SD:</t>
        </r>
        <r>
          <rPr>
            <sz val="9"/>
            <color indexed="81"/>
            <rFont val="Tahoma"/>
            <family val="2"/>
          </rPr>
          <t xml:space="preserve">
</t>
        </r>
      </text>
    </comment>
    <comment ref="AM61" authorId="0" shapeId="0">
      <text>
        <r>
          <rPr>
            <b/>
            <sz val="9"/>
            <color indexed="81"/>
            <rFont val="Tahoma"/>
            <family val="2"/>
          </rPr>
          <t>SD:</t>
        </r>
        <r>
          <rPr>
            <sz val="9"/>
            <color indexed="81"/>
            <rFont val="Tahoma"/>
            <family val="2"/>
          </rPr>
          <t xml:space="preserve">
</t>
        </r>
      </text>
    </comment>
    <comment ref="AM89" authorId="0" shapeId="0">
      <text>
        <r>
          <rPr>
            <b/>
            <sz val="9"/>
            <color indexed="81"/>
            <rFont val="Tahoma"/>
            <family val="2"/>
          </rPr>
          <t>SD:</t>
        </r>
        <r>
          <rPr>
            <sz val="9"/>
            <color indexed="81"/>
            <rFont val="Tahoma"/>
            <family val="2"/>
          </rPr>
          <t xml:space="preserve">
</t>
        </r>
      </text>
    </comment>
  </commentList>
</comments>
</file>

<file path=xl/sharedStrings.xml><?xml version="1.0" encoding="utf-8"?>
<sst xmlns="http://schemas.openxmlformats.org/spreadsheetml/2006/main" count="611" uniqueCount="231">
  <si>
    <t>Description</t>
  </si>
  <si>
    <t>Total</t>
  </si>
  <si>
    <t>Distribution standard life: VPN</t>
  </si>
  <si>
    <t>Solar enablement: distribution transformers</t>
  </si>
  <si>
    <t>Replacing HV ABC in the LBRA</t>
  </si>
  <si>
    <t>PVC grey services (dog-bones)</t>
  </si>
  <si>
    <t>T3 REFCL: surge arrestors</t>
  </si>
  <si>
    <t>3G to 5G upgrade (control boxes)</t>
  </si>
  <si>
    <t>AMI life: VPN</t>
  </si>
  <si>
    <t>REFCL cost inflator ($2015 to $2021)</t>
  </si>
  <si>
    <t>Unit rate</t>
  </si>
  <si>
    <t>Remaining life</t>
  </si>
  <si>
    <t>Standard life</t>
  </si>
  <si>
    <t>Total volume</t>
  </si>
  <si>
    <t>T1-T3 REFCL: underground cable</t>
  </si>
  <si>
    <t>Accelerated depreciation</t>
  </si>
  <si>
    <t>RAB adj to distribution system assets for accelerated depreciation assets</t>
  </si>
  <si>
    <t>Depreciation removed from distribution system assets</t>
  </si>
  <si>
    <t>Depreciation removed</t>
  </si>
  <si>
    <t>Year</t>
  </si>
  <si>
    <t>Jun-Jun unlagged inflation</t>
  </si>
  <si>
    <t>Conversion to June 2021</t>
  </si>
  <si>
    <t>Remaining value accelerated</t>
  </si>
  <si>
    <t>Accelerated depreciation ($ 2021)</t>
  </si>
  <si>
    <t>Volumes</t>
  </si>
  <si>
    <t>Unit Rate</t>
  </si>
  <si>
    <t>Dog Bones</t>
  </si>
  <si>
    <t>HV ABC in LBRA</t>
  </si>
  <si>
    <t>T3 unit rate</t>
  </si>
  <si>
    <t>T2 unit rate</t>
  </si>
  <si>
    <t>T1 unit rate</t>
  </si>
  <si>
    <t>WPD</t>
  </si>
  <si>
    <t>T3</t>
  </si>
  <si>
    <t>TRG</t>
  </si>
  <si>
    <t>STL</t>
  </si>
  <si>
    <t>MBN</t>
  </si>
  <si>
    <t>KRT</t>
  </si>
  <si>
    <t>HTN</t>
  </si>
  <si>
    <t>CRO</t>
  </si>
  <si>
    <t>ART</t>
  </si>
  <si>
    <t>T2</t>
  </si>
  <si>
    <t>GL</t>
  </si>
  <si>
    <t>CTN</t>
  </si>
  <si>
    <t>BGO</t>
  </si>
  <si>
    <t>BETS</t>
  </si>
  <si>
    <t>BAS</t>
  </si>
  <si>
    <t>BAN</t>
  </si>
  <si>
    <t>T1</t>
  </si>
  <si>
    <t>EHK</t>
  </si>
  <si>
    <t>WIN</t>
  </si>
  <si>
    <t>MRO</t>
  </si>
  <si>
    <t>CMN</t>
  </si>
  <si>
    <t>CLC</t>
  </si>
  <si>
    <t>CDN</t>
  </si>
  <si>
    <t>GSB</t>
  </si>
  <si>
    <t>WND</t>
  </si>
  <si>
    <t>UG cable replacement ($'000s/km)</t>
  </si>
  <si>
    <t>ABC replacement</t>
  </si>
  <si>
    <t>Distribution switchgear (installed)</t>
  </si>
  <si>
    <t>HV Regulators upgrade (close delta)</t>
  </si>
  <si>
    <t>HV Regulators upgrade (control box)</t>
  </si>
  <si>
    <t>Fusesavers</t>
  </si>
  <si>
    <t>Re-phasing</t>
  </si>
  <si>
    <t>Admittance balancing units (three phase)</t>
  </si>
  <si>
    <t>Admittance balancing units (single phase)</t>
  </si>
  <si>
    <t>ACR/gas switch control box replacement</t>
  </si>
  <si>
    <t>ACRs</t>
  </si>
  <si>
    <t>Surge arrestor sites (three phase)</t>
  </si>
  <si>
    <t>Surge arrestor sites (single phase)</t>
  </si>
  <si>
    <t>Y</t>
  </si>
  <si>
    <t>-</t>
  </si>
  <si>
    <t>T3, WPD</t>
  </si>
  <si>
    <t>T1, T2</t>
  </si>
  <si>
    <t>TOTAL</t>
  </si>
  <si>
    <t>WND, GSB</t>
  </si>
  <si>
    <t>Feeder works</t>
  </si>
  <si>
    <t>Volumes by ZSS</t>
  </si>
  <si>
    <t>Accel dep?</t>
  </si>
  <si>
    <t>VOLUME SUMMARY</t>
  </si>
  <si>
    <t>(real 2015 dollars)</t>
  </si>
  <si>
    <t>Total (real 2015 dollars)</t>
  </si>
  <si>
    <t>surge arrestors replaced</t>
  </si>
  <si>
    <t>Three phase</t>
  </si>
  <si>
    <t>Single phase</t>
  </si>
  <si>
    <t>ZSS</t>
  </si>
  <si>
    <t>CPA tranche</t>
  </si>
  <si>
    <t xml:space="preserve">Total value of </t>
  </si>
  <si>
    <t>Remaining value of surge arrestors removed</t>
  </si>
  <si>
    <t>Surge arrestors to be replaced</t>
  </si>
  <si>
    <t>Surge arrestor installed cost (2015 $)</t>
  </si>
  <si>
    <t>3ph Arrestor</t>
  </si>
  <si>
    <t>1ph Arrestor</t>
  </si>
  <si>
    <t>Average remaining life</t>
  </si>
  <si>
    <t>Average age</t>
  </si>
  <si>
    <t>Distribution standard life</t>
  </si>
  <si>
    <t>T3 Surge arrestors</t>
  </si>
  <si>
    <t>Non-XLPE replaced</t>
  </si>
  <si>
    <t>XLPE pre-1989 replaced</t>
  </si>
  <si>
    <t>Remaining value</t>
  </si>
  <si>
    <t>Volume</t>
  </si>
  <si>
    <t>Installation year</t>
  </si>
  <si>
    <t>UG cable installed: T1, T2 and T3 sites</t>
  </si>
  <si>
    <t>%</t>
  </si>
  <si>
    <t>% of XLPE of total pre-1989 population</t>
  </si>
  <si>
    <t>% of non-XLPE replaced (total population)</t>
  </si>
  <si>
    <t>$'000s</t>
  </si>
  <si>
    <t>UG cable installed cost (real $2015)</t>
  </si>
  <si>
    <t>Metres</t>
  </si>
  <si>
    <t>UG cable removed (all REFCL areas)</t>
  </si>
  <si>
    <t>Age</t>
  </si>
  <si>
    <t>Reference year</t>
  </si>
  <si>
    <t>Underground cable</t>
  </si>
  <si>
    <t>Remaining life (yrs)</t>
  </si>
  <si>
    <t>Year installed</t>
  </si>
  <si>
    <t>ACR installed cost (real 2015 $)</t>
  </si>
  <si>
    <t>Grand Total</t>
  </si>
  <si>
    <t>BET</t>
  </si>
  <si>
    <t>Install year</t>
  </si>
  <si>
    <t>Tranche 3</t>
  </si>
  <si>
    <t>CTN ZSS</t>
  </si>
  <si>
    <t>BGO ZSS</t>
  </si>
  <si>
    <t>BAS ZSS</t>
  </si>
  <si>
    <t>BAN ZSS</t>
  </si>
  <si>
    <t>ART ZSS</t>
  </si>
  <si>
    <t>Tranche 2</t>
  </si>
  <si>
    <t>CMN ZSS</t>
  </si>
  <si>
    <t>CLC ZSS</t>
  </si>
  <si>
    <t>Tranche 1</t>
  </si>
  <si>
    <t>PAL Accelerated depreciation</t>
  </si>
  <si>
    <t>REFCL conversion from 2015 to 2021</t>
  </si>
  <si>
    <t>Cable length</t>
  </si>
  <si>
    <t>per km</t>
  </si>
  <si>
    <t>ea</t>
  </si>
  <si>
    <t>Solar enablement - Tx replacement</t>
  </si>
  <si>
    <t>3G devices</t>
  </si>
  <si>
    <t>Units</t>
  </si>
  <si>
    <t>Profile</t>
  </si>
  <si>
    <t>Other distribution assets</t>
  </si>
  <si>
    <t>Remaining value ($)</t>
  </si>
  <si>
    <t>XLPE pre-1989 replacement ($)</t>
  </si>
  <si>
    <t>Other replacement ($)</t>
  </si>
  <si>
    <t>ACRs to be replaced</t>
  </si>
  <si>
    <t>Other ACRs</t>
  </si>
  <si>
    <t>ACR data</t>
  </si>
  <si>
    <t>Sheet</t>
  </si>
  <si>
    <t>Reference</t>
  </si>
  <si>
    <t>D7</t>
  </si>
  <si>
    <t>Corrected formula to only reference P23 on the 'REFCL_data' tab, instead of the sum of P22:P23</t>
  </si>
  <si>
    <t>H15</t>
  </si>
  <si>
    <t>Corrected formula to be the same as cells below</t>
  </si>
  <si>
    <t>C13:C47</t>
  </si>
  <si>
    <t>REFCL_data</t>
  </si>
  <si>
    <t>Column O</t>
  </si>
  <si>
    <t>Added an extra column (blank)</t>
  </si>
  <si>
    <t>ACRs_data</t>
  </si>
  <si>
    <t>Row 26</t>
  </si>
  <si>
    <t>Updated with corrected numbers for WPD</t>
  </si>
  <si>
    <r>
      <t xml:space="preserve">Linked to pick up yearly totals from </t>
    </r>
    <r>
      <rPr>
        <i/>
        <sz val="10"/>
        <color theme="1"/>
        <rFont val="Calibri"/>
        <family val="2"/>
      </rPr>
      <t>'ACRs_data'</t>
    </r>
    <r>
      <rPr>
        <sz val="10"/>
        <color theme="1"/>
        <rFont val="Verdana"/>
        <family val="2"/>
      </rPr>
      <t xml:space="preserve"> tab</t>
    </r>
  </si>
  <si>
    <t>Updated 4 June 2020</t>
  </si>
  <si>
    <t>Changes 4 June 2020</t>
  </si>
  <si>
    <t>T1-T3 old UG cable</t>
  </si>
  <si>
    <t>GHP</t>
  </si>
  <si>
    <t>REFCL_Data</t>
  </si>
  <si>
    <t>AH11:AH23</t>
  </si>
  <si>
    <t>Volumes for GL set to zero</t>
  </si>
  <si>
    <t>Volumes for CRO set to zero</t>
  </si>
  <si>
    <t>AJ11:AJ23</t>
  </si>
  <si>
    <t>GL and CRO volumes set to zero</t>
  </si>
  <si>
    <t>C29:BF30</t>
  </si>
  <si>
    <t>C19:AH20</t>
  </si>
  <si>
    <t>C27:AH27</t>
  </si>
  <si>
    <t>GHP ACRs added</t>
  </si>
  <si>
    <t>UG_cable_data</t>
  </si>
  <si>
    <t>O11:O23</t>
  </si>
  <si>
    <t>AQ11:AQ23</t>
  </si>
  <si>
    <t>GHP column added</t>
  </si>
  <si>
    <t>D65:I65</t>
  </si>
  <si>
    <t>Added GHP cable to be removed</t>
  </si>
  <si>
    <t>WPD &amp; GHP: surge arrestors</t>
  </si>
  <si>
    <t>T1-T3 &amp; WPD &amp; GHP REFCL: ACRs</t>
  </si>
  <si>
    <t>B15</t>
  </si>
  <si>
    <t>Changed description to include WPD and GHP</t>
  </si>
  <si>
    <t>B14</t>
  </si>
  <si>
    <t>Changed description to include GHP</t>
  </si>
  <si>
    <t>Updated values based on revised totals in column G</t>
  </si>
  <si>
    <t>T3 surge arrestors</t>
  </si>
  <si>
    <t>B24:H24</t>
  </si>
  <si>
    <t>Added GHP surge arrestors and calculations</t>
  </si>
  <si>
    <t>D21:E21</t>
  </si>
  <si>
    <t>Set CRO surge arrestor volumes to zero</t>
  </si>
  <si>
    <t>H13:K16</t>
  </si>
  <si>
    <t>Updated 10 July 2020</t>
  </si>
  <si>
    <t>Column AG</t>
  </si>
  <si>
    <t>Added updated volumes for 2019</t>
  </si>
  <si>
    <t>Other</t>
  </si>
  <si>
    <t>C32:AH35</t>
  </si>
  <si>
    <r>
      <t xml:space="preserve">Deleted redundant tab </t>
    </r>
    <r>
      <rPr>
        <sz val="8.5"/>
        <color theme="1"/>
        <rFont val="Calibri"/>
        <family val="2"/>
      </rPr>
      <t>'T1-T3 old UG cable'</t>
    </r>
  </si>
  <si>
    <t>Summary</t>
  </si>
  <si>
    <t>Added summary table showing T1 ACRs, T2 ACRs and other</t>
  </si>
  <si>
    <t>Changes 10 July 2020</t>
  </si>
  <si>
    <t>All ACRs</t>
  </si>
  <si>
    <t>T1 &amp; T2 ACRs removed</t>
  </si>
  <si>
    <t>New ACRS installed T1 &amp; T2</t>
  </si>
  <si>
    <t>Total ACRs for accelerated depreciation</t>
  </si>
  <si>
    <t>16RP</t>
  </si>
  <si>
    <t>21RP</t>
  </si>
  <si>
    <t>2020 YTD</t>
  </si>
  <si>
    <t>Contingent project or Reg proposal</t>
  </si>
  <si>
    <t>No</t>
  </si>
  <si>
    <t>These are the installation dates of the newly installed ACRs as part of CP T1 &amp; T2</t>
  </si>
  <si>
    <t>These are the installation dates of the 37 older ACRs replaced as part of CP T1 and CP T2. these are largely consistent with the numbers in the T1 REFCL model.</t>
  </si>
  <si>
    <t>Total Vol</t>
  </si>
  <si>
    <t>Proportion accepted for accelerated depreciation</t>
  </si>
  <si>
    <t>Vol of RVE, VWVE types (accepted for accelerated depreciation)</t>
  </si>
  <si>
    <t>For WPD and GHP</t>
  </si>
  <si>
    <t>For T3 surge arrestors</t>
  </si>
  <si>
    <t>UG cable installed cost (real $2021)</t>
  </si>
  <si>
    <t>Assumptions!G11:M11</t>
  </si>
  <si>
    <t>amended actual CPI figures for lagging, update for HY2021</t>
  </si>
  <si>
    <t>T3 surge arrestors'!D10:E10,'T3 surge arrestors'!H10:I10,'T3 surge arrestors'!F23:G24</t>
  </si>
  <si>
    <t>amendments to surge arrestors unit rates and residual value formula</t>
  </si>
  <si>
    <t>Underground cable'!D7,'Underground cable'!C65:I65</t>
  </si>
  <si>
    <t>amendments to UG cable for unit rate and residual value formula</t>
  </si>
  <si>
    <t>Profile sheet (various)</t>
  </si>
  <si>
    <t>amended formulas to reference amended inputs, amended depreciation profiles to reference amended resdidual values</t>
  </si>
  <si>
    <t>Location</t>
  </si>
  <si>
    <t>Other_ACRs!D5,Other_ACRs!D7,Other_ACRs!F54:G57</t>
  </si>
  <si>
    <t>amended ACRs unit rate, and added pro-rata formula because we are only accepting accelerated depreciation for 22 of the proposed 267 ACRs (not linked to forecast capex and so wasn't included on the capex PTRM input sheet)</t>
  </si>
  <si>
    <t>XLPE pre-1989 replaced vol</t>
  </si>
  <si>
    <t>Rem Life</t>
  </si>
  <si>
    <t>Total Res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</si>
</sst>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quot;$&quot;#,##0.00_);\(&quot;$&quot;#,##0.00\)"/>
    <numFmt numFmtId="165" formatCode="_(* #,##0.00_);_(* \(#,##0.00\);_(* &quot;-&quot;??_);_(@_)"/>
    <numFmt numFmtId="166" formatCode="&quot;$&quot;#,##0_);[Red]\(&quot;$&quot;#,##0\)"/>
    <numFmt numFmtId="167" formatCode="&quot;$&quot;#,##0.00_);[Red]\(&quot;$&quot;#,##0.00\)"/>
    <numFmt numFmtId="168" formatCode="_(&quot;$&quot;* #,##0_);_(&quot;$&quot;* \(#,##0\);_(&quot;$&quot;* &quot;-&quot;_);_(@_)"/>
    <numFmt numFmtId="169" formatCode="_(* #,##0_);_(* \(#,##0\);_(* &quot;-&quot;_);_(@_)"/>
    <numFmt numFmtId="170" formatCode="_(&quot;$&quot;* #,##0.00_);_(&quot;$&quot;* \(#,##0.00\);_(&quot;$&quot;* &quot;-&quot;??_);_(@_)"/>
    <numFmt numFmtId="171" formatCode="_(* #,##0_);_(* \(#,##0\);_(* &quot;-&quot;??_);_(@_)"/>
    <numFmt numFmtId="172" formatCode="_-* #,##0_-;* \(#,##0\)_-;_-* &quot;-&quot;??_-;_-@_-"/>
    <numFmt numFmtId="173" formatCode="#,##0_);\(#,##0\);\-\-_)"/>
    <numFmt numFmtId="174" formatCode="_-* #,##0_-;\-* #,##0_-;_-* &quot;-&quot;??_-;_-@_-"/>
    <numFmt numFmtId="175" formatCode="_-* #,##0.0_-;\-* #,##0.0_-;_-* &quot;-&quot;??_-;_-@_-"/>
    <numFmt numFmtId="176" formatCode="&quot;FY&quot;0"/>
    <numFmt numFmtId="177" formatCode="#,##0.0;[Red]\-#,##0.0"/>
    <numFmt numFmtId="178" formatCode="0.000"/>
    <numFmt numFmtId="179" formatCode="0.0%"/>
    <numFmt numFmtId="180" formatCode="_-&quot;$&quot;* #,##0_-;\-&quot;$&quot;* #,##0_-;_-&quot;$&quot;* &quot;-&quot;??_-;_-@_-"/>
    <numFmt numFmtId="181" formatCode="#,##0.0000000000000_ ;[Red]\-#,##0.0000000000000\ "/>
    <numFmt numFmtId="182" formatCode="0.0"/>
    <numFmt numFmtId="183" formatCode="#,##0.0"/>
    <numFmt numFmtId="184" formatCode="_-* #,##0_-;\-* #,##0_-;_-* &quot;-&quot;?_-;_-@_-"/>
    <numFmt numFmtId="185" formatCode="yyyy"/>
    <numFmt numFmtId="186" formatCode="&quot;$&quot;\ #,##0;\-&quot;$&quot;\ #,##0;&quot;-&quot;;_-@_-"/>
    <numFmt numFmtId="187" formatCode="0.0000000"/>
    <numFmt numFmtId="188" formatCode="#,##0;\ #,##0;\ &quot;-&quot;"/>
    <numFmt numFmtId="189" formatCode="_-&quot;$&quot;\ #,##0_-;\-&quot;$&quot;\ #,##0_-;_-&quot;$&quot;\ &quot;-&quot;??_-;_-@_-"/>
    <numFmt numFmtId="190" formatCode="d\ mmm\ yyyy"/>
    <numFmt numFmtId="191" formatCode="0;[Red]\ \ \-0;\ &quot;-&quot;"/>
    <numFmt numFmtId="192" formatCode="0000\ &quot;YTD&quot;"/>
    <numFmt numFmtId="193" formatCode="#,##0.0000;[Red]\-#,##0.0000"/>
    <numFmt numFmtId="194" formatCode="_(* #,##0.000000_);_(* \(#,##0.000000\);_(* &quot;-&quot;??_);_(@_)"/>
    <numFmt numFmtId="195" formatCode="#,##0.000;[Red]\-#,##0.000"/>
  </numFmts>
  <fonts count="61"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Calibri"/>
      <family val="2"/>
    </font>
    <font>
      <sz val="10"/>
      <color theme="1"/>
      <name val="Calibri"/>
      <family val="2"/>
    </font>
    <font>
      <sz val="10"/>
      <color theme="1"/>
      <name val="Calibri"/>
      <family val="2"/>
    </font>
    <font>
      <sz val="10"/>
      <color theme="1"/>
      <name val="Calibri"/>
      <family val="2"/>
    </font>
    <font>
      <sz val="11"/>
      <color theme="1"/>
      <name val="Calibri"/>
      <family val="2"/>
      <scheme val="minor"/>
    </font>
    <font>
      <sz val="10"/>
      <color theme="3"/>
      <name val="Arial"/>
      <family val="2"/>
    </font>
    <font>
      <sz val="11"/>
      <color theme="1"/>
      <name val="Arial"/>
      <family val="2"/>
    </font>
    <font>
      <sz val="10"/>
      <color theme="0" tint="-0.34998626667073579"/>
      <name val="Arial"/>
      <family val="2"/>
    </font>
    <font>
      <sz val="10"/>
      <name val="Arial"/>
      <family val="2"/>
    </font>
    <font>
      <sz val="10"/>
      <color theme="1"/>
      <name val="Arial"/>
      <family val="2"/>
    </font>
    <font>
      <sz val="10"/>
      <color theme="9" tint="-0.499984740745262"/>
      <name val="Arial"/>
      <family val="2"/>
    </font>
    <font>
      <sz val="10"/>
      <color theme="0"/>
      <name val="Arial"/>
      <family val="2"/>
    </font>
    <font>
      <sz val="10"/>
      <color theme="0" tint="-0.499984740745262"/>
      <name val="Arial"/>
      <family val="2"/>
    </font>
    <font>
      <i/>
      <sz val="10"/>
      <color theme="0" tint="-0.34998626667073579"/>
      <name val="Arial"/>
      <family val="2"/>
    </font>
    <font>
      <b/>
      <sz val="14"/>
      <color indexed="9"/>
      <name val="Arial"/>
      <family val="2"/>
    </font>
    <font>
      <b/>
      <u/>
      <sz val="10"/>
      <color theme="1"/>
      <name val="Arial"/>
      <family val="2"/>
    </font>
    <font>
      <b/>
      <sz val="10"/>
      <color theme="1"/>
      <name val="Arial"/>
      <family val="2"/>
    </font>
    <font>
      <u/>
      <sz val="10"/>
      <color theme="1"/>
      <name val="Arial"/>
      <family val="2"/>
    </font>
    <font>
      <b/>
      <sz val="12"/>
      <color indexed="9"/>
      <name val="Arial"/>
      <family val="2"/>
    </font>
    <font>
      <b/>
      <sz val="14"/>
      <color indexed="9"/>
      <name val="Calibri"/>
      <family val="2"/>
      <scheme val="minor"/>
    </font>
    <font>
      <sz val="10"/>
      <color theme="1"/>
      <name val="Calibri"/>
      <family val="2"/>
      <scheme val="minor"/>
    </font>
    <font>
      <b/>
      <sz val="12"/>
      <color indexed="9"/>
      <name val="Calibri"/>
      <family val="2"/>
      <scheme val="minor"/>
    </font>
    <font>
      <sz val="10"/>
      <name val="Calibri"/>
      <family val="2"/>
      <scheme val="minor"/>
    </font>
    <font>
      <b/>
      <u/>
      <sz val="10"/>
      <color theme="1"/>
      <name val="Calibri"/>
      <family val="2"/>
      <scheme val="minor"/>
    </font>
    <font>
      <sz val="10"/>
      <color theme="0"/>
      <name val="Calibri"/>
      <family val="2"/>
      <scheme val="minor"/>
    </font>
    <font>
      <sz val="10"/>
      <color theme="3"/>
      <name val="Calibri"/>
      <family val="2"/>
      <scheme val="minor"/>
    </font>
    <font>
      <b/>
      <sz val="10"/>
      <name val="Calibri"/>
      <family val="2"/>
      <scheme val="minor"/>
    </font>
    <font>
      <sz val="10"/>
      <color theme="1"/>
      <name val="Verdana"/>
      <family val="2"/>
    </font>
    <font>
      <b/>
      <sz val="10"/>
      <color theme="1"/>
      <name val="Calibri"/>
      <family val="2"/>
      <scheme val="minor"/>
    </font>
    <font>
      <b/>
      <sz val="10"/>
      <color theme="0"/>
      <name val="Calibri"/>
      <family val="2"/>
    </font>
    <font>
      <sz val="10"/>
      <color rgb="FFFF0000"/>
      <name val="Calibri"/>
      <family val="2"/>
    </font>
    <font>
      <b/>
      <sz val="10"/>
      <color theme="1"/>
      <name val="Calibri"/>
      <family val="2"/>
    </font>
    <font>
      <sz val="10"/>
      <color theme="0"/>
      <name val="Calibri"/>
      <family val="2"/>
    </font>
    <font>
      <b/>
      <sz val="10"/>
      <color theme="1"/>
      <name val="Verdana"/>
      <family val="2"/>
    </font>
    <font>
      <b/>
      <sz val="11"/>
      <color rgb="FFFF0000"/>
      <name val="Calibri"/>
      <family val="2"/>
      <scheme val="minor"/>
    </font>
    <font>
      <sz val="10"/>
      <name val="Calibri"/>
      <family val="2"/>
    </font>
    <font>
      <b/>
      <sz val="11"/>
      <color theme="1"/>
      <name val="Calibri"/>
      <family val="2"/>
      <scheme val="minor"/>
    </font>
    <font>
      <b/>
      <sz val="11"/>
      <color theme="1"/>
      <name val="Calibri"/>
      <family val="2"/>
    </font>
    <font>
      <i/>
      <sz val="10"/>
      <color theme="1"/>
      <name val="Calibri"/>
      <family val="2"/>
    </font>
    <font>
      <i/>
      <sz val="10"/>
      <color theme="0"/>
      <name val="Calibri"/>
      <family val="2"/>
    </font>
    <font>
      <sz val="11"/>
      <color rgb="FFFF0000"/>
      <name val="Calibri"/>
      <family val="2"/>
      <scheme val="minor"/>
    </font>
    <font>
      <b/>
      <sz val="14"/>
      <color theme="0"/>
      <name val="Calibri"/>
      <family val="2"/>
    </font>
    <font>
      <sz val="11"/>
      <color theme="1"/>
      <name val="Calibri"/>
      <family val="2"/>
    </font>
    <font>
      <sz val="10"/>
      <color theme="0" tint="-0.14999847407452621"/>
      <name val="Calibri"/>
      <family val="2"/>
      <scheme val="minor"/>
    </font>
    <font>
      <b/>
      <sz val="11"/>
      <color theme="0"/>
      <name val="Calibri"/>
      <family val="2"/>
      <scheme val="minor"/>
    </font>
    <font>
      <sz val="10"/>
      <color theme="1"/>
      <name val="Century Gothic"/>
      <family val="2"/>
    </font>
    <font>
      <sz val="11"/>
      <color theme="1"/>
      <name val="Century Gothic"/>
      <family val="2"/>
    </font>
    <font>
      <i/>
      <sz val="9"/>
      <color indexed="9"/>
      <name val="Calibri"/>
      <family val="2"/>
      <scheme val="minor"/>
    </font>
    <font>
      <sz val="10"/>
      <color theme="0"/>
      <name val="Verdana"/>
      <family val="2"/>
    </font>
    <font>
      <b/>
      <sz val="10"/>
      <color theme="0"/>
      <name val="Verdana"/>
      <family val="2"/>
    </font>
    <font>
      <sz val="8.5"/>
      <color theme="1"/>
      <name val="Calibri"/>
      <family val="2"/>
    </font>
    <font>
      <sz val="9"/>
      <color indexed="81"/>
      <name val="Tahoma"/>
      <family val="2"/>
    </font>
    <font>
      <b/>
      <sz val="9"/>
      <color indexed="81"/>
      <name val="Tahoma"/>
      <family val="2"/>
    </font>
    <font>
      <sz val="11"/>
      <name val="Calibri"/>
      <family val="2"/>
      <scheme val="minor"/>
    </font>
    <font>
      <b/>
      <sz val="14"/>
      <color theme="1"/>
      <name val="Calibri"/>
      <family val="2"/>
      <scheme val="minor"/>
    </font>
  </fonts>
  <fills count="23">
    <fill>
      <patternFill patternType="none"/>
    </fill>
    <fill>
      <patternFill patternType="gray125"/>
    </fill>
    <fill>
      <patternFill patternType="solid">
        <fgColor rgb="FFFFFFCC"/>
        <bgColor indexed="64"/>
      </patternFill>
    </fill>
    <fill>
      <patternFill patternType="lightUp">
        <fgColor theme="0" tint="-0.34998626667073579"/>
        <bgColor indexed="65"/>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indexed="62"/>
        <bgColor indexed="64"/>
      </patternFill>
    </fill>
    <fill>
      <patternFill patternType="solid">
        <fgColor indexed="65"/>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2060"/>
        <bgColor indexed="64"/>
      </patternFill>
    </fill>
    <fill>
      <patternFill patternType="solid">
        <fgColor theme="3"/>
        <bgColor indexed="64"/>
      </patternFill>
    </fill>
    <fill>
      <patternFill patternType="solid">
        <fgColor rgb="FFFFFF00"/>
        <bgColor indexed="64"/>
      </patternFill>
    </fill>
    <fill>
      <patternFill patternType="solid">
        <fgColor rgb="FF99FF33"/>
        <bgColor indexed="64"/>
      </patternFill>
    </fill>
    <fill>
      <patternFill patternType="solid">
        <fgColor rgb="FFD1D1D1"/>
        <bgColor indexed="64"/>
      </patternFill>
    </fill>
    <fill>
      <patternFill patternType="solid">
        <fgColor theme="9"/>
        <bgColor indexed="64"/>
      </patternFill>
    </fill>
    <fill>
      <patternFill patternType="solid">
        <fgColor rgb="FF66FFFF"/>
        <bgColor indexed="64"/>
      </patternFill>
    </fill>
    <fill>
      <patternFill patternType="solid">
        <fgColor rgb="FF00B0F0"/>
        <bgColor indexed="64"/>
      </patternFill>
    </fill>
  </fills>
  <borders count="44">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hair">
        <color auto="1"/>
      </left>
      <right style="hair">
        <color auto="1"/>
      </right>
      <top style="hair">
        <color auto="1"/>
      </top>
      <bottom style="hair">
        <color auto="1"/>
      </bottom>
      <diagonal/>
    </border>
    <border>
      <left style="thin">
        <color indexed="64"/>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top/>
      <bottom style="thin">
        <color indexed="64"/>
      </bottom>
      <diagonal/>
    </border>
    <border>
      <left/>
      <right/>
      <top style="hair">
        <color auto="1"/>
      </top>
      <bottom style="hair">
        <color auto="1"/>
      </bottom>
      <diagonal/>
    </border>
    <border>
      <left/>
      <right/>
      <top/>
      <bottom style="thin">
        <color auto="1"/>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thin">
        <color indexed="64"/>
      </top>
      <bottom style="hair">
        <color auto="1"/>
      </bottom>
      <diagonal/>
    </border>
    <border>
      <left/>
      <right style="medium">
        <color theme="0"/>
      </right>
      <top/>
      <bottom style="thin">
        <color auto="1"/>
      </bottom>
      <diagonal/>
    </border>
    <border>
      <left/>
      <right style="medium">
        <color theme="0"/>
      </right>
      <top/>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hair">
        <color auto="1"/>
      </left>
      <right/>
      <top style="hair">
        <color auto="1"/>
      </top>
      <bottom/>
      <diagonal/>
    </border>
    <border>
      <left style="thin">
        <color indexed="64"/>
      </left>
      <right style="thin">
        <color indexed="64"/>
      </right>
      <top style="hair">
        <color auto="1"/>
      </top>
      <bottom/>
      <diagonal/>
    </border>
  </borders>
  <cellStyleXfs count="49">
    <xf numFmtId="0" fontId="0" fillId="0" borderId="0"/>
    <xf numFmtId="0" fontId="15" fillId="0" borderId="0"/>
    <xf numFmtId="0" fontId="11" fillId="2" borderId="1" applyNumberFormat="0" applyAlignment="0">
      <alignment horizontal="right"/>
      <protection locked="0"/>
    </xf>
    <xf numFmtId="171" fontId="12" fillId="0" borderId="0" applyFont="0" applyFill="0" applyBorder="0" applyAlignment="0" applyProtection="0"/>
    <xf numFmtId="172" fontId="13" fillId="3" borderId="2" applyAlignment="0"/>
    <xf numFmtId="0" fontId="23" fillId="0" borderId="0" applyNumberFormat="0"/>
    <xf numFmtId="0" fontId="14" fillId="0" borderId="3" applyNumberFormat="0" applyAlignment="0"/>
    <xf numFmtId="0" fontId="12" fillId="0" borderId="4" applyNumberFormat="0" applyFont="0" applyFill="0" applyAlignment="0"/>
    <xf numFmtId="0" fontId="14" fillId="4" borderId="3" applyNumberFormat="0" applyAlignment="0"/>
    <xf numFmtId="0" fontId="14" fillId="0" borderId="0"/>
    <xf numFmtId="0" fontId="15" fillId="1" borderId="0"/>
    <xf numFmtId="0" fontId="16" fillId="5" borderId="5" applyNumberFormat="0" applyAlignment="0"/>
    <xf numFmtId="0" fontId="17" fillId="6" borderId="3" applyNumberFormat="0">
      <alignment horizontal="centerContinuous" vertical="center" wrapText="1"/>
    </xf>
    <xf numFmtId="0" fontId="18" fillId="5" borderId="6" applyNumberFormat="0" applyAlignment="0"/>
    <xf numFmtId="0" fontId="19" fillId="0" borderId="0" applyNumberFormat="0"/>
    <xf numFmtId="0" fontId="21" fillId="9" borderId="0"/>
    <xf numFmtId="0" fontId="22" fillId="0" borderId="0"/>
    <xf numFmtId="173" fontId="20" fillId="8" borderId="0"/>
    <xf numFmtId="173" fontId="24" fillId="8" borderId="0"/>
    <xf numFmtId="0" fontId="10" fillId="0" borderId="0"/>
    <xf numFmtId="165" fontId="33" fillId="0" borderId="0" applyFont="0" applyFill="0" applyBorder="0" applyAlignment="0" applyProtection="0"/>
    <xf numFmtId="0" fontId="9" fillId="0" borderId="0"/>
    <xf numFmtId="9" fontId="9" fillId="0" borderId="0" applyFont="0" applyFill="0" applyBorder="0" applyAlignment="0" applyProtection="0"/>
    <xf numFmtId="165" fontId="33" fillId="0" borderId="0" applyFont="0" applyFill="0" applyBorder="0" applyAlignment="0" applyProtection="0"/>
    <xf numFmtId="170" fontId="9" fillId="0" borderId="0" applyFont="0" applyFill="0" applyBorder="0" applyAlignment="0" applyProtection="0"/>
    <xf numFmtId="165" fontId="9" fillId="0" borderId="0" applyFont="0" applyFill="0" applyBorder="0" applyAlignment="0" applyProtection="0"/>
    <xf numFmtId="0" fontId="10" fillId="0" borderId="0"/>
    <xf numFmtId="0" fontId="51" fillId="0" borderId="0"/>
    <xf numFmtId="0" fontId="52" fillId="0" borderId="0"/>
    <xf numFmtId="0" fontId="52" fillId="0" borderId="0"/>
    <xf numFmtId="0" fontId="12" fillId="0" borderId="0"/>
    <xf numFmtId="0" fontId="52" fillId="0" borderId="0"/>
    <xf numFmtId="0" fontId="52" fillId="0" borderId="0"/>
    <xf numFmtId="0" fontId="12" fillId="0" borderId="0"/>
    <xf numFmtId="0" fontId="52" fillId="0" borderId="0"/>
    <xf numFmtId="0" fontId="52" fillId="0" borderId="0"/>
    <xf numFmtId="0" fontId="52" fillId="0" borderId="0"/>
    <xf numFmtId="0" fontId="1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3" fillId="0" borderId="0"/>
    <xf numFmtId="0" fontId="6" fillId="0" borderId="0"/>
    <xf numFmtId="9" fontId="33" fillId="0" borderId="0" applyFont="0" applyFill="0" applyBorder="0" applyAlignment="0" applyProtection="0"/>
  </cellStyleXfs>
  <cellXfs count="372">
    <xf numFmtId="0" fontId="0" fillId="0" borderId="0" xfId="0"/>
    <xf numFmtId="0" fontId="26" fillId="0" borderId="0" xfId="0" applyFont="1"/>
    <xf numFmtId="0" fontId="28" fillId="7" borderId="0" xfId="9" applyFont="1" applyFill="1"/>
    <xf numFmtId="0" fontId="28" fillId="0" borderId="0" xfId="9" applyFont="1" applyFill="1"/>
    <xf numFmtId="0" fontId="28" fillId="7" borderId="0" xfId="9" applyFont="1" applyFill="1" applyAlignment="1">
      <alignment horizontal="right"/>
    </xf>
    <xf numFmtId="0" fontId="29" fillId="7" borderId="0" xfId="16" applyFont="1" applyFill="1"/>
    <xf numFmtId="0" fontId="26" fillId="0" borderId="0" xfId="0" applyFont="1" applyAlignment="1">
      <alignment horizontal="right"/>
    </xf>
    <xf numFmtId="0" fontId="30" fillId="6" borderId="3" xfId="12" applyFont="1" applyAlignment="1">
      <alignment horizontal="left" vertical="center" wrapText="1"/>
    </xf>
    <xf numFmtId="0" fontId="30" fillId="6" borderId="3" xfId="12" applyFont="1" applyAlignment="1">
      <alignment horizontal="right" vertical="center" wrapText="1"/>
    </xf>
    <xf numFmtId="49" fontId="26" fillId="0" borderId="0" xfId="0" applyNumberFormat="1" applyFont="1" applyAlignment="1">
      <alignment horizontal="left" indent="1"/>
    </xf>
    <xf numFmtId="0" fontId="31" fillId="2" borderId="11" xfId="2" applyFont="1" applyBorder="1" applyAlignment="1">
      <alignment wrapText="1"/>
      <protection locked="0"/>
    </xf>
    <xf numFmtId="0" fontId="31" fillId="2" borderId="13" xfId="2" applyFont="1" applyBorder="1" applyAlignment="1">
      <alignment wrapText="1"/>
      <protection locked="0"/>
    </xf>
    <xf numFmtId="174" fontId="31" fillId="2" borderId="1" xfId="2" applyNumberFormat="1" applyFont="1" applyBorder="1" applyAlignment="1">
      <protection locked="0"/>
    </xf>
    <xf numFmtId="174" fontId="32" fillId="0" borderId="3" xfId="8" applyNumberFormat="1" applyFont="1" applyFill="1" applyBorder="1"/>
    <xf numFmtId="175" fontId="31" fillId="2" borderId="1" xfId="2" applyNumberFormat="1" applyFont="1" applyBorder="1" applyAlignment="1">
      <protection locked="0"/>
    </xf>
    <xf numFmtId="174" fontId="28" fillId="7" borderId="0" xfId="9" applyNumberFormat="1" applyFont="1" applyFill="1"/>
    <xf numFmtId="0" fontId="31" fillId="2" borderId="16" xfId="2" applyFont="1" applyBorder="1" applyAlignment="1">
      <alignment wrapText="1"/>
      <protection locked="0"/>
    </xf>
    <xf numFmtId="175" fontId="31" fillId="2" borderId="17" xfId="2" applyNumberFormat="1" applyFont="1" applyBorder="1" applyAlignment="1">
      <protection locked="0"/>
    </xf>
    <xf numFmtId="174" fontId="31" fillId="2" borderId="17" xfId="2" applyNumberFormat="1" applyFont="1" applyBorder="1" applyAlignment="1">
      <protection locked="0"/>
    </xf>
    <xf numFmtId="0" fontId="32" fillId="0" borderId="7" xfId="8" applyFont="1" applyFill="1" applyBorder="1"/>
    <xf numFmtId="0" fontId="32" fillId="0" borderId="8" xfId="8" applyFont="1" applyFill="1" applyBorder="1" applyAlignment="1">
      <alignment horizontal="center"/>
    </xf>
    <xf numFmtId="0" fontId="32" fillId="0" borderId="9" xfId="8" applyFont="1" applyFill="1" applyBorder="1" applyAlignment="1">
      <alignment horizontal="center"/>
    </xf>
    <xf numFmtId="176" fontId="30" fillId="6" borderId="3" xfId="12" applyNumberFormat="1" applyFont="1" applyAlignment="1">
      <alignment horizontal="right" vertical="center" wrapText="1"/>
    </xf>
    <xf numFmtId="3" fontId="26" fillId="0" borderId="3" xfId="0" applyNumberFormat="1" applyFont="1" applyBorder="1"/>
    <xf numFmtId="0" fontId="26" fillId="0" borderId="3" xfId="0" applyFont="1" applyBorder="1"/>
    <xf numFmtId="175" fontId="26" fillId="0" borderId="3" xfId="0" applyNumberFormat="1" applyFont="1" applyBorder="1"/>
    <xf numFmtId="174" fontId="26" fillId="0" borderId="3" xfId="20" applyNumberFormat="1" applyFont="1" applyBorder="1" applyAlignment="1">
      <alignment horizontal="right"/>
    </xf>
    <xf numFmtId="174" fontId="26" fillId="0" borderId="0" xfId="0" applyNumberFormat="1" applyFont="1"/>
    <xf numFmtId="0" fontId="34" fillId="0" borderId="0" xfId="0" applyFont="1"/>
    <xf numFmtId="3" fontId="34" fillId="0" borderId="3" xfId="0" applyNumberFormat="1" applyFont="1" applyBorder="1"/>
    <xf numFmtId="0" fontId="34" fillId="0" borderId="3" xfId="0" applyFont="1" applyBorder="1"/>
    <xf numFmtId="175" fontId="34" fillId="0" borderId="3" xfId="0" applyNumberFormat="1" applyFont="1" applyBorder="1"/>
    <xf numFmtId="174" fontId="34" fillId="0" borderId="3" xfId="20" applyNumberFormat="1" applyFont="1" applyBorder="1" applyAlignment="1">
      <alignment horizontal="right"/>
    </xf>
    <xf numFmtId="174" fontId="34" fillId="0" borderId="0" xfId="0" applyNumberFormat="1" applyFont="1"/>
    <xf numFmtId="49" fontId="34" fillId="0" borderId="0" xfId="0" applyNumberFormat="1" applyFont="1" applyAlignment="1">
      <alignment horizontal="left" indent="1"/>
    </xf>
    <xf numFmtId="0" fontId="26" fillId="0" borderId="19" xfId="0" applyFont="1" applyBorder="1"/>
    <xf numFmtId="177" fontId="26" fillId="0" borderId="19" xfId="0" applyNumberFormat="1" applyFont="1" applyBorder="1" applyAlignment="1">
      <alignment horizontal="right"/>
    </xf>
    <xf numFmtId="0" fontId="28" fillId="0" borderId="0" xfId="9" applyFont="1" applyFill="1" applyBorder="1"/>
    <xf numFmtId="0" fontId="17" fillId="6" borderId="3" xfId="12" applyAlignment="1">
      <alignment horizontal="left" vertical="center" wrapText="1"/>
    </xf>
    <xf numFmtId="0" fontId="17" fillId="6" borderId="3" xfId="12">
      <alignment horizontal="centerContinuous" vertical="center" wrapText="1"/>
    </xf>
    <xf numFmtId="0" fontId="14" fillId="5" borderId="6" xfId="13" applyFont="1"/>
    <xf numFmtId="10" fontId="11" fillId="2" borderId="1" xfId="2" applyNumberFormat="1" applyAlignment="1">
      <alignment horizontal="center"/>
      <protection locked="0"/>
    </xf>
    <xf numFmtId="178" fontId="11" fillId="0" borderId="1" xfId="2" applyNumberFormat="1" applyFill="1" applyAlignment="1">
      <alignment horizontal="center"/>
      <protection locked="0"/>
    </xf>
    <xf numFmtId="178" fontId="11" fillId="2" borderId="1" xfId="2" applyNumberFormat="1" applyAlignment="1">
      <alignment horizontal="center"/>
      <protection locked="0"/>
    </xf>
    <xf numFmtId="0" fontId="0" fillId="0" borderId="0" xfId="0" applyFill="1"/>
    <xf numFmtId="38" fontId="26" fillId="0" borderId="15" xfId="19" applyNumberFormat="1" applyFont="1" applyFill="1" applyBorder="1" applyAlignment="1">
      <alignment horizontal="right" vertical="top"/>
    </xf>
    <xf numFmtId="0" fontId="26" fillId="0" borderId="0" xfId="0" applyFont="1" applyFill="1"/>
    <xf numFmtId="40" fontId="26" fillId="0" borderId="0" xfId="19" applyNumberFormat="1" applyFont="1" applyFill="1" applyBorder="1" applyAlignment="1">
      <alignment horizontal="right" vertical="top"/>
    </xf>
    <xf numFmtId="0" fontId="30" fillId="6" borderId="3" xfId="12" applyFont="1" applyAlignment="1">
      <alignment horizontal="right" vertical="center"/>
    </xf>
    <xf numFmtId="0" fontId="30" fillId="6" borderId="3" xfId="12" applyFont="1" applyAlignment="1">
      <alignment horizontal="centerContinuous" vertical="center"/>
    </xf>
    <xf numFmtId="0" fontId="0" fillId="10" borderId="0" xfId="0" applyFill="1" applyAlignment="1">
      <alignment horizontal="centerContinuous"/>
    </xf>
    <xf numFmtId="49" fontId="30" fillId="6" borderId="18" xfId="12" applyNumberFormat="1" applyFont="1" applyBorder="1" applyAlignment="1">
      <alignment horizontal="centerContinuous" vertical="center" wrapText="1"/>
    </xf>
    <xf numFmtId="49" fontId="30" fillId="6" borderId="18" xfId="12" applyNumberFormat="1" applyFont="1" applyBorder="1" applyAlignment="1">
      <alignment horizontal="left" vertical="center"/>
    </xf>
    <xf numFmtId="0" fontId="9" fillId="0" borderId="0" xfId="21"/>
    <xf numFmtId="0" fontId="9" fillId="0" borderId="0" xfId="21" applyAlignment="1">
      <alignment horizontal="center"/>
    </xf>
    <xf numFmtId="0" fontId="9" fillId="0" borderId="0" xfId="21" applyFill="1"/>
    <xf numFmtId="9" fontId="0" fillId="0" borderId="0" xfId="22" applyFont="1" applyFill="1" applyBorder="1" applyAlignment="1">
      <alignment horizontal="center" vertical="center"/>
    </xf>
    <xf numFmtId="0" fontId="41" fillId="0" borderId="0" xfId="21" applyFont="1" applyFill="1" applyBorder="1" applyAlignment="1">
      <alignment horizontal="right" vertical="center"/>
    </xf>
    <xf numFmtId="3" fontId="9" fillId="0" borderId="0" xfId="21" applyNumberFormat="1"/>
    <xf numFmtId="0" fontId="9" fillId="0" borderId="0" xfId="21" applyAlignment="1">
      <alignment horizontal="left" vertical="top" wrapText="1"/>
    </xf>
    <xf numFmtId="179" fontId="0" fillId="0" borderId="0" xfId="22" applyNumberFormat="1" applyFont="1"/>
    <xf numFmtId="0" fontId="9" fillId="0" borderId="0" xfId="21" applyAlignment="1">
      <alignment horizontal="right"/>
    </xf>
    <xf numFmtId="9" fontId="0" fillId="0" borderId="0" xfId="22" applyFont="1" applyFill="1" applyBorder="1" applyAlignment="1">
      <alignment vertical="center"/>
    </xf>
    <xf numFmtId="0" fontId="41" fillId="0" borderId="0" xfId="21" applyFont="1" applyFill="1" applyBorder="1" applyAlignment="1">
      <alignment horizontal="left" vertical="center"/>
    </xf>
    <xf numFmtId="0" fontId="9" fillId="0" borderId="0" xfId="21" applyNumberFormat="1" applyAlignment="1">
      <alignment horizontal="right"/>
    </xf>
    <xf numFmtId="0" fontId="9" fillId="0" borderId="0" xfId="21" applyNumberFormat="1" applyAlignment="1">
      <alignment horizontal="center"/>
    </xf>
    <xf numFmtId="167" fontId="9" fillId="0" borderId="0" xfId="21" applyNumberFormat="1" applyFont="1"/>
    <xf numFmtId="0" fontId="37" fillId="0" borderId="0" xfId="21" applyFont="1"/>
    <xf numFmtId="3" fontId="9" fillId="0" borderId="0" xfId="21" applyNumberFormat="1" applyAlignment="1">
      <alignment horizontal="center"/>
    </xf>
    <xf numFmtId="169" fontId="9" fillId="2" borderId="21" xfId="21" applyNumberFormat="1" applyFont="1" applyFill="1" applyBorder="1" applyAlignment="1">
      <alignment horizontal="right" vertical="top"/>
    </xf>
    <xf numFmtId="169" fontId="9" fillId="2" borderId="22" xfId="21" applyNumberFormat="1" applyFont="1" applyFill="1" applyBorder="1" applyAlignment="1">
      <alignment horizontal="right" vertical="top"/>
    </xf>
    <xf numFmtId="169" fontId="9" fillId="2" borderId="23" xfId="21" applyNumberFormat="1" applyFont="1" applyFill="1" applyBorder="1" applyAlignment="1">
      <alignment horizontal="right" vertical="top"/>
    </xf>
    <xf numFmtId="169" fontId="9" fillId="2" borderId="24" xfId="21" applyNumberFormat="1" applyFont="1" applyFill="1" applyBorder="1" applyAlignment="1">
      <alignment horizontal="right" vertical="top"/>
    </xf>
    <xf numFmtId="169" fontId="9" fillId="2" borderId="25" xfId="21" applyNumberFormat="1" applyFont="1" applyFill="1" applyBorder="1" applyAlignment="1">
      <alignment horizontal="right" vertical="top"/>
    </xf>
    <xf numFmtId="169" fontId="9" fillId="2" borderId="21" xfId="21" applyNumberFormat="1" applyFont="1" applyFill="1" applyBorder="1" applyAlignment="1">
      <alignment horizontal="center" vertical="top"/>
    </xf>
    <xf numFmtId="169" fontId="9" fillId="2" borderId="24" xfId="21" applyNumberFormat="1" applyFont="1" applyFill="1" applyBorder="1" applyAlignment="1">
      <alignment horizontal="center" vertical="top"/>
    </xf>
    <xf numFmtId="168" fontId="9" fillId="2" borderId="27" xfId="21" applyNumberFormat="1" applyFont="1" applyFill="1" applyBorder="1" applyAlignment="1">
      <alignment horizontal="right" vertical="top"/>
    </xf>
    <xf numFmtId="169" fontId="9" fillId="5" borderId="28" xfId="21" applyNumberFormat="1" applyFont="1" applyFill="1" applyBorder="1" applyAlignment="1">
      <alignment horizontal="right" vertical="top"/>
    </xf>
    <xf numFmtId="169" fontId="9" fillId="5" borderId="15" xfId="21" applyNumberFormat="1" applyFont="1" applyFill="1" applyBorder="1" applyAlignment="1">
      <alignment horizontal="right" vertical="top"/>
    </xf>
    <xf numFmtId="169" fontId="9" fillId="5" borderId="29" xfId="21" applyNumberFormat="1" applyFont="1" applyFill="1" applyBorder="1" applyAlignment="1">
      <alignment horizontal="right" vertical="top"/>
    </xf>
    <xf numFmtId="169" fontId="9" fillId="5" borderId="30" xfId="21" applyNumberFormat="1" applyFont="1" applyFill="1" applyBorder="1" applyAlignment="1">
      <alignment horizontal="right" vertical="top"/>
    </xf>
    <xf numFmtId="169" fontId="9" fillId="5" borderId="31" xfId="21" applyNumberFormat="1" applyFont="1" applyFill="1" applyBorder="1" applyAlignment="1">
      <alignment horizontal="right" vertical="top"/>
    </xf>
    <xf numFmtId="169" fontId="9" fillId="2" borderId="28" xfId="21" applyNumberFormat="1" applyFont="1" applyFill="1" applyBorder="1" applyAlignment="1">
      <alignment horizontal="right" vertical="top"/>
    </xf>
    <xf numFmtId="169" fontId="9" fillId="2" borderId="15" xfId="21" applyNumberFormat="1" applyFont="1" applyFill="1" applyBorder="1" applyAlignment="1">
      <alignment horizontal="right" vertical="top"/>
    </xf>
    <xf numFmtId="169" fontId="9" fillId="2" borderId="31" xfId="21" applyNumberFormat="1" applyFont="1" applyFill="1" applyBorder="1" applyAlignment="1">
      <alignment horizontal="right" vertical="top"/>
    </xf>
    <xf numFmtId="169" fontId="9" fillId="2" borderId="32" xfId="21" applyNumberFormat="1" applyFont="1" applyFill="1" applyBorder="1" applyAlignment="1">
      <alignment horizontal="right" vertical="top"/>
    </xf>
    <xf numFmtId="169" fontId="9" fillId="2" borderId="28" xfId="21" applyNumberFormat="1" applyFont="1" applyFill="1" applyBorder="1" applyAlignment="1">
      <alignment horizontal="center" vertical="top"/>
    </xf>
    <xf numFmtId="169" fontId="9" fillId="2" borderId="31" xfId="21" applyNumberFormat="1" applyFont="1" applyFill="1" applyBorder="1" applyAlignment="1">
      <alignment horizontal="center" vertical="top"/>
    </xf>
    <xf numFmtId="169" fontId="9" fillId="2" borderId="29" xfId="21" applyNumberFormat="1" applyFont="1" applyFill="1" applyBorder="1" applyAlignment="1">
      <alignment horizontal="right" vertical="top"/>
    </xf>
    <xf numFmtId="169" fontId="9" fillId="2" borderId="34" xfId="21" applyNumberFormat="1" applyFont="1" applyFill="1" applyBorder="1" applyAlignment="1">
      <alignment horizontal="right" vertical="top"/>
    </xf>
    <xf numFmtId="169" fontId="9" fillId="2" borderId="35" xfId="21" applyNumberFormat="1" applyFont="1" applyFill="1" applyBorder="1" applyAlignment="1">
      <alignment horizontal="right" vertical="top"/>
    </xf>
    <xf numFmtId="169" fontId="9" fillId="2" borderId="33" xfId="21" applyNumberFormat="1" applyFont="1" applyFill="1" applyBorder="1" applyAlignment="1">
      <alignment horizontal="center" vertical="top"/>
    </xf>
    <xf numFmtId="169" fontId="9" fillId="2" borderId="35" xfId="21" applyNumberFormat="1" applyFont="1" applyFill="1" applyBorder="1" applyAlignment="1">
      <alignment horizontal="center" vertical="top"/>
    </xf>
    <xf numFmtId="0" fontId="42" fillId="11" borderId="9" xfId="19" applyFont="1" applyFill="1" applyBorder="1" applyAlignment="1">
      <alignment horizontal="right" indent="1"/>
    </xf>
    <xf numFmtId="0" fontId="42" fillId="11" borderId="8" xfId="19" applyFont="1" applyFill="1" applyBorder="1" applyAlignment="1">
      <alignment horizontal="right" indent="1"/>
    </xf>
    <xf numFmtId="0" fontId="42" fillId="11" borderId="7" xfId="19" applyFont="1" applyFill="1" applyBorder="1" applyAlignment="1">
      <alignment horizontal="right" indent="1"/>
    </xf>
    <xf numFmtId="0" fontId="42" fillId="11" borderId="9" xfId="19" applyFont="1" applyFill="1" applyBorder="1" applyAlignment="1">
      <alignment horizontal="center"/>
    </xf>
    <xf numFmtId="0" fontId="42" fillId="11" borderId="7" xfId="19" applyFont="1" applyFill="1" applyBorder="1" applyAlignment="1">
      <alignment horizontal="center"/>
    </xf>
    <xf numFmtId="0" fontId="42" fillId="11" borderId="3" xfId="19" applyFont="1" applyFill="1" applyBorder="1" applyAlignment="1">
      <alignment horizontal="right" indent="1"/>
    </xf>
    <xf numFmtId="0" fontId="43" fillId="0" borderId="0" xfId="21" applyFont="1" applyBorder="1"/>
    <xf numFmtId="0" fontId="42" fillId="11" borderId="8" xfId="19" applyFont="1" applyFill="1" applyBorder="1" applyAlignment="1">
      <alignment horizontal="center"/>
    </xf>
    <xf numFmtId="0" fontId="42" fillId="11" borderId="7" xfId="19" applyFont="1" applyFill="1" applyBorder="1" applyAlignment="1">
      <alignment horizontal="left"/>
    </xf>
    <xf numFmtId="0" fontId="9" fillId="0" borderId="0" xfId="21" applyFont="1"/>
    <xf numFmtId="166" fontId="44" fillId="0" borderId="0" xfId="21" quotePrefix="1" applyNumberFormat="1" applyFont="1"/>
    <xf numFmtId="0" fontId="35" fillId="12" borderId="0" xfId="21" applyFont="1" applyFill="1" applyAlignment="1">
      <alignment horizontal="left" vertical="top" wrapText="1"/>
    </xf>
    <xf numFmtId="0" fontId="35" fillId="12" borderId="0" xfId="21" applyFont="1" applyFill="1" applyAlignment="1">
      <alignment horizontal="right"/>
    </xf>
    <xf numFmtId="0" fontId="35" fillId="12" borderId="0" xfId="21" applyFont="1" applyFill="1" applyAlignment="1">
      <alignment horizontal="center"/>
    </xf>
    <xf numFmtId="0" fontId="35" fillId="12" borderId="0" xfId="21" applyFont="1" applyFill="1"/>
    <xf numFmtId="0" fontId="36" fillId="0" borderId="0" xfId="21" applyFont="1" applyFill="1" applyAlignment="1">
      <alignment horizontal="left" vertical="top" wrapText="1"/>
    </xf>
    <xf numFmtId="0" fontId="36" fillId="0" borderId="0" xfId="21" applyFont="1" applyFill="1"/>
    <xf numFmtId="0" fontId="10" fillId="0" borderId="0" xfId="19"/>
    <xf numFmtId="174" fontId="26" fillId="0" borderId="0" xfId="23" applyNumberFormat="1" applyFont="1"/>
    <xf numFmtId="174" fontId="26" fillId="0" borderId="0" xfId="23" applyNumberFormat="1" applyFont="1" applyAlignment="1">
      <alignment vertical="top"/>
    </xf>
    <xf numFmtId="170" fontId="10" fillId="0" borderId="0" xfId="19" applyNumberFormat="1"/>
    <xf numFmtId="180" fontId="42" fillId="0" borderId="8" xfId="24" applyNumberFormat="1" applyFont="1" applyBorder="1"/>
    <xf numFmtId="3" fontId="42" fillId="0" borderId="8" xfId="19" applyNumberFormat="1" applyFont="1" applyBorder="1"/>
    <xf numFmtId="0" fontId="42" fillId="0" borderId="8" xfId="19" applyFont="1" applyBorder="1"/>
    <xf numFmtId="180" fontId="10" fillId="0" borderId="0" xfId="24" applyNumberFormat="1" applyFont="1"/>
    <xf numFmtId="38" fontId="10" fillId="0" borderId="0" xfId="19" applyNumberFormat="1" applyFill="1"/>
    <xf numFmtId="0" fontId="10" fillId="0" borderId="0" xfId="19" applyFont="1" applyFill="1"/>
    <xf numFmtId="0" fontId="10" fillId="0" borderId="0" xfId="19" applyFont="1" applyFill="1" applyAlignment="1">
      <alignment horizontal="left" indent="1"/>
    </xf>
    <xf numFmtId="0" fontId="10" fillId="0" borderId="0" xfId="19" applyFill="1" applyAlignment="1">
      <alignment horizontal="left" indent="1"/>
    </xf>
    <xf numFmtId="181" fontId="10" fillId="0" borderId="0" xfId="19" applyNumberFormat="1"/>
    <xf numFmtId="0" fontId="42" fillId="13" borderId="0" xfId="19" applyFont="1" applyFill="1" applyBorder="1" applyAlignment="1">
      <alignment horizontal="right"/>
    </xf>
    <xf numFmtId="0" fontId="10" fillId="14" borderId="36" xfId="19" applyFill="1" applyBorder="1" applyAlignment="1">
      <alignment horizontal="right"/>
    </xf>
    <xf numFmtId="0" fontId="10" fillId="14" borderId="20" xfId="19" applyFill="1" applyBorder="1" applyAlignment="1">
      <alignment horizontal="right"/>
    </xf>
    <xf numFmtId="0" fontId="10" fillId="14" borderId="20" xfId="19" applyFont="1" applyFill="1" applyBorder="1" applyAlignment="1">
      <alignment horizontal="right" wrapText="1"/>
    </xf>
    <xf numFmtId="0" fontId="10" fillId="14" borderId="20" xfId="19" applyFont="1" applyFill="1" applyBorder="1"/>
    <xf numFmtId="0" fontId="10" fillId="13" borderId="37" xfId="19" applyFill="1" applyBorder="1" applyAlignment="1">
      <alignment horizontal="centerContinuous"/>
    </xf>
    <xf numFmtId="0" fontId="42" fillId="13" borderId="0" xfId="19" applyFont="1" applyFill="1" applyBorder="1" applyAlignment="1">
      <alignment horizontal="centerContinuous"/>
    </xf>
    <xf numFmtId="0" fontId="42" fillId="13" borderId="37" xfId="19" applyFont="1" applyFill="1" applyBorder="1" applyAlignment="1">
      <alignment horizontal="centerContinuous"/>
    </xf>
    <xf numFmtId="182" fontId="10" fillId="0" borderId="0" xfId="19" applyNumberFormat="1"/>
    <xf numFmtId="166" fontId="10" fillId="0" borderId="0" xfId="19" applyNumberFormat="1"/>
    <xf numFmtId="0" fontId="46" fillId="0" borderId="0" xfId="19" applyFont="1" applyFill="1" applyAlignment="1">
      <alignment vertical="center" wrapText="1"/>
    </xf>
    <xf numFmtId="0" fontId="10" fillId="0" borderId="20" xfId="19" applyBorder="1" applyAlignment="1">
      <alignment horizontal="right"/>
    </xf>
    <xf numFmtId="182" fontId="10" fillId="0" borderId="20" xfId="19" applyNumberFormat="1" applyBorder="1" applyAlignment="1">
      <alignment horizontal="right"/>
    </xf>
    <xf numFmtId="0" fontId="10" fillId="0" borderId="20" xfId="19" applyBorder="1"/>
    <xf numFmtId="0" fontId="40" fillId="0" borderId="0" xfId="19" applyFont="1" applyFill="1" applyAlignment="1">
      <alignment vertical="center" wrapText="1"/>
    </xf>
    <xf numFmtId="177" fontId="10" fillId="0" borderId="15" xfId="19" applyNumberFormat="1" applyFont="1" applyFill="1" applyBorder="1" applyAlignment="1">
      <alignment horizontal="right" vertical="top"/>
    </xf>
    <xf numFmtId="38" fontId="10" fillId="2" borderId="15" xfId="19" applyNumberFormat="1" applyFont="1" applyFill="1" applyBorder="1" applyAlignment="1">
      <alignment horizontal="right" vertical="top"/>
    </xf>
    <xf numFmtId="10" fontId="10" fillId="0" borderId="0" xfId="19" applyNumberFormat="1"/>
    <xf numFmtId="0" fontId="10" fillId="0" borderId="0" xfId="19" applyFont="1"/>
    <xf numFmtId="2" fontId="10" fillId="0" borderId="0" xfId="19" applyNumberFormat="1" applyFont="1"/>
    <xf numFmtId="183" fontId="10" fillId="0" borderId="0" xfId="19" applyNumberFormat="1"/>
    <xf numFmtId="184" fontId="10" fillId="0" borderId="0" xfId="19" applyNumberFormat="1"/>
    <xf numFmtId="180" fontId="10" fillId="0" borderId="0" xfId="19" applyNumberFormat="1"/>
    <xf numFmtId="174" fontId="42" fillId="0" borderId="8" xfId="19" applyNumberFormat="1" applyFont="1" applyBorder="1"/>
    <xf numFmtId="38" fontId="10" fillId="0" borderId="0" xfId="19" applyNumberFormat="1" applyFill="1" applyAlignment="1">
      <alignment horizontal="right" indent="1"/>
    </xf>
    <xf numFmtId="180" fontId="10" fillId="0" borderId="0" xfId="24" applyNumberFormat="1" applyFont="1" applyFill="1" applyAlignment="1">
      <alignment horizontal="right" indent="1"/>
    </xf>
    <xf numFmtId="0" fontId="10" fillId="0" borderId="0" xfId="19" applyAlignment="1">
      <alignment vertical="top" wrapText="1"/>
    </xf>
    <xf numFmtId="0" fontId="42" fillId="11" borderId="20" xfId="19" applyFont="1" applyFill="1" applyBorder="1" applyAlignment="1">
      <alignment horizontal="right" vertical="top" wrapText="1"/>
    </xf>
    <xf numFmtId="0" fontId="42" fillId="11" borderId="20" xfId="19" applyFont="1" applyFill="1" applyBorder="1" applyAlignment="1">
      <alignment horizontal="left" vertical="top" wrapText="1"/>
    </xf>
    <xf numFmtId="174" fontId="26" fillId="0" borderId="0" xfId="23" applyNumberFormat="1" applyFont="1" applyAlignment="1">
      <alignment vertical="top" wrapText="1"/>
    </xf>
    <xf numFmtId="185" fontId="10" fillId="0" borderId="0" xfId="19" applyNumberFormat="1"/>
    <xf numFmtId="174" fontId="42" fillId="0" borderId="0" xfId="19" applyNumberFormat="1" applyFont="1"/>
    <xf numFmtId="0" fontId="42" fillId="0" borderId="0" xfId="19" applyFont="1"/>
    <xf numFmtId="0" fontId="10" fillId="0" borderId="0" xfId="19" applyFont="1" applyAlignment="1">
      <alignment horizontal="left" indent="1"/>
    </xf>
    <xf numFmtId="9" fontId="10" fillId="0" borderId="15" xfId="22" applyFont="1" applyFill="1" applyBorder="1" applyAlignment="1">
      <alignment horizontal="right" vertical="top"/>
    </xf>
    <xf numFmtId="165" fontId="10" fillId="0" borderId="0" xfId="19" applyNumberFormat="1"/>
    <xf numFmtId="180" fontId="10" fillId="0" borderId="15" xfId="24" applyNumberFormat="1" applyFont="1" applyFill="1" applyBorder="1" applyAlignment="1">
      <alignment horizontal="right" vertical="top"/>
    </xf>
    <xf numFmtId="165" fontId="10" fillId="0" borderId="0" xfId="19" applyNumberFormat="1" applyFont="1"/>
    <xf numFmtId="0" fontId="10" fillId="2" borderId="15" xfId="19" applyNumberFormat="1" applyFont="1" applyFill="1" applyBorder="1" applyAlignment="1">
      <alignment horizontal="right" vertical="top"/>
    </xf>
    <xf numFmtId="38" fontId="10" fillId="0" borderId="4" xfId="19" applyNumberFormat="1" applyBorder="1"/>
    <xf numFmtId="186" fontId="42" fillId="0" borderId="8" xfId="24" applyNumberFormat="1" applyFont="1" applyFill="1" applyBorder="1" applyAlignment="1">
      <alignment horizontal="right" indent="1"/>
    </xf>
    <xf numFmtId="38" fontId="10" fillId="0" borderId="0" xfId="19" applyNumberFormat="1"/>
    <xf numFmtId="186" fontId="10" fillId="0" borderId="0" xfId="24" applyNumberFormat="1" applyFont="1" applyFill="1" applyAlignment="1">
      <alignment horizontal="right" indent="1"/>
    </xf>
    <xf numFmtId="38" fontId="10" fillId="0" borderId="0" xfId="19" applyNumberFormat="1" applyAlignment="1">
      <alignment horizontal="center"/>
    </xf>
    <xf numFmtId="1" fontId="48" fillId="2" borderId="0" xfId="21" applyNumberFormat="1" applyFont="1" applyFill="1" applyAlignment="1">
      <alignment horizontal="center"/>
    </xf>
    <xf numFmtId="0" fontId="42" fillId="11" borderId="20" xfId="19" applyFont="1" applyFill="1" applyBorder="1" applyAlignment="1">
      <alignment horizontal="right" indent="1"/>
    </xf>
    <xf numFmtId="0" fontId="42" fillId="11" borderId="20" xfId="19" applyFont="1" applyFill="1" applyBorder="1" applyAlignment="1">
      <alignment horizontal="center"/>
    </xf>
    <xf numFmtId="0" fontId="26" fillId="0" borderId="0" xfId="21" applyFont="1" applyBorder="1" applyAlignment="1">
      <alignment vertical="center"/>
    </xf>
    <xf numFmtId="0" fontId="10" fillId="0" borderId="0" xfId="21" applyFont="1" applyBorder="1" applyAlignment="1">
      <alignment horizontal="right" vertical="center"/>
    </xf>
    <xf numFmtId="0" fontId="10" fillId="0" borderId="0" xfId="21" applyFont="1" applyBorder="1" applyAlignment="1">
      <alignment vertical="center"/>
    </xf>
    <xf numFmtId="169" fontId="10" fillId="0" borderId="0" xfId="19" applyNumberFormat="1" applyFill="1" applyBorder="1" applyAlignment="1">
      <alignment horizontal="right"/>
    </xf>
    <xf numFmtId="0" fontId="9" fillId="0" borderId="0" xfId="21" applyFill="1" applyBorder="1"/>
    <xf numFmtId="169" fontId="10" fillId="0" borderId="0" xfId="19" applyNumberFormat="1" applyFill="1" applyBorder="1"/>
    <xf numFmtId="0" fontId="10" fillId="0" borderId="0" xfId="19" applyFont="1" applyFill="1" applyBorder="1"/>
    <xf numFmtId="0" fontId="10" fillId="0" borderId="0" xfId="19" applyFont="1" applyFill="1" applyBorder="1" applyAlignment="1">
      <alignment horizontal="right"/>
    </xf>
    <xf numFmtId="0" fontId="10" fillId="0" borderId="0" xfId="19" applyFill="1" applyBorder="1"/>
    <xf numFmtId="1" fontId="26" fillId="0" borderId="0" xfId="21" applyNumberFormat="1" applyFont="1" applyBorder="1" applyAlignment="1">
      <alignment vertical="center"/>
    </xf>
    <xf numFmtId="0" fontId="49" fillId="0" borderId="0" xfId="21" applyFont="1" applyBorder="1" applyAlignment="1">
      <alignment vertical="center"/>
    </xf>
    <xf numFmtId="0" fontId="26" fillId="0" borderId="0" xfId="21" applyFont="1" applyBorder="1" applyAlignment="1">
      <alignment horizontal="right" vertical="center"/>
    </xf>
    <xf numFmtId="0" fontId="50" fillId="15" borderId="0" xfId="21" applyFont="1" applyFill="1" applyBorder="1" applyAlignment="1">
      <alignment horizontal="right" vertical="center"/>
    </xf>
    <xf numFmtId="0" fontId="50" fillId="15" borderId="0" xfId="21" applyFont="1" applyFill="1" applyBorder="1" applyAlignment="1">
      <alignment vertical="center"/>
    </xf>
    <xf numFmtId="0" fontId="33" fillId="0" borderId="0" xfId="46"/>
    <xf numFmtId="0" fontId="33" fillId="0" borderId="0" xfId="46" applyAlignment="1">
      <alignment horizontal="right"/>
    </xf>
    <xf numFmtId="174" fontId="33" fillId="0" borderId="0" xfId="25" applyNumberFormat="1" applyFont="1" applyAlignment="1">
      <alignment horizontal="right"/>
    </xf>
    <xf numFmtId="174" fontId="33" fillId="0" borderId="8" xfId="25" applyNumberFormat="1" applyFont="1" applyBorder="1" applyAlignment="1">
      <alignment horizontal="right"/>
    </xf>
    <xf numFmtId="0" fontId="33" fillId="0" borderId="8" xfId="46" applyBorder="1"/>
    <xf numFmtId="38" fontId="42" fillId="0" borderId="8" xfId="19" applyNumberFormat="1" applyFont="1" applyBorder="1" applyAlignment="1">
      <alignment horizontal="center"/>
    </xf>
    <xf numFmtId="174" fontId="26" fillId="0" borderId="0" xfId="0" applyNumberFormat="1" applyFont="1" applyAlignment="1">
      <alignment horizontal="right"/>
    </xf>
    <xf numFmtId="3" fontId="26" fillId="0" borderId="0" xfId="0" applyNumberFormat="1" applyFont="1" applyAlignment="1">
      <alignment horizontal="right"/>
    </xf>
    <xf numFmtId="187" fontId="0" fillId="0" borderId="0" xfId="0" applyNumberFormat="1"/>
    <xf numFmtId="0" fontId="33" fillId="0" borderId="0" xfId="46"/>
    <xf numFmtId="174" fontId="31" fillId="0" borderId="12" xfId="2" applyNumberFormat="1" applyFont="1" applyFill="1" applyBorder="1" applyAlignment="1">
      <protection locked="0"/>
    </xf>
    <xf numFmtId="174" fontId="31" fillId="0" borderId="10" xfId="2" applyNumberFormat="1" applyFont="1" applyFill="1" applyBorder="1" applyAlignment="1">
      <protection locked="0"/>
    </xf>
    <xf numFmtId="174" fontId="31" fillId="0" borderId="14" xfId="2" applyNumberFormat="1" applyFont="1" applyFill="1" applyBorder="1" applyAlignment="1">
      <protection locked="0"/>
    </xf>
    <xf numFmtId="173" fontId="25" fillId="16" borderId="0" xfId="17" applyFont="1" applyFill="1"/>
    <xf numFmtId="173" fontId="25" fillId="16" borderId="0" xfId="17" applyFont="1" applyFill="1" applyAlignment="1">
      <alignment horizontal="right"/>
    </xf>
    <xf numFmtId="0" fontId="26" fillId="16" borderId="0" xfId="0" applyFont="1" applyFill="1"/>
    <xf numFmtId="173" fontId="27" fillId="16" borderId="0" xfId="18" applyFont="1" applyFill="1"/>
    <xf numFmtId="173" fontId="27" fillId="16" borderId="0" xfId="18" applyFont="1" applyFill="1" applyAlignment="1">
      <alignment horizontal="right"/>
    </xf>
    <xf numFmtId="38" fontId="26" fillId="7" borderId="15" xfId="19" applyNumberFormat="1" applyFont="1" applyFill="1" applyBorder="1" applyAlignment="1">
      <alignment horizontal="right" vertical="top"/>
    </xf>
    <xf numFmtId="174" fontId="10" fillId="0" borderId="0" xfId="25" applyNumberFormat="1" applyFont="1" applyFill="1"/>
    <xf numFmtId="0" fontId="39" fillId="0" borderId="0" xfId="46" applyFont="1"/>
    <xf numFmtId="0" fontId="42" fillId="0" borderId="0" xfId="21" applyFont="1" applyBorder="1" applyAlignment="1">
      <alignment horizontal="right" vertical="center"/>
    </xf>
    <xf numFmtId="0" fontId="33" fillId="0" borderId="4" xfId="46" applyBorder="1"/>
    <xf numFmtId="174" fontId="33" fillId="0" borderId="4" xfId="25" applyNumberFormat="1" applyFont="1" applyBorder="1" applyAlignment="1">
      <alignment horizontal="right"/>
    </xf>
    <xf numFmtId="169" fontId="9" fillId="0" borderId="32" xfId="21" applyNumberFormat="1" applyFont="1" applyFill="1" applyBorder="1" applyAlignment="1">
      <alignment horizontal="right" vertical="top"/>
    </xf>
    <xf numFmtId="169" fontId="9" fillId="0" borderId="27" xfId="21" applyNumberFormat="1" applyFont="1" applyFill="1" applyBorder="1" applyAlignment="1">
      <alignment horizontal="right" vertical="top"/>
    </xf>
    <xf numFmtId="169" fontId="9" fillId="0" borderId="25" xfId="21" applyNumberFormat="1" applyFont="1" applyFill="1" applyBorder="1" applyAlignment="1">
      <alignment horizontal="right" vertical="top"/>
    </xf>
    <xf numFmtId="169" fontId="9" fillId="0" borderId="26" xfId="21" applyNumberFormat="1" applyFont="1" applyFill="1" applyBorder="1" applyAlignment="1">
      <alignment horizontal="right" vertical="top"/>
    </xf>
    <xf numFmtId="169" fontId="9" fillId="0" borderId="38" xfId="21" applyNumberFormat="1" applyFont="1" applyFill="1" applyBorder="1" applyAlignment="1">
      <alignment horizontal="right" vertical="top"/>
    </xf>
    <xf numFmtId="169" fontId="9" fillId="0" borderId="39" xfId="21" applyNumberFormat="1" applyFont="1" applyFill="1" applyBorder="1" applyAlignment="1">
      <alignment horizontal="right" vertical="top"/>
    </xf>
    <xf numFmtId="169" fontId="9" fillId="0" borderId="40" xfId="21" applyNumberFormat="1" applyFont="1" applyFill="1" applyBorder="1" applyAlignment="1">
      <alignment horizontal="right" vertical="top"/>
    </xf>
    <xf numFmtId="169" fontId="9" fillId="0" borderId="41" xfId="21" applyNumberFormat="1" applyFont="1" applyFill="1" applyBorder="1" applyAlignment="1">
      <alignment horizontal="right" vertical="top"/>
    </xf>
    <xf numFmtId="169" fontId="9" fillId="0" borderId="42" xfId="21" applyNumberFormat="1" applyFont="1" applyFill="1" applyBorder="1" applyAlignment="1">
      <alignment horizontal="right" vertical="top"/>
    </xf>
    <xf numFmtId="169" fontId="9" fillId="0" borderId="43" xfId="21" applyNumberFormat="1" applyFont="1" applyFill="1" applyBorder="1" applyAlignment="1">
      <alignment horizontal="right" vertical="top"/>
    </xf>
    <xf numFmtId="0" fontId="8" fillId="0" borderId="0" xfId="0" applyFont="1"/>
    <xf numFmtId="0" fontId="8" fillId="0" borderId="0" xfId="0" applyFont="1" applyAlignment="1">
      <alignment horizontal="center"/>
    </xf>
    <xf numFmtId="49" fontId="35" fillId="6" borderId="0" xfId="12" applyNumberFormat="1" applyFont="1" applyBorder="1" applyAlignment="1">
      <alignment horizontal="centerContinuous" vertical="center"/>
    </xf>
    <xf numFmtId="0" fontId="8" fillId="0" borderId="0" xfId="0" applyFont="1" applyBorder="1"/>
    <xf numFmtId="176" fontId="38" fillId="6" borderId="0" xfId="12" applyNumberFormat="1" applyFont="1" applyBorder="1" applyAlignment="1">
      <alignment horizontal="right" vertical="center" wrapText="1"/>
    </xf>
    <xf numFmtId="0" fontId="8" fillId="0" borderId="0" xfId="0" applyFont="1" applyFill="1"/>
    <xf numFmtId="0" fontId="8" fillId="0" borderId="19" xfId="0" applyFont="1" applyBorder="1"/>
    <xf numFmtId="3" fontId="8" fillId="0" borderId="19" xfId="0" applyNumberFormat="1" applyFont="1" applyBorder="1"/>
    <xf numFmtId="0" fontId="8" fillId="0" borderId="19" xfId="0" applyFont="1" applyBorder="1" applyAlignment="1">
      <alignment horizontal="center"/>
    </xf>
    <xf numFmtId="165" fontId="8" fillId="0" borderId="19" xfId="20" applyFont="1" applyBorder="1"/>
    <xf numFmtId="166" fontId="8" fillId="0" borderId="19" xfId="0" applyNumberFormat="1" applyFont="1" applyBorder="1"/>
    <xf numFmtId="169" fontId="8" fillId="0" borderId="19" xfId="0" applyNumberFormat="1" applyFont="1" applyBorder="1"/>
    <xf numFmtId="0" fontId="8" fillId="0" borderId="19" xfId="0" applyFont="1" applyFill="1" applyBorder="1"/>
    <xf numFmtId="169" fontId="8" fillId="0" borderId="19" xfId="0" applyNumberFormat="1" applyFont="1" applyFill="1" applyBorder="1"/>
    <xf numFmtId="177" fontId="10" fillId="2" borderId="15" xfId="19" applyNumberFormat="1" applyFont="1" applyFill="1" applyBorder="1" applyAlignment="1">
      <alignment horizontal="right" vertical="top"/>
    </xf>
    <xf numFmtId="49" fontId="10" fillId="0" borderId="0" xfId="25" applyNumberFormat="1" applyFont="1" applyFill="1" applyAlignment="1">
      <alignment horizontal="left" indent="1"/>
    </xf>
    <xf numFmtId="0" fontId="42" fillId="11" borderId="20" xfId="19" applyFont="1" applyFill="1" applyBorder="1" applyAlignment="1">
      <alignment horizontal="center" vertical="top" wrapText="1"/>
    </xf>
    <xf numFmtId="38" fontId="10" fillId="0" borderId="0" xfId="19" applyNumberFormat="1" applyFill="1" applyAlignment="1">
      <alignment horizontal="center"/>
    </xf>
    <xf numFmtId="1" fontId="42" fillId="0" borderId="8" xfId="24" applyNumberFormat="1" applyFont="1" applyBorder="1" applyAlignment="1">
      <alignment horizontal="center" vertical="center"/>
    </xf>
    <xf numFmtId="188" fontId="10" fillId="0" borderId="0" xfId="19" applyNumberFormat="1"/>
    <xf numFmtId="189" fontId="42" fillId="0" borderId="8" xfId="24" applyNumberFormat="1" applyFont="1" applyBorder="1"/>
    <xf numFmtId="174" fontId="31" fillId="2" borderId="10" xfId="2" applyNumberFormat="1" applyFont="1" applyFill="1" applyBorder="1" applyAlignment="1">
      <protection locked="0"/>
    </xf>
    <xf numFmtId="173" fontId="53" fillId="16" borderId="0" xfId="18" applyFont="1" applyFill="1"/>
    <xf numFmtId="0" fontId="47" fillId="0" borderId="0" xfId="21" applyFont="1" applyFill="1"/>
    <xf numFmtId="166" fontId="45" fillId="0" borderId="0" xfId="19" quotePrefix="1" applyNumberFormat="1" applyFont="1" applyFill="1"/>
    <xf numFmtId="0" fontId="38" fillId="0" borderId="0" xfId="19" applyFont="1" applyFill="1"/>
    <xf numFmtId="0" fontId="10" fillId="0" borderId="0" xfId="19" applyFill="1"/>
    <xf numFmtId="0" fontId="37" fillId="0" borderId="0" xfId="19" applyFont="1" applyFill="1"/>
    <xf numFmtId="0" fontId="10" fillId="0" borderId="0" xfId="19" quotePrefix="1" applyFont="1" applyFill="1" applyAlignment="1">
      <alignment horizontal="right"/>
    </xf>
    <xf numFmtId="174" fontId="39" fillId="0" borderId="0" xfId="25" applyNumberFormat="1" applyFont="1" applyAlignment="1">
      <alignment horizontal="right"/>
    </xf>
    <xf numFmtId="174" fontId="39" fillId="0" borderId="4" xfId="25" applyNumberFormat="1" applyFont="1" applyBorder="1" applyAlignment="1">
      <alignment horizontal="right"/>
    </xf>
    <xf numFmtId="174" fontId="39" fillId="0" borderId="8" xfId="25" applyNumberFormat="1" applyFont="1" applyBorder="1" applyAlignment="1">
      <alignment horizontal="right"/>
    </xf>
    <xf numFmtId="0" fontId="39" fillId="0" borderId="8" xfId="46" applyFont="1" applyBorder="1"/>
    <xf numFmtId="0" fontId="54" fillId="16" borderId="0" xfId="46" applyFont="1" applyFill="1"/>
    <xf numFmtId="0" fontId="55" fillId="16" borderId="0" xfId="46" applyNumberFormat="1" applyFont="1" applyFill="1" applyAlignment="1">
      <alignment horizontal="right"/>
    </xf>
    <xf numFmtId="0" fontId="54" fillId="16" borderId="0" xfId="46" applyFont="1" applyFill="1" applyAlignment="1">
      <alignment horizontal="right"/>
    </xf>
    <xf numFmtId="0" fontId="55" fillId="16" borderId="0" xfId="46" applyFont="1" applyFill="1" applyAlignment="1">
      <alignment horizontal="right"/>
    </xf>
    <xf numFmtId="1" fontId="48" fillId="17" borderId="0" xfId="21" applyNumberFormat="1" applyFont="1" applyFill="1" applyAlignment="1">
      <alignment horizontal="center"/>
    </xf>
    <xf numFmtId="0" fontId="7" fillId="17" borderId="0" xfId="19" applyFont="1" applyFill="1" applyAlignment="1">
      <alignment horizontal="center"/>
    </xf>
    <xf numFmtId="188" fontId="10" fillId="17" borderId="0" xfId="19" applyNumberFormat="1" applyFill="1"/>
    <xf numFmtId="0" fontId="42" fillId="11" borderId="3" xfId="19" applyFont="1" applyFill="1" applyBorder="1" applyAlignment="1">
      <alignment horizontal="center"/>
    </xf>
    <xf numFmtId="0" fontId="42" fillId="0" borderId="4" xfId="21" applyFont="1" applyBorder="1" applyAlignment="1">
      <alignment vertical="center"/>
    </xf>
    <xf numFmtId="174" fontId="33" fillId="0" borderId="0" xfId="46" applyNumberFormat="1" applyAlignment="1">
      <alignment horizontal="right"/>
    </xf>
    <xf numFmtId="0" fontId="6" fillId="0" borderId="0" xfId="47"/>
    <xf numFmtId="0" fontId="37" fillId="0" borderId="20" xfId="47" applyFont="1" applyBorder="1"/>
    <xf numFmtId="190" fontId="6" fillId="0" borderId="0" xfId="47" applyNumberFormat="1" applyAlignment="1">
      <alignment horizontal="left"/>
    </xf>
    <xf numFmtId="0" fontId="7" fillId="17" borderId="0" xfId="19" applyFont="1" applyFill="1" applyAlignment="1">
      <alignment horizontal="right"/>
    </xf>
    <xf numFmtId="0" fontId="42" fillId="11" borderId="9" xfId="19" applyFont="1" applyFill="1" applyBorder="1" applyAlignment="1">
      <alignment horizontal="center"/>
    </xf>
    <xf numFmtId="0" fontId="7" fillId="18" borderId="0" xfId="19" applyFont="1" applyFill="1" applyAlignment="1">
      <alignment horizontal="center"/>
    </xf>
    <xf numFmtId="169" fontId="9" fillId="18" borderId="33" xfId="21" applyNumberFormat="1" applyFont="1" applyFill="1" applyBorder="1" applyAlignment="1">
      <alignment horizontal="right" vertical="top"/>
    </xf>
    <xf numFmtId="169" fontId="9" fillId="18" borderId="28" xfId="21" applyNumberFormat="1" applyFont="1" applyFill="1" applyBorder="1" applyAlignment="1">
      <alignment horizontal="right" vertical="top"/>
    </xf>
    <xf numFmtId="169" fontId="9" fillId="18" borderId="21" xfId="21" applyNumberFormat="1" applyFont="1" applyFill="1" applyBorder="1" applyAlignment="1">
      <alignment horizontal="right" vertical="top"/>
    </xf>
    <xf numFmtId="169" fontId="9" fillId="18" borderId="15" xfId="21" applyNumberFormat="1" applyFont="1" applyFill="1" applyBorder="1" applyAlignment="1">
      <alignment horizontal="right" vertical="top"/>
    </xf>
    <xf numFmtId="169" fontId="9" fillId="18" borderId="22" xfId="21" applyNumberFormat="1" applyFont="1" applyFill="1" applyBorder="1" applyAlignment="1">
      <alignment horizontal="right" vertical="top"/>
    </xf>
    <xf numFmtId="174" fontId="33" fillId="18" borderId="4" xfId="25" applyNumberFormat="1" applyFont="1" applyFill="1" applyBorder="1" applyAlignment="1">
      <alignment horizontal="right"/>
    </xf>
    <xf numFmtId="174" fontId="33" fillId="18" borderId="0" xfId="25" applyNumberFormat="1" applyFont="1" applyFill="1" applyAlignment="1">
      <alignment horizontal="right"/>
    </xf>
    <xf numFmtId="0" fontId="33" fillId="18" borderId="4" xfId="46" applyFill="1" applyBorder="1"/>
    <xf numFmtId="0" fontId="33" fillId="18" borderId="0" xfId="46" applyFill="1"/>
    <xf numFmtId="0" fontId="10" fillId="18" borderId="0" xfId="21" applyFont="1" applyFill="1" applyBorder="1" applyAlignment="1">
      <alignment vertical="center"/>
    </xf>
    <xf numFmtId="174" fontId="26" fillId="18" borderId="0" xfId="23" applyNumberFormat="1" applyFont="1" applyFill="1" applyAlignment="1">
      <alignment vertical="top"/>
    </xf>
    <xf numFmtId="0" fontId="10" fillId="18" borderId="0" xfId="21" applyFont="1" applyFill="1" applyAlignment="1">
      <alignment vertical="center"/>
    </xf>
    <xf numFmtId="0" fontId="42" fillId="18" borderId="0" xfId="21" applyFont="1" applyFill="1" applyAlignment="1">
      <alignment horizontal="right" vertical="center"/>
    </xf>
    <xf numFmtId="0" fontId="42" fillId="18" borderId="0" xfId="21" applyFont="1" applyFill="1" applyBorder="1" applyAlignment="1">
      <alignment horizontal="right" vertical="center"/>
    </xf>
    <xf numFmtId="0" fontId="42" fillId="18" borderId="9" xfId="19" applyFont="1" applyFill="1" applyBorder="1" applyAlignment="1">
      <alignment horizontal="right" indent="1"/>
    </xf>
    <xf numFmtId="0" fontId="42" fillId="18" borderId="3" xfId="19" applyFont="1" applyFill="1" applyBorder="1" applyAlignment="1">
      <alignment horizontal="right" indent="1"/>
    </xf>
    <xf numFmtId="169" fontId="9" fillId="18" borderId="27" xfId="21" applyNumberFormat="1" applyFont="1" applyFill="1" applyBorder="1" applyAlignment="1">
      <alignment horizontal="right" vertical="top"/>
    </xf>
    <xf numFmtId="169" fontId="9" fillId="18" borderId="26" xfId="21" applyNumberFormat="1" applyFont="1" applyFill="1" applyBorder="1" applyAlignment="1">
      <alignment horizontal="right" vertical="top"/>
    </xf>
    <xf numFmtId="38" fontId="10" fillId="18" borderId="0" xfId="19" applyNumberFormat="1" applyFill="1" applyAlignment="1">
      <alignment horizontal="center"/>
    </xf>
    <xf numFmtId="180" fontId="10" fillId="18" borderId="0" xfId="24" applyNumberFormat="1" applyFont="1" applyFill="1"/>
    <xf numFmtId="174" fontId="31" fillId="18" borderId="10" xfId="2" applyNumberFormat="1" applyFont="1" applyFill="1" applyBorder="1" applyAlignment="1">
      <protection locked="0"/>
    </xf>
    <xf numFmtId="0" fontId="31" fillId="18" borderId="13" xfId="2" applyFont="1" applyFill="1" applyBorder="1" applyAlignment="1">
      <alignment wrapText="1"/>
      <protection locked="0"/>
    </xf>
    <xf numFmtId="0" fontId="10" fillId="18" borderId="0" xfId="19" applyFont="1" applyFill="1" applyAlignment="1">
      <alignment horizontal="left" indent="1"/>
    </xf>
    <xf numFmtId="0" fontId="10" fillId="18" borderId="0" xfId="19" applyFont="1" applyFill="1"/>
    <xf numFmtId="38" fontId="10" fillId="18" borderId="0" xfId="19" applyNumberFormat="1" applyFill="1"/>
    <xf numFmtId="0" fontId="7" fillId="18" borderId="0" xfId="19" applyFont="1" applyFill="1" applyAlignment="1">
      <alignment horizontal="centerContinuous"/>
    </xf>
    <xf numFmtId="0" fontId="7" fillId="18" borderId="0" xfId="19" applyFont="1" applyFill="1" applyAlignment="1">
      <alignment horizontal="left"/>
    </xf>
    <xf numFmtId="191" fontId="10" fillId="0" borderId="0" xfId="19" applyNumberFormat="1"/>
    <xf numFmtId="0" fontId="5" fillId="0" borderId="0" xfId="47" applyFont="1"/>
    <xf numFmtId="0" fontId="10" fillId="0" borderId="0" xfId="21" applyFont="1" applyFill="1" applyBorder="1" applyAlignment="1">
      <alignment vertical="center"/>
    </xf>
    <xf numFmtId="0" fontId="10" fillId="0" borderId="0" xfId="21" applyFont="1" applyFill="1" applyAlignment="1">
      <alignment vertical="center"/>
    </xf>
    <xf numFmtId="0" fontId="42" fillId="0" borderId="0" xfId="21" applyFont="1" applyFill="1" applyBorder="1" applyAlignment="1">
      <alignment horizontal="right" vertical="center"/>
    </xf>
    <xf numFmtId="0" fontId="10" fillId="19" borderId="0" xfId="21" applyFont="1" applyFill="1" applyBorder="1" applyAlignment="1">
      <alignment vertical="center"/>
    </xf>
    <xf numFmtId="0" fontId="42" fillId="19" borderId="0" xfId="21" applyFont="1" applyFill="1" applyBorder="1" applyAlignment="1">
      <alignment horizontal="right" vertical="center"/>
    </xf>
    <xf numFmtId="0" fontId="42" fillId="0" borderId="0" xfId="21" applyFont="1" applyFill="1" applyAlignment="1">
      <alignment horizontal="right" vertical="center"/>
    </xf>
    <xf numFmtId="174" fontId="26" fillId="0" borderId="0" xfId="23" applyNumberFormat="1" applyFont="1" applyFill="1" applyAlignment="1">
      <alignment vertical="top"/>
    </xf>
    <xf numFmtId="191" fontId="10" fillId="0" borderId="0" xfId="19" applyNumberFormat="1" applyFill="1"/>
    <xf numFmtId="165" fontId="26" fillId="0" borderId="0" xfId="0" applyNumberFormat="1" applyFont="1" applyAlignment="1">
      <alignment horizontal="right"/>
    </xf>
    <xf numFmtId="1" fontId="48" fillId="18" borderId="0" xfId="21" applyNumberFormat="1" applyFont="1" applyFill="1" applyAlignment="1">
      <alignment horizontal="center"/>
    </xf>
    <xf numFmtId="186" fontId="10" fillId="18" borderId="0" xfId="24" applyNumberFormat="1" applyFont="1" applyFill="1" applyAlignment="1">
      <alignment horizontal="right" indent="1"/>
    </xf>
    <xf numFmtId="192" fontId="48" fillId="18" borderId="0" xfId="21" applyNumberFormat="1" applyFont="1" applyFill="1" applyAlignment="1">
      <alignment horizontal="center"/>
    </xf>
    <xf numFmtId="192" fontId="50" fillId="15" borderId="0" xfId="21" applyNumberFormat="1" applyFont="1" applyFill="1" applyBorder="1" applyAlignment="1">
      <alignment horizontal="right" vertical="center"/>
    </xf>
    <xf numFmtId="174" fontId="10" fillId="0" borderId="0" xfId="23" applyNumberFormat="1" applyFont="1" applyFill="1" applyAlignment="1">
      <alignment vertical="top"/>
    </xf>
    <xf numFmtId="174" fontId="10" fillId="19" borderId="0" xfId="23" applyNumberFormat="1" applyFont="1" applyFill="1" applyAlignment="1">
      <alignment vertical="top"/>
    </xf>
    <xf numFmtId="0" fontId="10" fillId="2" borderId="0" xfId="21" applyFont="1" applyFill="1" applyBorder="1" applyAlignment="1">
      <alignment vertical="center"/>
    </xf>
    <xf numFmtId="0" fontId="10" fillId="0" borderId="0" xfId="19" applyBorder="1"/>
    <xf numFmtId="0" fontId="10" fillId="17" borderId="0" xfId="21" applyFont="1" applyFill="1" applyBorder="1" applyAlignment="1">
      <alignment vertical="center"/>
    </xf>
    <xf numFmtId="0" fontId="42" fillId="17" borderId="0" xfId="21" applyFont="1" applyFill="1" applyBorder="1" applyAlignment="1">
      <alignment horizontal="right" vertical="center"/>
    </xf>
    <xf numFmtId="0" fontId="10" fillId="20" borderId="0" xfId="19" applyFill="1"/>
    <xf numFmtId="0" fontId="10" fillId="20" borderId="0" xfId="21" applyFont="1" applyFill="1" applyBorder="1" applyAlignment="1">
      <alignment vertical="center"/>
    </xf>
    <xf numFmtId="0" fontId="42" fillId="20" borderId="0" xfId="19" applyFont="1" applyFill="1"/>
    <xf numFmtId="0" fontId="4" fillId="0" borderId="0" xfId="19" applyFont="1"/>
    <xf numFmtId="0" fontId="42" fillId="0" borderId="0" xfId="19" applyFont="1" applyAlignment="1">
      <alignment horizontal="right"/>
    </xf>
    <xf numFmtId="0" fontId="42" fillId="0" borderId="0" xfId="19" applyFont="1" applyAlignment="1">
      <alignment horizontal="right" wrapText="1"/>
    </xf>
    <xf numFmtId="174" fontId="10" fillId="20" borderId="0" xfId="23" applyNumberFormat="1" applyFont="1" applyFill="1" applyAlignment="1">
      <alignment vertical="top"/>
    </xf>
    <xf numFmtId="0" fontId="3" fillId="0" borderId="0" xfId="19" applyFont="1"/>
    <xf numFmtId="165" fontId="28" fillId="7" borderId="0" xfId="9" applyNumberFormat="1" applyFont="1" applyFill="1"/>
    <xf numFmtId="165" fontId="28" fillId="7" borderId="0" xfId="20" applyFont="1" applyFill="1"/>
    <xf numFmtId="174" fontId="31" fillId="21" borderId="1" xfId="2" applyNumberFormat="1" applyFont="1" applyFill="1" applyBorder="1" applyAlignment="1">
      <protection locked="0"/>
    </xf>
    <xf numFmtId="174" fontId="31" fillId="22" borderId="1" xfId="2" applyNumberFormat="1" applyFont="1" applyFill="1" applyBorder="1" applyAlignment="1">
      <protection locked="0"/>
    </xf>
    <xf numFmtId="175" fontId="31" fillId="22" borderId="1" xfId="2" applyNumberFormat="1" applyFont="1" applyFill="1" applyBorder="1" applyAlignment="1">
      <protection locked="0"/>
    </xf>
    <xf numFmtId="174" fontId="31" fillId="17" borderId="10" xfId="2" applyNumberFormat="1" applyFont="1" applyFill="1" applyBorder="1" applyAlignment="1">
      <protection locked="0"/>
    </xf>
    <xf numFmtId="174" fontId="31" fillId="17" borderId="1" xfId="2" applyNumberFormat="1" applyFont="1" applyFill="1" applyAlignment="1">
      <protection locked="0"/>
    </xf>
    <xf numFmtId="165" fontId="31" fillId="22" borderId="10" xfId="2" applyNumberFormat="1" applyFont="1" applyFill="1" applyBorder="1" applyAlignment="1">
      <protection locked="0"/>
    </xf>
    <xf numFmtId="0" fontId="10" fillId="22" borderId="0" xfId="19" applyFill="1"/>
    <xf numFmtId="0" fontId="2" fillId="22" borderId="0" xfId="19" applyFont="1" applyFill="1"/>
    <xf numFmtId="38" fontId="10" fillId="22" borderId="0" xfId="19" applyNumberFormat="1" applyFill="1"/>
    <xf numFmtId="179" fontId="10" fillId="22" borderId="0" xfId="48" applyNumberFormat="1" applyFont="1" applyFill="1"/>
    <xf numFmtId="0" fontId="10" fillId="22" borderId="15" xfId="19" applyNumberFormat="1" applyFont="1" applyFill="1" applyBorder="1" applyAlignment="1">
      <alignment horizontal="right" vertical="top"/>
    </xf>
    <xf numFmtId="164" fontId="10" fillId="22" borderId="0" xfId="19" applyNumberFormat="1" applyFill="1"/>
    <xf numFmtId="10" fontId="0" fillId="0" borderId="0" xfId="0" applyNumberFormat="1"/>
    <xf numFmtId="10" fontId="11" fillId="22" borderId="1" xfId="2" applyNumberFormat="1" applyFill="1" applyAlignment="1">
      <alignment horizontal="center"/>
      <protection locked="0"/>
    </xf>
    <xf numFmtId="193" fontId="26" fillId="7" borderId="15" xfId="19" applyNumberFormat="1" applyFont="1" applyFill="1" applyBorder="1" applyAlignment="1">
      <alignment horizontal="right" vertical="top"/>
    </xf>
    <xf numFmtId="0" fontId="59" fillId="22" borderId="0" xfId="19" applyFont="1" applyFill="1" applyAlignment="1">
      <alignment vertical="center" wrapText="1"/>
    </xf>
    <xf numFmtId="0" fontId="46" fillId="22" borderId="0" xfId="19" applyFont="1" applyFill="1" applyAlignment="1">
      <alignment vertical="center" wrapText="1"/>
    </xf>
    <xf numFmtId="182" fontId="10" fillId="22" borderId="20" xfId="19" applyNumberFormat="1" applyFill="1" applyBorder="1" applyAlignment="1">
      <alignment horizontal="right"/>
    </xf>
    <xf numFmtId="0" fontId="10" fillId="22" borderId="20" xfId="19" applyFill="1" applyBorder="1" applyAlignment="1">
      <alignment horizontal="right"/>
    </xf>
    <xf numFmtId="180" fontId="10" fillId="22" borderId="15" xfId="24" applyNumberFormat="1" applyFont="1" applyFill="1" applyBorder="1" applyAlignment="1">
      <alignment horizontal="right" vertical="top"/>
    </xf>
    <xf numFmtId="180" fontId="10" fillId="22" borderId="0" xfId="24" applyNumberFormat="1" applyFont="1" applyFill="1"/>
    <xf numFmtId="174" fontId="31" fillId="22" borderId="14" xfId="2" applyNumberFormat="1" applyFont="1" applyFill="1" applyBorder="1" applyAlignment="1">
      <protection locked="0"/>
    </xf>
    <xf numFmtId="174" fontId="31" fillId="22" borderId="10" xfId="2" applyNumberFormat="1" applyFont="1" applyFill="1" applyBorder="1" applyAlignment="1">
      <protection locked="0"/>
    </xf>
    <xf numFmtId="40" fontId="26" fillId="22" borderId="15" xfId="19" applyNumberFormat="1" applyFont="1" applyFill="1" applyBorder="1" applyAlignment="1">
      <alignment horizontal="right" vertical="top"/>
    </xf>
    <xf numFmtId="188" fontId="10" fillId="22" borderId="0" xfId="19" applyNumberFormat="1" applyFill="1"/>
    <xf numFmtId="38" fontId="10" fillId="22" borderId="0" xfId="19" applyNumberFormat="1" applyFill="1" applyAlignment="1">
      <alignment horizontal="right" indent="1"/>
    </xf>
    <xf numFmtId="38" fontId="10" fillId="22" borderId="15" xfId="19" applyNumberFormat="1" applyFont="1" applyFill="1" applyBorder="1" applyAlignment="1">
      <alignment horizontal="right" vertical="top"/>
    </xf>
    <xf numFmtId="165" fontId="31" fillId="22" borderId="1" xfId="2" applyNumberFormat="1" applyFont="1" applyFill="1" applyBorder="1" applyAlignment="1">
      <protection locked="0"/>
    </xf>
    <xf numFmtId="0" fontId="1" fillId="0" borderId="0" xfId="19" applyFont="1" applyAlignment="1">
      <alignment horizontal="left" indent="1"/>
    </xf>
    <xf numFmtId="165" fontId="10" fillId="22" borderId="0" xfId="20" applyNumberFormat="1" applyFont="1" applyFill="1"/>
    <xf numFmtId="194" fontId="10" fillId="22" borderId="0" xfId="20" applyNumberFormat="1" applyFont="1" applyFill="1" applyAlignment="1">
      <alignment horizontal="left" indent="1"/>
    </xf>
    <xf numFmtId="0" fontId="0" fillId="0" borderId="0" xfId="0" quotePrefix="1"/>
    <xf numFmtId="0" fontId="39" fillId="0" borderId="0" xfId="0" applyFont="1"/>
    <xf numFmtId="195" fontId="26" fillId="0" borderId="19" xfId="0" applyNumberFormat="1" applyFont="1" applyBorder="1" applyAlignment="1">
      <alignment horizontal="right"/>
    </xf>
    <xf numFmtId="38" fontId="10" fillId="17" borderId="0" xfId="19" applyNumberFormat="1" applyFill="1"/>
    <xf numFmtId="0" fontId="60" fillId="22" borderId="7" xfId="19" applyFont="1" applyFill="1" applyBorder="1" applyAlignment="1">
      <alignment horizontal="centerContinuous"/>
    </xf>
    <xf numFmtId="0" fontId="60" fillId="22" borderId="8" xfId="19" applyFont="1" applyFill="1" applyBorder="1" applyAlignment="1">
      <alignment horizontal="centerContinuous"/>
    </xf>
    <xf numFmtId="0" fontId="60" fillId="22" borderId="9" xfId="19" applyFont="1" applyFill="1" applyBorder="1" applyAlignment="1">
      <alignment horizontal="centerContinuous"/>
    </xf>
    <xf numFmtId="0" fontId="42" fillId="22" borderId="20" xfId="19" applyFont="1" applyFill="1" applyBorder="1" applyAlignment="1">
      <alignment horizontal="right" vertical="top" wrapText="1"/>
    </xf>
    <xf numFmtId="0" fontId="42" fillId="22" borderId="0" xfId="19" applyFont="1" applyFill="1" applyAlignment="1">
      <alignment vertical="top" wrapText="1"/>
    </xf>
    <xf numFmtId="170" fontId="10" fillId="22" borderId="0" xfId="19" applyNumberFormat="1" applyFill="1"/>
    <xf numFmtId="171" fontId="42" fillId="22" borderId="8" xfId="20" applyNumberFormat="1" applyFont="1" applyFill="1" applyBorder="1"/>
    <xf numFmtId="2" fontId="42" fillId="22" borderId="8" xfId="24" applyNumberFormat="1" applyFont="1" applyFill="1" applyBorder="1" applyAlignment="1">
      <alignment horizontal="center" vertical="center"/>
    </xf>
    <xf numFmtId="189" fontId="42" fillId="22" borderId="8" xfId="24" applyNumberFormat="1" applyFont="1" applyFill="1" applyBorder="1"/>
    <xf numFmtId="175" fontId="31" fillId="22" borderId="17" xfId="2" applyNumberFormat="1" applyFont="1" applyFill="1" applyBorder="1" applyAlignment="1">
      <protection locked="0"/>
    </xf>
    <xf numFmtId="0" fontId="42" fillId="11" borderId="7" xfId="19" applyFont="1" applyFill="1" applyBorder="1" applyAlignment="1">
      <alignment horizontal="center"/>
    </xf>
    <xf numFmtId="0" fontId="42" fillId="11" borderId="9" xfId="19" applyFont="1" applyFill="1" applyBorder="1" applyAlignment="1">
      <alignment horizontal="center"/>
    </xf>
  </cellXfs>
  <cellStyles count="49">
    <cellStyle name="Base_Input" xfId="13"/>
    <cellStyle name="Comma" xfId="20" builtinId="3"/>
    <cellStyle name="Comma [0] 2" xfId="3"/>
    <cellStyle name="Comma 2" xfId="25"/>
    <cellStyle name="Comma 2 2" xfId="23"/>
    <cellStyle name="Currency 2" xfId="24"/>
    <cellStyle name="Empty_Cell" xfId="10"/>
    <cellStyle name="Explanatory Text" xfId="1" builtinId="53" customBuiltin="1"/>
    <cellStyle name="Flag" xfId="4"/>
    <cellStyle name="Header1" xfId="17"/>
    <cellStyle name="Header1A" xfId="18"/>
    <cellStyle name="Header2" xfId="15"/>
    <cellStyle name="Header3" xfId="5"/>
    <cellStyle name="Header4" xfId="16"/>
    <cellStyle name="Insheet" xfId="6"/>
    <cellStyle name="Line_SubTotal" xfId="7"/>
    <cellStyle name="Line_Summary" xfId="8"/>
    <cellStyle name="Normal" xfId="0" builtinId="0" customBuiltin="1"/>
    <cellStyle name="Normal 10" xfId="9"/>
    <cellStyle name="Normal 10 2" xfId="27"/>
    <cellStyle name="Normal 11" xfId="26"/>
    <cellStyle name="Normal 111" xfId="31"/>
    <cellStyle name="Normal 112" xfId="32"/>
    <cellStyle name="Normal 120" xfId="44"/>
    <cellStyle name="Normal 121" xfId="45"/>
    <cellStyle name="Normal 126" xfId="35"/>
    <cellStyle name="Normal 127" xfId="36"/>
    <cellStyle name="Normal 133" xfId="38"/>
    <cellStyle name="Normal 134" xfId="39"/>
    <cellStyle name="Normal 135" xfId="42"/>
    <cellStyle name="Normal 136" xfId="43"/>
    <cellStyle name="Normal 139" xfId="40"/>
    <cellStyle name="Normal 140" xfId="41"/>
    <cellStyle name="Normal 141" xfId="28"/>
    <cellStyle name="Normal 142" xfId="29"/>
    <cellStyle name="Normal 152" xfId="37"/>
    <cellStyle name="Normal 2" xfId="21"/>
    <cellStyle name="Normal 2 2" xfId="19"/>
    <cellStyle name="Normal 2 3" xfId="46"/>
    <cellStyle name="Normal 2 4" xfId="34"/>
    <cellStyle name="Normal 3" xfId="47"/>
    <cellStyle name="Normal 42 4" xfId="33"/>
    <cellStyle name="Normal 52 4" xfId="30"/>
    <cellStyle name="Offsheet" xfId="11"/>
    <cellStyle name="Percent" xfId="48" builtinId="5"/>
    <cellStyle name="Percent 2" xfId="22"/>
    <cellStyle name="Table_Heading" xfId="12"/>
    <cellStyle name="Unit" xfId="14"/>
    <cellStyle name="User_Input_Actual"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66FFFF"/>
      <color rgb="FF99FF33"/>
      <color rgb="FFD1D1D1"/>
      <color rgb="FFFFFFCC"/>
      <color rgb="FFFF6600"/>
      <color rgb="FF66FF33"/>
      <color rgb="FFFF99FF"/>
      <color rgb="FFFF33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32"/>
  <sheetViews>
    <sheetView showGridLines="0" topLeftCell="A13" zoomScale="85" zoomScaleNormal="85" workbookViewId="0">
      <selection activeCell="C36" sqref="C36"/>
    </sheetView>
  </sheetViews>
  <sheetFormatPr defaultColWidth="9" defaultRowHeight="12.75" x14ac:dyDescent="0.2"/>
  <cols>
    <col min="1" max="1" width="18.75" style="261" customWidth="1"/>
    <col min="2" max="2" width="16.75" style="261" customWidth="1"/>
    <col min="3" max="3" width="67.25" style="261" bestFit="1" customWidth="1"/>
    <col min="4" max="16384" width="9" style="261"/>
  </cols>
  <sheetData>
    <row r="1" spans="1:4" ht="18.75" x14ac:dyDescent="0.3">
      <c r="A1" s="197" t="str">
        <f>REFCL_Data!$A$1</f>
        <v>PAL Accelerated depreciation</v>
      </c>
      <c r="B1" s="197"/>
      <c r="C1" s="197"/>
      <c r="D1" s="197"/>
    </row>
    <row r="2" spans="1:4" ht="15" customHeight="1" x14ac:dyDescent="0.25">
      <c r="A2" s="200" t="str">
        <f ca="1">RIGHT(CELL("filename", $A$1), LEN(CELL("filename", $A$1)) - SEARCH("]", CELL("filename", $A$1)))</f>
        <v>PC Changes</v>
      </c>
      <c r="B2" s="200"/>
      <c r="C2" s="200"/>
      <c r="D2" s="200"/>
    </row>
    <row r="3" spans="1:4" ht="10.5" customHeight="1" x14ac:dyDescent="0.2">
      <c r="A3" s="263"/>
    </row>
    <row r="4" spans="1:4" x14ac:dyDescent="0.2">
      <c r="A4" s="256" t="s">
        <v>159</v>
      </c>
      <c r="B4" s="256"/>
      <c r="C4" s="256"/>
      <c r="D4" s="256"/>
    </row>
    <row r="6" spans="1:4" x14ac:dyDescent="0.2">
      <c r="A6" s="262" t="s">
        <v>144</v>
      </c>
      <c r="B6" s="262" t="s">
        <v>145</v>
      </c>
      <c r="C6" s="262" t="s">
        <v>0</v>
      </c>
    </row>
    <row r="7" spans="1:4" x14ac:dyDescent="0.2">
      <c r="A7" s="261" t="s">
        <v>111</v>
      </c>
      <c r="B7" s="261" t="s">
        <v>146</v>
      </c>
      <c r="C7" s="261" t="s">
        <v>147</v>
      </c>
    </row>
    <row r="8" spans="1:4" x14ac:dyDescent="0.2">
      <c r="A8" s="261" t="s">
        <v>111</v>
      </c>
      <c r="B8" s="261" t="s">
        <v>148</v>
      </c>
      <c r="C8" s="261" t="s">
        <v>149</v>
      </c>
    </row>
    <row r="9" spans="1:4" x14ac:dyDescent="0.2">
      <c r="A9" s="261" t="s">
        <v>142</v>
      </c>
      <c r="B9" s="261" t="s">
        <v>150</v>
      </c>
      <c r="C9" s="261" t="s">
        <v>157</v>
      </c>
    </row>
    <row r="10" spans="1:4" x14ac:dyDescent="0.2">
      <c r="A10" s="261" t="s">
        <v>151</v>
      </c>
      <c r="B10" s="261" t="s">
        <v>152</v>
      </c>
      <c r="C10" s="261" t="s">
        <v>153</v>
      </c>
    </row>
    <row r="11" spans="1:4" x14ac:dyDescent="0.2">
      <c r="A11" s="261" t="s">
        <v>154</v>
      </c>
      <c r="B11" s="261" t="s">
        <v>155</v>
      </c>
      <c r="C11" s="261" t="s">
        <v>156</v>
      </c>
    </row>
    <row r="14" spans="1:4" x14ac:dyDescent="0.2">
      <c r="A14" s="266" t="s">
        <v>199</v>
      </c>
      <c r="B14" s="266"/>
      <c r="C14" s="266"/>
      <c r="D14" s="266"/>
    </row>
    <row r="16" spans="1:4" x14ac:dyDescent="0.2">
      <c r="A16" s="262" t="s">
        <v>144</v>
      </c>
      <c r="B16" s="262" t="s">
        <v>145</v>
      </c>
      <c r="C16" s="262" t="s">
        <v>0</v>
      </c>
    </row>
    <row r="17" spans="1:3" x14ac:dyDescent="0.2">
      <c r="A17" s="261" t="s">
        <v>136</v>
      </c>
      <c r="B17" s="261" t="s">
        <v>182</v>
      </c>
      <c r="C17" s="261" t="s">
        <v>183</v>
      </c>
    </row>
    <row r="18" spans="1:3" x14ac:dyDescent="0.2">
      <c r="A18" s="261" t="s">
        <v>136</v>
      </c>
      <c r="B18" s="261" t="s">
        <v>180</v>
      </c>
      <c r="C18" s="261" t="s">
        <v>181</v>
      </c>
    </row>
    <row r="19" spans="1:3" x14ac:dyDescent="0.2">
      <c r="A19" s="261" t="s">
        <v>136</v>
      </c>
      <c r="B19" s="261" t="s">
        <v>190</v>
      </c>
      <c r="C19" s="261" t="s">
        <v>184</v>
      </c>
    </row>
    <row r="20" spans="1:3" x14ac:dyDescent="0.2">
      <c r="A20" s="261" t="s">
        <v>185</v>
      </c>
      <c r="B20" s="261" t="s">
        <v>186</v>
      </c>
      <c r="C20" s="261" t="s">
        <v>187</v>
      </c>
    </row>
    <row r="21" spans="1:3" x14ac:dyDescent="0.2">
      <c r="A21" s="261" t="s">
        <v>185</v>
      </c>
      <c r="B21" s="261" t="s">
        <v>188</v>
      </c>
      <c r="C21" s="261" t="s">
        <v>189</v>
      </c>
    </row>
    <row r="22" spans="1:3" x14ac:dyDescent="0.2">
      <c r="A22" s="261" t="s">
        <v>111</v>
      </c>
      <c r="B22" s="261" t="s">
        <v>176</v>
      </c>
      <c r="C22" s="261" t="s">
        <v>177</v>
      </c>
    </row>
    <row r="23" spans="1:3" x14ac:dyDescent="0.2">
      <c r="A23" s="261" t="s">
        <v>162</v>
      </c>
      <c r="B23" s="261" t="s">
        <v>173</v>
      </c>
      <c r="C23" s="261" t="s">
        <v>175</v>
      </c>
    </row>
    <row r="24" spans="1:3" x14ac:dyDescent="0.2">
      <c r="A24" s="261" t="s">
        <v>162</v>
      </c>
      <c r="B24" s="261" t="s">
        <v>174</v>
      </c>
      <c r="C24" s="261" t="s">
        <v>175</v>
      </c>
    </row>
    <row r="25" spans="1:3" x14ac:dyDescent="0.2">
      <c r="A25" s="261" t="s">
        <v>162</v>
      </c>
      <c r="B25" s="261" t="s">
        <v>163</v>
      </c>
      <c r="C25" s="261" t="s">
        <v>164</v>
      </c>
    </row>
    <row r="26" spans="1:3" x14ac:dyDescent="0.2">
      <c r="A26" s="261" t="s">
        <v>162</v>
      </c>
      <c r="B26" s="261" t="s">
        <v>166</v>
      </c>
      <c r="C26" s="261" t="s">
        <v>165</v>
      </c>
    </row>
    <row r="27" spans="1:3" x14ac:dyDescent="0.2">
      <c r="A27" s="261" t="s">
        <v>154</v>
      </c>
      <c r="B27" s="261" t="s">
        <v>169</v>
      </c>
      <c r="C27" s="261" t="s">
        <v>167</v>
      </c>
    </row>
    <row r="28" spans="1:3" x14ac:dyDescent="0.2">
      <c r="A28" s="261" t="s">
        <v>154</v>
      </c>
      <c r="B28" s="261" t="s">
        <v>170</v>
      </c>
      <c r="C28" s="261" t="s">
        <v>171</v>
      </c>
    </row>
    <row r="29" spans="1:3" x14ac:dyDescent="0.2">
      <c r="A29" s="261" t="s">
        <v>172</v>
      </c>
      <c r="B29" s="261" t="s">
        <v>168</v>
      </c>
      <c r="C29" s="261" t="s">
        <v>167</v>
      </c>
    </row>
    <row r="30" spans="1:3" x14ac:dyDescent="0.2">
      <c r="A30" s="261" t="s">
        <v>154</v>
      </c>
      <c r="B30" s="261" t="s">
        <v>192</v>
      </c>
      <c r="C30" s="261" t="s">
        <v>193</v>
      </c>
    </row>
    <row r="31" spans="1:3" x14ac:dyDescent="0.2">
      <c r="A31" s="261" t="s">
        <v>154</v>
      </c>
      <c r="B31" s="261" t="s">
        <v>195</v>
      </c>
      <c r="C31" s="261" t="s">
        <v>198</v>
      </c>
    </row>
    <row r="32" spans="1:3" x14ac:dyDescent="0.2">
      <c r="A32" s="261" t="s">
        <v>160</v>
      </c>
      <c r="C32" s="295" t="s">
        <v>196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66FF"/>
    <pageSetUpPr fitToPage="1"/>
  </sheetPr>
  <dimension ref="A1:BF66"/>
  <sheetViews>
    <sheetView showGridLines="0" topLeftCell="E4" zoomScale="85" zoomScaleNormal="85" zoomScaleSheetLayoutView="85" workbookViewId="0">
      <selection activeCell="O23" sqref="O23"/>
    </sheetView>
  </sheetViews>
  <sheetFormatPr defaultColWidth="9" defaultRowHeight="12.75" x14ac:dyDescent="0.2"/>
  <cols>
    <col min="1" max="2" width="2.375" style="53" customWidth="1"/>
    <col min="3" max="3" width="2" style="53" customWidth="1"/>
    <col min="4" max="4" width="30.5" style="53" bestFit="1" customWidth="1"/>
    <col min="5" max="14" width="11.5" style="53" customWidth="1"/>
    <col min="15" max="15" width="11.625" style="53" customWidth="1"/>
    <col min="16" max="16" width="11.5" style="53" customWidth="1"/>
    <col min="17" max="18" width="11.5" style="54" customWidth="1"/>
    <col min="19" max="20" width="11.5" style="53" customWidth="1"/>
    <col min="21" max="41" width="11.875" style="53" customWidth="1"/>
    <col min="42" max="16384" width="9" style="53"/>
  </cols>
  <sheetData>
    <row r="1" spans="1:58" s="1" customFormat="1" ht="18.75" x14ac:dyDescent="0.3">
      <c r="A1" s="197" t="s">
        <v>128</v>
      </c>
      <c r="B1" s="197"/>
      <c r="C1" s="197"/>
      <c r="D1" s="197"/>
      <c r="E1" s="197"/>
      <c r="F1" s="197"/>
      <c r="G1" s="198"/>
      <c r="H1" s="198"/>
      <c r="I1" s="198"/>
      <c r="J1" s="198"/>
      <c r="K1" s="198"/>
      <c r="L1" s="198"/>
      <c r="M1" s="197"/>
      <c r="N1" s="197"/>
      <c r="O1" s="197"/>
      <c r="P1" s="197"/>
      <c r="Q1" s="197"/>
      <c r="R1" s="197"/>
      <c r="S1" s="197"/>
      <c r="T1" s="197"/>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row>
    <row r="2" spans="1:58" s="1" customFormat="1" ht="15.75" x14ac:dyDescent="0.25">
      <c r="A2" s="200" t="str">
        <f ca="1">RIGHT(CELL("filename", $A$1), LEN(CELL("filename", $A$1)) - SEARCH("]", CELL("filename", $A$1)))</f>
        <v>REFCL_Data</v>
      </c>
      <c r="B2" s="200"/>
      <c r="C2" s="200"/>
      <c r="D2" s="200"/>
      <c r="E2" s="200"/>
      <c r="F2" s="200"/>
      <c r="G2" s="201"/>
      <c r="H2" s="201"/>
      <c r="I2" s="201"/>
      <c r="J2" s="201"/>
      <c r="K2" s="201"/>
      <c r="L2" s="201"/>
      <c r="M2" s="200"/>
      <c r="N2" s="200"/>
      <c r="O2" s="200"/>
      <c r="P2" s="200"/>
      <c r="Q2" s="200"/>
      <c r="R2" s="200"/>
      <c r="S2" s="200"/>
      <c r="T2" s="200"/>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row>
    <row r="3" spans="1:58" s="1" customFormat="1" ht="15.75" x14ac:dyDescent="0.25">
      <c r="A3" s="240" t="s">
        <v>79</v>
      </c>
      <c r="B3" s="200"/>
      <c r="C3" s="200"/>
      <c r="D3" s="200"/>
      <c r="E3" s="200"/>
      <c r="F3" s="200"/>
      <c r="G3" s="201"/>
      <c r="H3" s="201"/>
      <c r="I3" s="201"/>
      <c r="J3" s="201"/>
      <c r="K3" s="201"/>
      <c r="L3" s="201"/>
      <c r="M3" s="200"/>
      <c r="N3" s="200"/>
      <c r="O3" s="200"/>
      <c r="P3" s="200"/>
      <c r="Q3" s="200"/>
      <c r="R3" s="200"/>
      <c r="S3" s="200"/>
      <c r="T3" s="200"/>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row>
    <row r="4" spans="1:58" x14ac:dyDescent="0.2">
      <c r="A4" s="103"/>
      <c r="D4" s="63"/>
      <c r="J4" s="108"/>
      <c r="K4" s="108"/>
      <c r="L4" s="108"/>
      <c r="M4" s="108"/>
      <c r="N4" s="108"/>
      <c r="P4" s="108"/>
      <c r="S4" s="108"/>
      <c r="Y4" s="109"/>
      <c r="Z4" s="108"/>
      <c r="AA4" s="108"/>
      <c r="AB4" s="108"/>
      <c r="AC4" s="108"/>
      <c r="AD4" s="108"/>
      <c r="AE4" s="108"/>
      <c r="AF4" s="108"/>
      <c r="AG4" s="108"/>
      <c r="AH4" s="108"/>
      <c r="AI4" s="108"/>
      <c r="AJ4" s="108"/>
      <c r="AK4" s="108"/>
      <c r="AL4" s="108"/>
      <c r="AM4" s="108"/>
      <c r="AN4" s="108"/>
      <c r="AO4" s="108"/>
      <c r="AP4" s="293" t="s">
        <v>191</v>
      </c>
      <c r="AQ4" s="293"/>
    </row>
    <row r="5" spans="1:58" x14ac:dyDescent="0.2">
      <c r="A5" s="103"/>
      <c r="C5" s="63"/>
      <c r="D5" s="63"/>
      <c r="E5" s="63"/>
      <c r="I5" s="63"/>
      <c r="U5" s="57"/>
      <c r="V5" s="57"/>
      <c r="W5" s="57"/>
      <c r="X5" s="57"/>
    </row>
    <row r="6" spans="1:58" x14ac:dyDescent="0.2">
      <c r="A6" s="102"/>
      <c r="B6" s="102"/>
    </row>
    <row r="7" spans="1:58" s="59" customFormat="1" x14ac:dyDescent="0.2">
      <c r="A7" s="107" t="s">
        <v>78</v>
      </c>
      <c r="B7" s="107"/>
      <c r="C7" s="107"/>
      <c r="D7" s="107"/>
      <c r="E7" s="107"/>
      <c r="F7" s="105"/>
      <c r="G7" s="105"/>
      <c r="H7" s="105"/>
      <c r="I7" s="107"/>
      <c r="J7" s="104"/>
      <c r="K7" s="104"/>
      <c r="L7" s="104"/>
      <c r="M7" s="104"/>
      <c r="N7" s="104"/>
      <c r="O7" s="105"/>
      <c r="P7" s="104"/>
      <c r="Q7" s="106"/>
      <c r="R7" s="106"/>
      <c r="S7" s="104"/>
      <c r="T7" s="105"/>
      <c r="U7" s="104"/>
      <c r="V7" s="104"/>
      <c r="W7" s="104"/>
      <c r="X7" s="104"/>
      <c r="Y7" s="104"/>
      <c r="Z7" s="104"/>
      <c r="AA7" s="104"/>
      <c r="AB7" s="104"/>
      <c r="AC7" s="104"/>
      <c r="AD7" s="104"/>
      <c r="AE7" s="104"/>
      <c r="AF7" s="104"/>
      <c r="AG7" s="104"/>
      <c r="AH7" s="104"/>
      <c r="AI7" s="104"/>
      <c r="AJ7" s="104"/>
      <c r="AK7" s="104"/>
      <c r="AL7" s="104"/>
      <c r="AM7" s="104"/>
      <c r="AN7" s="104"/>
      <c r="AO7" s="104"/>
      <c r="AP7" s="104"/>
      <c r="AQ7" s="104"/>
    </row>
    <row r="8" spans="1:58" x14ac:dyDescent="0.2">
      <c r="A8" s="103"/>
      <c r="B8" s="102"/>
    </row>
    <row r="9" spans="1:58" ht="15" x14ac:dyDescent="0.25">
      <c r="J9" s="97" t="s">
        <v>24</v>
      </c>
      <c r="K9" s="100"/>
      <c r="L9" s="100"/>
      <c r="M9" s="100"/>
      <c r="N9" s="100"/>
      <c r="O9" s="265"/>
      <c r="P9" s="258"/>
      <c r="Q9" s="53"/>
      <c r="R9" s="370" t="s">
        <v>77</v>
      </c>
      <c r="S9" s="371"/>
      <c r="U9" s="101" t="s">
        <v>76</v>
      </c>
      <c r="V9" s="100"/>
      <c r="W9" s="100" t="s">
        <v>47</v>
      </c>
      <c r="X9" s="100" t="s">
        <v>47</v>
      </c>
      <c r="Y9" s="100" t="s">
        <v>47</v>
      </c>
      <c r="Z9" s="100" t="s">
        <v>47</v>
      </c>
      <c r="AA9" s="100" t="s">
        <v>47</v>
      </c>
      <c r="AB9" s="100" t="s">
        <v>47</v>
      </c>
      <c r="AC9" s="100" t="s">
        <v>40</v>
      </c>
      <c r="AD9" s="100" t="s">
        <v>40</v>
      </c>
      <c r="AE9" s="100" t="s">
        <v>40</v>
      </c>
      <c r="AF9" s="100" t="s">
        <v>40</v>
      </c>
      <c r="AG9" s="100" t="s">
        <v>40</v>
      </c>
      <c r="AH9" s="100" t="s">
        <v>40</v>
      </c>
      <c r="AI9" s="100" t="s">
        <v>32</v>
      </c>
      <c r="AJ9" s="100" t="s">
        <v>32</v>
      </c>
      <c r="AK9" s="100" t="s">
        <v>32</v>
      </c>
      <c r="AL9" s="100" t="s">
        <v>32</v>
      </c>
      <c r="AM9" s="100" t="s">
        <v>32</v>
      </c>
      <c r="AN9" s="100" t="s">
        <v>32</v>
      </c>
      <c r="AO9" s="100" t="s">
        <v>32</v>
      </c>
      <c r="AP9" s="100" t="s">
        <v>31</v>
      </c>
      <c r="AQ9" s="265" t="s">
        <v>161</v>
      </c>
    </row>
    <row r="10" spans="1:58" ht="15" x14ac:dyDescent="0.25">
      <c r="B10" s="99" t="s">
        <v>75</v>
      </c>
      <c r="F10" s="98" t="s">
        <v>30</v>
      </c>
      <c r="G10" s="98" t="s">
        <v>29</v>
      </c>
      <c r="H10" s="98" t="s">
        <v>28</v>
      </c>
      <c r="J10" s="95" t="s">
        <v>74</v>
      </c>
      <c r="K10" s="95" t="s">
        <v>47</v>
      </c>
      <c r="L10" s="94" t="s">
        <v>40</v>
      </c>
      <c r="M10" s="94" t="s">
        <v>32</v>
      </c>
      <c r="N10" s="98" t="s">
        <v>31</v>
      </c>
      <c r="O10" s="282" t="s">
        <v>161</v>
      </c>
      <c r="P10" s="98" t="s">
        <v>73</v>
      </c>
      <c r="Q10" s="53"/>
      <c r="R10" s="97" t="s">
        <v>72</v>
      </c>
      <c r="S10" s="96" t="s">
        <v>71</v>
      </c>
      <c r="U10" s="95" t="s">
        <v>55</v>
      </c>
      <c r="V10" s="94" t="s">
        <v>54</v>
      </c>
      <c r="W10" s="95" t="s">
        <v>53</v>
      </c>
      <c r="X10" s="94" t="s">
        <v>52</v>
      </c>
      <c r="Y10" s="94" t="s">
        <v>51</v>
      </c>
      <c r="Z10" s="94" t="s">
        <v>50</v>
      </c>
      <c r="AA10" s="94" t="s">
        <v>49</v>
      </c>
      <c r="AB10" s="93" t="s">
        <v>48</v>
      </c>
      <c r="AC10" s="95" t="s">
        <v>46</v>
      </c>
      <c r="AD10" s="94" t="s">
        <v>45</v>
      </c>
      <c r="AE10" s="94" t="s">
        <v>44</v>
      </c>
      <c r="AF10" s="94" t="s">
        <v>43</v>
      </c>
      <c r="AG10" s="94" t="s">
        <v>42</v>
      </c>
      <c r="AH10" s="93" t="s">
        <v>41</v>
      </c>
      <c r="AI10" s="94" t="s">
        <v>39</v>
      </c>
      <c r="AJ10" s="94" t="s">
        <v>38</v>
      </c>
      <c r="AK10" s="94" t="s">
        <v>37</v>
      </c>
      <c r="AL10" s="94" t="s">
        <v>36</v>
      </c>
      <c r="AM10" s="94" t="s">
        <v>35</v>
      </c>
      <c r="AN10" s="94" t="s">
        <v>34</v>
      </c>
      <c r="AO10" s="93" t="s">
        <v>33</v>
      </c>
      <c r="AP10" s="93" t="s">
        <v>31</v>
      </c>
      <c r="AQ10" s="281" t="s">
        <v>161</v>
      </c>
    </row>
    <row r="11" spans="1:58" x14ac:dyDescent="0.2">
      <c r="D11" s="55" t="s">
        <v>68</v>
      </c>
      <c r="F11" s="76">
        <v>1218.8062360697741</v>
      </c>
      <c r="G11" s="76">
        <v>1183.4344281784981</v>
      </c>
      <c r="H11" s="76">
        <v>2475.6768968077099</v>
      </c>
      <c r="J11" s="212"/>
      <c r="K11" s="209">
        <f t="shared" ref="K11:O22" si="0">SUMIF($U$9:$AQ$9,K$10, $U11:$AQ11)</f>
        <v>3706</v>
      </c>
      <c r="L11" s="208">
        <f t="shared" si="0"/>
        <v>3345</v>
      </c>
      <c r="M11" s="208">
        <f t="shared" si="0"/>
        <v>2004</v>
      </c>
      <c r="N11" s="209">
        <f t="shared" si="0"/>
        <v>611</v>
      </c>
      <c r="O11" s="283">
        <f t="shared" si="0"/>
        <v>314</v>
      </c>
      <c r="P11" s="209">
        <f>SUM(M11:N11)</f>
        <v>2615</v>
      </c>
      <c r="Q11" s="58"/>
      <c r="R11" s="92" t="s">
        <v>70</v>
      </c>
      <c r="S11" s="91" t="s">
        <v>69</v>
      </c>
      <c r="T11" s="58"/>
      <c r="U11" s="84"/>
      <c r="V11" s="85"/>
      <c r="W11" s="84">
        <v>390</v>
      </c>
      <c r="X11" s="83">
        <v>768</v>
      </c>
      <c r="Y11" s="83">
        <v>886</v>
      </c>
      <c r="Z11" s="83">
        <v>560</v>
      </c>
      <c r="AA11" s="83">
        <v>256</v>
      </c>
      <c r="AB11" s="82">
        <v>846</v>
      </c>
      <c r="AC11" s="90">
        <v>1079</v>
      </c>
      <c r="AD11" s="89">
        <v>1049</v>
      </c>
      <c r="AE11" s="89">
        <v>527</v>
      </c>
      <c r="AF11" s="89">
        <v>442</v>
      </c>
      <c r="AG11" s="89">
        <v>248</v>
      </c>
      <c r="AH11" s="267">
        <v>0</v>
      </c>
      <c r="AI11" s="88">
        <v>406</v>
      </c>
      <c r="AJ11" s="270">
        <v>0</v>
      </c>
      <c r="AK11" s="83">
        <v>369</v>
      </c>
      <c r="AL11" s="83">
        <v>341</v>
      </c>
      <c r="AM11" s="83">
        <v>148</v>
      </c>
      <c r="AN11" s="83">
        <v>184</v>
      </c>
      <c r="AO11" s="82">
        <v>556</v>
      </c>
      <c r="AP11" s="82">
        <v>611</v>
      </c>
      <c r="AQ11" s="268">
        <v>314</v>
      </c>
    </row>
    <row r="12" spans="1:58" x14ac:dyDescent="0.2">
      <c r="D12" s="55" t="s">
        <v>67</v>
      </c>
      <c r="F12" s="76">
        <v>1580.6526451884408</v>
      </c>
      <c r="G12" s="76">
        <v>1517.6562073744819</v>
      </c>
      <c r="H12" s="76">
        <v>2620.5666086549813</v>
      </c>
      <c r="J12" s="213"/>
      <c r="K12" s="209">
        <f t="shared" si="0"/>
        <v>2573</v>
      </c>
      <c r="L12" s="208">
        <f t="shared" si="0"/>
        <v>3435</v>
      </c>
      <c r="M12" s="208">
        <f t="shared" si="0"/>
        <v>2971</v>
      </c>
      <c r="N12" s="209">
        <f t="shared" si="0"/>
        <v>998</v>
      </c>
      <c r="O12" s="283">
        <f t="shared" si="0"/>
        <v>927</v>
      </c>
      <c r="P12" s="209">
        <f>SUM(M12:N12)</f>
        <v>3969</v>
      </c>
      <c r="Q12" s="58"/>
      <c r="R12" s="87" t="s">
        <v>70</v>
      </c>
      <c r="S12" s="86" t="s">
        <v>69</v>
      </c>
      <c r="T12" s="58"/>
      <c r="U12" s="84"/>
      <c r="V12" s="85"/>
      <c r="W12" s="84">
        <v>346</v>
      </c>
      <c r="X12" s="83">
        <v>658</v>
      </c>
      <c r="Y12" s="83">
        <v>444</v>
      </c>
      <c r="Z12" s="83">
        <v>354</v>
      </c>
      <c r="AA12" s="83">
        <v>105</v>
      </c>
      <c r="AB12" s="82">
        <v>666</v>
      </c>
      <c r="AC12" s="84">
        <v>1104</v>
      </c>
      <c r="AD12" s="83">
        <v>857</v>
      </c>
      <c r="AE12" s="83">
        <v>712</v>
      </c>
      <c r="AF12" s="83">
        <v>316</v>
      </c>
      <c r="AG12" s="83">
        <v>446</v>
      </c>
      <c r="AH12" s="268">
        <v>0</v>
      </c>
      <c r="AI12" s="88">
        <v>347</v>
      </c>
      <c r="AJ12" s="270">
        <v>0</v>
      </c>
      <c r="AK12" s="83">
        <v>265</v>
      </c>
      <c r="AL12" s="83">
        <v>553</v>
      </c>
      <c r="AM12" s="83">
        <v>1040</v>
      </c>
      <c r="AN12" s="83">
        <v>249</v>
      </c>
      <c r="AO12" s="82">
        <v>517</v>
      </c>
      <c r="AP12" s="82">
        <v>998</v>
      </c>
      <c r="AQ12" s="268">
        <v>927</v>
      </c>
    </row>
    <row r="13" spans="1:58" x14ac:dyDescent="0.2">
      <c r="D13" s="53" t="s">
        <v>66</v>
      </c>
      <c r="F13" s="76">
        <v>52490.625494596236</v>
      </c>
      <c r="G13" s="76">
        <v>50810.105884188524</v>
      </c>
      <c r="H13" s="76">
        <v>58154.362410924339</v>
      </c>
      <c r="J13" s="213"/>
      <c r="K13" s="209">
        <f t="shared" si="0"/>
        <v>13</v>
      </c>
      <c r="L13" s="208">
        <f t="shared" si="0"/>
        <v>36</v>
      </c>
      <c r="M13" s="208">
        <f t="shared" si="0"/>
        <v>17</v>
      </c>
      <c r="N13" s="209">
        <f t="shared" si="0"/>
        <v>2</v>
      </c>
      <c r="O13" s="283">
        <f t="shared" si="0"/>
        <v>3</v>
      </c>
      <c r="P13" s="209">
        <f t="shared" ref="P13:P22" si="1">SUM(J13:N13)</f>
        <v>68</v>
      </c>
      <c r="Q13" s="58"/>
      <c r="R13" s="87" t="s">
        <v>70</v>
      </c>
      <c r="S13" s="86" t="s">
        <v>69</v>
      </c>
      <c r="T13" s="58"/>
      <c r="U13" s="84"/>
      <c r="V13" s="85"/>
      <c r="W13" s="84">
        <v>4</v>
      </c>
      <c r="X13" s="83">
        <v>4</v>
      </c>
      <c r="Y13" s="83">
        <v>1</v>
      </c>
      <c r="Z13" s="83">
        <v>1</v>
      </c>
      <c r="AA13" s="83">
        <v>0</v>
      </c>
      <c r="AB13" s="82">
        <v>3</v>
      </c>
      <c r="AC13" s="84">
        <v>13</v>
      </c>
      <c r="AD13" s="83">
        <v>11</v>
      </c>
      <c r="AE13" s="83">
        <v>1</v>
      </c>
      <c r="AF13" s="83">
        <v>3</v>
      </c>
      <c r="AG13" s="83">
        <v>8</v>
      </c>
      <c r="AH13" s="268">
        <v>0</v>
      </c>
      <c r="AI13" s="88">
        <v>1</v>
      </c>
      <c r="AJ13" s="270">
        <v>0</v>
      </c>
      <c r="AK13" s="83">
        <v>6</v>
      </c>
      <c r="AL13" s="83">
        <v>3</v>
      </c>
      <c r="AM13" s="83">
        <v>1</v>
      </c>
      <c r="AN13" s="83">
        <v>1</v>
      </c>
      <c r="AO13" s="82">
        <v>5</v>
      </c>
      <c r="AP13" s="82">
        <v>2</v>
      </c>
      <c r="AQ13" s="268">
        <v>3</v>
      </c>
    </row>
    <row r="14" spans="1:58" x14ac:dyDescent="0.2">
      <c r="D14" s="55" t="s">
        <v>65</v>
      </c>
      <c r="F14" s="76">
        <v>13333.693372777832</v>
      </c>
      <c r="G14" s="76">
        <v>15034.919217366642</v>
      </c>
      <c r="H14" s="76">
        <v>25692.520114554711</v>
      </c>
      <c r="J14" s="213"/>
      <c r="K14" s="209">
        <f t="shared" si="0"/>
        <v>31</v>
      </c>
      <c r="L14" s="208">
        <f t="shared" si="0"/>
        <v>49</v>
      </c>
      <c r="M14" s="208">
        <f t="shared" si="0"/>
        <v>18</v>
      </c>
      <c r="N14" s="209">
        <f t="shared" si="0"/>
        <v>4</v>
      </c>
      <c r="O14" s="283">
        <f t="shared" si="0"/>
        <v>0</v>
      </c>
      <c r="P14" s="209">
        <f t="shared" si="1"/>
        <v>102</v>
      </c>
      <c r="Q14" s="58"/>
      <c r="R14" s="87" t="s">
        <v>70</v>
      </c>
      <c r="S14" s="86" t="s">
        <v>70</v>
      </c>
      <c r="T14" s="58"/>
      <c r="U14" s="84"/>
      <c r="V14" s="85"/>
      <c r="W14" s="84">
        <v>2</v>
      </c>
      <c r="X14" s="83">
        <v>17</v>
      </c>
      <c r="Y14" s="83">
        <v>3</v>
      </c>
      <c r="Z14" s="83">
        <v>6</v>
      </c>
      <c r="AA14" s="83">
        <v>0</v>
      </c>
      <c r="AB14" s="82">
        <v>3</v>
      </c>
      <c r="AC14" s="84">
        <v>21</v>
      </c>
      <c r="AD14" s="83">
        <v>10</v>
      </c>
      <c r="AE14" s="83">
        <v>9</v>
      </c>
      <c r="AF14" s="83">
        <v>2</v>
      </c>
      <c r="AG14" s="83">
        <v>7</v>
      </c>
      <c r="AH14" s="268">
        <v>0</v>
      </c>
      <c r="AI14" s="88">
        <v>0</v>
      </c>
      <c r="AJ14" s="270">
        <v>0</v>
      </c>
      <c r="AK14" s="83">
        <v>1</v>
      </c>
      <c r="AL14" s="83">
        <v>3</v>
      </c>
      <c r="AM14" s="83">
        <v>2</v>
      </c>
      <c r="AN14" s="83">
        <v>7</v>
      </c>
      <c r="AO14" s="82">
        <v>5</v>
      </c>
      <c r="AP14" s="82">
        <v>4</v>
      </c>
      <c r="AQ14" s="268"/>
    </row>
    <row r="15" spans="1:58" x14ac:dyDescent="0.2">
      <c r="D15" s="53" t="s">
        <v>64</v>
      </c>
      <c r="F15" s="76">
        <v>26783.233947808279</v>
      </c>
      <c r="G15" s="76">
        <v>31901.824684915722</v>
      </c>
      <c r="H15" s="76">
        <v>35969.005579017663</v>
      </c>
      <c r="J15" s="213"/>
      <c r="K15" s="209">
        <f t="shared" si="0"/>
        <v>42</v>
      </c>
      <c r="L15" s="208">
        <f t="shared" si="0"/>
        <v>97</v>
      </c>
      <c r="M15" s="208">
        <f t="shared" si="0"/>
        <v>69</v>
      </c>
      <c r="N15" s="209">
        <f t="shared" si="0"/>
        <v>0</v>
      </c>
      <c r="O15" s="283">
        <f t="shared" si="0"/>
        <v>0</v>
      </c>
      <c r="P15" s="209">
        <f t="shared" si="1"/>
        <v>208</v>
      </c>
      <c r="Q15" s="58"/>
      <c r="R15" s="87" t="s">
        <v>70</v>
      </c>
      <c r="S15" s="86" t="s">
        <v>70</v>
      </c>
      <c r="T15" s="58"/>
      <c r="U15" s="84"/>
      <c r="V15" s="85"/>
      <c r="W15" s="84">
        <v>2</v>
      </c>
      <c r="X15" s="83">
        <v>9</v>
      </c>
      <c r="Y15" s="83">
        <v>8</v>
      </c>
      <c r="Z15" s="83">
        <v>3</v>
      </c>
      <c r="AA15" s="83">
        <v>12</v>
      </c>
      <c r="AB15" s="82">
        <v>8</v>
      </c>
      <c r="AC15" s="84">
        <v>32</v>
      </c>
      <c r="AD15" s="83">
        <v>31</v>
      </c>
      <c r="AE15" s="83">
        <v>10</v>
      </c>
      <c r="AF15" s="83">
        <v>11</v>
      </c>
      <c r="AG15" s="83">
        <v>13</v>
      </c>
      <c r="AH15" s="268">
        <v>0</v>
      </c>
      <c r="AI15" s="88">
        <v>19</v>
      </c>
      <c r="AJ15" s="270">
        <v>0</v>
      </c>
      <c r="AK15" s="83">
        <v>18</v>
      </c>
      <c r="AL15" s="83">
        <v>10</v>
      </c>
      <c r="AM15" s="83">
        <v>2</v>
      </c>
      <c r="AN15" s="83">
        <v>4</v>
      </c>
      <c r="AO15" s="82">
        <v>16</v>
      </c>
      <c r="AP15" s="82"/>
      <c r="AQ15" s="268"/>
    </row>
    <row r="16" spans="1:58" x14ac:dyDescent="0.2">
      <c r="D16" s="53" t="s">
        <v>63</v>
      </c>
      <c r="F16" s="76">
        <v>35652.141464441505</v>
      </c>
      <c r="G16" s="76">
        <v>35016.040417869997</v>
      </c>
      <c r="H16" s="76">
        <v>29984.014741289498</v>
      </c>
      <c r="J16" s="213"/>
      <c r="K16" s="209">
        <f t="shared" si="0"/>
        <v>190</v>
      </c>
      <c r="L16" s="208">
        <f t="shared" si="0"/>
        <v>244</v>
      </c>
      <c r="M16" s="208">
        <f t="shared" si="0"/>
        <v>119</v>
      </c>
      <c r="N16" s="209">
        <f t="shared" si="0"/>
        <v>0</v>
      </c>
      <c r="O16" s="283">
        <f t="shared" si="0"/>
        <v>0</v>
      </c>
      <c r="P16" s="209">
        <f t="shared" si="1"/>
        <v>553</v>
      </c>
      <c r="Q16" s="58"/>
      <c r="R16" s="87" t="s">
        <v>70</v>
      </c>
      <c r="S16" s="86" t="s">
        <v>70</v>
      </c>
      <c r="T16" s="58"/>
      <c r="U16" s="84"/>
      <c r="V16" s="85"/>
      <c r="W16" s="84">
        <v>41</v>
      </c>
      <c r="X16" s="83">
        <v>42</v>
      </c>
      <c r="Y16" s="83">
        <v>30</v>
      </c>
      <c r="Z16" s="83">
        <v>33</v>
      </c>
      <c r="AA16" s="83">
        <v>13</v>
      </c>
      <c r="AB16" s="82">
        <v>31</v>
      </c>
      <c r="AC16" s="84">
        <v>77</v>
      </c>
      <c r="AD16" s="83">
        <v>61</v>
      </c>
      <c r="AE16" s="83">
        <v>35</v>
      </c>
      <c r="AF16" s="83">
        <v>27</v>
      </c>
      <c r="AG16" s="83">
        <v>44</v>
      </c>
      <c r="AH16" s="268">
        <v>0</v>
      </c>
      <c r="AI16" s="88">
        <v>17</v>
      </c>
      <c r="AJ16" s="270">
        <v>0</v>
      </c>
      <c r="AK16" s="83">
        <v>27</v>
      </c>
      <c r="AL16" s="83">
        <v>22</v>
      </c>
      <c r="AM16" s="83">
        <v>11</v>
      </c>
      <c r="AN16" s="83">
        <v>17</v>
      </c>
      <c r="AO16" s="82">
        <v>25</v>
      </c>
      <c r="AP16" s="82"/>
      <c r="AQ16" s="268"/>
    </row>
    <row r="17" spans="1:43" x14ac:dyDescent="0.2">
      <c r="D17" s="53" t="s">
        <v>62</v>
      </c>
      <c r="F17" s="76">
        <v>2301.2200188915804</v>
      </c>
      <c r="G17" s="76">
        <v>1466.9361522533911</v>
      </c>
      <c r="H17" s="76">
        <v>2457.8474810609214</v>
      </c>
      <c r="J17" s="213"/>
      <c r="K17" s="209">
        <f t="shared" si="0"/>
        <v>211</v>
      </c>
      <c r="L17" s="208">
        <f t="shared" si="0"/>
        <v>140</v>
      </c>
      <c r="M17" s="208">
        <f t="shared" si="0"/>
        <v>253</v>
      </c>
      <c r="N17" s="209">
        <f t="shared" si="0"/>
        <v>0</v>
      </c>
      <c r="O17" s="283">
        <f t="shared" si="0"/>
        <v>0</v>
      </c>
      <c r="P17" s="209">
        <f t="shared" si="1"/>
        <v>604</v>
      </c>
      <c r="Q17" s="58"/>
      <c r="R17" s="87" t="s">
        <v>70</v>
      </c>
      <c r="S17" s="86" t="s">
        <v>70</v>
      </c>
      <c r="T17" s="58"/>
      <c r="U17" s="84"/>
      <c r="V17" s="85"/>
      <c r="W17" s="84">
        <v>42</v>
      </c>
      <c r="X17" s="83">
        <v>46</v>
      </c>
      <c r="Y17" s="83">
        <v>34</v>
      </c>
      <c r="Z17" s="83">
        <v>39</v>
      </c>
      <c r="AA17" s="83">
        <v>14</v>
      </c>
      <c r="AB17" s="82">
        <v>36</v>
      </c>
      <c r="AC17" s="84">
        <v>43</v>
      </c>
      <c r="AD17" s="83">
        <v>45</v>
      </c>
      <c r="AE17" s="83">
        <v>15</v>
      </c>
      <c r="AF17" s="83">
        <v>16</v>
      </c>
      <c r="AG17" s="83">
        <v>21</v>
      </c>
      <c r="AH17" s="268">
        <v>0</v>
      </c>
      <c r="AI17" s="88">
        <v>44</v>
      </c>
      <c r="AJ17" s="270">
        <v>0</v>
      </c>
      <c r="AK17" s="83">
        <v>50</v>
      </c>
      <c r="AL17" s="83">
        <v>49</v>
      </c>
      <c r="AM17" s="83">
        <v>10</v>
      </c>
      <c r="AN17" s="83">
        <v>30</v>
      </c>
      <c r="AO17" s="82">
        <v>70</v>
      </c>
      <c r="AP17" s="82"/>
      <c r="AQ17" s="268"/>
    </row>
    <row r="18" spans="1:43" x14ac:dyDescent="0.2">
      <c r="D18" s="53" t="s">
        <v>61</v>
      </c>
      <c r="F18" s="76">
        <v>13602.70976559782</v>
      </c>
      <c r="G18" s="76">
        <v>13042.948066300896</v>
      </c>
      <c r="H18" s="76">
        <v>16252.303289494826</v>
      </c>
      <c r="J18" s="213"/>
      <c r="K18" s="209">
        <f t="shared" si="0"/>
        <v>244</v>
      </c>
      <c r="L18" s="208">
        <f t="shared" si="0"/>
        <v>180</v>
      </c>
      <c r="M18" s="208">
        <f t="shared" si="0"/>
        <v>189</v>
      </c>
      <c r="N18" s="209">
        <f t="shared" si="0"/>
        <v>0</v>
      </c>
      <c r="O18" s="283">
        <f t="shared" si="0"/>
        <v>0</v>
      </c>
      <c r="P18" s="209">
        <f t="shared" si="1"/>
        <v>613</v>
      </c>
      <c r="Q18" s="58"/>
      <c r="R18" s="87" t="s">
        <v>70</v>
      </c>
      <c r="S18" s="86" t="s">
        <v>70</v>
      </c>
      <c r="T18" s="58"/>
      <c r="U18" s="84"/>
      <c r="V18" s="85"/>
      <c r="W18" s="84">
        <v>48</v>
      </c>
      <c r="X18" s="83">
        <v>56</v>
      </c>
      <c r="Y18" s="83">
        <v>40</v>
      </c>
      <c r="Z18" s="83">
        <v>42</v>
      </c>
      <c r="AA18" s="83">
        <v>32</v>
      </c>
      <c r="AB18" s="82">
        <v>26</v>
      </c>
      <c r="AC18" s="84">
        <v>59</v>
      </c>
      <c r="AD18" s="83">
        <v>57</v>
      </c>
      <c r="AE18" s="83">
        <v>20</v>
      </c>
      <c r="AF18" s="83">
        <v>22</v>
      </c>
      <c r="AG18" s="83">
        <v>22</v>
      </c>
      <c r="AH18" s="268">
        <v>0</v>
      </c>
      <c r="AI18" s="88">
        <v>35</v>
      </c>
      <c r="AJ18" s="270">
        <v>0</v>
      </c>
      <c r="AK18" s="83">
        <v>33</v>
      </c>
      <c r="AL18" s="83">
        <v>25</v>
      </c>
      <c r="AM18" s="83">
        <v>18</v>
      </c>
      <c r="AN18" s="83">
        <v>39</v>
      </c>
      <c r="AO18" s="82">
        <v>39</v>
      </c>
      <c r="AP18" s="82"/>
      <c r="AQ18" s="268"/>
    </row>
    <row r="19" spans="1:43" x14ac:dyDescent="0.2">
      <c r="D19" s="53" t="s">
        <v>60</v>
      </c>
      <c r="F19" s="76">
        <v>22519.297092080044</v>
      </c>
      <c r="G19" s="76">
        <v>22570.52261681798</v>
      </c>
      <c r="H19" s="76">
        <v>22211.958403691915</v>
      </c>
      <c r="J19" s="213"/>
      <c r="K19" s="209">
        <f t="shared" si="0"/>
        <v>6</v>
      </c>
      <c r="L19" s="208">
        <f t="shared" si="0"/>
        <v>9</v>
      </c>
      <c r="M19" s="208">
        <f t="shared" si="0"/>
        <v>10</v>
      </c>
      <c r="N19" s="209">
        <f t="shared" si="0"/>
        <v>0</v>
      </c>
      <c r="O19" s="283">
        <f t="shared" si="0"/>
        <v>0</v>
      </c>
      <c r="P19" s="209">
        <f t="shared" si="1"/>
        <v>25</v>
      </c>
      <c r="Q19" s="58"/>
      <c r="R19" s="87" t="s">
        <v>70</v>
      </c>
      <c r="S19" s="86" t="s">
        <v>70</v>
      </c>
      <c r="T19" s="58"/>
      <c r="U19" s="84"/>
      <c r="V19" s="85"/>
      <c r="W19" s="84">
        <v>2</v>
      </c>
      <c r="X19" s="83">
        <v>2</v>
      </c>
      <c r="Y19" s="83">
        <v>0</v>
      </c>
      <c r="Z19" s="83">
        <v>1</v>
      </c>
      <c r="AA19" s="83">
        <v>0</v>
      </c>
      <c r="AB19" s="82">
        <v>1</v>
      </c>
      <c r="AC19" s="84">
        <v>4</v>
      </c>
      <c r="AD19" s="83">
        <v>5</v>
      </c>
      <c r="AE19" s="83">
        <v>0</v>
      </c>
      <c r="AF19" s="83">
        <v>0</v>
      </c>
      <c r="AG19" s="83">
        <v>0</v>
      </c>
      <c r="AH19" s="268">
        <v>0</v>
      </c>
      <c r="AI19" s="88">
        <v>1</v>
      </c>
      <c r="AJ19" s="270">
        <v>0</v>
      </c>
      <c r="AK19" s="83">
        <v>1</v>
      </c>
      <c r="AL19" s="83">
        <v>3</v>
      </c>
      <c r="AM19" s="83">
        <v>1</v>
      </c>
      <c r="AN19" s="83">
        <v>1</v>
      </c>
      <c r="AO19" s="82">
        <v>3</v>
      </c>
      <c r="AP19" s="82"/>
      <c r="AQ19" s="268"/>
    </row>
    <row r="20" spans="1:43" x14ac:dyDescent="0.2">
      <c r="D20" s="53" t="s">
        <v>59</v>
      </c>
      <c r="F20" s="76">
        <v>188495.55289063053</v>
      </c>
      <c r="G20" s="76">
        <v>180946.86229306285</v>
      </c>
      <c r="H20" s="76">
        <v>247619.26043024825</v>
      </c>
      <c r="J20" s="213"/>
      <c r="K20" s="209">
        <f t="shared" si="0"/>
        <v>8</v>
      </c>
      <c r="L20" s="208">
        <f t="shared" si="0"/>
        <v>16</v>
      </c>
      <c r="M20" s="208">
        <f t="shared" si="0"/>
        <v>6</v>
      </c>
      <c r="N20" s="209">
        <f t="shared" si="0"/>
        <v>0</v>
      </c>
      <c r="O20" s="283">
        <f t="shared" si="0"/>
        <v>0</v>
      </c>
      <c r="P20" s="209">
        <f t="shared" si="1"/>
        <v>30</v>
      </c>
      <c r="Q20" s="58"/>
      <c r="R20" s="87" t="s">
        <v>69</v>
      </c>
      <c r="S20" s="86" t="s">
        <v>69</v>
      </c>
      <c r="T20" s="58"/>
      <c r="U20" s="84"/>
      <c r="V20" s="85"/>
      <c r="W20" s="84">
        <v>0</v>
      </c>
      <c r="X20" s="83">
        <v>2</v>
      </c>
      <c r="Y20" s="83">
        <v>3</v>
      </c>
      <c r="Z20" s="83">
        <v>2</v>
      </c>
      <c r="AA20" s="83">
        <v>0</v>
      </c>
      <c r="AB20" s="82">
        <v>1</v>
      </c>
      <c r="AC20" s="84">
        <v>2</v>
      </c>
      <c r="AD20" s="83">
        <v>2</v>
      </c>
      <c r="AE20" s="83">
        <v>2</v>
      </c>
      <c r="AF20" s="83">
        <v>2</v>
      </c>
      <c r="AG20" s="83">
        <v>8</v>
      </c>
      <c r="AH20" s="268">
        <v>0</v>
      </c>
      <c r="AI20" s="88">
        <v>2</v>
      </c>
      <c r="AJ20" s="270">
        <v>0</v>
      </c>
      <c r="AK20" s="83">
        <v>1</v>
      </c>
      <c r="AL20" s="83">
        <v>0</v>
      </c>
      <c r="AM20" s="83">
        <v>1</v>
      </c>
      <c r="AN20" s="83">
        <v>2</v>
      </c>
      <c r="AO20" s="82">
        <v>0</v>
      </c>
      <c r="AP20" s="82"/>
      <c r="AQ20" s="268"/>
    </row>
    <row r="21" spans="1:43" x14ac:dyDescent="0.2">
      <c r="D21" s="53" t="s">
        <v>58</v>
      </c>
      <c r="F21" s="76">
        <v>100774.35994033124</v>
      </c>
      <c r="G21" s="76">
        <v>96614</v>
      </c>
      <c r="H21" s="76">
        <v>96613.999999999549</v>
      </c>
      <c r="J21" s="213"/>
      <c r="K21" s="209">
        <f t="shared" si="0"/>
        <v>9</v>
      </c>
      <c r="L21" s="208">
        <f t="shared" si="0"/>
        <v>26</v>
      </c>
      <c r="M21" s="208">
        <f t="shared" si="0"/>
        <v>76</v>
      </c>
      <c r="N21" s="209">
        <f t="shared" si="0"/>
        <v>0</v>
      </c>
      <c r="O21" s="283">
        <f t="shared" si="0"/>
        <v>0</v>
      </c>
      <c r="P21" s="209">
        <f t="shared" si="1"/>
        <v>111</v>
      </c>
      <c r="Q21" s="58"/>
      <c r="R21" s="87" t="s">
        <v>69</v>
      </c>
      <c r="S21" s="86" t="s">
        <v>69</v>
      </c>
      <c r="T21" s="58"/>
      <c r="U21" s="84"/>
      <c r="V21" s="85"/>
      <c r="W21" s="84">
        <v>0</v>
      </c>
      <c r="X21" s="83">
        <v>4</v>
      </c>
      <c r="Y21" s="83">
        <v>2</v>
      </c>
      <c r="Z21" s="83">
        <v>0</v>
      </c>
      <c r="AA21" s="83">
        <v>0</v>
      </c>
      <c r="AB21" s="82">
        <v>3</v>
      </c>
      <c r="AC21" s="84">
        <v>9</v>
      </c>
      <c r="AD21" s="83">
        <v>6</v>
      </c>
      <c r="AE21" s="83">
        <v>5</v>
      </c>
      <c r="AF21" s="83">
        <v>6</v>
      </c>
      <c r="AG21" s="83">
        <v>0</v>
      </c>
      <c r="AH21" s="268">
        <v>0</v>
      </c>
      <c r="AI21" s="88">
        <v>8</v>
      </c>
      <c r="AJ21" s="270">
        <v>0</v>
      </c>
      <c r="AK21" s="83">
        <v>12</v>
      </c>
      <c r="AL21" s="83">
        <v>9</v>
      </c>
      <c r="AM21" s="83">
        <v>30</v>
      </c>
      <c r="AN21" s="83">
        <v>9</v>
      </c>
      <c r="AO21" s="82">
        <v>8</v>
      </c>
      <c r="AP21" s="82"/>
      <c r="AQ21" s="268"/>
    </row>
    <row r="22" spans="1:43" ht="12.75" customHeight="1" x14ac:dyDescent="0.2">
      <c r="D22" s="53" t="s">
        <v>57</v>
      </c>
      <c r="F22" s="76">
        <v>250</v>
      </c>
      <c r="G22" s="76"/>
      <c r="H22" s="76"/>
      <c r="J22" s="215"/>
      <c r="K22" s="209">
        <f t="shared" si="0"/>
        <v>1362</v>
      </c>
      <c r="L22" s="216">
        <f t="shared" si="0"/>
        <v>0</v>
      </c>
      <c r="M22" s="216">
        <f t="shared" si="0"/>
        <v>0</v>
      </c>
      <c r="N22" s="209">
        <f t="shared" si="0"/>
        <v>0</v>
      </c>
      <c r="O22" s="283">
        <f t="shared" si="0"/>
        <v>0</v>
      </c>
      <c r="P22" s="217">
        <f t="shared" si="1"/>
        <v>1362</v>
      </c>
      <c r="Q22" s="58"/>
      <c r="R22" s="87" t="s">
        <v>70</v>
      </c>
      <c r="S22" s="86" t="s">
        <v>70</v>
      </c>
      <c r="T22" s="58"/>
      <c r="U22" s="84"/>
      <c r="V22" s="85"/>
      <c r="W22" s="84">
        <v>86</v>
      </c>
      <c r="X22" s="83">
        <v>1276</v>
      </c>
      <c r="Y22" s="83">
        <v>0</v>
      </c>
      <c r="Z22" s="83">
        <v>0</v>
      </c>
      <c r="AA22" s="83">
        <v>0</v>
      </c>
      <c r="AB22" s="82">
        <v>0</v>
      </c>
      <c r="AC22" s="81">
        <v>0</v>
      </c>
      <c r="AD22" s="79">
        <v>0</v>
      </c>
      <c r="AE22" s="79">
        <v>0</v>
      </c>
      <c r="AF22" s="79">
        <v>0</v>
      </c>
      <c r="AG22" s="79">
        <v>0</v>
      </c>
      <c r="AH22" s="80">
        <v>0</v>
      </c>
      <c r="AI22" s="79">
        <v>0</v>
      </c>
      <c r="AJ22" s="78">
        <v>0</v>
      </c>
      <c r="AK22" s="78">
        <v>0</v>
      </c>
      <c r="AL22" s="78">
        <v>0</v>
      </c>
      <c r="AM22" s="78">
        <v>0</v>
      </c>
      <c r="AN22" s="78">
        <v>0</v>
      </c>
      <c r="AO22" s="77">
        <v>0</v>
      </c>
      <c r="AP22" s="77"/>
      <c r="AQ22" s="268"/>
    </row>
    <row r="23" spans="1:43" ht="12.75" customHeight="1" x14ac:dyDescent="0.2">
      <c r="D23" s="53" t="s">
        <v>56</v>
      </c>
      <c r="F23" s="76">
        <v>757.6656469142597</v>
      </c>
      <c r="G23" s="76">
        <v>312</v>
      </c>
      <c r="H23" s="76">
        <v>424.8995610865141</v>
      </c>
      <c r="J23" s="214">
        <f>SUM(U23:V23)</f>
        <v>4230</v>
      </c>
      <c r="K23" s="211">
        <f>SUMIF($U$9:$AQ$9,K$10, $U23:$AQ23)</f>
        <v>4048</v>
      </c>
      <c r="L23" s="210">
        <f>SUMIF($U$9:$AQ$9,L$10, $U23:$AQ23)</f>
        <v>24084</v>
      </c>
      <c r="M23" s="210">
        <f>SUMIF($U$9:$AQ$9,M$10, $U23:$AQ23)</f>
        <v>7454</v>
      </c>
      <c r="N23" s="211">
        <f>AP23</f>
        <v>459</v>
      </c>
      <c r="O23" s="284">
        <f>AQ23</f>
        <v>1967</v>
      </c>
      <c r="P23" s="211">
        <f>SUM(J23:N23)</f>
        <v>40275</v>
      </c>
      <c r="Q23" s="58"/>
      <c r="R23" s="75" t="s">
        <v>69</v>
      </c>
      <c r="S23" s="74" t="s">
        <v>69</v>
      </c>
      <c r="T23" s="58"/>
      <c r="U23" s="72">
        <v>3367</v>
      </c>
      <c r="V23" s="73">
        <v>863</v>
      </c>
      <c r="W23" s="72">
        <v>65</v>
      </c>
      <c r="X23" s="70">
        <v>1576</v>
      </c>
      <c r="Y23" s="70">
        <v>626</v>
      </c>
      <c r="Z23" s="70">
        <v>163</v>
      </c>
      <c r="AA23" s="70">
        <v>352</v>
      </c>
      <c r="AB23" s="69">
        <v>1266</v>
      </c>
      <c r="AC23" s="72">
        <v>10609</v>
      </c>
      <c r="AD23" s="70">
        <v>6496</v>
      </c>
      <c r="AE23" s="70">
        <v>3214</v>
      </c>
      <c r="AF23" s="70">
        <v>3524</v>
      </c>
      <c r="AG23" s="70">
        <v>241</v>
      </c>
      <c r="AH23" s="269">
        <v>0</v>
      </c>
      <c r="AI23" s="71">
        <v>1448</v>
      </c>
      <c r="AJ23" s="271">
        <v>0</v>
      </c>
      <c r="AK23" s="70">
        <v>702</v>
      </c>
      <c r="AL23" s="70">
        <v>674</v>
      </c>
      <c r="AM23" s="70">
        <v>4176</v>
      </c>
      <c r="AN23" s="70">
        <v>164</v>
      </c>
      <c r="AO23" s="69">
        <v>290</v>
      </c>
      <c r="AP23" s="69">
        <v>459</v>
      </c>
      <c r="AQ23" s="269">
        <v>1967</v>
      </c>
    </row>
    <row r="24" spans="1:43" ht="12.75" customHeight="1" x14ac:dyDescent="0.2">
      <c r="F24" s="58"/>
      <c r="G24" s="58"/>
      <c r="H24" s="58"/>
      <c r="J24" s="58"/>
      <c r="K24" s="58"/>
      <c r="L24" s="58"/>
      <c r="M24" s="58"/>
      <c r="N24" s="58"/>
      <c r="P24" s="58"/>
      <c r="Q24" s="58"/>
      <c r="R24" s="68"/>
      <c r="S24" s="68"/>
      <c r="T24" s="58"/>
      <c r="U24" s="58"/>
      <c r="V24" s="58"/>
      <c r="W24" s="58"/>
      <c r="X24" s="58"/>
      <c r="Y24" s="58"/>
      <c r="Z24" s="58"/>
      <c r="AA24" s="58"/>
      <c r="AB24" s="58"/>
      <c r="AC24" s="58"/>
      <c r="AD24" s="58"/>
      <c r="AE24" s="58"/>
      <c r="AF24" s="58"/>
      <c r="AG24" s="58"/>
      <c r="AH24" s="58"/>
      <c r="AI24" s="58"/>
      <c r="AJ24" s="58"/>
      <c r="AK24" s="58"/>
      <c r="AL24" s="58"/>
      <c r="AM24" s="58"/>
      <c r="AN24" s="58"/>
      <c r="AO24" s="58"/>
      <c r="AP24" s="58"/>
    </row>
    <row r="25" spans="1:43" x14ac:dyDescent="0.2">
      <c r="C25" s="67"/>
      <c r="Q25" s="53"/>
      <c r="S25" s="54"/>
      <c r="X25" s="66"/>
    </row>
    <row r="26" spans="1:43" s="59" customFormat="1" x14ac:dyDescent="0.2">
      <c r="A26" s="53"/>
      <c r="B26" s="53"/>
      <c r="C26" s="53"/>
      <c r="D26" s="53"/>
      <c r="E26" s="53"/>
      <c r="F26" s="64"/>
      <c r="G26" s="64"/>
      <c r="H26" s="64"/>
      <c r="I26" s="53"/>
      <c r="O26" s="53"/>
      <c r="P26" s="64"/>
      <c r="R26" s="65"/>
      <c r="S26" s="65"/>
      <c r="U26" s="64"/>
    </row>
    <row r="27" spans="1:43" s="59" customFormat="1" x14ac:dyDescent="0.2">
      <c r="A27" s="53"/>
      <c r="B27" s="53"/>
      <c r="C27" s="63"/>
      <c r="D27" s="56"/>
      <c r="E27" s="62"/>
      <c r="F27" s="61"/>
      <c r="G27" s="61"/>
      <c r="H27" s="61"/>
      <c r="I27" s="62"/>
      <c r="O27" s="53"/>
      <c r="P27" s="61"/>
      <c r="R27" s="54"/>
      <c r="S27" s="54"/>
      <c r="U27" s="61"/>
      <c r="W27" s="60"/>
    </row>
    <row r="28" spans="1:43" x14ac:dyDescent="0.2">
      <c r="C28" s="63"/>
      <c r="D28" s="56"/>
      <c r="E28" s="62"/>
      <c r="F28" s="61"/>
      <c r="G28" s="61"/>
      <c r="H28" s="61"/>
      <c r="I28" s="62"/>
      <c r="J28" s="59"/>
      <c r="K28" s="59"/>
      <c r="L28" s="59"/>
      <c r="M28" s="59"/>
      <c r="N28" s="59"/>
      <c r="P28" s="59"/>
      <c r="S28" s="59"/>
      <c r="T28" s="61"/>
      <c r="U28" s="59"/>
    </row>
    <row r="29" spans="1:43" x14ac:dyDescent="0.2">
      <c r="C29" s="63"/>
      <c r="D29" s="56"/>
      <c r="E29" s="62"/>
      <c r="F29" s="61"/>
      <c r="G29" s="61"/>
      <c r="H29" s="61"/>
      <c r="I29" s="62"/>
      <c r="J29" s="59"/>
      <c r="K29" s="59"/>
      <c r="L29" s="59"/>
      <c r="M29" s="59"/>
      <c r="N29" s="59"/>
      <c r="O29" s="61"/>
      <c r="P29" s="59"/>
      <c r="S29" s="59"/>
      <c r="T29" s="61"/>
      <c r="U29" s="59"/>
    </row>
    <row r="30" spans="1:43" x14ac:dyDescent="0.2">
      <c r="C30" s="63"/>
      <c r="D30" s="56"/>
      <c r="E30" s="62"/>
      <c r="F30" s="61"/>
      <c r="G30" s="61"/>
      <c r="H30" s="61"/>
      <c r="I30" s="62"/>
      <c r="J30" s="59"/>
      <c r="K30" s="59"/>
      <c r="L30" s="59"/>
      <c r="M30" s="59"/>
      <c r="N30" s="59"/>
      <c r="O30" s="61"/>
      <c r="P30" s="59"/>
      <c r="S30" s="59"/>
      <c r="T30" s="61"/>
      <c r="U30" s="59"/>
    </row>
    <row r="31" spans="1:43" x14ac:dyDescent="0.2">
      <c r="C31" s="63"/>
      <c r="D31" s="56"/>
      <c r="E31" s="62"/>
      <c r="F31" s="61"/>
      <c r="G31" s="61"/>
      <c r="H31" s="61"/>
      <c r="I31" s="62"/>
      <c r="J31" s="59"/>
      <c r="K31" s="59"/>
      <c r="L31" s="59"/>
      <c r="M31" s="59"/>
      <c r="N31" s="59"/>
      <c r="O31" s="61"/>
      <c r="P31" s="59"/>
      <c r="S31" s="59"/>
      <c r="T31" s="61"/>
      <c r="U31" s="59"/>
    </row>
    <row r="32" spans="1:43" x14ac:dyDescent="0.2">
      <c r="C32" s="63"/>
      <c r="D32" s="56"/>
      <c r="E32" s="62"/>
      <c r="F32" s="61"/>
      <c r="G32" s="61"/>
      <c r="H32" s="61"/>
      <c r="I32" s="62"/>
      <c r="J32" s="59"/>
      <c r="K32" s="59"/>
      <c r="L32" s="59"/>
      <c r="M32" s="59"/>
      <c r="N32" s="59"/>
      <c r="O32" s="61"/>
      <c r="P32" s="59"/>
      <c r="S32" s="59"/>
      <c r="T32" s="61"/>
      <c r="U32" s="59"/>
    </row>
    <row r="33" spans="3:29" x14ac:dyDescent="0.2">
      <c r="C33" s="63"/>
      <c r="D33" s="56"/>
      <c r="E33" s="62"/>
      <c r="F33" s="61"/>
      <c r="G33" s="61"/>
      <c r="H33" s="61"/>
      <c r="I33" s="62"/>
      <c r="J33" s="59"/>
      <c r="K33" s="59"/>
      <c r="L33" s="59"/>
      <c r="M33" s="59"/>
      <c r="N33" s="59"/>
      <c r="O33" s="61"/>
      <c r="P33" s="59"/>
      <c r="S33" s="59"/>
      <c r="T33" s="61"/>
      <c r="U33" s="59"/>
    </row>
    <row r="34" spans="3:29" x14ac:dyDescent="0.2">
      <c r="C34" s="63"/>
      <c r="D34" s="56"/>
      <c r="E34" s="62"/>
      <c r="F34" s="61"/>
      <c r="G34" s="61"/>
      <c r="H34" s="61"/>
      <c r="I34" s="62"/>
      <c r="J34" s="59"/>
      <c r="K34" s="59"/>
      <c r="L34" s="59"/>
      <c r="M34" s="59"/>
      <c r="N34" s="59"/>
      <c r="O34" s="61"/>
      <c r="P34" s="59"/>
      <c r="S34" s="59"/>
      <c r="T34" s="61"/>
      <c r="U34" s="59"/>
    </row>
    <row r="35" spans="3:29" x14ac:dyDescent="0.2">
      <c r="C35" s="63"/>
      <c r="D35" s="56"/>
      <c r="E35" s="62"/>
      <c r="F35" s="61"/>
      <c r="G35" s="61"/>
      <c r="H35" s="61"/>
      <c r="I35" s="62"/>
      <c r="J35" s="59"/>
      <c r="K35" s="59"/>
      <c r="L35" s="59"/>
      <c r="M35" s="59"/>
      <c r="N35" s="59"/>
      <c r="O35" s="61"/>
      <c r="P35" s="59"/>
      <c r="S35" s="59"/>
      <c r="T35" s="61"/>
      <c r="U35" s="59"/>
      <c r="V35" s="57"/>
      <c r="W35" s="57"/>
      <c r="X35" s="57"/>
      <c r="Y35" s="57"/>
      <c r="Z35" s="57"/>
      <c r="AA35" s="57"/>
      <c r="AB35" s="57"/>
      <c r="AC35" s="57"/>
    </row>
    <row r="36" spans="3:29" x14ac:dyDescent="0.2">
      <c r="C36" s="63"/>
      <c r="D36" s="56"/>
      <c r="E36" s="62"/>
      <c r="F36" s="61"/>
      <c r="G36" s="61"/>
      <c r="H36" s="61"/>
      <c r="I36" s="62"/>
      <c r="J36" s="59"/>
      <c r="K36" s="59"/>
      <c r="L36" s="59"/>
      <c r="M36" s="59"/>
      <c r="N36" s="59"/>
      <c r="O36" s="61"/>
      <c r="P36" s="59"/>
      <c r="S36" s="59"/>
      <c r="T36" s="61"/>
      <c r="U36" s="59"/>
      <c r="V36" s="56"/>
      <c r="W36" s="56"/>
      <c r="X36" s="56"/>
      <c r="Y36" s="56"/>
      <c r="Z36" s="56"/>
      <c r="AA36" s="56"/>
      <c r="AB36" s="56"/>
      <c r="AC36" s="56"/>
    </row>
    <row r="37" spans="3:29" x14ac:dyDescent="0.2">
      <c r="C37" s="63"/>
      <c r="D37" s="56"/>
      <c r="E37" s="62"/>
      <c r="F37" s="61"/>
      <c r="G37" s="61"/>
      <c r="H37" s="61"/>
      <c r="I37" s="62"/>
      <c r="J37" s="59"/>
      <c r="K37" s="59"/>
      <c r="L37" s="59"/>
      <c r="M37" s="59"/>
      <c r="N37" s="59"/>
      <c r="O37" s="61"/>
      <c r="P37" s="59"/>
      <c r="S37" s="59"/>
      <c r="T37" s="61"/>
      <c r="U37" s="59"/>
    </row>
    <row r="38" spans="3:29" x14ac:dyDescent="0.2">
      <c r="C38" s="63"/>
      <c r="D38" s="56"/>
      <c r="E38" s="62"/>
      <c r="F38" s="61"/>
      <c r="G38" s="61"/>
      <c r="H38" s="61"/>
      <c r="I38" s="62"/>
      <c r="J38" s="59"/>
      <c r="K38" s="59"/>
      <c r="L38" s="59"/>
      <c r="M38" s="59"/>
      <c r="N38" s="59"/>
      <c r="O38" s="61"/>
      <c r="P38" s="59"/>
      <c r="S38" s="59"/>
      <c r="T38" s="61"/>
      <c r="U38" s="59"/>
    </row>
    <row r="39" spans="3:29" x14ac:dyDescent="0.2">
      <c r="C39" s="63"/>
      <c r="D39" s="56"/>
      <c r="E39" s="62"/>
      <c r="F39" s="61"/>
      <c r="G39" s="61"/>
      <c r="H39" s="61"/>
      <c r="I39" s="62"/>
      <c r="J39" s="59"/>
      <c r="K39" s="59"/>
      <c r="L39" s="59"/>
      <c r="M39" s="59"/>
      <c r="N39" s="59"/>
      <c r="O39" s="61"/>
      <c r="P39" s="59"/>
      <c r="S39" s="59"/>
      <c r="T39" s="61"/>
      <c r="U39" s="59"/>
    </row>
    <row r="40" spans="3:29" x14ac:dyDescent="0.2">
      <c r="C40" s="63"/>
      <c r="D40" s="56"/>
      <c r="E40" s="62"/>
      <c r="F40" s="61"/>
      <c r="G40" s="61"/>
      <c r="H40" s="61"/>
      <c r="I40" s="62"/>
      <c r="J40" s="59"/>
      <c r="K40" s="59"/>
      <c r="L40" s="59"/>
      <c r="M40" s="59"/>
      <c r="N40" s="59"/>
      <c r="O40" s="61"/>
      <c r="P40" s="59"/>
      <c r="S40" s="59"/>
      <c r="T40" s="61"/>
      <c r="U40" s="59"/>
    </row>
    <row r="41" spans="3:29" x14ac:dyDescent="0.2">
      <c r="C41" s="63"/>
      <c r="D41" s="56"/>
      <c r="E41" s="62"/>
      <c r="F41" s="61"/>
      <c r="G41" s="61"/>
      <c r="H41" s="61"/>
      <c r="I41" s="62"/>
      <c r="J41" s="59"/>
      <c r="K41" s="59"/>
      <c r="L41" s="59"/>
      <c r="M41" s="59"/>
      <c r="N41" s="59"/>
      <c r="O41" s="61"/>
      <c r="P41" s="59"/>
      <c r="S41" s="59"/>
      <c r="T41" s="61"/>
      <c r="U41" s="59"/>
    </row>
    <row r="42" spans="3:29" x14ac:dyDescent="0.2">
      <c r="C42" s="63"/>
      <c r="D42" s="56"/>
      <c r="E42" s="62"/>
      <c r="F42" s="61"/>
      <c r="G42" s="61"/>
      <c r="H42" s="61"/>
      <c r="I42" s="62"/>
      <c r="J42" s="59"/>
      <c r="K42" s="59"/>
      <c r="L42" s="59"/>
      <c r="M42" s="59"/>
      <c r="N42" s="59"/>
      <c r="O42" s="61"/>
      <c r="P42" s="59"/>
      <c r="S42" s="59"/>
      <c r="T42" s="61"/>
      <c r="U42" s="59"/>
    </row>
    <row r="43" spans="3:29" x14ac:dyDescent="0.2">
      <c r="C43" s="63"/>
      <c r="D43" s="56"/>
      <c r="E43" s="62"/>
      <c r="F43" s="61"/>
      <c r="G43" s="61"/>
      <c r="H43" s="61"/>
      <c r="I43" s="62"/>
      <c r="J43" s="59"/>
      <c r="K43" s="59"/>
      <c r="L43" s="59"/>
      <c r="M43" s="59"/>
      <c r="N43" s="59"/>
      <c r="O43" s="61"/>
      <c r="P43" s="59"/>
      <c r="S43" s="59"/>
      <c r="T43" s="61"/>
      <c r="U43" s="59"/>
    </row>
    <row r="44" spans="3:29" x14ac:dyDescent="0.2">
      <c r="C44" s="63"/>
      <c r="D44" s="56"/>
      <c r="E44" s="62"/>
      <c r="F44" s="61"/>
      <c r="G44" s="61"/>
      <c r="H44" s="61"/>
      <c r="I44" s="62"/>
      <c r="J44" s="59"/>
      <c r="K44" s="59"/>
      <c r="L44" s="59"/>
      <c r="M44" s="59"/>
      <c r="N44" s="59"/>
      <c r="O44" s="61"/>
      <c r="P44" s="59"/>
      <c r="S44" s="59"/>
      <c r="T44" s="61"/>
      <c r="U44" s="59"/>
    </row>
    <row r="45" spans="3:29" x14ac:dyDescent="0.2">
      <c r="C45" s="63"/>
      <c r="D45" s="56"/>
      <c r="E45" s="62"/>
      <c r="F45" s="61"/>
      <c r="G45" s="61"/>
      <c r="H45" s="61"/>
      <c r="I45" s="62"/>
      <c r="J45" s="59"/>
      <c r="K45" s="59"/>
      <c r="L45" s="59"/>
      <c r="M45" s="59"/>
      <c r="N45" s="59"/>
      <c r="O45" s="61"/>
      <c r="P45" s="59"/>
      <c r="S45" s="59"/>
      <c r="T45" s="61"/>
      <c r="U45" s="59"/>
    </row>
    <row r="46" spans="3:29" x14ac:dyDescent="0.2">
      <c r="C46" s="63"/>
      <c r="D46" s="56"/>
      <c r="E46" s="62"/>
      <c r="F46" s="61"/>
      <c r="G46" s="61"/>
      <c r="H46" s="61"/>
      <c r="I46" s="62"/>
      <c r="J46" s="59"/>
      <c r="K46" s="59"/>
      <c r="L46" s="59"/>
      <c r="M46" s="59"/>
      <c r="N46" s="59"/>
      <c r="O46" s="61"/>
      <c r="P46" s="59"/>
      <c r="S46" s="59"/>
      <c r="T46" s="61"/>
      <c r="U46" s="59"/>
    </row>
    <row r="47" spans="3:29" x14ac:dyDescent="0.2">
      <c r="C47" s="63"/>
      <c r="D47" s="56"/>
      <c r="E47" s="62"/>
      <c r="F47" s="61"/>
      <c r="G47" s="61"/>
      <c r="H47" s="61"/>
      <c r="I47" s="62"/>
      <c r="J47" s="59"/>
      <c r="K47" s="59"/>
      <c r="L47" s="59"/>
      <c r="M47" s="59"/>
      <c r="N47" s="59"/>
      <c r="O47" s="61"/>
      <c r="P47" s="59"/>
      <c r="S47" s="59"/>
      <c r="T47" s="61"/>
      <c r="U47" s="59"/>
    </row>
    <row r="48" spans="3:29" x14ac:dyDescent="0.2">
      <c r="C48" s="63"/>
      <c r="D48" s="56"/>
      <c r="E48" s="62"/>
      <c r="F48" s="61"/>
      <c r="G48" s="61"/>
      <c r="H48" s="61"/>
      <c r="I48" s="62"/>
      <c r="J48" s="59"/>
      <c r="K48" s="59"/>
      <c r="L48" s="59"/>
      <c r="M48" s="59"/>
      <c r="N48" s="59"/>
      <c r="O48" s="61"/>
      <c r="P48" s="59"/>
      <c r="S48" s="59"/>
      <c r="T48" s="61"/>
      <c r="U48" s="59"/>
    </row>
    <row r="49" spans="3:21" x14ac:dyDescent="0.2">
      <c r="C49" s="63"/>
      <c r="D49" s="56"/>
      <c r="E49" s="62"/>
      <c r="F49" s="61"/>
      <c r="G49" s="61"/>
      <c r="H49" s="61"/>
      <c r="I49" s="62"/>
      <c r="J49" s="59"/>
      <c r="K49" s="59"/>
      <c r="L49" s="59"/>
      <c r="M49" s="59"/>
      <c r="N49" s="59"/>
      <c r="O49" s="61"/>
      <c r="P49" s="59"/>
      <c r="S49" s="59"/>
      <c r="T49" s="61"/>
      <c r="U49" s="59"/>
    </row>
    <row r="50" spans="3:21" x14ac:dyDescent="0.2">
      <c r="C50" s="63"/>
      <c r="D50" s="56"/>
      <c r="E50" s="62"/>
      <c r="F50" s="61"/>
      <c r="G50" s="61"/>
      <c r="H50" s="61"/>
      <c r="I50" s="62"/>
      <c r="J50" s="59"/>
      <c r="K50" s="59"/>
      <c r="L50" s="59"/>
      <c r="M50" s="59"/>
      <c r="N50" s="59"/>
      <c r="O50" s="61"/>
      <c r="P50" s="59"/>
      <c r="S50" s="59"/>
      <c r="T50" s="61"/>
      <c r="U50" s="59"/>
    </row>
    <row r="51" spans="3:21" x14ac:dyDescent="0.2">
      <c r="C51" s="63"/>
      <c r="D51" s="56"/>
      <c r="E51" s="62"/>
      <c r="F51" s="61"/>
      <c r="G51" s="61"/>
      <c r="H51" s="61"/>
      <c r="I51" s="62"/>
      <c r="J51" s="59"/>
      <c r="K51" s="59"/>
      <c r="L51" s="59"/>
      <c r="M51" s="59"/>
      <c r="N51" s="59"/>
      <c r="O51" s="61"/>
      <c r="P51" s="59"/>
      <c r="S51" s="59"/>
      <c r="T51" s="61"/>
      <c r="U51" s="59"/>
    </row>
    <row r="52" spans="3:21" x14ac:dyDescent="0.2">
      <c r="C52" s="63"/>
      <c r="D52" s="56"/>
      <c r="E52" s="62"/>
      <c r="F52" s="61"/>
      <c r="G52" s="61"/>
      <c r="H52" s="61"/>
      <c r="I52" s="62"/>
      <c r="J52" s="59"/>
      <c r="K52" s="59"/>
      <c r="L52" s="59"/>
      <c r="M52" s="59"/>
      <c r="N52" s="59"/>
      <c r="O52" s="61"/>
      <c r="P52" s="59"/>
      <c r="S52" s="59"/>
      <c r="T52" s="61"/>
      <c r="U52" s="59"/>
    </row>
    <row r="53" spans="3:21" x14ac:dyDescent="0.2">
      <c r="C53" s="63"/>
      <c r="D53" s="56"/>
      <c r="E53" s="62"/>
      <c r="F53" s="61"/>
      <c r="G53" s="61"/>
      <c r="H53" s="61"/>
      <c r="I53" s="62"/>
      <c r="J53" s="59"/>
      <c r="K53" s="59"/>
      <c r="L53" s="59"/>
      <c r="M53" s="59"/>
      <c r="N53" s="59"/>
      <c r="O53" s="61"/>
      <c r="P53" s="59"/>
      <c r="S53" s="59"/>
      <c r="T53" s="61"/>
      <c r="U53" s="59"/>
    </row>
    <row r="54" spans="3:21" x14ac:dyDescent="0.2">
      <c r="C54" s="63"/>
      <c r="D54" s="56"/>
      <c r="E54" s="62"/>
      <c r="F54" s="61"/>
      <c r="G54" s="61"/>
      <c r="H54" s="61"/>
      <c r="I54" s="62"/>
      <c r="J54" s="59"/>
      <c r="K54" s="59"/>
      <c r="L54" s="59"/>
      <c r="M54" s="59"/>
      <c r="N54" s="59"/>
      <c r="O54" s="61"/>
      <c r="P54" s="59"/>
      <c r="S54" s="59"/>
      <c r="T54" s="61"/>
      <c r="U54" s="59"/>
    </row>
    <row r="55" spans="3:21" x14ac:dyDescent="0.2">
      <c r="C55" s="63"/>
      <c r="D55" s="56"/>
      <c r="E55" s="62"/>
      <c r="F55" s="61"/>
      <c r="G55" s="61"/>
      <c r="H55" s="61"/>
      <c r="I55" s="62"/>
      <c r="J55" s="59"/>
      <c r="K55" s="59"/>
      <c r="L55" s="59"/>
      <c r="M55" s="59"/>
      <c r="N55" s="59"/>
      <c r="O55" s="61"/>
      <c r="P55" s="59"/>
      <c r="S55" s="59"/>
      <c r="T55" s="61"/>
      <c r="U55" s="59"/>
    </row>
    <row r="56" spans="3:21" x14ac:dyDescent="0.2">
      <c r="C56" s="63"/>
      <c r="D56" s="56"/>
      <c r="E56" s="62"/>
      <c r="F56" s="61"/>
      <c r="G56" s="61"/>
      <c r="H56" s="61"/>
      <c r="I56" s="62"/>
      <c r="J56" s="59"/>
      <c r="K56" s="59"/>
      <c r="L56" s="59"/>
      <c r="M56" s="59"/>
      <c r="N56" s="59"/>
      <c r="O56" s="61"/>
      <c r="P56" s="59"/>
      <c r="S56" s="59"/>
      <c r="T56" s="61"/>
      <c r="U56" s="59"/>
    </row>
    <row r="57" spans="3:21" x14ac:dyDescent="0.2">
      <c r="C57" s="63"/>
      <c r="D57" s="56"/>
      <c r="E57" s="62"/>
      <c r="F57" s="61"/>
      <c r="G57" s="61"/>
      <c r="H57" s="61"/>
      <c r="I57" s="62"/>
      <c r="J57" s="59"/>
      <c r="K57" s="59"/>
      <c r="L57" s="59"/>
      <c r="M57" s="59"/>
      <c r="N57" s="59"/>
      <c r="O57" s="61"/>
      <c r="P57" s="59"/>
      <c r="S57" s="59"/>
      <c r="T57" s="61"/>
      <c r="U57" s="59"/>
    </row>
    <row r="58" spans="3:21" x14ac:dyDescent="0.2">
      <c r="C58" s="63"/>
      <c r="D58" s="56"/>
      <c r="E58" s="62"/>
      <c r="F58" s="61"/>
      <c r="G58" s="61"/>
      <c r="H58" s="61"/>
      <c r="I58" s="62"/>
      <c r="J58" s="59"/>
      <c r="K58" s="59"/>
      <c r="L58" s="59"/>
      <c r="M58" s="59"/>
      <c r="N58" s="59"/>
      <c r="O58" s="61"/>
      <c r="P58" s="59"/>
      <c r="S58" s="59"/>
      <c r="T58" s="61"/>
      <c r="U58" s="59"/>
    </row>
    <row r="59" spans="3:21" x14ac:dyDescent="0.2">
      <c r="C59" s="63"/>
      <c r="D59" s="56"/>
      <c r="E59" s="62"/>
      <c r="F59" s="61"/>
      <c r="G59" s="61"/>
      <c r="H59" s="61"/>
      <c r="I59" s="62"/>
      <c r="J59" s="59"/>
      <c r="K59" s="59"/>
      <c r="L59" s="59"/>
      <c r="M59" s="59"/>
      <c r="N59" s="59"/>
      <c r="O59" s="61"/>
      <c r="P59" s="59"/>
      <c r="S59" s="59"/>
      <c r="T59" s="61"/>
      <c r="U59" s="59"/>
    </row>
    <row r="60" spans="3:21" x14ac:dyDescent="0.2">
      <c r="C60" s="63"/>
      <c r="D60" s="56"/>
      <c r="E60" s="62"/>
      <c r="F60" s="61"/>
      <c r="G60" s="61"/>
      <c r="H60" s="61"/>
      <c r="I60" s="62"/>
      <c r="J60" s="59"/>
      <c r="K60" s="59"/>
      <c r="L60" s="59"/>
      <c r="M60" s="59"/>
      <c r="N60" s="59"/>
      <c r="O60" s="61"/>
      <c r="P60" s="59"/>
      <c r="S60" s="59"/>
      <c r="T60" s="61"/>
      <c r="U60" s="59"/>
    </row>
    <row r="61" spans="3:21" x14ac:dyDescent="0.2">
      <c r="C61" s="63"/>
      <c r="D61" s="56"/>
      <c r="E61" s="62"/>
      <c r="F61" s="61"/>
      <c r="G61" s="61"/>
      <c r="H61" s="61"/>
      <c r="I61" s="62"/>
      <c r="J61" s="59"/>
      <c r="K61" s="59"/>
      <c r="L61" s="59"/>
      <c r="M61" s="59"/>
      <c r="N61" s="59"/>
      <c r="O61" s="61"/>
      <c r="P61" s="59"/>
      <c r="S61" s="59"/>
      <c r="T61" s="61"/>
      <c r="U61" s="59"/>
    </row>
    <row r="62" spans="3:21" x14ac:dyDescent="0.2">
      <c r="C62" s="63"/>
      <c r="D62" s="56"/>
      <c r="E62" s="62"/>
      <c r="F62" s="61"/>
      <c r="G62" s="61"/>
      <c r="H62" s="61"/>
      <c r="I62" s="62"/>
      <c r="J62" s="59"/>
      <c r="K62" s="59"/>
      <c r="L62" s="59"/>
      <c r="M62" s="59"/>
      <c r="N62" s="59"/>
      <c r="O62" s="61"/>
      <c r="P62" s="59"/>
      <c r="S62" s="59"/>
      <c r="T62" s="61"/>
      <c r="U62" s="59"/>
    </row>
    <row r="63" spans="3:21" x14ac:dyDescent="0.2">
      <c r="C63" s="63"/>
      <c r="D63" s="56"/>
      <c r="E63" s="62"/>
      <c r="F63" s="61"/>
      <c r="G63" s="61"/>
      <c r="H63" s="61"/>
      <c r="I63" s="62"/>
      <c r="J63" s="59"/>
      <c r="K63" s="59"/>
      <c r="L63" s="59"/>
      <c r="M63" s="59"/>
      <c r="N63" s="59"/>
      <c r="O63" s="61"/>
      <c r="P63" s="59"/>
      <c r="S63" s="59"/>
      <c r="T63" s="61"/>
      <c r="U63" s="59"/>
    </row>
    <row r="64" spans="3:21" x14ac:dyDescent="0.2">
      <c r="C64" s="63"/>
      <c r="D64" s="56"/>
      <c r="E64" s="62"/>
      <c r="F64" s="61"/>
      <c r="G64" s="61"/>
      <c r="H64" s="61"/>
      <c r="I64" s="62"/>
      <c r="J64" s="59"/>
      <c r="K64" s="59"/>
      <c r="L64" s="59"/>
      <c r="M64" s="59"/>
      <c r="N64" s="59"/>
      <c r="O64" s="61"/>
      <c r="P64" s="59"/>
      <c r="S64" s="59"/>
      <c r="T64" s="61"/>
      <c r="U64" s="59"/>
    </row>
    <row r="65" spans="3:21" x14ac:dyDescent="0.2">
      <c r="C65" s="63"/>
      <c r="D65" s="56"/>
      <c r="E65" s="62"/>
      <c r="F65" s="61"/>
      <c r="G65" s="61"/>
      <c r="H65" s="61"/>
      <c r="I65" s="62"/>
      <c r="J65" s="59"/>
      <c r="K65" s="59"/>
      <c r="L65" s="59"/>
      <c r="M65" s="59"/>
      <c r="N65" s="59"/>
      <c r="O65" s="61"/>
      <c r="P65" s="59"/>
      <c r="S65" s="59"/>
      <c r="T65" s="61"/>
      <c r="U65" s="59"/>
    </row>
    <row r="66" spans="3:21" x14ac:dyDescent="0.2">
      <c r="C66" s="63"/>
      <c r="D66" s="56"/>
      <c r="E66" s="62"/>
      <c r="F66" s="61"/>
      <c r="G66" s="61"/>
      <c r="H66" s="61"/>
      <c r="I66" s="62"/>
      <c r="J66" s="59"/>
      <c r="K66" s="59"/>
      <c r="L66" s="59"/>
      <c r="M66" s="59"/>
      <c r="N66" s="59"/>
      <c r="O66" s="61"/>
      <c r="P66" s="59"/>
      <c r="S66" s="59"/>
      <c r="T66" s="61"/>
      <c r="U66" s="59"/>
    </row>
  </sheetData>
  <mergeCells count="1">
    <mergeCell ref="R9:S9"/>
  </mergeCells>
  <pageMargins left="0.82677165354330717" right="0.23622047244094491" top="0.55118110236220474" bottom="0.55118110236220474" header="0.31496062992125984" footer="0.31496062992125984"/>
  <pageSetup paperSize="9" scale="55" orientation="portrait" r:id="rId1"/>
  <ignoredErrors>
    <ignoredError sqref="J23" formulaRange="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CA376"/>
  <sheetViews>
    <sheetView showGridLines="0" zoomScale="70" zoomScaleNormal="70" workbookViewId="0">
      <selection activeCell="P24" sqref="P24"/>
    </sheetView>
  </sheetViews>
  <sheetFormatPr defaultColWidth="8" defaultRowHeight="15" outlineLevelCol="1" x14ac:dyDescent="0.25"/>
  <cols>
    <col min="1" max="1" width="2.375" style="111" customWidth="1"/>
    <col min="2" max="3" width="14.375" style="110" customWidth="1"/>
    <col min="4" max="32" width="8.5" style="110" customWidth="1" outlineLevel="1"/>
    <col min="33" max="33" width="8.5" style="110" customWidth="1"/>
    <col min="34" max="34" width="11.875" style="110" customWidth="1"/>
    <col min="35" max="35" width="8.5" style="110" customWidth="1"/>
    <col min="36" max="36" width="2.25" style="110" customWidth="1"/>
    <col min="37" max="38" width="8" style="110"/>
    <col min="39" max="39" width="16.875" style="110" customWidth="1"/>
    <col min="40" max="16384" width="8" style="110"/>
  </cols>
  <sheetData>
    <row r="1" spans="1:79" s="1" customFormat="1" ht="18.75" x14ac:dyDescent="0.3">
      <c r="A1" s="197" t="str">
        <f>REFCL_Data!$A$1</f>
        <v>PAL Accelerated depreciation</v>
      </c>
      <c r="B1" s="197"/>
      <c r="C1" s="197"/>
      <c r="D1" s="197"/>
      <c r="E1" s="197"/>
      <c r="F1" s="197"/>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row>
    <row r="2" spans="1:79" s="1" customFormat="1" ht="15.75" x14ac:dyDescent="0.25">
      <c r="A2" s="200" t="s">
        <v>143</v>
      </c>
      <c r="B2" s="200"/>
      <c r="C2" s="200"/>
      <c r="D2" s="200"/>
      <c r="E2" s="200"/>
      <c r="F2" s="200"/>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64"/>
      <c r="AI2" s="264" t="s">
        <v>158</v>
      </c>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row>
    <row r="3" spans="1:79" x14ac:dyDescent="0.25">
      <c r="A3" s="112"/>
      <c r="B3" s="183" t="s">
        <v>200</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293" t="s">
        <v>191</v>
      </c>
      <c r="AI3" s="293"/>
      <c r="AJ3" s="170"/>
      <c r="AK3" s="170"/>
    </row>
    <row r="4" spans="1:79" ht="30" x14ac:dyDescent="0.25">
      <c r="A4" s="112"/>
      <c r="B4" s="183" t="s">
        <v>117</v>
      </c>
      <c r="C4" s="183" t="s">
        <v>84</v>
      </c>
      <c r="D4" s="183">
        <v>1970</v>
      </c>
      <c r="E4" s="183">
        <v>1985</v>
      </c>
      <c r="F4" s="183">
        <v>1987</v>
      </c>
      <c r="G4" s="183">
        <v>1990</v>
      </c>
      <c r="H4" s="183">
        <v>1992</v>
      </c>
      <c r="I4" s="183">
        <v>1993</v>
      </c>
      <c r="J4" s="183">
        <v>1995</v>
      </c>
      <c r="K4" s="183">
        <v>1996</v>
      </c>
      <c r="L4" s="183">
        <v>1997</v>
      </c>
      <c r="M4" s="183">
        <v>1998</v>
      </c>
      <c r="N4" s="183">
        <v>2000</v>
      </c>
      <c r="O4" s="183">
        <v>2001</v>
      </c>
      <c r="P4" s="183">
        <v>2002</v>
      </c>
      <c r="Q4" s="183">
        <v>2003</v>
      </c>
      <c r="R4" s="183">
        <v>2004</v>
      </c>
      <c r="S4" s="183">
        <v>2005</v>
      </c>
      <c r="T4" s="183">
        <v>2006</v>
      </c>
      <c r="U4" s="183">
        <v>2007</v>
      </c>
      <c r="V4" s="183">
        <v>2008</v>
      </c>
      <c r="W4" s="183">
        <v>2009</v>
      </c>
      <c r="X4" s="183">
        <v>2010</v>
      </c>
      <c r="Y4" s="183">
        <v>2011</v>
      </c>
      <c r="Z4" s="183">
        <v>2012</v>
      </c>
      <c r="AA4" s="183">
        <v>2013</v>
      </c>
      <c r="AB4" s="183">
        <v>2014</v>
      </c>
      <c r="AC4" s="183">
        <v>2015</v>
      </c>
      <c r="AD4" s="183">
        <v>2016</v>
      </c>
      <c r="AE4" s="183">
        <v>2017</v>
      </c>
      <c r="AF4" s="183">
        <v>2018</v>
      </c>
      <c r="AG4" s="183">
        <v>2019</v>
      </c>
      <c r="AH4" s="308">
        <v>2020</v>
      </c>
      <c r="AI4" s="182" t="s">
        <v>1</v>
      </c>
      <c r="AJ4" s="170"/>
      <c r="AK4" s="170"/>
      <c r="AM4" s="320" t="s">
        <v>207</v>
      </c>
      <c r="AN4" s="319" t="s">
        <v>208</v>
      </c>
    </row>
    <row r="5" spans="1:79" ht="15" customHeight="1" x14ac:dyDescent="0.25">
      <c r="A5" s="112"/>
      <c r="B5" s="172" t="s">
        <v>47</v>
      </c>
      <c r="C5" s="172" t="s">
        <v>53</v>
      </c>
      <c r="D5" s="172"/>
      <c r="E5" s="172"/>
      <c r="F5" s="172"/>
      <c r="G5" s="172"/>
      <c r="H5" s="172"/>
      <c r="I5" s="172"/>
      <c r="J5" s="172"/>
      <c r="K5" s="172"/>
      <c r="L5" s="172"/>
      <c r="M5" s="172"/>
      <c r="N5" s="172"/>
      <c r="O5" s="172"/>
      <c r="P5" s="172"/>
      <c r="Q5" s="172"/>
      <c r="R5" s="172"/>
      <c r="S5" s="172"/>
      <c r="T5" s="172"/>
      <c r="U5" s="172"/>
      <c r="V5" s="172"/>
      <c r="W5" s="172"/>
      <c r="X5" s="172"/>
      <c r="Y5" s="172"/>
      <c r="Z5" s="172">
        <v>1</v>
      </c>
      <c r="AA5" s="172">
        <v>1</v>
      </c>
      <c r="AB5" s="172"/>
      <c r="AC5" s="172"/>
      <c r="AD5" s="172">
        <v>1</v>
      </c>
      <c r="AE5" s="172">
        <v>2</v>
      </c>
      <c r="AF5" s="172">
        <v>4</v>
      </c>
      <c r="AG5" s="172"/>
      <c r="AH5" s="172"/>
      <c r="AI5" s="205">
        <f t="shared" ref="AI5:AI25" si="0">SUM($D5:$AH5)</f>
        <v>9</v>
      </c>
      <c r="AJ5" s="170"/>
      <c r="AK5" s="170"/>
      <c r="AM5" s="316" t="s">
        <v>47</v>
      </c>
      <c r="AN5" s="315">
        <f>SUMIF($B$5:$B$27,AM5,$AI$5:$AI$27)</f>
        <v>53</v>
      </c>
    </row>
    <row r="6" spans="1:79" ht="15" customHeight="1" x14ac:dyDescent="0.25">
      <c r="A6" s="112"/>
      <c r="B6" s="172" t="s">
        <v>47</v>
      </c>
      <c r="C6" s="172" t="s">
        <v>52</v>
      </c>
      <c r="D6" s="172"/>
      <c r="E6" s="172"/>
      <c r="F6" s="172"/>
      <c r="G6" s="172"/>
      <c r="H6" s="172"/>
      <c r="I6" s="172"/>
      <c r="J6" s="172">
        <v>1</v>
      </c>
      <c r="K6" s="172"/>
      <c r="L6" s="172"/>
      <c r="M6" s="172"/>
      <c r="N6" s="172"/>
      <c r="O6" s="172"/>
      <c r="P6" s="172"/>
      <c r="Q6" s="172">
        <v>1</v>
      </c>
      <c r="R6" s="172">
        <v>1</v>
      </c>
      <c r="S6" s="172"/>
      <c r="T6" s="172">
        <v>5</v>
      </c>
      <c r="U6" s="172">
        <v>1</v>
      </c>
      <c r="V6" s="172">
        <v>1</v>
      </c>
      <c r="W6" s="172">
        <v>1</v>
      </c>
      <c r="X6" s="172">
        <v>1</v>
      </c>
      <c r="Y6" s="172"/>
      <c r="Z6" s="172"/>
      <c r="AA6" s="172"/>
      <c r="AB6" s="172"/>
      <c r="AC6" s="172">
        <v>4</v>
      </c>
      <c r="AD6" s="172"/>
      <c r="AE6" s="172"/>
      <c r="AF6" s="172">
        <v>2</v>
      </c>
      <c r="AG6" s="172"/>
      <c r="AH6" s="172"/>
      <c r="AI6" s="205">
        <f t="shared" si="0"/>
        <v>18</v>
      </c>
      <c r="AJ6" s="170"/>
      <c r="AK6" s="170"/>
      <c r="AM6" s="316" t="s">
        <v>204</v>
      </c>
      <c r="AN6" s="315">
        <f t="shared" ref="AN6:AN9" si="1">SUMIF($B$5:$B$27,AM6,$AI$5:$AI$27)</f>
        <v>16</v>
      </c>
    </row>
    <row r="7" spans="1:79" ht="15" customHeight="1" x14ac:dyDescent="0.25">
      <c r="A7" s="112"/>
      <c r="B7" s="172" t="s">
        <v>47</v>
      </c>
      <c r="C7" s="172" t="s">
        <v>51</v>
      </c>
      <c r="D7" s="172"/>
      <c r="E7" s="172"/>
      <c r="F7" s="172"/>
      <c r="G7" s="172"/>
      <c r="H7" s="172"/>
      <c r="I7" s="172"/>
      <c r="J7" s="172"/>
      <c r="K7" s="172"/>
      <c r="L7" s="172"/>
      <c r="M7" s="172"/>
      <c r="N7" s="172"/>
      <c r="O7" s="172"/>
      <c r="P7" s="172"/>
      <c r="Q7" s="172"/>
      <c r="R7" s="172"/>
      <c r="S7" s="172"/>
      <c r="T7" s="172"/>
      <c r="U7" s="172"/>
      <c r="V7" s="172">
        <v>1</v>
      </c>
      <c r="W7" s="172"/>
      <c r="X7" s="172"/>
      <c r="Y7" s="172"/>
      <c r="Z7" s="172"/>
      <c r="AA7" s="172"/>
      <c r="AB7" s="172"/>
      <c r="AC7" s="172">
        <v>4</v>
      </c>
      <c r="AD7" s="172"/>
      <c r="AE7" s="172"/>
      <c r="AF7" s="172">
        <v>2</v>
      </c>
      <c r="AG7" s="172"/>
      <c r="AH7" s="172"/>
      <c r="AI7" s="205">
        <f t="shared" si="0"/>
        <v>7</v>
      </c>
      <c r="AJ7" s="170"/>
      <c r="AK7" s="170"/>
      <c r="AM7" s="316" t="s">
        <v>40</v>
      </c>
      <c r="AN7" s="315">
        <f t="shared" si="1"/>
        <v>108</v>
      </c>
    </row>
    <row r="8" spans="1:79" ht="15" customHeight="1" x14ac:dyDescent="0.25">
      <c r="A8" s="112"/>
      <c r="B8" s="172" t="s">
        <v>204</v>
      </c>
      <c r="C8" s="172" t="s">
        <v>54</v>
      </c>
      <c r="D8" s="172"/>
      <c r="E8" s="172"/>
      <c r="F8" s="172"/>
      <c r="G8" s="172"/>
      <c r="H8" s="172"/>
      <c r="I8" s="172"/>
      <c r="J8" s="172"/>
      <c r="K8" s="172">
        <v>1</v>
      </c>
      <c r="L8" s="172"/>
      <c r="M8" s="172"/>
      <c r="N8" s="172"/>
      <c r="O8" s="172"/>
      <c r="P8" s="172"/>
      <c r="Q8" s="172"/>
      <c r="R8" s="172"/>
      <c r="S8" s="172"/>
      <c r="T8" s="172">
        <v>2</v>
      </c>
      <c r="U8" s="172"/>
      <c r="V8" s="172"/>
      <c r="W8" s="172"/>
      <c r="X8" s="172">
        <v>1</v>
      </c>
      <c r="Y8" s="172">
        <v>2</v>
      </c>
      <c r="Z8" s="172"/>
      <c r="AA8" s="172"/>
      <c r="AB8" s="172"/>
      <c r="AC8" s="172"/>
      <c r="AD8" s="172">
        <v>1</v>
      </c>
      <c r="AE8" s="172"/>
      <c r="AF8" s="172"/>
      <c r="AG8" s="172"/>
      <c r="AH8" s="172"/>
      <c r="AI8" s="205">
        <f t="shared" si="0"/>
        <v>7</v>
      </c>
      <c r="AJ8" s="170"/>
      <c r="AK8" s="170"/>
      <c r="AM8" s="316" t="s">
        <v>32</v>
      </c>
      <c r="AN8" s="315">
        <f t="shared" si="1"/>
        <v>65</v>
      </c>
    </row>
    <row r="9" spans="1:79" ht="15" customHeight="1" x14ac:dyDescent="0.25">
      <c r="A9" s="112"/>
      <c r="B9" s="172" t="s">
        <v>47</v>
      </c>
      <c r="C9" s="172" t="s">
        <v>50</v>
      </c>
      <c r="D9" s="172"/>
      <c r="E9" s="172"/>
      <c r="F9" s="172"/>
      <c r="G9" s="172"/>
      <c r="H9" s="172"/>
      <c r="I9" s="172"/>
      <c r="J9" s="172"/>
      <c r="K9" s="172">
        <v>2</v>
      </c>
      <c r="L9" s="172"/>
      <c r="M9" s="172">
        <v>1</v>
      </c>
      <c r="N9" s="172"/>
      <c r="O9" s="172"/>
      <c r="P9" s="172"/>
      <c r="Q9" s="172"/>
      <c r="R9" s="172"/>
      <c r="S9" s="172">
        <v>2</v>
      </c>
      <c r="T9" s="172"/>
      <c r="U9" s="172"/>
      <c r="V9" s="172">
        <v>1</v>
      </c>
      <c r="W9" s="172"/>
      <c r="X9" s="172"/>
      <c r="Y9" s="172">
        <v>1</v>
      </c>
      <c r="Z9" s="172"/>
      <c r="AA9" s="172"/>
      <c r="AB9" s="172"/>
      <c r="AC9" s="172">
        <v>1</v>
      </c>
      <c r="AD9" s="172"/>
      <c r="AE9" s="172"/>
      <c r="AF9" s="172">
        <v>1</v>
      </c>
      <c r="AG9" s="172"/>
      <c r="AH9" s="172">
        <v>1</v>
      </c>
      <c r="AI9" s="205">
        <f t="shared" si="0"/>
        <v>10</v>
      </c>
      <c r="AJ9" s="170"/>
      <c r="AK9" s="170"/>
      <c r="AM9" s="316" t="s">
        <v>205</v>
      </c>
      <c r="AN9" s="315">
        <f t="shared" si="1"/>
        <v>25</v>
      </c>
    </row>
    <row r="10" spans="1:79" ht="15" customHeight="1" x14ac:dyDescent="0.25">
      <c r="A10" s="112"/>
      <c r="B10" s="172" t="s">
        <v>47</v>
      </c>
      <c r="C10" s="172" t="s">
        <v>49</v>
      </c>
      <c r="D10" s="172"/>
      <c r="E10" s="172"/>
      <c r="F10" s="172"/>
      <c r="G10" s="172"/>
      <c r="H10" s="172"/>
      <c r="I10" s="172"/>
      <c r="J10" s="172"/>
      <c r="K10" s="172"/>
      <c r="L10" s="172"/>
      <c r="M10" s="172"/>
      <c r="N10" s="172"/>
      <c r="O10" s="172"/>
      <c r="P10" s="172"/>
      <c r="Q10" s="172"/>
      <c r="R10" s="172"/>
      <c r="S10" s="172"/>
      <c r="T10" s="172"/>
      <c r="U10" s="172"/>
      <c r="V10" s="172"/>
      <c r="W10" s="172"/>
      <c r="X10" s="172"/>
      <c r="Y10" s="172"/>
      <c r="Z10" s="172">
        <v>1</v>
      </c>
      <c r="AA10" s="172"/>
      <c r="AB10" s="172"/>
      <c r="AC10" s="172"/>
      <c r="AD10" s="172"/>
      <c r="AE10" s="172">
        <v>1</v>
      </c>
      <c r="AF10" s="172"/>
      <c r="AG10" s="172"/>
      <c r="AH10" s="172"/>
      <c r="AI10" s="205">
        <f t="shared" si="0"/>
        <v>2</v>
      </c>
      <c r="AJ10" s="170"/>
      <c r="AK10" s="170"/>
      <c r="AM10" s="315"/>
      <c r="AN10" s="317">
        <f>SUM(AN5:AN9)</f>
        <v>267</v>
      </c>
    </row>
    <row r="11" spans="1:79" ht="15" customHeight="1" x14ac:dyDescent="0.25">
      <c r="A11" s="112"/>
      <c r="B11" s="172" t="s">
        <v>204</v>
      </c>
      <c r="C11" s="172" t="s">
        <v>55</v>
      </c>
      <c r="D11" s="172"/>
      <c r="E11" s="172"/>
      <c r="F11" s="172"/>
      <c r="G11" s="172"/>
      <c r="H11" s="172"/>
      <c r="I11" s="172"/>
      <c r="J11" s="172"/>
      <c r="K11" s="172"/>
      <c r="L11" s="172"/>
      <c r="M11" s="172"/>
      <c r="N11" s="172"/>
      <c r="O11" s="172"/>
      <c r="P11" s="172"/>
      <c r="Q11" s="172">
        <v>1</v>
      </c>
      <c r="R11" s="172">
        <v>1</v>
      </c>
      <c r="S11" s="172"/>
      <c r="T11" s="172"/>
      <c r="U11" s="172"/>
      <c r="V11" s="172"/>
      <c r="W11" s="172"/>
      <c r="X11" s="172"/>
      <c r="Y11" s="172"/>
      <c r="Z11" s="172">
        <v>1</v>
      </c>
      <c r="AA11" s="172">
        <v>4</v>
      </c>
      <c r="AB11" s="172"/>
      <c r="AC11" s="172"/>
      <c r="AD11" s="172">
        <v>1</v>
      </c>
      <c r="AE11" s="172">
        <v>1</v>
      </c>
      <c r="AF11" s="172"/>
      <c r="AG11" s="172"/>
      <c r="AH11" s="172"/>
      <c r="AI11" s="205">
        <f t="shared" si="0"/>
        <v>9</v>
      </c>
      <c r="AJ11" s="170"/>
      <c r="AK11" s="170"/>
    </row>
    <row r="12" spans="1:79" ht="15" customHeight="1" x14ac:dyDescent="0.25">
      <c r="A12" s="112"/>
      <c r="B12" s="172" t="s">
        <v>40</v>
      </c>
      <c r="C12" s="172" t="s">
        <v>46</v>
      </c>
      <c r="D12" s="172"/>
      <c r="E12" s="172"/>
      <c r="F12" s="172"/>
      <c r="G12" s="172">
        <v>1</v>
      </c>
      <c r="H12" s="172"/>
      <c r="I12" s="172"/>
      <c r="J12" s="172"/>
      <c r="K12" s="172"/>
      <c r="L12" s="172"/>
      <c r="M12" s="172"/>
      <c r="N12" s="172"/>
      <c r="O12" s="172"/>
      <c r="P12" s="172">
        <v>1</v>
      </c>
      <c r="Q12" s="172">
        <v>3</v>
      </c>
      <c r="R12" s="172">
        <v>1</v>
      </c>
      <c r="S12" s="172"/>
      <c r="T12" s="172"/>
      <c r="U12" s="172">
        <v>1</v>
      </c>
      <c r="V12" s="172">
        <v>2</v>
      </c>
      <c r="W12" s="172">
        <v>3</v>
      </c>
      <c r="X12" s="172"/>
      <c r="Y12" s="172">
        <v>3</v>
      </c>
      <c r="Z12" s="172"/>
      <c r="AA12" s="172"/>
      <c r="AB12" s="172">
        <v>1</v>
      </c>
      <c r="AC12" s="172"/>
      <c r="AD12" s="172"/>
      <c r="AE12" s="172">
        <v>1</v>
      </c>
      <c r="AF12" s="172">
        <v>6</v>
      </c>
      <c r="AG12" s="172">
        <v>6</v>
      </c>
      <c r="AH12" s="172">
        <v>1</v>
      </c>
      <c r="AI12" s="205">
        <f t="shared" si="0"/>
        <v>30</v>
      </c>
      <c r="AJ12" s="170"/>
      <c r="AK12" s="170"/>
    </row>
    <row r="13" spans="1:79" ht="15" customHeight="1" x14ac:dyDescent="0.25">
      <c r="A13" s="112"/>
      <c r="B13" s="172" t="s">
        <v>40</v>
      </c>
      <c r="C13" s="172" t="s">
        <v>45</v>
      </c>
      <c r="D13" s="172"/>
      <c r="E13" s="172"/>
      <c r="F13" s="172"/>
      <c r="G13" s="172"/>
      <c r="H13" s="172"/>
      <c r="I13" s="172"/>
      <c r="J13" s="172"/>
      <c r="K13" s="172"/>
      <c r="L13" s="172">
        <v>1</v>
      </c>
      <c r="M13" s="172"/>
      <c r="N13" s="172">
        <v>1</v>
      </c>
      <c r="O13" s="172"/>
      <c r="P13" s="172">
        <v>1</v>
      </c>
      <c r="Q13" s="172">
        <v>4</v>
      </c>
      <c r="R13" s="172">
        <v>1</v>
      </c>
      <c r="S13" s="172"/>
      <c r="T13" s="172">
        <v>1</v>
      </c>
      <c r="U13" s="172"/>
      <c r="V13" s="172">
        <v>1</v>
      </c>
      <c r="W13" s="172">
        <v>2</v>
      </c>
      <c r="X13" s="172">
        <v>1</v>
      </c>
      <c r="Y13" s="172"/>
      <c r="Z13" s="172">
        <v>2</v>
      </c>
      <c r="AA13" s="172"/>
      <c r="AB13" s="172">
        <v>3</v>
      </c>
      <c r="AC13" s="172"/>
      <c r="AD13" s="172">
        <v>1</v>
      </c>
      <c r="AE13" s="172"/>
      <c r="AF13" s="172">
        <v>4</v>
      </c>
      <c r="AG13" s="172"/>
      <c r="AH13" s="172">
        <v>6</v>
      </c>
      <c r="AI13" s="205">
        <f t="shared" si="0"/>
        <v>29</v>
      </c>
      <c r="AJ13" s="170"/>
      <c r="AK13" s="170"/>
    </row>
    <row r="14" spans="1:79" ht="15" customHeight="1" x14ac:dyDescent="0.25">
      <c r="A14" s="112"/>
      <c r="B14" s="172" t="s">
        <v>40</v>
      </c>
      <c r="C14" s="172" t="s">
        <v>116</v>
      </c>
      <c r="D14" s="172"/>
      <c r="E14" s="172"/>
      <c r="F14" s="172"/>
      <c r="G14" s="172"/>
      <c r="H14" s="172"/>
      <c r="I14" s="172"/>
      <c r="J14" s="172"/>
      <c r="K14" s="172"/>
      <c r="L14" s="172"/>
      <c r="M14" s="172"/>
      <c r="N14" s="172"/>
      <c r="O14" s="172"/>
      <c r="P14" s="172"/>
      <c r="Q14" s="172"/>
      <c r="R14" s="172"/>
      <c r="S14" s="172">
        <v>1</v>
      </c>
      <c r="T14" s="172">
        <v>1</v>
      </c>
      <c r="U14" s="172"/>
      <c r="V14" s="172">
        <v>1</v>
      </c>
      <c r="W14" s="172">
        <v>3</v>
      </c>
      <c r="X14" s="172">
        <v>1</v>
      </c>
      <c r="Y14" s="172">
        <v>1</v>
      </c>
      <c r="Z14" s="172">
        <v>1</v>
      </c>
      <c r="AA14" s="172"/>
      <c r="AB14" s="172"/>
      <c r="AC14" s="172"/>
      <c r="AD14" s="172"/>
      <c r="AE14" s="172">
        <v>2</v>
      </c>
      <c r="AF14" s="172">
        <v>1</v>
      </c>
      <c r="AG14" s="172"/>
      <c r="AH14" s="172">
        <v>3</v>
      </c>
      <c r="AI14" s="205">
        <f t="shared" si="0"/>
        <v>15</v>
      </c>
      <c r="AJ14" s="170"/>
      <c r="AK14" s="170"/>
    </row>
    <row r="15" spans="1:79" ht="15" customHeight="1" x14ac:dyDescent="0.25">
      <c r="A15" s="112"/>
      <c r="B15" s="172" t="s">
        <v>40</v>
      </c>
      <c r="C15" s="172" t="s">
        <v>43</v>
      </c>
      <c r="D15" s="172"/>
      <c r="E15" s="172"/>
      <c r="F15" s="172"/>
      <c r="G15" s="172"/>
      <c r="H15" s="172"/>
      <c r="I15" s="172"/>
      <c r="J15" s="172"/>
      <c r="K15" s="172"/>
      <c r="L15" s="172"/>
      <c r="M15" s="172"/>
      <c r="N15" s="172"/>
      <c r="O15" s="172"/>
      <c r="P15" s="172"/>
      <c r="Q15" s="172"/>
      <c r="R15" s="172">
        <v>1</v>
      </c>
      <c r="S15" s="172"/>
      <c r="T15" s="172"/>
      <c r="U15" s="172">
        <v>1</v>
      </c>
      <c r="V15" s="172">
        <v>2</v>
      </c>
      <c r="W15" s="172">
        <v>1</v>
      </c>
      <c r="X15" s="172"/>
      <c r="Y15" s="172"/>
      <c r="Z15" s="172"/>
      <c r="AA15" s="172"/>
      <c r="AB15" s="172"/>
      <c r="AC15" s="172"/>
      <c r="AD15" s="172">
        <v>1</v>
      </c>
      <c r="AE15" s="172"/>
      <c r="AF15" s="172"/>
      <c r="AG15" s="172">
        <v>3</v>
      </c>
      <c r="AH15" s="172">
        <v>4</v>
      </c>
      <c r="AI15" s="205">
        <f t="shared" si="0"/>
        <v>13</v>
      </c>
      <c r="AJ15" s="170"/>
      <c r="AK15" s="170"/>
    </row>
    <row r="16" spans="1:79" ht="15" customHeight="1" x14ac:dyDescent="0.25">
      <c r="A16" s="112"/>
      <c r="B16" s="172" t="s">
        <v>40</v>
      </c>
      <c r="C16" s="172" t="s">
        <v>42</v>
      </c>
      <c r="D16" s="172"/>
      <c r="E16" s="172"/>
      <c r="F16" s="172"/>
      <c r="G16" s="172"/>
      <c r="H16" s="172">
        <v>2</v>
      </c>
      <c r="I16" s="172"/>
      <c r="J16" s="172"/>
      <c r="K16" s="172">
        <v>1</v>
      </c>
      <c r="L16" s="172"/>
      <c r="M16" s="172"/>
      <c r="N16" s="172"/>
      <c r="O16" s="172"/>
      <c r="P16" s="172">
        <v>1</v>
      </c>
      <c r="Q16" s="172"/>
      <c r="R16" s="172"/>
      <c r="S16" s="172"/>
      <c r="T16" s="172">
        <v>1</v>
      </c>
      <c r="U16" s="172"/>
      <c r="V16" s="172">
        <v>2</v>
      </c>
      <c r="W16" s="172">
        <v>1</v>
      </c>
      <c r="X16" s="172">
        <v>2</v>
      </c>
      <c r="Y16" s="172"/>
      <c r="Z16" s="172"/>
      <c r="AA16" s="172"/>
      <c r="AB16" s="172"/>
      <c r="AC16" s="172">
        <v>1</v>
      </c>
      <c r="AD16" s="172"/>
      <c r="AE16" s="172"/>
      <c r="AF16" s="172">
        <v>2</v>
      </c>
      <c r="AG16" s="172">
        <v>8</v>
      </c>
      <c r="AH16" s="172"/>
      <c r="AI16" s="205">
        <f t="shared" si="0"/>
        <v>21</v>
      </c>
      <c r="AJ16" s="170"/>
      <c r="AK16" s="170"/>
    </row>
    <row r="17" spans="1:40" ht="15" customHeight="1" x14ac:dyDescent="0.25">
      <c r="A17" s="112"/>
      <c r="B17" s="172" t="s">
        <v>47</v>
      </c>
      <c r="C17" s="172" t="s">
        <v>48</v>
      </c>
      <c r="D17" s="172"/>
      <c r="E17" s="172"/>
      <c r="F17" s="172"/>
      <c r="G17" s="172"/>
      <c r="H17" s="172"/>
      <c r="I17" s="172"/>
      <c r="J17" s="172"/>
      <c r="K17" s="172"/>
      <c r="L17" s="172"/>
      <c r="M17" s="172"/>
      <c r="N17" s="172"/>
      <c r="O17" s="172"/>
      <c r="P17" s="172"/>
      <c r="Q17" s="172"/>
      <c r="R17" s="172"/>
      <c r="S17" s="172"/>
      <c r="T17" s="172"/>
      <c r="U17" s="172"/>
      <c r="V17" s="172"/>
      <c r="W17" s="172">
        <v>1</v>
      </c>
      <c r="X17" s="172"/>
      <c r="Y17" s="172">
        <v>2</v>
      </c>
      <c r="Z17" s="172"/>
      <c r="AA17" s="172"/>
      <c r="AB17" s="172"/>
      <c r="AC17" s="172">
        <v>1</v>
      </c>
      <c r="AD17" s="172"/>
      <c r="AE17" s="172"/>
      <c r="AF17" s="172">
        <v>2</v>
      </c>
      <c r="AG17" s="172">
        <v>1</v>
      </c>
      <c r="AH17" s="172"/>
      <c r="AI17" s="205">
        <f t="shared" si="0"/>
        <v>7</v>
      </c>
      <c r="AJ17" s="170"/>
      <c r="AK17" s="170"/>
    </row>
    <row r="18" spans="1:40" ht="15" customHeight="1" x14ac:dyDescent="0.25">
      <c r="A18" s="112"/>
      <c r="B18" s="172" t="s">
        <v>32</v>
      </c>
      <c r="C18" s="172" t="s">
        <v>39</v>
      </c>
      <c r="D18" s="172"/>
      <c r="E18" s="172">
        <v>1</v>
      </c>
      <c r="F18" s="172"/>
      <c r="G18" s="172"/>
      <c r="H18" s="172"/>
      <c r="I18" s="172"/>
      <c r="J18" s="172"/>
      <c r="K18" s="172"/>
      <c r="L18" s="172"/>
      <c r="M18" s="172"/>
      <c r="N18" s="172"/>
      <c r="O18" s="172"/>
      <c r="P18" s="172"/>
      <c r="Q18" s="172"/>
      <c r="R18" s="172"/>
      <c r="S18" s="172"/>
      <c r="T18" s="172"/>
      <c r="U18" s="172">
        <v>1</v>
      </c>
      <c r="V18" s="172"/>
      <c r="W18" s="172"/>
      <c r="X18" s="172"/>
      <c r="Y18" s="172">
        <v>2</v>
      </c>
      <c r="Z18" s="172">
        <v>1</v>
      </c>
      <c r="AA18" s="172"/>
      <c r="AB18" s="172"/>
      <c r="AC18" s="172">
        <v>1</v>
      </c>
      <c r="AD18" s="172">
        <v>1</v>
      </c>
      <c r="AE18" s="172"/>
      <c r="AF18" s="172"/>
      <c r="AG18" s="172">
        <v>1</v>
      </c>
      <c r="AH18" s="172"/>
      <c r="AI18" s="205">
        <f t="shared" si="0"/>
        <v>8</v>
      </c>
      <c r="AJ18" s="170"/>
      <c r="AK18" s="170"/>
    </row>
    <row r="19" spans="1:40" ht="15" customHeight="1" x14ac:dyDescent="0.25">
      <c r="A19" s="112"/>
      <c r="B19" s="172"/>
      <c r="C19" s="276" t="s">
        <v>38</v>
      </c>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80">
        <f t="shared" si="0"/>
        <v>0</v>
      </c>
      <c r="AJ19" s="170"/>
      <c r="AK19" s="170"/>
    </row>
    <row r="20" spans="1:40" ht="15" customHeight="1" x14ac:dyDescent="0.25">
      <c r="A20" s="112"/>
      <c r="B20" s="172"/>
      <c r="C20" s="276" t="s">
        <v>41</v>
      </c>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80">
        <f t="shared" si="0"/>
        <v>0</v>
      </c>
      <c r="AJ20" s="170"/>
      <c r="AK20" s="170"/>
    </row>
    <row r="21" spans="1:40" ht="15" customHeight="1" x14ac:dyDescent="0.25">
      <c r="A21" s="112"/>
      <c r="B21" s="172" t="s">
        <v>32</v>
      </c>
      <c r="C21" s="172" t="s">
        <v>37</v>
      </c>
      <c r="D21" s="172"/>
      <c r="E21" s="172"/>
      <c r="F21" s="172"/>
      <c r="G21" s="172"/>
      <c r="H21" s="172"/>
      <c r="I21" s="172">
        <v>1</v>
      </c>
      <c r="J21" s="172"/>
      <c r="K21" s="172"/>
      <c r="L21" s="172"/>
      <c r="M21" s="172"/>
      <c r="N21" s="172"/>
      <c r="O21" s="172">
        <v>1</v>
      </c>
      <c r="P21" s="172"/>
      <c r="Q21" s="172">
        <v>4</v>
      </c>
      <c r="R21" s="172">
        <v>1</v>
      </c>
      <c r="S21" s="172"/>
      <c r="T21" s="172"/>
      <c r="U21" s="172"/>
      <c r="V21" s="172"/>
      <c r="W21" s="172">
        <v>1</v>
      </c>
      <c r="X21" s="172"/>
      <c r="Y21" s="172"/>
      <c r="Z21" s="172"/>
      <c r="AA21" s="172">
        <v>2</v>
      </c>
      <c r="AB21" s="172">
        <v>1</v>
      </c>
      <c r="AC21" s="172">
        <v>3</v>
      </c>
      <c r="AD21" s="172"/>
      <c r="AE21" s="172">
        <v>1</v>
      </c>
      <c r="AF21" s="172"/>
      <c r="AG21" s="172"/>
      <c r="AH21" s="172"/>
      <c r="AI21" s="205">
        <f t="shared" si="0"/>
        <v>15</v>
      </c>
      <c r="AJ21" s="170"/>
      <c r="AK21" s="170"/>
    </row>
    <row r="22" spans="1:40" ht="15" customHeight="1" x14ac:dyDescent="0.25">
      <c r="A22" s="112"/>
      <c r="B22" s="172" t="s">
        <v>32</v>
      </c>
      <c r="C22" s="172" t="s">
        <v>36</v>
      </c>
      <c r="D22" s="172"/>
      <c r="E22" s="172"/>
      <c r="F22" s="172"/>
      <c r="G22" s="172"/>
      <c r="H22" s="172"/>
      <c r="I22" s="172"/>
      <c r="J22" s="172"/>
      <c r="K22" s="172"/>
      <c r="L22" s="172"/>
      <c r="M22" s="172"/>
      <c r="N22" s="172"/>
      <c r="O22" s="172"/>
      <c r="P22" s="172"/>
      <c r="Q22" s="172"/>
      <c r="R22" s="172"/>
      <c r="S22" s="172"/>
      <c r="T22" s="172"/>
      <c r="U22" s="172"/>
      <c r="V22" s="172"/>
      <c r="W22" s="172">
        <v>1</v>
      </c>
      <c r="X22" s="172">
        <v>1</v>
      </c>
      <c r="Y22" s="172"/>
      <c r="Z22" s="172">
        <v>4</v>
      </c>
      <c r="AA22" s="172"/>
      <c r="AB22" s="172"/>
      <c r="AC22" s="172">
        <v>1</v>
      </c>
      <c r="AD22" s="172"/>
      <c r="AE22" s="172"/>
      <c r="AF22" s="172"/>
      <c r="AG22" s="172"/>
      <c r="AH22" s="172"/>
      <c r="AI22" s="205">
        <f t="shared" si="0"/>
        <v>7</v>
      </c>
      <c r="AJ22" s="170"/>
      <c r="AK22" s="170"/>
    </row>
    <row r="23" spans="1:40" ht="15" customHeight="1" x14ac:dyDescent="0.25">
      <c r="A23" s="112"/>
      <c r="B23" s="172" t="s">
        <v>32</v>
      </c>
      <c r="C23" s="172" t="s">
        <v>35</v>
      </c>
      <c r="D23" s="172"/>
      <c r="E23" s="172"/>
      <c r="F23" s="172"/>
      <c r="G23" s="172"/>
      <c r="H23" s="172"/>
      <c r="I23" s="172"/>
      <c r="J23" s="172"/>
      <c r="K23" s="172">
        <v>1</v>
      </c>
      <c r="L23" s="172"/>
      <c r="M23" s="172"/>
      <c r="N23" s="172"/>
      <c r="O23" s="172"/>
      <c r="P23" s="172"/>
      <c r="Q23" s="172">
        <v>1</v>
      </c>
      <c r="R23" s="172"/>
      <c r="S23" s="172"/>
      <c r="T23" s="172"/>
      <c r="U23" s="172"/>
      <c r="V23" s="172"/>
      <c r="W23" s="172"/>
      <c r="X23" s="172">
        <v>1</v>
      </c>
      <c r="Y23" s="172">
        <v>1</v>
      </c>
      <c r="Z23" s="172"/>
      <c r="AA23" s="172"/>
      <c r="AB23" s="172"/>
      <c r="AC23" s="172"/>
      <c r="AD23" s="172"/>
      <c r="AE23" s="172"/>
      <c r="AF23" s="172"/>
      <c r="AG23" s="172"/>
      <c r="AH23" s="172"/>
      <c r="AI23" s="205">
        <f t="shared" si="0"/>
        <v>4</v>
      </c>
      <c r="AJ23" s="170"/>
      <c r="AK23" s="170"/>
    </row>
    <row r="24" spans="1:40" ht="15" customHeight="1" x14ac:dyDescent="0.25">
      <c r="A24" s="112"/>
      <c r="B24" s="172" t="s">
        <v>32</v>
      </c>
      <c r="C24" s="172" t="s">
        <v>34</v>
      </c>
      <c r="D24" s="172"/>
      <c r="E24" s="172"/>
      <c r="F24" s="172"/>
      <c r="G24" s="172"/>
      <c r="H24" s="172"/>
      <c r="I24" s="172"/>
      <c r="J24" s="172"/>
      <c r="K24" s="172"/>
      <c r="L24" s="172"/>
      <c r="M24" s="172"/>
      <c r="N24" s="172"/>
      <c r="O24" s="172"/>
      <c r="P24" s="172"/>
      <c r="Q24" s="172">
        <v>1</v>
      </c>
      <c r="R24" s="172">
        <v>1</v>
      </c>
      <c r="S24" s="172">
        <v>2</v>
      </c>
      <c r="T24" s="172">
        <v>2</v>
      </c>
      <c r="U24" s="172"/>
      <c r="V24" s="172"/>
      <c r="W24" s="172"/>
      <c r="X24" s="172"/>
      <c r="Y24" s="172">
        <v>1</v>
      </c>
      <c r="Z24" s="172">
        <v>1</v>
      </c>
      <c r="AA24" s="172">
        <v>3</v>
      </c>
      <c r="AB24" s="172"/>
      <c r="AC24" s="172"/>
      <c r="AD24" s="172"/>
      <c r="AE24" s="172"/>
      <c r="AF24" s="172"/>
      <c r="AG24" s="172"/>
      <c r="AH24" s="172"/>
      <c r="AI24" s="205">
        <f t="shared" si="0"/>
        <v>11</v>
      </c>
      <c r="AJ24" s="170"/>
      <c r="AK24" s="170"/>
    </row>
    <row r="25" spans="1:40" ht="15" customHeight="1" x14ac:dyDescent="0.25">
      <c r="A25" s="112"/>
      <c r="B25" s="172" t="s">
        <v>32</v>
      </c>
      <c r="C25" s="172" t="s">
        <v>33</v>
      </c>
      <c r="D25" s="312">
        <v>1</v>
      </c>
      <c r="E25" s="172"/>
      <c r="F25" s="172"/>
      <c r="G25" s="172"/>
      <c r="H25" s="172"/>
      <c r="I25" s="172"/>
      <c r="J25" s="172">
        <v>1</v>
      </c>
      <c r="K25" s="172"/>
      <c r="L25" s="172"/>
      <c r="M25" s="172"/>
      <c r="N25" s="172"/>
      <c r="O25" s="172"/>
      <c r="P25" s="172"/>
      <c r="Q25" s="172"/>
      <c r="R25" s="172"/>
      <c r="S25" s="172">
        <v>1</v>
      </c>
      <c r="T25" s="172">
        <v>1</v>
      </c>
      <c r="U25" s="172">
        <v>2</v>
      </c>
      <c r="V25" s="172"/>
      <c r="W25" s="172"/>
      <c r="X25" s="172">
        <v>4</v>
      </c>
      <c r="Y25" s="172"/>
      <c r="Z25" s="172">
        <v>1</v>
      </c>
      <c r="AA25" s="172">
        <v>1</v>
      </c>
      <c r="AB25" s="172">
        <v>1</v>
      </c>
      <c r="AC25" s="172">
        <v>1</v>
      </c>
      <c r="AD25" s="172"/>
      <c r="AE25" s="172">
        <v>1</v>
      </c>
      <c r="AF25" s="172">
        <v>4</v>
      </c>
      <c r="AG25" s="172">
        <v>1</v>
      </c>
      <c r="AH25" s="172"/>
      <c r="AI25" s="205">
        <f t="shared" si="0"/>
        <v>20</v>
      </c>
      <c r="AJ25" s="170"/>
      <c r="AK25" s="170"/>
    </row>
    <row r="26" spans="1:40" ht="15" customHeight="1" x14ac:dyDescent="0.25">
      <c r="A26" s="112"/>
      <c r="B26" s="172" t="s">
        <v>205</v>
      </c>
      <c r="C26" s="313" t="s">
        <v>31</v>
      </c>
      <c r="D26" s="313"/>
      <c r="E26" s="313"/>
      <c r="F26" s="313"/>
      <c r="G26" s="313"/>
      <c r="H26" s="313"/>
      <c r="I26" s="313"/>
      <c r="J26" s="313">
        <v>1</v>
      </c>
      <c r="K26" s="313"/>
      <c r="L26" s="313"/>
      <c r="M26" s="313"/>
      <c r="N26" s="313"/>
      <c r="O26" s="313"/>
      <c r="P26" s="313">
        <v>2</v>
      </c>
      <c r="Q26" s="313">
        <v>1</v>
      </c>
      <c r="R26" s="313"/>
      <c r="S26" s="313">
        <v>1</v>
      </c>
      <c r="T26" s="313">
        <v>1</v>
      </c>
      <c r="U26" s="313">
        <v>2</v>
      </c>
      <c r="V26" s="313"/>
      <c r="W26" s="313"/>
      <c r="X26" s="313"/>
      <c r="Y26" s="313">
        <v>1</v>
      </c>
      <c r="Z26" s="313">
        <v>5</v>
      </c>
      <c r="AA26" s="313">
        <v>3</v>
      </c>
      <c r="AB26" s="313">
        <v>1</v>
      </c>
      <c r="AC26" s="313">
        <v>1</v>
      </c>
      <c r="AD26" s="313"/>
      <c r="AE26" s="313">
        <v>1</v>
      </c>
      <c r="AF26" s="313">
        <v>2</v>
      </c>
      <c r="AG26" s="313"/>
      <c r="AH26" s="313"/>
      <c r="AI26" s="314">
        <f t="shared" ref="AI26:AI27" si="2">SUM($D26:$AH26)</f>
        <v>22</v>
      </c>
      <c r="AJ26" s="170"/>
      <c r="AK26" s="170"/>
    </row>
    <row r="27" spans="1:40" ht="15" customHeight="1" x14ac:dyDescent="0.25">
      <c r="A27" s="112"/>
      <c r="B27" s="172" t="s">
        <v>205</v>
      </c>
      <c r="C27" s="276" t="s">
        <v>161</v>
      </c>
      <c r="D27" s="277"/>
      <c r="E27" s="277"/>
      <c r="F27" s="277"/>
      <c r="G27" s="277"/>
      <c r="H27" s="277"/>
      <c r="I27" s="277"/>
      <c r="J27" s="277"/>
      <c r="K27" s="277"/>
      <c r="L27" s="278">
        <v>1</v>
      </c>
      <c r="M27" s="277"/>
      <c r="N27" s="277"/>
      <c r="O27" s="277"/>
      <c r="P27" s="277"/>
      <c r="Q27" s="278">
        <v>2</v>
      </c>
      <c r="R27" s="277"/>
      <c r="S27" s="277"/>
      <c r="T27" s="277"/>
      <c r="U27" s="277"/>
      <c r="V27" s="277"/>
      <c r="W27" s="277"/>
      <c r="X27" s="277"/>
      <c r="Y27" s="277"/>
      <c r="Z27" s="277"/>
      <c r="AA27" s="277"/>
      <c r="AB27" s="277"/>
      <c r="AC27" s="277"/>
      <c r="AD27" s="277"/>
      <c r="AE27" s="277"/>
      <c r="AF27" s="277"/>
      <c r="AG27" s="277"/>
      <c r="AH27" s="277"/>
      <c r="AI27" s="279">
        <f t="shared" si="2"/>
        <v>3</v>
      </c>
      <c r="AJ27" s="112"/>
      <c r="AK27" s="170"/>
      <c r="AL27" s="112"/>
    </row>
    <row r="28" spans="1:40" ht="15" customHeight="1" x14ac:dyDescent="0.25">
      <c r="A28" s="112"/>
      <c r="B28" s="259" t="s">
        <v>115</v>
      </c>
      <c r="C28" s="259"/>
      <c r="D28" s="259">
        <v>1</v>
      </c>
      <c r="E28" s="259">
        <f t="shared" ref="E28:AI28" si="3">SUM(E5:E27)</f>
        <v>1</v>
      </c>
      <c r="F28" s="259">
        <f t="shared" si="3"/>
        <v>0</v>
      </c>
      <c r="G28" s="259">
        <f t="shared" si="3"/>
        <v>1</v>
      </c>
      <c r="H28" s="259">
        <f t="shared" si="3"/>
        <v>2</v>
      </c>
      <c r="I28" s="259">
        <f t="shared" si="3"/>
        <v>1</v>
      </c>
      <c r="J28" s="259">
        <f t="shared" si="3"/>
        <v>3</v>
      </c>
      <c r="K28" s="259">
        <f t="shared" si="3"/>
        <v>5</v>
      </c>
      <c r="L28" s="259">
        <f t="shared" si="3"/>
        <v>2</v>
      </c>
      <c r="M28" s="259">
        <f t="shared" si="3"/>
        <v>1</v>
      </c>
      <c r="N28" s="259">
        <f t="shared" si="3"/>
        <v>1</v>
      </c>
      <c r="O28" s="259">
        <f t="shared" si="3"/>
        <v>1</v>
      </c>
      <c r="P28" s="259">
        <f t="shared" si="3"/>
        <v>5</v>
      </c>
      <c r="Q28" s="259">
        <f t="shared" si="3"/>
        <v>18</v>
      </c>
      <c r="R28" s="259">
        <f t="shared" si="3"/>
        <v>7</v>
      </c>
      <c r="S28" s="259">
        <f t="shared" si="3"/>
        <v>7</v>
      </c>
      <c r="T28" s="259">
        <f t="shared" si="3"/>
        <v>14</v>
      </c>
      <c r="U28" s="259">
        <f t="shared" si="3"/>
        <v>8</v>
      </c>
      <c r="V28" s="259">
        <f t="shared" si="3"/>
        <v>11</v>
      </c>
      <c r="W28" s="259">
        <f t="shared" si="3"/>
        <v>14</v>
      </c>
      <c r="X28" s="259">
        <f t="shared" si="3"/>
        <v>12</v>
      </c>
      <c r="Y28" s="259">
        <f t="shared" si="3"/>
        <v>14</v>
      </c>
      <c r="Z28" s="259">
        <f t="shared" si="3"/>
        <v>18</v>
      </c>
      <c r="AA28" s="259">
        <f t="shared" si="3"/>
        <v>14</v>
      </c>
      <c r="AB28" s="259">
        <f t="shared" si="3"/>
        <v>7</v>
      </c>
      <c r="AC28" s="259">
        <f t="shared" si="3"/>
        <v>18</v>
      </c>
      <c r="AD28" s="259">
        <f t="shared" si="3"/>
        <v>6</v>
      </c>
      <c r="AE28" s="259">
        <f t="shared" si="3"/>
        <v>10</v>
      </c>
      <c r="AF28" s="259">
        <f t="shared" si="3"/>
        <v>30</v>
      </c>
      <c r="AG28" s="259">
        <f t="shared" si="3"/>
        <v>20</v>
      </c>
      <c r="AH28" s="259">
        <f t="shared" si="3"/>
        <v>15</v>
      </c>
      <c r="AI28" s="259">
        <f t="shared" si="3"/>
        <v>267</v>
      </c>
      <c r="AJ28" s="170"/>
      <c r="AK28" s="170"/>
    </row>
    <row r="29" spans="1:40" ht="15" customHeight="1" x14ac:dyDescent="0.25">
      <c r="A29" s="112"/>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81"/>
      <c r="AJ29" s="170"/>
      <c r="AK29" s="170"/>
    </row>
    <row r="30" spans="1:40" ht="15" customHeight="1" x14ac:dyDescent="0.25">
      <c r="A30" s="112"/>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81"/>
      <c r="AJ30" s="170"/>
      <c r="AK30" s="170"/>
    </row>
    <row r="31" spans="1:40" ht="15" customHeight="1" x14ac:dyDescent="0.25">
      <c r="A31" s="112"/>
      <c r="B31" s="183" t="s">
        <v>201</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79"/>
      <c r="AK31" s="179"/>
      <c r="AM31" s="322" t="s">
        <v>210</v>
      </c>
    </row>
    <row r="32" spans="1:40" ht="30" x14ac:dyDescent="0.25">
      <c r="A32" s="112"/>
      <c r="B32" s="183" t="s">
        <v>117</v>
      </c>
      <c r="C32" s="183" t="s">
        <v>84</v>
      </c>
      <c r="D32" s="183">
        <v>1970</v>
      </c>
      <c r="E32" s="183">
        <v>1985</v>
      </c>
      <c r="F32" s="183">
        <v>1987</v>
      </c>
      <c r="G32" s="183">
        <v>1990</v>
      </c>
      <c r="H32" s="183">
        <v>1992</v>
      </c>
      <c r="I32" s="183">
        <v>1993</v>
      </c>
      <c r="J32" s="183">
        <v>1995</v>
      </c>
      <c r="K32" s="183">
        <v>1996</v>
      </c>
      <c r="L32" s="183">
        <v>1997</v>
      </c>
      <c r="M32" s="183">
        <v>1998</v>
      </c>
      <c r="N32" s="183">
        <v>2000</v>
      </c>
      <c r="O32" s="183">
        <v>2001</v>
      </c>
      <c r="P32" s="183">
        <v>2002</v>
      </c>
      <c r="Q32" s="183">
        <v>2003</v>
      </c>
      <c r="R32" s="183">
        <v>2004</v>
      </c>
      <c r="S32" s="183">
        <v>2005</v>
      </c>
      <c r="T32" s="183">
        <v>2006</v>
      </c>
      <c r="U32" s="183">
        <v>2007</v>
      </c>
      <c r="V32" s="183">
        <v>2008</v>
      </c>
      <c r="W32" s="183">
        <v>2009</v>
      </c>
      <c r="X32" s="183">
        <v>2010</v>
      </c>
      <c r="Y32" s="183">
        <v>2011</v>
      </c>
      <c r="Z32" s="183">
        <v>2012</v>
      </c>
      <c r="AA32" s="183">
        <v>2013</v>
      </c>
      <c r="AB32" s="183">
        <v>2014</v>
      </c>
      <c r="AC32" s="183">
        <v>2015</v>
      </c>
      <c r="AD32" s="183">
        <v>2016</v>
      </c>
      <c r="AE32" s="183">
        <v>2017</v>
      </c>
      <c r="AF32" s="183">
        <v>2018</v>
      </c>
      <c r="AG32" s="183">
        <v>2019</v>
      </c>
      <c r="AH32" s="308">
        <v>2020</v>
      </c>
      <c r="AI32" s="182" t="s">
        <v>1</v>
      </c>
      <c r="AJ32" s="179"/>
      <c r="AK32" s="179"/>
      <c r="AM32" s="320" t="s">
        <v>207</v>
      </c>
      <c r="AN32" s="319" t="s">
        <v>208</v>
      </c>
    </row>
    <row r="33" spans="1:40" ht="15" customHeight="1" x14ac:dyDescent="0.25">
      <c r="A33" s="112"/>
      <c r="B33" s="172" t="s">
        <v>47</v>
      </c>
      <c r="C33" s="172" t="s">
        <v>53</v>
      </c>
      <c r="D33" s="172"/>
      <c r="E33" s="172"/>
      <c r="F33" s="172"/>
      <c r="G33" s="172"/>
      <c r="H33" s="172"/>
      <c r="I33" s="172"/>
      <c r="J33" s="172"/>
      <c r="K33" s="172"/>
      <c r="L33" s="172"/>
      <c r="M33" s="172"/>
      <c r="N33" s="172"/>
      <c r="O33" s="172"/>
      <c r="P33" s="172"/>
      <c r="Q33" s="172"/>
      <c r="R33" s="172"/>
      <c r="S33" s="172"/>
      <c r="T33" s="172"/>
      <c r="U33" s="172"/>
      <c r="V33" s="172"/>
      <c r="W33" s="172"/>
      <c r="X33" s="172"/>
      <c r="Y33" s="172"/>
      <c r="Z33" s="172">
        <v>1</v>
      </c>
      <c r="AA33" s="172">
        <v>1</v>
      </c>
      <c r="AB33" s="172"/>
      <c r="AC33" s="172"/>
      <c r="AD33" s="172">
        <v>1</v>
      </c>
      <c r="AE33" s="172">
        <v>1</v>
      </c>
      <c r="AF33" s="172"/>
      <c r="AG33" s="172"/>
      <c r="AH33" s="172"/>
      <c r="AI33" s="205">
        <f>SUM(D33:AH33)</f>
        <v>4</v>
      </c>
      <c r="AJ33" s="179"/>
      <c r="AK33" s="179"/>
      <c r="AM33" s="316" t="s">
        <v>47</v>
      </c>
      <c r="AN33" s="315">
        <f>SUMIF($B$33:$B$55,AM33,$AI$33:$AI$55)</f>
        <v>13</v>
      </c>
    </row>
    <row r="34" spans="1:40" ht="15" customHeight="1" x14ac:dyDescent="0.25">
      <c r="A34" s="112"/>
      <c r="B34" s="172" t="s">
        <v>47</v>
      </c>
      <c r="C34" s="172" t="s">
        <v>52</v>
      </c>
      <c r="D34" s="172"/>
      <c r="E34" s="172"/>
      <c r="F34" s="172"/>
      <c r="G34" s="172"/>
      <c r="H34" s="172"/>
      <c r="I34" s="172"/>
      <c r="J34" s="311">
        <v>1</v>
      </c>
      <c r="K34" s="172"/>
      <c r="L34" s="172"/>
      <c r="M34" s="172"/>
      <c r="N34" s="172"/>
      <c r="O34" s="172"/>
      <c r="P34" s="172"/>
      <c r="Q34" s="311">
        <v>1</v>
      </c>
      <c r="R34" s="311">
        <v>1</v>
      </c>
      <c r="S34" s="172"/>
      <c r="T34" s="311">
        <v>1</v>
      </c>
      <c r="U34" s="172"/>
      <c r="V34" s="172"/>
      <c r="W34" s="172"/>
      <c r="X34" s="172"/>
      <c r="Y34" s="172"/>
      <c r="Z34" s="172"/>
      <c r="AA34" s="172"/>
      <c r="AB34" s="172"/>
      <c r="AC34" s="172"/>
      <c r="AD34" s="172"/>
      <c r="AE34" s="172"/>
      <c r="AF34" s="172"/>
      <c r="AG34" s="172"/>
      <c r="AH34" s="172"/>
      <c r="AI34" s="205">
        <f>SUM(D34:AH34)</f>
        <v>4</v>
      </c>
      <c r="AJ34" s="179"/>
      <c r="AK34" s="179"/>
      <c r="AM34" s="316" t="s">
        <v>204</v>
      </c>
      <c r="AN34" s="315">
        <f t="shared" ref="AN34:AN37" si="4">SUMIF($B$33:$B$55,AM34,$AI$33:$AI$55)</f>
        <v>0</v>
      </c>
    </row>
    <row r="35" spans="1:40" ht="15" customHeight="1" x14ac:dyDescent="0.25">
      <c r="A35" s="112"/>
      <c r="B35" s="172" t="s">
        <v>47</v>
      </c>
      <c r="C35" s="172" t="s">
        <v>51</v>
      </c>
      <c r="D35" s="172"/>
      <c r="E35" s="172"/>
      <c r="F35" s="172"/>
      <c r="G35" s="172"/>
      <c r="H35" s="172"/>
      <c r="I35" s="172"/>
      <c r="J35" s="172"/>
      <c r="K35" s="172"/>
      <c r="L35" s="172"/>
      <c r="M35" s="172"/>
      <c r="N35" s="172"/>
      <c r="O35" s="172"/>
      <c r="P35" s="172"/>
      <c r="Q35" s="172"/>
      <c r="R35" s="172"/>
      <c r="S35" s="172"/>
      <c r="T35" s="172"/>
      <c r="U35" s="172"/>
      <c r="V35" s="311">
        <v>1</v>
      </c>
      <c r="W35" s="172"/>
      <c r="X35" s="172"/>
      <c r="Y35" s="172"/>
      <c r="Z35" s="172"/>
      <c r="AA35" s="172"/>
      <c r="AB35" s="172"/>
      <c r="AC35" s="172"/>
      <c r="AD35" s="172"/>
      <c r="AE35" s="172"/>
      <c r="AF35" s="172"/>
      <c r="AG35" s="172"/>
      <c r="AH35" s="172"/>
      <c r="AI35" s="205">
        <f t="shared" ref="AI35:AI55" si="5">SUM(D35:AH35)</f>
        <v>1</v>
      </c>
      <c r="AJ35" s="179"/>
      <c r="AK35" s="179"/>
      <c r="AM35" s="316" t="s">
        <v>40</v>
      </c>
      <c r="AN35" s="315">
        <f t="shared" si="4"/>
        <v>24</v>
      </c>
    </row>
    <row r="36" spans="1:40" ht="15" customHeight="1" x14ac:dyDescent="0.25">
      <c r="A36" s="112"/>
      <c r="B36" s="172" t="s">
        <v>204</v>
      </c>
      <c r="C36" s="172" t="s">
        <v>54</v>
      </c>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205">
        <f t="shared" si="5"/>
        <v>0</v>
      </c>
      <c r="AJ36" s="179"/>
      <c r="AK36" s="179"/>
      <c r="AM36" s="316" t="s">
        <v>32</v>
      </c>
      <c r="AN36" s="315">
        <f t="shared" si="4"/>
        <v>0</v>
      </c>
    </row>
    <row r="37" spans="1:40" ht="15" customHeight="1" x14ac:dyDescent="0.25">
      <c r="A37" s="112"/>
      <c r="B37" s="172" t="s">
        <v>47</v>
      </c>
      <c r="C37" s="172" t="s">
        <v>50</v>
      </c>
      <c r="D37" s="172"/>
      <c r="E37" s="172"/>
      <c r="F37" s="172"/>
      <c r="G37" s="172"/>
      <c r="H37" s="172"/>
      <c r="I37" s="172"/>
      <c r="J37" s="172"/>
      <c r="K37" s="311">
        <v>1</v>
      </c>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205">
        <f t="shared" si="5"/>
        <v>1</v>
      </c>
      <c r="AJ37" s="179"/>
      <c r="AK37" s="179"/>
      <c r="AM37" s="316" t="s">
        <v>205</v>
      </c>
      <c r="AN37" s="315">
        <f t="shared" si="4"/>
        <v>0</v>
      </c>
    </row>
    <row r="38" spans="1:40" ht="15" customHeight="1" x14ac:dyDescent="0.25">
      <c r="A38" s="112"/>
      <c r="B38" s="172" t="s">
        <v>47</v>
      </c>
      <c r="C38" s="172" t="s">
        <v>49</v>
      </c>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205">
        <f t="shared" si="5"/>
        <v>0</v>
      </c>
      <c r="AJ38" s="179"/>
      <c r="AK38" s="179"/>
      <c r="AM38" s="315"/>
      <c r="AN38" s="317">
        <f>SUM(AN33:AN37)</f>
        <v>37</v>
      </c>
    </row>
    <row r="39" spans="1:40" ht="15" customHeight="1" x14ac:dyDescent="0.25">
      <c r="A39" s="112"/>
      <c r="B39" s="172" t="s">
        <v>204</v>
      </c>
      <c r="C39" s="172" t="s">
        <v>55</v>
      </c>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205">
        <f t="shared" si="5"/>
        <v>0</v>
      </c>
      <c r="AJ39" s="179"/>
      <c r="AK39" s="179"/>
    </row>
    <row r="40" spans="1:40" ht="15" customHeight="1" x14ac:dyDescent="0.25">
      <c r="A40" s="112"/>
      <c r="B40" s="172" t="s">
        <v>40</v>
      </c>
      <c r="C40" s="172" t="s">
        <v>46</v>
      </c>
      <c r="D40" s="172"/>
      <c r="E40" s="172"/>
      <c r="F40" s="172"/>
      <c r="G40" s="311">
        <v>1</v>
      </c>
      <c r="H40" s="172"/>
      <c r="I40" s="172"/>
      <c r="J40" s="172"/>
      <c r="K40" s="172"/>
      <c r="L40" s="172"/>
      <c r="M40" s="172"/>
      <c r="N40" s="172"/>
      <c r="O40" s="172"/>
      <c r="P40" s="311">
        <v>1</v>
      </c>
      <c r="Q40" s="311">
        <v>3</v>
      </c>
      <c r="R40" s="311">
        <v>1</v>
      </c>
      <c r="S40" s="172"/>
      <c r="T40" s="172"/>
      <c r="U40" s="311">
        <v>1</v>
      </c>
      <c r="V40" s="311">
        <v>2</v>
      </c>
      <c r="W40" s="172"/>
      <c r="X40" s="172"/>
      <c r="Y40" s="172"/>
      <c r="Z40" s="172"/>
      <c r="AA40" s="172"/>
      <c r="AB40" s="172"/>
      <c r="AC40" s="172"/>
      <c r="AD40" s="172"/>
      <c r="AE40" s="172"/>
      <c r="AF40" s="172"/>
      <c r="AG40" s="172"/>
      <c r="AH40" s="172"/>
      <c r="AI40" s="205">
        <f t="shared" si="5"/>
        <v>9</v>
      </c>
      <c r="AJ40" s="179"/>
      <c r="AK40" s="179"/>
    </row>
    <row r="41" spans="1:40" ht="15" customHeight="1" x14ac:dyDescent="0.25">
      <c r="A41" s="112"/>
      <c r="B41" s="172" t="s">
        <v>40</v>
      </c>
      <c r="C41" s="172" t="s">
        <v>45</v>
      </c>
      <c r="D41" s="172"/>
      <c r="E41" s="172"/>
      <c r="F41" s="172"/>
      <c r="G41" s="172"/>
      <c r="H41" s="172"/>
      <c r="I41" s="172"/>
      <c r="J41" s="172"/>
      <c r="K41" s="172"/>
      <c r="L41" s="311">
        <v>1</v>
      </c>
      <c r="M41" s="311"/>
      <c r="N41" s="311">
        <v>1</v>
      </c>
      <c r="O41" s="311"/>
      <c r="P41" s="311">
        <v>1</v>
      </c>
      <c r="Q41" s="311">
        <v>4</v>
      </c>
      <c r="R41" s="172"/>
      <c r="S41" s="172"/>
      <c r="T41" s="172"/>
      <c r="U41" s="172"/>
      <c r="V41" s="172"/>
      <c r="W41" s="172"/>
      <c r="X41" s="172"/>
      <c r="Y41" s="172"/>
      <c r="Z41" s="172"/>
      <c r="AA41" s="172"/>
      <c r="AB41" s="172"/>
      <c r="AC41" s="172"/>
      <c r="AD41" s="172"/>
      <c r="AE41" s="172"/>
      <c r="AF41" s="172"/>
      <c r="AG41" s="172"/>
      <c r="AH41" s="172"/>
      <c r="AI41" s="205">
        <f t="shared" si="5"/>
        <v>7</v>
      </c>
      <c r="AJ41" s="179"/>
      <c r="AK41" s="179"/>
    </row>
    <row r="42" spans="1:40" ht="15" customHeight="1" x14ac:dyDescent="0.25">
      <c r="A42" s="112"/>
      <c r="B42" s="172" t="s">
        <v>40</v>
      </c>
      <c r="C42" s="172" t="s">
        <v>116</v>
      </c>
      <c r="D42" s="172"/>
      <c r="E42" s="172"/>
      <c r="F42" s="172"/>
      <c r="G42" s="172"/>
      <c r="H42" s="172"/>
      <c r="I42" s="172"/>
      <c r="J42" s="172"/>
      <c r="K42" s="172"/>
      <c r="L42" s="172"/>
      <c r="M42" s="172"/>
      <c r="N42" s="172"/>
      <c r="O42" s="172"/>
      <c r="P42" s="172"/>
      <c r="Q42" s="172"/>
      <c r="R42" s="172"/>
      <c r="S42" s="311">
        <v>1</v>
      </c>
      <c r="T42" s="172"/>
      <c r="U42" s="172"/>
      <c r="V42" s="172"/>
      <c r="W42" s="172"/>
      <c r="X42" s="172"/>
      <c r="Y42" s="172"/>
      <c r="Z42" s="172"/>
      <c r="AA42" s="172"/>
      <c r="AB42" s="172"/>
      <c r="AC42" s="172"/>
      <c r="AD42" s="172"/>
      <c r="AE42" s="172"/>
      <c r="AF42" s="172"/>
      <c r="AG42" s="172"/>
      <c r="AH42" s="172"/>
      <c r="AI42" s="205">
        <f t="shared" si="5"/>
        <v>1</v>
      </c>
      <c r="AJ42" s="179"/>
      <c r="AK42" s="179"/>
    </row>
    <row r="43" spans="1:40" ht="15" customHeight="1" x14ac:dyDescent="0.25">
      <c r="A43" s="112"/>
      <c r="B43" s="172" t="s">
        <v>40</v>
      </c>
      <c r="C43" s="172" t="s">
        <v>43</v>
      </c>
      <c r="D43" s="172"/>
      <c r="E43" s="172"/>
      <c r="F43" s="172"/>
      <c r="G43" s="172"/>
      <c r="H43" s="172"/>
      <c r="I43" s="172"/>
      <c r="J43" s="172"/>
      <c r="K43" s="172"/>
      <c r="L43" s="172"/>
      <c r="M43" s="172"/>
      <c r="N43" s="172"/>
      <c r="O43" s="172"/>
      <c r="P43" s="172"/>
      <c r="Q43" s="172"/>
      <c r="R43" s="311">
        <v>1</v>
      </c>
      <c r="S43" s="172"/>
      <c r="T43" s="172"/>
      <c r="U43" s="311">
        <v>1</v>
      </c>
      <c r="V43" s="311">
        <v>1</v>
      </c>
      <c r="W43" s="172"/>
      <c r="X43" s="172"/>
      <c r="Y43" s="172"/>
      <c r="Z43" s="172"/>
      <c r="AA43" s="172"/>
      <c r="AB43" s="172"/>
      <c r="AC43" s="172"/>
      <c r="AD43" s="172"/>
      <c r="AE43" s="172"/>
      <c r="AF43" s="172"/>
      <c r="AG43" s="172"/>
      <c r="AH43" s="172"/>
      <c r="AI43" s="205">
        <f t="shared" si="5"/>
        <v>3</v>
      </c>
      <c r="AJ43" s="179"/>
      <c r="AK43" s="179"/>
    </row>
    <row r="44" spans="1:40" ht="15" customHeight="1" x14ac:dyDescent="0.25">
      <c r="A44" s="112"/>
      <c r="B44" s="172" t="s">
        <v>40</v>
      </c>
      <c r="C44" s="172" t="s">
        <v>42</v>
      </c>
      <c r="D44" s="172"/>
      <c r="E44" s="172"/>
      <c r="F44" s="172"/>
      <c r="G44" s="172"/>
      <c r="H44" s="311">
        <v>2</v>
      </c>
      <c r="I44" s="172"/>
      <c r="J44" s="172"/>
      <c r="K44" s="311">
        <v>1</v>
      </c>
      <c r="L44" s="172"/>
      <c r="M44" s="172"/>
      <c r="N44" s="172"/>
      <c r="O44" s="172"/>
      <c r="P44" s="311">
        <v>1</v>
      </c>
      <c r="Q44" s="172"/>
      <c r="R44" s="172"/>
      <c r="S44" s="172"/>
      <c r="T44" s="172"/>
      <c r="U44" s="172"/>
      <c r="V44" s="172"/>
      <c r="W44" s="172"/>
      <c r="X44" s="172"/>
      <c r="Y44" s="172"/>
      <c r="Z44" s="172"/>
      <c r="AA44" s="172"/>
      <c r="AB44" s="172"/>
      <c r="AC44" s="172"/>
      <c r="AD44" s="172"/>
      <c r="AE44" s="172"/>
      <c r="AF44" s="172"/>
      <c r="AG44" s="172"/>
      <c r="AH44" s="172"/>
      <c r="AI44" s="205">
        <f t="shared" si="5"/>
        <v>4</v>
      </c>
      <c r="AJ44" s="179"/>
      <c r="AK44" s="179"/>
    </row>
    <row r="45" spans="1:40" ht="15" customHeight="1" x14ac:dyDescent="0.25">
      <c r="A45" s="112"/>
      <c r="B45" s="172" t="s">
        <v>47</v>
      </c>
      <c r="C45" s="172" t="s">
        <v>48</v>
      </c>
      <c r="D45" s="172"/>
      <c r="E45" s="172"/>
      <c r="F45" s="172"/>
      <c r="G45" s="172"/>
      <c r="H45" s="172"/>
      <c r="I45" s="172"/>
      <c r="J45" s="172"/>
      <c r="K45" s="172"/>
      <c r="L45" s="172"/>
      <c r="M45" s="172"/>
      <c r="N45" s="172"/>
      <c r="O45" s="172"/>
      <c r="P45" s="172"/>
      <c r="Q45" s="172"/>
      <c r="R45" s="172"/>
      <c r="S45" s="172"/>
      <c r="T45" s="172"/>
      <c r="U45" s="172"/>
      <c r="V45" s="172"/>
      <c r="W45" s="311">
        <v>1</v>
      </c>
      <c r="X45" s="172"/>
      <c r="Y45" s="311">
        <v>1</v>
      </c>
      <c r="Z45" s="172"/>
      <c r="AA45" s="172"/>
      <c r="AB45" s="172"/>
      <c r="AC45" s="311">
        <v>1</v>
      </c>
      <c r="AD45" s="172"/>
      <c r="AE45" s="172"/>
      <c r="AF45" s="172"/>
      <c r="AG45" s="172"/>
      <c r="AH45" s="172"/>
      <c r="AI45" s="205">
        <f t="shared" si="5"/>
        <v>3</v>
      </c>
      <c r="AJ45" s="179"/>
      <c r="AK45" s="179"/>
    </row>
    <row r="46" spans="1:40" ht="15" customHeight="1" x14ac:dyDescent="0.25">
      <c r="A46" s="112"/>
      <c r="B46" s="172" t="s">
        <v>32</v>
      </c>
      <c r="C46" s="172" t="s">
        <v>39</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205">
        <f t="shared" si="5"/>
        <v>0</v>
      </c>
      <c r="AJ46" s="179"/>
      <c r="AK46" s="179"/>
    </row>
    <row r="47" spans="1:40" ht="15" customHeight="1" x14ac:dyDescent="0.25">
      <c r="A47" s="112"/>
      <c r="B47" s="172"/>
      <c r="C47" s="299" t="s">
        <v>38</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300">
        <f t="shared" si="5"/>
        <v>0</v>
      </c>
      <c r="AJ47" s="179"/>
      <c r="AK47" s="179"/>
    </row>
    <row r="48" spans="1:40" ht="15" customHeight="1" x14ac:dyDescent="0.25">
      <c r="A48" s="112"/>
      <c r="B48" s="172"/>
      <c r="C48" s="299" t="s">
        <v>41</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300">
        <f t="shared" si="5"/>
        <v>0</v>
      </c>
      <c r="AJ48" s="179"/>
      <c r="AK48" s="179"/>
    </row>
    <row r="49" spans="1:40" ht="15" customHeight="1" x14ac:dyDescent="0.25">
      <c r="A49" s="112"/>
      <c r="B49" s="172" t="s">
        <v>32</v>
      </c>
      <c r="C49" s="172" t="s">
        <v>37</v>
      </c>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205">
        <f t="shared" si="5"/>
        <v>0</v>
      </c>
      <c r="AJ49" s="179"/>
      <c r="AK49" s="179"/>
    </row>
    <row r="50" spans="1:40" ht="15" customHeight="1" x14ac:dyDescent="0.25">
      <c r="A50" s="112"/>
      <c r="B50" s="172" t="s">
        <v>32</v>
      </c>
      <c r="C50" s="172" t="s">
        <v>36</v>
      </c>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205">
        <f t="shared" si="5"/>
        <v>0</v>
      </c>
      <c r="AJ50" s="179"/>
      <c r="AK50" s="179"/>
    </row>
    <row r="51" spans="1:40" ht="15" customHeight="1" x14ac:dyDescent="0.25">
      <c r="A51" s="112"/>
      <c r="B51" s="172" t="s">
        <v>32</v>
      </c>
      <c r="C51" s="172" t="s">
        <v>35</v>
      </c>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205">
        <f t="shared" si="5"/>
        <v>0</v>
      </c>
      <c r="AJ51" s="179"/>
      <c r="AK51" s="179"/>
    </row>
    <row r="52" spans="1:40" ht="15" customHeight="1" x14ac:dyDescent="0.25">
      <c r="A52" s="112"/>
      <c r="B52" s="172" t="s">
        <v>32</v>
      </c>
      <c r="C52" s="172" t="s">
        <v>34</v>
      </c>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205">
        <f t="shared" si="5"/>
        <v>0</v>
      </c>
      <c r="AJ52" s="179"/>
      <c r="AK52" s="179"/>
    </row>
    <row r="53" spans="1:40" ht="15" customHeight="1" x14ac:dyDescent="0.25">
      <c r="A53" s="112"/>
      <c r="B53" s="172" t="s">
        <v>32</v>
      </c>
      <c r="C53" s="172" t="s">
        <v>33</v>
      </c>
      <c r="D53" s="31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205">
        <f t="shared" si="5"/>
        <v>0</v>
      </c>
      <c r="AJ53" s="179"/>
      <c r="AK53" s="179"/>
    </row>
    <row r="54" spans="1:40" ht="15" customHeight="1" x14ac:dyDescent="0.25">
      <c r="A54" s="112"/>
      <c r="B54" s="172" t="s">
        <v>205</v>
      </c>
      <c r="C54" s="296" t="s">
        <v>31</v>
      </c>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8">
        <f t="shared" si="5"/>
        <v>0</v>
      </c>
      <c r="AJ54" s="179"/>
      <c r="AK54" s="179"/>
    </row>
    <row r="55" spans="1:40" ht="15" customHeight="1" x14ac:dyDescent="0.25">
      <c r="A55" s="112"/>
      <c r="B55" s="172" t="s">
        <v>205</v>
      </c>
      <c r="C55" s="296" t="s">
        <v>161</v>
      </c>
      <c r="D55" s="302"/>
      <c r="E55" s="302"/>
      <c r="F55" s="302"/>
      <c r="G55" s="302"/>
      <c r="H55" s="302"/>
      <c r="I55" s="302"/>
      <c r="J55" s="302"/>
      <c r="K55" s="302"/>
      <c r="L55" s="297"/>
      <c r="M55" s="302"/>
      <c r="N55" s="302"/>
      <c r="O55" s="302"/>
      <c r="P55" s="302"/>
      <c r="Q55" s="297"/>
      <c r="R55" s="302"/>
      <c r="S55" s="302"/>
      <c r="T55" s="302"/>
      <c r="U55" s="302"/>
      <c r="V55" s="302"/>
      <c r="W55" s="302"/>
      <c r="X55" s="302"/>
      <c r="Y55" s="302"/>
      <c r="Z55" s="302"/>
      <c r="AA55" s="302"/>
      <c r="AB55" s="302"/>
      <c r="AC55" s="302"/>
      <c r="AD55" s="302"/>
      <c r="AE55" s="302"/>
      <c r="AF55" s="302"/>
      <c r="AG55" s="302"/>
      <c r="AH55" s="302"/>
      <c r="AI55" s="301">
        <f t="shared" si="5"/>
        <v>0</v>
      </c>
      <c r="AJ55" s="179"/>
      <c r="AK55" s="179"/>
    </row>
    <row r="56" spans="1:40" ht="15" customHeight="1" x14ac:dyDescent="0.25">
      <c r="A56" s="112"/>
      <c r="B56" s="259" t="s">
        <v>115</v>
      </c>
      <c r="C56" s="259"/>
      <c r="D56" s="259">
        <v>1</v>
      </c>
      <c r="E56" s="259">
        <f t="shared" ref="E56:AI56" si="6">SUM(E33:E55)</f>
        <v>0</v>
      </c>
      <c r="F56" s="259">
        <f t="shared" si="6"/>
        <v>0</v>
      </c>
      <c r="G56" s="259">
        <f t="shared" si="6"/>
        <v>1</v>
      </c>
      <c r="H56" s="259">
        <f t="shared" si="6"/>
        <v>2</v>
      </c>
      <c r="I56" s="259">
        <f t="shared" si="6"/>
        <v>0</v>
      </c>
      <c r="J56" s="259">
        <f t="shared" si="6"/>
        <v>1</v>
      </c>
      <c r="K56" s="259">
        <f t="shared" si="6"/>
        <v>2</v>
      </c>
      <c r="L56" s="259">
        <f t="shared" si="6"/>
        <v>1</v>
      </c>
      <c r="M56" s="259">
        <f t="shared" si="6"/>
        <v>0</v>
      </c>
      <c r="N56" s="259">
        <f t="shared" si="6"/>
        <v>1</v>
      </c>
      <c r="O56" s="259">
        <f t="shared" si="6"/>
        <v>0</v>
      </c>
      <c r="P56" s="259">
        <f t="shared" si="6"/>
        <v>3</v>
      </c>
      <c r="Q56" s="259">
        <f t="shared" si="6"/>
        <v>8</v>
      </c>
      <c r="R56" s="259">
        <f t="shared" si="6"/>
        <v>3</v>
      </c>
      <c r="S56" s="259">
        <f t="shared" si="6"/>
        <v>1</v>
      </c>
      <c r="T56" s="259">
        <f t="shared" si="6"/>
        <v>1</v>
      </c>
      <c r="U56" s="259">
        <f t="shared" si="6"/>
        <v>2</v>
      </c>
      <c r="V56" s="259">
        <f t="shared" si="6"/>
        <v>4</v>
      </c>
      <c r="W56" s="259">
        <f t="shared" si="6"/>
        <v>1</v>
      </c>
      <c r="X56" s="259">
        <f t="shared" si="6"/>
        <v>0</v>
      </c>
      <c r="Y56" s="259">
        <f t="shared" si="6"/>
        <v>1</v>
      </c>
      <c r="Z56" s="259">
        <f t="shared" si="6"/>
        <v>1</v>
      </c>
      <c r="AA56" s="259">
        <f t="shared" si="6"/>
        <v>1</v>
      </c>
      <c r="AB56" s="259">
        <f t="shared" si="6"/>
        <v>0</v>
      </c>
      <c r="AC56" s="259">
        <f t="shared" si="6"/>
        <v>1</v>
      </c>
      <c r="AD56" s="259">
        <f t="shared" si="6"/>
        <v>1</v>
      </c>
      <c r="AE56" s="259">
        <f t="shared" si="6"/>
        <v>1</v>
      </c>
      <c r="AF56" s="259">
        <f t="shared" si="6"/>
        <v>0</v>
      </c>
      <c r="AG56" s="259">
        <f t="shared" si="6"/>
        <v>0</v>
      </c>
      <c r="AH56" s="259">
        <f t="shared" si="6"/>
        <v>0</v>
      </c>
      <c r="AI56" s="259">
        <f t="shared" si="6"/>
        <v>37</v>
      </c>
      <c r="AJ56" s="179"/>
      <c r="AK56" s="179"/>
    </row>
    <row r="57" spans="1:40" ht="15"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79"/>
      <c r="AJ57" s="179"/>
      <c r="AK57" s="179"/>
    </row>
    <row r="58" spans="1:40" ht="15"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79"/>
      <c r="AJ58" s="179"/>
      <c r="AK58" s="179"/>
    </row>
    <row r="59" spans="1:40" ht="15" customHeight="1" x14ac:dyDescent="0.25">
      <c r="A59" s="112"/>
      <c r="B59" s="183" t="s">
        <v>202</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79"/>
      <c r="AK59" s="179"/>
      <c r="AM59" s="322" t="s">
        <v>209</v>
      </c>
    </row>
    <row r="60" spans="1:40" ht="30" x14ac:dyDescent="0.25">
      <c r="A60" s="112"/>
      <c r="B60" s="183" t="s">
        <v>117</v>
      </c>
      <c r="C60" s="183" t="s">
        <v>84</v>
      </c>
      <c r="D60" s="183">
        <v>1970</v>
      </c>
      <c r="E60" s="183">
        <v>1985</v>
      </c>
      <c r="F60" s="183">
        <v>1987</v>
      </c>
      <c r="G60" s="183">
        <v>1990</v>
      </c>
      <c r="H60" s="183">
        <v>1992</v>
      </c>
      <c r="I60" s="183">
        <v>1993</v>
      </c>
      <c r="J60" s="183">
        <v>1995</v>
      </c>
      <c r="K60" s="183">
        <v>1996</v>
      </c>
      <c r="L60" s="183">
        <v>1997</v>
      </c>
      <c r="M60" s="183">
        <v>1998</v>
      </c>
      <c r="N60" s="183">
        <v>2000</v>
      </c>
      <c r="O60" s="183">
        <v>2001</v>
      </c>
      <c r="P60" s="183">
        <v>2002</v>
      </c>
      <c r="Q60" s="183">
        <v>2003</v>
      </c>
      <c r="R60" s="183">
        <v>2004</v>
      </c>
      <c r="S60" s="183">
        <v>2005</v>
      </c>
      <c r="T60" s="183">
        <v>2006</v>
      </c>
      <c r="U60" s="183">
        <v>2007</v>
      </c>
      <c r="V60" s="183">
        <v>2008</v>
      </c>
      <c r="W60" s="183">
        <v>2009</v>
      </c>
      <c r="X60" s="183">
        <v>2010</v>
      </c>
      <c r="Y60" s="183">
        <v>2011</v>
      </c>
      <c r="Z60" s="183">
        <v>2012</v>
      </c>
      <c r="AA60" s="183">
        <v>2013</v>
      </c>
      <c r="AB60" s="183">
        <v>2014</v>
      </c>
      <c r="AC60" s="183">
        <v>2015</v>
      </c>
      <c r="AD60" s="183">
        <v>2016</v>
      </c>
      <c r="AE60" s="183">
        <v>2017</v>
      </c>
      <c r="AF60" s="183">
        <v>2018</v>
      </c>
      <c r="AG60" s="183">
        <v>2019</v>
      </c>
      <c r="AH60" s="308">
        <v>2020</v>
      </c>
      <c r="AI60" s="182" t="s">
        <v>1</v>
      </c>
      <c r="AJ60" s="179"/>
      <c r="AK60" s="179"/>
      <c r="AM60" s="320" t="s">
        <v>207</v>
      </c>
      <c r="AN60" s="319" t="s">
        <v>208</v>
      </c>
    </row>
    <row r="61" spans="1:40" ht="15" customHeight="1" x14ac:dyDescent="0.25">
      <c r="A61" s="112"/>
      <c r="B61" s="172" t="s">
        <v>47</v>
      </c>
      <c r="C61" s="172" t="s">
        <v>53</v>
      </c>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311">
        <f>AF5</f>
        <v>4</v>
      </c>
      <c r="AG61" s="172"/>
      <c r="AH61" s="172"/>
      <c r="AI61" s="205">
        <f>SUM(D61:AH61)</f>
        <v>4</v>
      </c>
      <c r="AJ61" s="179"/>
      <c r="AK61" s="179"/>
      <c r="AM61" s="316" t="s">
        <v>47</v>
      </c>
      <c r="AN61" s="315">
        <f>SUMIF($B$61:$B$83,AM61,$AI$61:$AI$83)</f>
        <v>13</v>
      </c>
    </row>
    <row r="62" spans="1:40" ht="15" customHeight="1" x14ac:dyDescent="0.25">
      <c r="A62" s="112"/>
      <c r="B62" s="172" t="s">
        <v>47</v>
      </c>
      <c r="C62" s="172" t="s">
        <v>52</v>
      </c>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311">
        <v>2</v>
      </c>
      <c r="AD62" s="172"/>
      <c r="AE62" s="172"/>
      <c r="AF62" s="311">
        <f>AF6</f>
        <v>2</v>
      </c>
      <c r="AG62" s="172"/>
      <c r="AH62" s="172"/>
      <c r="AI62" s="205">
        <f>SUM(D62:AH62)</f>
        <v>4</v>
      </c>
      <c r="AJ62" s="179"/>
      <c r="AK62" s="179"/>
      <c r="AM62" s="316" t="s">
        <v>204</v>
      </c>
      <c r="AN62" s="315">
        <f t="shared" ref="AN62:AN65" si="7">SUMIF($B$61:$B$83,AM62,$AI$61:$AI$83)</f>
        <v>0</v>
      </c>
    </row>
    <row r="63" spans="1:40" ht="15" customHeight="1" x14ac:dyDescent="0.25">
      <c r="A63" s="112"/>
      <c r="B63" s="172" t="s">
        <v>47</v>
      </c>
      <c r="C63" s="172" t="s">
        <v>51</v>
      </c>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311">
        <v>1</v>
      </c>
      <c r="AG63" s="172"/>
      <c r="AH63" s="172"/>
      <c r="AI63" s="205">
        <f t="shared" ref="AI63:AI83" si="8">SUM(D63:AH63)</f>
        <v>1</v>
      </c>
      <c r="AJ63" s="179"/>
      <c r="AK63" s="179"/>
      <c r="AM63" s="316" t="s">
        <v>40</v>
      </c>
      <c r="AN63" s="315">
        <f t="shared" si="7"/>
        <v>24</v>
      </c>
    </row>
    <row r="64" spans="1:40" ht="15" customHeight="1" x14ac:dyDescent="0.25">
      <c r="A64" s="112"/>
      <c r="B64" s="172" t="s">
        <v>204</v>
      </c>
      <c r="C64" s="172" t="s">
        <v>54</v>
      </c>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205">
        <f t="shared" si="8"/>
        <v>0</v>
      </c>
      <c r="AJ64" s="179"/>
      <c r="AK64" s="179"/>
      <c r="AM64" s="316" t="s">
        <v>32</v>
      </c>
      <c r="AN64" s="315">
        <f t="shared" si="7"/>
        <v>0</v>
      </c>
    </row>
    <row r="65" spans="1:40" ht="15" customHeight="1" x14ac:dyDescent="0.25">
      <c r="A65" s="112"/>
      <c r="B65" s="172" t="s">
        <v>47</v>
      </c>
      <c r="C65" s="172" t="s">
        <v>50</v>
      </c>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311">
        <v>1</v>
      </c>
      <c r="AG65" s="172"/>
      <c r="AH65" s="172"/>
      <c r="AI65" s="205">
        <f t="shared" si="8"/>
        <v>1</v>
      </c>
      <c r="AJ65" s="179"/>
      <c r="AK65" s="179"/>
      <c r="AM65" s="316" t="s">
        <v>205</v>
      </c>
      <c r="AN65" s="315">
        <f t="shared" si="7"/>
        <v>0</v>
      </c>
    </row>
    <row r="66" spans="1:40" ht="15" customHeight="1" x14ac:dyDescent="0.25">
      <c r="A66" s="112"/>
      <c r="B66" s="172" t="s">
        <v>47</v>
      </c>
      <c r="C66" s="172" t="s">
        <v>49</v>
      </c>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205">
        <f t="shared" si="8"/>
        <v>0</v>
      </c>
      <c r="AJ66" s="179"/>
      <c r="AK66" s="179"/>
      <c r="AM66" s="315"/>
      <c r="AN66" s="317">
        <f>SUM(AN61:AN65)</f>
        <v>37</v>
      </c>
    </row>
    <row r="67" spans="1:40" ht="15" customHeight="1" x14ac:dyDescent="0.25">
      <c r="A67" s="112"/>
      <c r="B67" s="172" t="s">
        <v>204</v>
      </c>
      <c r="C67" s="172" t="s">
        <v>55</v>
      </c>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205">
        <f t="shared" si="8"/>
        <v>0</v>
      </c>
      <c r="AJ67" s="179"/>
      <c r="AK67" s="179"/>
    </row>
    <row r="68" spans="1:40" ht="15" customHeight="1" x14ac:dyDescent="0.25">
      <c r="A68" s="112"/>
      <c r="B68" s="172" t="s">
        <v>40</v>
      </c>
      <c r="C68" s="172" t="s">
        <v>46</v>
      </c>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311">
        <v>2</v>
      </c>
      <c r="AG68" s="311">
        <v>6</v>
      </c>
      <c r="AH68" s="311">
        <v>1</v>
      </c>
      <c r="AI68" s="205">
        <f t="shared" si="8"/>
        <v>9</v>
      </c>
      <c r="AJ68" s="179"/>
      <c r="AK68" s="179"/>
    </row>
    <row r="69" spans="1:40" ht="15" customHeight="1" x14ac:dyDescent="0.25">
      <c r="A69" s="112"/>
      <c r="B69" s="172" t="s">
        <v>40</v>
      </c>
      <c r="C69" s="172" t="s">
        <v>45</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311">
        <v>1</v>
      </c>
      <c r="AG69" s="172"/>
      <c r="AH69" s="311">
        <v>6</v>
      </c>
      <c r="AI69" s="205">
        <f t="shared" si="8"/>
        <v>7</v>
      </c>
      <c r="AJ69" s="179"/>
      <c r="AK69" s="179"/>
    </row>
    <row r="70" spans="1:40" ht="15" customHeight="1" x14ac:dyDescent="0.25">
      <c r="A70" s="112"/>
      <c r="B70" s="172" t="s">
        <v>40</v>
      </c>
      <c r="C70" s="172" t="s">
        <v>116</v>
      </c>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311">
        <v>1</v>
      </c>
      <c r="AG70" s="172"/>
      <c r="AH70" s="172"/>
      <c r="AI70" s="205">
        <f t="shared" si="8"/>
        <v>1</v>
      </c>
      <c r="AJ70" s="179"/>
      <c r="AK70" s="179"/>
    </row>
    <row r="71" spans="1:40" ht="15" customHeight="1" x14ac:dyDescent="0.25">
      <c r="A71" s="112"/>
      <c r="B71" s="172" t="s">
        <v>40</v>
      </c>
      <c r="C71" s="172" t="s">
        <v>43</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311">
        <v>3</v>
      </c>
      <c r="AH71" s="172"/>
      <c r="AI71" s="205">
        <f t="shared" si="8"/>
        <v>3</v>
      </c>
      <c r="AJ71" s="179"/>
      <c r="AK71" s="179"/>
    </row>
    <row r="72" spans="1:40" ht="15" customHeight="1" x14ac:dyDescent="0.25">
      <c r="A72" s="112"/>
      <c r="B72" s="172" t="s">
        <v>40</v>
      </c>
      <c r="C72" s="172" t="s">
        <v>42</v>
      </c>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311">
        <v>2</v>
      </c>
      <c r="AG72" s="311">
        <v>2</v>
      </c>
      <c r="AH72" s="172"/>
      <c r="AI72" s="205">
        <f t="shared" si="8"/>
        <v>4</v>
      </c>
      <c r="AJ72" s="179"/>
      <c r="AK72" s="179"/>
    </row>
    <row r="73" spans="1:40" ht="15" customHeight="1" x14ac:dyDescent="0.25">
      <c r="A73" s="112"/>
      <c r="B73" s="172" t="s">
        <v>47</v>
      </c>
      <c r="C73" s="172" t="s">
        <v>48</v>
      </c>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311">
        <v>2</v>
      </c>
      <c r="AG73" s="311">
        <v>1</v>
      </c>
      <c r="AH73" s="172"/>
      <c r="AI73" s="205">
        <f t="shared" si="8"/>
        <v>3</v>
      </c>
      <c r="AJ73" s="179"/>
      <c r="AK73" s="179"/>
    </row>
    <row r="74" spans="1:40" ht="15" customHeight="1" x14ac:dyDescent="0.25">
      <c r="A74" s="112"/>
      <c r="B74" s="172" t="s">
        <v>32</v>
      </c>
      <c r="C74" s="172" t="s">
        <v>39</v>
      </c>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205">
        <f t="shared" si="8"/>
        <v>0</v>
      </c>
      <c r="AJ74" s="179"/>
      <c r="AK74" s="179"/>
    </row>
    <row r="75" spans="1:40" ht="15" customHeight="1" x14ac:dyDescent="0.25">
      <c r="A75" s="112"/>
      <c r="B75" s="172"/>
      <c r="C75" s="299" t="s">
        <v>38</v>
      </c>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300">
        <f t="shared" si="8"/>
        <v>0</v>
      </c>
      <c r="AJ75" s="179"/>
      <c r="AK75" s="179"/>
    </row>
    <row r="76" spans="1:40" ht="15" customHeight="1" x14ac:dyDescent="0.25">
      <c r="A76" s="112"/>
      <c r="B76" s="172"/>
      <c r="C76" s="299" t="s">
        <v>41</v>
      </c>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300">
        <f t="shared" si="8"/>
        <v>0</v>
      </c>
      <c r="AJ76" s="179"/>
      <c r="AK76" s="179"/>
    </row>
    <row r="77" spans="1:40" ht="15" customHeight="1" x14ac:dyDescent="0.25">
      <c r="A77" s="112"/>
      <c r="B77" s="172" t="s">
        <v>32</v>
      </c>
      <c r="C77" s="172" t="s">
        <v>37</v>
      </c>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205">
        <f t="shared" si="8"/>
        <v>0</v>
      </c>
      <c r="AJ77" s="179"/>
      <c r="AK77" s="179"/>
    </row>
    <row r="78" spans="1:40" ht="15" customHeight="1" x14ac:dyDescent="0.25">
      <c r="A78" s="112"/>
      <c r="B78" s="172" t="s">
        <v>32</v>
      </c>
      <c r="C78" s="172" t="s">
        <v>36</v>
      </c>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205">
        <f t="shared" si="8"/>
        <v>0</v>
      </c>
      <c r="AJ78" s="179"/>
      <c r="AK78" s="179"/>
    </row>
    <row r="79" spans="1:40" ht="15" customHeight="1" x14ac:dyDescent="0.25">
      <c r="A79" s="112"/>
      <c r="B79" s="172" t="s">
        <v>32</v>
      </c>
      <c r="C79" s="172" t="s">
        <v>35</v>
      </c>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205">
        <f t="shared" si="8"/>
        <v>0</v>
      </c>
      <c r="AJ79" s="179"/>
      <c r="AK79" s="179"/>
    </row>
    <row r="80" spans="1:40" ht="15" customHeight="1" x14ac:dyDescent="0.25">
      <c r="A80" s="112"/>
      <c r="B80" s="172" t="s">
        <v>32</v>
      </c>
      <c r="C80" s="172" t="s">
        <v>34</v>
      </c>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205">
        <f t="shared" si="8"/>
        <v>0</v>
      </c>
      <c r="AJ80" s="179"/>
      <c r="AK80" s="179"/>
    </row>
    <row r="81" spans="1:41" ht="15" customHeight="1" x14ac:dyDescent="0.25">
      <c r="A81" s="112"/>
      <c r="B81" s="172" t="s">
        <v>32</v>
      </c>
      <c r="C81" s="172" t="s">
        <v>33</v>
      </c>
      <c r="D81" s="31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205">
        <f t="shared" si="8"/>
        <v>0</v>
      </c>
      <c r="AJ81" s="179"/>
      <c r="AK81" s="179"/>
    </row>
    <row r="82" spans="1:41" ht="15" customHeight="1" x14ac:dyDescent="0.25">
      <c r="A82" s="112"/>
      <c r="B82" s="172" t="s">
        <v>205</v>
      </c>
      <c r="C82" s="296" t="s">
        <v>31</v>
      </c>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8">
        <f t="shared" si="8"/>
        <v>0</v>
      </c>
      <c r="AJ82" s="179"/>
      <c r="AK82" s="179"/>
    </row>
    <row r="83" spans="1:41" ht="15" customHeight="1" x14ac:dyDescent="0.25">
      <c r="A83" s="112"/>
      <c r="B83" s="172" t="s">
        <v>205</v>
      </c>
      <c r="C83" s="296" t="s">
        <v>161</v>
      </c>
      <c r="D83" s="302"/>
      <c r="E83" s="302"/>
      <c r="F83" s="302"/>
      <c r="G83" s="302"/>
      <c r="H83" s="302"/>
      <c r="I83" s="302"/>
      <c r="J83" s="302"/>
      <c r="K83" s="302"/>
      <c r="L83" s="297"/>
      <c r="M83" s="302"/>
      <c r="N83" s="302"/>
      <c r="O83" s="302"/>
      <c r="P83" s="302"/>
      <c r="Q83" s="297"/>
      <c r="R83" s="302"/>
      <c r="S83" s="302"/>
      <c r="T83" s="302"/>
      <c r="U83" s="302"/>
      <c r="V83" s="302"/>
      <c r="W83" s="302"/>
      <c r="X83" s="302"/>
      <c r="Y83" s="302"/>
      <c r="Z83" s="302"/>
      <c r="AA83" s="302"/>
      <c r="AB83" s="302"/>
      <c r="AC83" s="302"/>
      <c r="AD83" s="302"/>
      <c r="AE83" s="302"/>
      <c r="AF83" s="302"/>
      <c r="AG83" s="302">
        <f t="shared" ref="AG83" si="9">AM83-AG27</f>
        <v>0</v>
      </c>
      <c r="AH83" s="302"/>
      <c r="AI83" s="301">
        <f t="shared" si="8"/>
        <v>0</v>
      </c>
      <c r="AJ83" s="179"/>
      <c r="AK83" s="179"/>
    </row>
    <row r="84" spans="1:41" ht="15" customHeight="1" x14ac:dyDescent="0.25">
      <c r="A84" s="112"/>
      <c r="B84" s="259" t="s">
        <v>115</v>
      </c>
      <c r="C84" s="259"/>
      <c r="D84" s="259">
        <v>1</v>
      </c>
      <c r="E84" s="259">
        <f t="shared" ref="E84:AI84" si="10">SUM(E61:E83)</f>
        <v>0</v>
      </c>
      <c r="F84" s="259">
        <f t="shared" si="10"/>
        <v>0</v>
      </c>
      <c r="G84" s="259">
        <f t="shared" si="10"/>
        <v>0</v>
      </c>
      <c r="H84" s="259">
        <f t="shared" si="10"/>
        <v>0</v>
      </c>
      <c r="I84" s="259">
        <f t="shared" si="10"/>
        <v>0</v>
      </c>
      <c r="J84" s="259">
        <f t="shared" si="10"/>
        <v>0</v>
      </c>
      <c r="K84" s="259">
        <f t="shared" si="10"/>
        <v>0</v>
      </c>
      <c r="L84" s="259">
        <f t="shared" si="10"/>
        <v>0</v>
      </c>
      <c r="M84" s="259">
        <f t="shared" si="10"/>
        <v>0</v>
      </c>
      <c r="N84" s="259">
        <f t="shared" si="10"/>
        <v>0</v>
      </c>
      <c r="O84" s="259">
        <f t="shared" si="10"/>
        <v>0</v>
      </c>
      <c r="P84" s="259">
        <f t="shared" si="10"/>
        <v>0</v>
      </c>
      <c r="Q84" s="259">
        <f t="shared" si="10"/>
        <v>0</v>
      </c>
      <c r="R84" s="259">
        <f t="shared" si="10"/>
        <v>0</v>
      </c>
      <c r="S84" s="259">
        <f t="shared" si="10"/>
        <v>0</v>
      </c>
      <c r="T84" s="259">
        <f t="shared" si="10"/>
        <v>0</v>
      </c>
      <c r="U84" s="259">
        <f t="shared" si="10"/>
        <v>0</v>
      </c>
      <c r="V84" s="259">
        <f t="shared" si="10"/>
        <v>0</v>
      </c>
      <c r="W84" s="259">
        <f t="shared" si="10"/>
        <v>0</v>
      </c>
      <c r="X84" s="259">
        <f t="shared" si="10"/>
        <v>0</v>
      </c>
      <c r="Y84" s="259">
        <f t="shared" si="10"/>
        <v>0</v>
      </c>
      <c r="Z84" s="259">
        <f t="shared" si="10"/>
        <v>0</v>
      </c>
      <c r="AA84" s="259">
        <f t="shared" si="10"/>
        <v>0</v>
      </c>
      <c r="AB84" s="259">
        <f t="shared" si="10"/>
        <v>0</v>
      </c>
      <c r="AC84" s="259">
        <f t="shared" si="10"/>
        <v>2</v>
      </c>
      <c r="AD84" s="259">
        <f t="shared" si="10"/>
        <v>0</v>
      </c>
      <c r="AE84" s="259">
        <f t="shared" si="10"/>
        <v>0</v>
      </c>
      <c r="AF84" s="259">
        <f t="shared" si="10"/>
        <v>16</v>
      </c>
      <c r="AG84" s="259">
        <f t="shared" si="10"/>
        <v>12</v>
      </c>
      <c r="AH84" s="259">
        <f t="shared" si="10"/>
        <v>7</v>
      </c>
      <c r="AI84" s="259">
        <f t="shared" si="10"/>
        <v>37</v>
      </c>
      <c r="AJ84" s="179"/>
      <c r="AK84" s="179"/>
    </row>
    <row r="85" spans="1:41" ht="15"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79"/>
      <c r="AJ85" s="179"/>
      <c r="AK85" s="179"/>
    </row>
    <row r="86" spans="1:41" ht="15"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79"/>
      <c r="AJ86" s="179"/>
      <c r="AK86" s="179"/>
    </row>
    <row r="87" spans="1:41" ht="15" customHeight="1" x14ac:dyDescent="0.25">
      <c r="A87" s="112"/>
      <c r="B87" s="183" t="s">
        <v>203</v>
      </c>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79"/>
      <c r="AK87" s="179"/>
      <c r="AM87" s="318"/>
    </row>
    <row r="88" spans="1:41" ht="30" x14ac:dyDescent="0.25">
      <c r="A88" s="112"/>
      <c r="B88" s="183" t="s">
        <v>117</v>
      </c>
      <c r="C88" s="183" t="s">
        <v>84</v>
      </c>
      <c r="D88" s="183">
        <v>1970</v>
      </c>
      <c r="E88" s="183">
        <v>1985</v>
      </c>
      <c r="F88" s="183">
        <v>1987</v>
      </c>
      <c r="G88" s="183">
        <v>1990</v>
      </c>
      <c r="H88" s="183">
        <v>1992</v>
      </c>
      <c r="I88" s="183">
        <v>1993</v>
      </c>
      <c r="J88" s="183">
        <v>1995</v>
      </c>
      <c r="K88" s="183">
        <v>1996</v>
      </c>
      <c r="L88" s="183">
        <v>1997</v>
      </c>
      <c r="M88" s="183">
        <v>1998</v>
      </c>
      <c r="N88" s="183">
        <v>2000</v>
      </c>
      <c r="O88" s="183">
        <v>2001</v>
      </c>
      <c r="P88" s="183">
        <v>2002</v>
      </c>
      <c r="Q88" s="183">
        <v>2003</v>
      </c>
      <c r="R88" s="183">
        <v>2004</v>
      </c>
      <c r="S88" s="183">
        <v>2005</v>
      </c>
      <c r="T88" s="183">
        <v>2006</v>
      </c>
      <c r="U88" s="183">
        <v>2007</v>
      </c>
      <c r="V88" s="183">
        <v>2008</v>
      </c>
      <c r="W88" s="183">
        <v>2009</v>
      </c>
      <c r="X88" s="183">
        <v>2010</v>
      </c>
      <c r="Y88" s="183">
        <v>2011</v>
      </c>
      <c r="Z88" s="183">
        <v>2012</v>
      </c>
      <c r="AA88" s="183">
        <v>2013</v>
      </c>
      <c r="AB88" s="183">
        <v>2014</v>
      </c>
      <c r="AC88" s="183">
        <v>2015</v>
      </c>
      <c r="AD88" s="183">
        <v>2016</v>
      </c>
      <c r="AE88" s="183">
        <v>2017</v>
      </c>
      <c r="AF88" s="183">
        <v>2018</v>
      </c>
      <c r="AG88" s="183">
        <v>2019</v>
      </c>
      <c r="AH88" s="308">
        <v>2020</v>
      </c>
      <c r="AI88" s="182" t="s">
        <v>1</v>
      </c>
      <c r="AJ88" s="179"/>
      <c r="AK88" s="179"/>
      <c r="AM88" s="320" t="s">
        <v>207</v>
      </c>
      <c r="AN88" s="319" t="s">
        <v>208</v>
      </c>
    </row>
    <row r="89" spans="1:41" ht="15" customHeight="1" x14ac:dyDescent="0.25">
      <c r="A89" s="112"/>
      <c r="B89" s="172" t="s">
        <v>47</v>
      </c>
      <c r="C89" s="172" t="s">
        <v>53</v>
      </c>
      <c r="D89" s="309">
        <f>D5-D33+D61</f>
        <v>0</v>
      </c>
      <c r="E89" s="309">
        <f t="shared" ref="E89:AH89" si="11">E5-E33+E61</f>
        <v>0</v>
      </c>
      <c r="F89" s="309">
        <f t="shared" si="11"/>
        <v>0</v>
      </c>
      <c r="G89" s="309">
        <f t="shared" si="11"/>
        <v>0</v>
      </c>
      <c r="H89" s="309">
        <f t="shared" si="11"/>
        <v>0</v>
      </c>
      <c r="I89" s="309">
        <f t="shared" si="11"/>
        <v>0</v>
      </c>
      <c r="J89" s="309">
        <f t="shared" si="11"/>
        <v>0</v>
      </c>
      <c r="K89" s="309">
        <f t="shared" si="11"/>
        <v>0</v>
      </c>
      <c r="L89" s="309">
        <f t="shared" si="11"/>
        <v>0</v>
      </c>
      <c r="M89" s="309">
        <f t="shared" si="11"/>
        <v>0</v>
      </c>
      <c r="N89" s="309">
        <f t="shared" si="11"/>
        <v>0</v>
      </c>
      <c r="O89" s="309">
        <f t="shared" si="11"/>
        <v>0</v>
      </c>
      <c r="P89" s="309">
        <f t="shared" si="11"/>
        <v>0</v>
      </c>
      <c r="Q89" s="309">
        <f t="shared" si="11"/>
        <v>0</v>
      </c>
      <c r="R89" s="309">
        <f t="shared" si="11"/>
        <v>0</v>
      </c>
      <c r="S89" s="309">
        <f t="shared" si="11"/>
        <v>0</v>
      </c>
      <c r="T89" s="309">
        <f t="shared" si="11"/>
        <v>0</v>
      </c>
      <c r="U89" s="309">
        <f t="shared" si="11"/>
        <v>0</v>
      </c>
      <c r="V89" s="309">
        <f t="shared" si="11"/>
        <v>0</v>
      </c>
      <c r="W89" s="309">
        <f t="shared" si="11"/>
        <v>0</v>
      </c>
      <c r="X89" s="309">
        <f t="shared" si="11"/>
        <v>0</v>
      </c>
      <c r="Y89" s="309">
        <f t="shared" si="11"/>
        <v>0</v>
      </c>
      <c r="Z89" s="309">
        <f t="shared" si="11"/>
        <v>0</v>
      </c>
      <c r="AA89" s="309">
        <f t="shared" si="11"/>
        <v>0</v>
      </c>
      <c r="AB89" s="309">
        <f t="shared" si="11"/>
        <v>0</v>
      </c>
      <c r="AC89" s="309">
        <f t="shared" si="11"/>
        <v>0</v>
      </c>
      <c r="AD89" s="309">
        <f t="shared" si="11"/>
        <v>0</v>
      </c>
      <c r="AE89" s="309">
        <f t="shared" si="11"/>
        <v>1</v>
      </c>
      <c r="AF89" s="309">
        <f t="shared" si="11"/>
        <v>8</v>
      </c>
      <c r="AG89" s="309">
        <f t="shared" si="11"/>
        <v>0</v>
      </c>
      <c r="AH89" s="309">
        <f t="shared" si="11"/>
        <v>0</v>
      </c>
      <c r="AI89" s="205">
        <f>SUM(D89:AH89)</f>
        <v>9</v>
      </c>
      <c r="AJ89" s="179"/>
      <c r="AK89" s="179"/>
      <c r="AM89" s="316" t="s">
        <v>47</v>
      </c>
      <c r="AN89" s="315">
        <f>SUMIF($B$89:$B$111,AM89,$AI$89:$AI$111)</f>
        <v>53</v>
      </c>
      <c r="AO89" s="321">
        <f>AN5-AN33+AN61</f>
        <v>53</v>
      </c>
    </row>
    <row r="90" spans="1:41" ht="15" customHeight="1" x14ac:dyDescent="0.25">
      <c r="A90" s="112"/>
      <c r="B90" s="172" t="s">
        <v>47</v>
      </c>
      <c r="C90" s="172" t="s">
        <v>52</v>
      </c>
      <c r="D90" s="309">
        <f t="shared" ref="D90:AH90" si="12">D6-D34+D62</f>
        <v>0</v>
      </c>
      <c r="E90" s="309">
        <f t="shared" si="12"/>
        <v>0</v>
      </c>
      <c r="F90" s="309">
        <f t="shared" si="12"/>
        <v>0</v>
      </c>
      <c r="G90" s="309">
        <f t="shared" si="12"/>
        <v>0</v>
      </c>
      <c r="H90" s="309">
        <f t="shared" si="12"/>
        <v>0</v>
      </c>
      <c r="I90" s="309">
        <f t="shared" si="12"/>
        <v>0</v>
      </c>
      <c r="J90" s="309">
        <f t="shared" si="12"/>
        <v>0</v>
      </c>
      <c r="K90" s="309">
        <f t="shared" si="12"/>
        <v>0</v>
      </c>
      <c r="L90" s="309">
        <f t="shared" si="12"/>
        <v>0</v>
      </c>
      <c r="M90" s="309">
        <f t="shared" si="12"/>
        <v>0</v>
      </c>
      <c r="N90" s="309">
        <f t="shared" si="12"/>
        <v>0</v>
      </c>
      <c r="O90" s="309">
        <f t="shared" si="12"/>
        <v>0</v>
      </c>
      <c r="P90" s="309">
        <f t="shared" si="12"/>
        <v>0</v>
      </c>
      <c r="Q90" s="309">
        <f t="shared" si="12"/>
        <v>0</v>
      </c>
      <c r="R90" s="309">
        <f t="shared" si="12"/>
        <v>0</v>
      </c>
      <c r="S90" s="309">
        <f t="shared" si="12"/>
        <v>0</v>
      </c>
      <c r="T90" s="309">
        <f t="shared" si="12"/>
        <v>4</v>
      </c>
      <c r="U90" s="309">
        <f t="shared" si="12"/>
        <v>1</v>
      </c>
      <c r="V90" s="309">
        <f t="shared" si="12"/>
        <v>1</v>
      </c>
      <c r="W90" s="309">
        <f t="shared" si="12"/>
        <v>1</v>
      </c>
      <c r="X90" s="309">
        <f t="shared" si="12"/>
        <v>1</v>
      </c>
      <c r="Y90" s="309">
        <f t="shared" si="12"/>
        <v>0</v>
      </c>
      <c r="Z90" s="309">
        <f t="shared" si="12"/>
        <v>0</v>
      </c>
      <c r="AA90" s="309">
        <f t="shared" si="12"/>
        <v>0</v>
      </c>
      <c r="AB90" s="309">
        <f t="shared" si="12"/>
        <v>0</v>
      </c>
      <c r="AC90" s="309">
        <f t="shared" si="12"/>
        <v>6</v>
      </c>
      <c r="AD90" s="309">
        <f t="shared" si="12"/>
        <v>0</v>
      </c>
      <c r="AE90" s="309">
        <f t="shared" si="12"/>
        <v>0</v>
      </c>
      <c r="AF90" s="309">
        <f t="shared" si="12"/>
        <v>4</v>
      </c>
      <c r="AG90" s="309">
        <f t="shared" si="12"/>
        <v>0</v>
      </c>
      <c r="AH90" s="309">
        <f t="shared" si="12"/>
        <v>0</v>
      </c>
      <c r="AI90" s="205">
        <f t="shared" ref="AI90:AI111" si="13">SUM(D90:AH90)</f>
        <v>18</v>
      </c>
      <c r="AJ90" s="179"/>
      <c r="AK90" s="179"/>
      <c r="AM90" s="316" t="s">
        <v>204</v>
      </c>
      <c r="AN90" s="315">
        <f t="shared" ref="AN90:AN93" si="14">SUMIF($B$89:$B$111,AM90,$AI$89:$AI$111)</f>
        <v>16</v>
      </c>
      <c r="AO90" s="321">
        <f t="shared" ref="AO90:AO93" si="15">AN6-AN34+AN62</f>
        <v>16</v>
      </c>
    </row>
    <row r="91" spans="1:41" ht="15" customHeight="1" x14ac:dyDescent="0.25">
      <c r="A91" s="112"/>
      <c r="B91" s="172" t="s">
        <v>47</v>
      </c>
      <c r="C91" s="172" t="s">
        <v>51</v>
      </c>
      <c r="D91" s="309">
        <f t="shared" ref="D91:AH91" si="16">D7-D35+D63</f>
        <v>0</v>
      </c>
      <c r="E91" s="309">
        <f t="shared" si="16"/>
        <v>0</v>
      </c>
      <c r="F91" s="309">
        <f t="shared" si="16"/>
        <v>0</v>
      </c>
      <c r="G91" s="309">
        <f t="shared" si="16"/>
        <v>0</v>
      </c>
      <c r="H91" s="309">
        <f t="shared" si="16"/>
        <v>0</v>
      </c>
      <c r="I91" s="309">
        <f t="shared" si="16"/>
        <v>0</v>
      </c>
      <c r="J91" s="309">
        <f t="shared" si="16"/>
        <v>0</v>
      </c>
      <c r="K91" s="309">
        <f t="shared" si="16"/>
        <v>0</v>
      </c>
      <c r="L91" s="309">
        <f t="shared" si="16"/>
        <v>0</v>
      </c>
      <c r="M91" s="309">
        <f t="shared" si="16"/>
        <v>0</v>
      </c>
      <c r="N91" s="309">
        <f t="shared" si="16"/>
        <v>0</v>
      </c>
      <c r="O91" s="309">
        <f t="shared" si="16"/>
        <v>0</v>
      </c>
      <c r="P91" s="309">
        <f t="shared" si="16"/>
        <v>0</v>
      </c>
      <c r="Q91" s="309">
        <f t="shared" si="16"/>
        <v>0</v>
      </c>
      <c r="R91" s="309">
        <f t="shared" si="16"/>
        <v>0</v>
      </c>
      <c r="S91" s="309">
        <f t="shared" si="16"/>
        <v>0</v>
      </c>
      <c r="T91" s="309">
        <f t="shared" si="16"/>
        <v>0</v>
      </c>
      <c r="U91" s="309">
        <f t="shared" si="16"/>
        <v>0</v>
      </c>
      <c r="V91" s="309">
        <f t="shared" si="16"/>
        <v>0</v>
      </c>
      <c r="W91" s="309">
        <f t="shared" si="16"/>
        <v>0</v>
      </c>
      <c r="X91" s="309">
        <f t="shared" si="16"/>
        <v>0</v>
      </c>
      <c r="Y91" s="309">
        <f t="shared" si="16"/>
        <v>0</v>
      </c>
      <c r="Z91" s="309">
        <f t="shared" si="16"/>
        <v>0</v>
      </c>
      <c r="AA91" s="309">
        <f t="shared" si="16"/>
        <v>0</v>
      </c>
      <c r="AB91" s="309">
        <f t="shared" si="16"/>
        <v>0</v>
      </c>
      <c r="AC91" s="309">
        <f t="shared" si="16"/>
        <v>4</v>
      </c>
      <c r="AD91" s="309">
        <f t="shared" si="16"/>
        <v>0</v>
      </c>
      <c r="AE91" s="309">
        <f t="shared" si="16"/>
        <v>0</v>
      </c>
      <c r="AF91" s="309">
        <f t="shared" si="16"/>
        <v>3</v>
      </c>
      <c r="AG91" s="309">
        <f t="shared" si="16"/>
        <v>0</v>
      </c>
      <c r="AH91" s="309">
        <f t="shared" si="16"/>
        <v>0</v>
      </c>
      <c r="AI91" s="205">
        <f t="shared" si="13"/>
        <v>7</v>
      </c>
      <c r="AJ91" s="179"/>
      <c r="AK91" s="179"/>
      <c r="AM91" s="316" t="s">
        <v>40</v>
      </c>
      <c r="AN91" s="315">
        <f t="shared" si="14"/>
        <v>108</v>
      </c>
      <c r="AO91" s="321">
        <f t="shared" si="15"/>
        <v>108</v>
      </c>
    </row>
    <row r="92" spans="1:41" ht="15" customHeight="1" x14ac:dyDescent="0.25">
      <c r="A92" s="112"/>
      <c r="B92" s="172" t="s">
        <v>204</v>
      </c>
      <c r="C92" s="172" t="s">
        <v>54</v>
      </c>
      <c r="D92" s="309">
        <f t="shared" ref="D92:AH92" si="17">D8-D36+D64</f>
        <v>0</v>
      </c>
      <c r="E92" s="309">
        <f t="shared" si="17"/>
        <v>0</v>
      </c>
      <c r="F92" s="309">
        <f t="shared" si="17"/>
        <v>0</v>
      </c>
      <c r="G92" s="309">
        <f t="shared" si="17"/>
        <v>0</v>
      </c>
      <c r="H92" s="309">
        <f t="shared" si="17"/>
        <v>0</v>
      </c>
      <c r="I92" s="309">
        <f t="shared" si="17"/>
        <v>0</v>
      </c>
      <c r="J92" s="309">
        <f t="shared" si="17"/>
        <v>0</v>
      </c>
      <c r="K92" s="309">
        <f t="shared" si="17"/>
        <v>1</v>
      </c>
      <c r="L92" s="309">
        <f t="shared" si="17"/>
        <v>0</v>
      </c>
      <c r="M92" s="309">
        <f t="shared" si="17"/>
        <v>0</v>
      </c>
      <c r="N92" s="309">
        <f t="shared" si="17"/>
        <v>0</v>
      </c>
      <c r="O92" s="309">
        <f t="shared" si="17"/>
        <v>0</v>
      </c>
      <c r="P92" s="309">
        <f t="shared" si="17"/>
        <v>0</v>
      </c>
      <c r="Q92" s="309">
        <f t="shared" si="17"/>
        <v>0</v>
      </c>
      <c r="R92" s="309">
        <f t="shared" si="17"/>
        <v>0</v>
      </c>
      <c r="S92" s="309">
        <f t="shared" si="17"/>
        <v>0</v>
      </c>
      <c r="T92" s="309">
        <f t="shared" si="17"/>
        <v>2</v>
      </c>
      <c r="U92" s="309">
        <f t="shared" si="17"/>
        <v>0</v>
      </c>
      <c r="V92" s="309">
        <f t="shared" si="17"/>
        <v>0</v>
      </c>
      <c r="W92" s="309">
        <f t="shared" si="17"/>
        <v>0</v>
      </c>
      <c r="X92" s="309">
        <f t="shared" si="17"/>
        <v>1</v>
      </c>
      <c r="Y92" s="309">
        <f t="shared" si="17"/>
        <v>2</v>
      </c>
      <c r="Z92" s="309">
        <f t="shared" si="17"/>
        <v>0</v>
      </c>
      <c r="AA92" s="309">
        <f t="shared" si="17"/>
        <v>0</v>
      </c>
      <c r="AB92" s="309">
        <f t="shared" si="17"/>
        <v>0</v>
      </c>
      <c r="AC92" s="309">
        <f t="shared" si="17"/>
        <v>0</v>
      </c>
      <c r="AD92" s="309">
        <f t="shared" si="17"/>
        <v>1</v>
      </c>
      <c r="AE92" s="309">
        <f t="shared" si="17"/>
        <v>0</v>
      </c>
      <c r="AF92" s="309">
        <f t="shared" si="17"/>
        <v>0</v>
      </c>
      <c r="AG92" s="309">
        <f t="shared" si="17"/>
        <v>0</v>
      </c>
      <c r="AH92" s="309">
        <f t="shared" si="17"/>
        <v>0</v>
      </c>
      <c r="AI92" s="205">
        <f t="shared" si="13"/>
        <v>7</v>
      </c>
      <c r="AJ92" s="179"/>
      <c r="AK92" s="179"/>
      <c r="AM92" s="316" t="s">
        <v>32</v>
      </c>
      <c r="AN92" s="315">
        <f t="shared" si="14"/>
        <v>65</v>
      </c>
      <c r="AO92" s="321">
        <f t="shared" si="15"/>
        <v>65</v>
      </c>
    </row>
    <row r="93" spans="1:41" ht="15" customHeight="1" x14ac:dyDescent="0.25">
      <c r="A93" s="112"/>
      <c r="B93" s="172" t="s">
        <v>47</v>
      </c>
      <c r="C93" s="172" t="s">
        <v>50</v>
      </c>
      <c r="D93" s="309">
        <f t="shared" ref="D93:AH93" si="18">D9-D37+D65</f>
        <v>0</v>
      </c>
      <c r="E93" s="309">
        <f t="shared" si="18"/>
        <v>0</v>
      </c>
      <c r="F93" s="309">
        <f t="shared" si="18"/>
        <v>0</v>
      </c>
      <c r="G93" s="309">
        <f t="shared" si="18"/>
        <v>0</v>
      </c>
      <c r="H93" s="309">
        <f t="shared" si="18"/>
        <v>0</v>
      </c>
      <c r="I93" s="309">
        <f t="shared" si="18"/>
        <v>0</v>
      </c>
      <c r="J93" s="309">
        <f t="shared" si="18"/>
        <v>0</v>
      </c>
      <c r="K93" s="309">
        <f t="shared" si="18"/>
        <v>1</v>
      </c>
      <c r="L93" s="309">
        <f t="shared" si="18"/>
        <v>0</v>
      </c>
      <c r="M93" s="309">
        <f t="shared" si="18"/>
        <v>1</v>
      </c>
      <c r="N93" s="309">
        <f t="shared" si="18"/>
        <v>0</v>
      </c>
      <c r="O93" s="309">
        <f t="shared" si="18"/>
        <v>0</v>
      </c>
      <c r="P93" s="309">
        <f t="shared" si="18"/>
        <v>0</v>
      </c>
      <c r="Q93" s="309">
        <f t="shared" si="18"/>
        <v>0</v>
      </c>
      <c r="R93" s="309">
        <f t="shared" si="18"/>
        <v>0</v>
      </c>
      <c r="S93" s="309">
        <f t="shared" si="18"/>
        <v>2</v>
      </c>
      <c r="T93" s="309">
        <f t="shared" si="18"/>
        <v>0</v>
      </c>
      <c r="U93" s="309">
        <f t="shared" si="18"/>
        <v>0</v>
      </c>
      <c r="V93" s="309">
        <f t="shared" si="18"/>
        <v>1</v>
      </c>
      <c r="W93" s="309">
        <f t="shared" si="18"/>
        <v>0</v>
      </c>
      <c r="X93" s="309">
        <f t="shared" si="18"/>
        <v>0</v>
      </c>
      <c r="Y93" s="309">
        <f t="shared" si="18"/>
        <v>1</v>
      </c>
      <c r="Z93" s="309">
        <f t="shared" si="18"/>
        <v>0</v>
      </c>
      <c r="AA93" s="309">
        <f t="shared" si="18"/>
        <v>0</v>
      </c>
      <c r="AB93" s="309">
        <f t="shared" si="18"/>
        <v>0</v>
      </c>
      <c r="AC93" s="309">
        <f t="shared" si="18"/>
        <v>1</v>
      </c>
      <c r="AD93" s="309">
        <f t="shared" si="18"/>
        <v>0</v>
      </c>
      <c r="AE93" s="309">
        <f t="shared" si="18"/>
        <v>0</v>
      </c>
      <c r="AF93" s="309">
        <f t="shared" si="18"/>
        <v>2</v>
      </c>
      <c r="AG93" s="309">
        <f t="shared" si="18"/>
        <v>0</v>
      </c>
      <c r="AH93" s="309">
        <f t="shared" si="18"/>
        <v>1</v>
      </c>
      <c r="AI93" s="205">
        <f t="shared" si="13"/>
        <v>10</v>
      </c>
      <c r="AJ93" s="179"/>
      <c r="AK93" s="179"/>
      <c r="AM93" s="316" t="s">
        <v>205</v>
      </c>
      <c r="AN93" s="315">
        <f t="shared" si="14"/>
        <v>25</v>
      </c>
      <c r="AO93" s="321">
        <f t="shared" si="15"/>
        <v>25</v>
      </c>
    </row>
    <row r="94" spans="1:41" ht="15" customHeight="1" x14ac:dyDescent="0.25">
      <c r="A94" s="112"/>
      <c r="B94" s="172" t="s">
        <v>47</v>
      </c>
      <c r="C94" s="172" t="s">
        <v>49</v>
      </c>
      <c r="D94" s="309">
        <f t="shared" ref="D94:AH94" si="19">D10-D38+D66</f>
        <v>0</v>
      </c>
      <c r="E94" s="309">
        <f t="shared" si="19"/>
        <v>0</v>
      </c>
      <c r="F94" s="309">
        <f t="shared" si="19"/>
        <v>0</v>
      </c>
      <c r="G94" s="309">
        <f t="shared" si="19"/>
        <v>0</v>
      </c>
      <c r="H94" s="309">
        <f t="shared" si="19"/>
        <v>0</v>
      </c>
      <c r="I94" s="309">
        <f t="shared" si="19"/>
        <v>0</v>
      </c>
      <c r="J94" s="309">
        <f t="shared" si="19"/>
        <v>0</v>
      </c>
      <c r="K94" s="309">
        <f t="shared" si="19"/>
        <v>0</v>
      </c>
      <c r="L94" s="309">
        <f t="shared" si="19"/>
        <v>0</v>
      </c>
      <c r="M94" s="309">
        <f t="shared" si="19"/>
        <v>0</v>
      </c>
      <c r="N94" s="309">
        <f t="shared" si="19"/>
        <v>0</v>
      </c>
      <c r="O94" s="309">
        <f t="shared" si="19"/>
        <v>0</v>
      </c>
      <c r="P94" s="309">
        <f t="shared" si="19"/>
        <v>0</v>
      </c>
      <c r="Q94" s="309">
        <f t="shared" si="19"/>
        <v>0</v>
      </c>
      <c r="R94" s="309">
        <f t="shared" si="19"/>
        <v>0</v>
      </c>
      <c r="S94" s="309">
        <f t="shared" si="19"/>
        <v>0</v>
      </c>
      <c r="T94" s="309">
        <f t="shared" si="19"/>
        <v>0</v>
      </c>
      <c r="U94" s="309">
        <f t="shared" si="19"/>
        <v>0</v>
      </c>
      <c r="V94" s="309">
        <f t="shared" si="19"/>
        <v>0</v>
      </c>
      <c r="W94" s="309">
        <f t="shared" si="19"/>
        <v>0</v>
      </c>
      <c r="X94" s="309">
        <f t="shared" si="19"/>
        <v>0</v>
      </c>
      <c r="Y94" s="309">
        <f t="shared" si="19"/>
        <v>0</v>
      </c>
      <c r="Z94" s="309">
        <f t="shared" si="19"/>
        <v>1</v>
      </c>
      <c r="AA94" s="309">
        <f t="shared" si="19"/>
        <v>0</v>
      </c>
      <c r="AB94" s="309">
        <f t="shared" si="19"/>
        <v>0</v>
      </c>
      <c r="AC94" s="309">
        <f t="shared" si="19"/>
        <v>0</v>
      </c>
      <c r="AD94" s="309">
        <f t="shared" si="19"/>
        <v>0</v>
      </c>
      <c r="AE94" s="309">
        <f t="shared" si="19"/>
        <v>1</v>
      </c>
      <c r="AF94" s="309">
        <f t="shared" si="19"/>
        <v>0</v>
      </c>
      <c r="AG94" s="309">
        <f t="shared" si="19"/>
        <v>0</v>
      </c>
      <c r="AH94" s="309">
        <f t="shared" si="19"/>
        <v>0</v>
      </c>
      <c r="AI94" s="205">
        <f t="shared" si="13"/>
        <v>2</v>
      </c>
      <c r="AJ94" s="179"/>
      <c r="AK94" s="179"/>
      <c r="AM94" s="315"/>
      <c r="AN94" s="317">
        <f>SUM(AN89:AN93)</f>
        <v>267</v>
      </c>
      <c r="AO94" s="317">
        <f>SUM(AO89:AO93)</f>
        <v>267</v>
      </c>
    </row>
    <row r="95" spans="1:41" ht="15" customHeight="1" x14ac:dyDescent="0.25">
      <c r="A95" s="112"/>
      <c r="B95" s="172" t="s">
        <v>204</v>
      </c>
      <c r="C95" s="172" t="s">
        <v>55</v>
      </c>
      <c r="D95" s="309">
        <f t="shared" ref="D95:AH95" si="20">D11-D39+D67</f>
        <v>0</v>
      </c>
      <c r="E95" s="309">
        <f t="shared" si="20"/>
        <v>0</v>
      </c>
      <c r="F95" s="309">
        <f t="shared" si="20"/>
        <v>0</v>
      </c>
      <c r="G95" s="309">
        <f t="shared" si="20"/>
        <v>0</v>
      </c>
      <c r="H95" s="309">
        <f t="shared" si="20"/>
        <v>0</v>
      </c>
      <c r="I95" s="309">
        <f t="shared" si="20"/>
        <v>0</v>
      </c>
      <c r="J95" s="309">
        <f t="shared" si="20"/>
        <v>0</v>
      </c>
      <c r="K95" s="309">
        <f t="shared" si="20"/>
        <v>0</v>
      </c>
      <c r="L95" s="309">
        <f t="shared" si="20"/>
        <v>0</v>
      </c>
      <c r="M95" s="309">
        <f t="shared" si="20"/>
        <v>0</v>
      </c>
      <c r="N95" s="309">
        <f t="shared" si="20"/>
        <v>0</v>
      </c>
      <c r="O95" s="309">
        <f t="shared" si="20"/>
        <v>0</v>
      </c>
      <c r="P95" s="309">
        <f t="shared" si="20"/>
        <v>0</v>
      </c>
      <c r="Q95" s="309">
        <f t="shared" si="20"/>
        <v>1</v>
      </c>
      <c r="R95" s="309">
        <f t="shared" si="20"/>
        <v>1</v>
      </c>
      <c r="S95" s="309">
        <f t="shared" si="20"/>
        <v>0</v>
      </c>
      <c r="T95" s="309">
        <f t="shared" si="20"/>
        <v>0</v>
      </c>
      <c r="U95" s="309">
        <f t="shared" si="20"/>
        <v>0</v>
      </c>
      <c r="V95" s="309">
        <f t="shared" si="20"/>
        <v>0</v>
      </c>
      <c r="W95" s="309">
        <f t="shared" si="20"/>
        <v>0</v>
      </c>
      <c r="X95" s="309">
        <f t="shared" si="20"/>
        <v>0</v>
      </c>
      <c r="Y95" s="309">
        <f t="shared" si="20"/>
        <v>0</v>
      </c>
      <c r="Z95" s="309">
        <f t="shared" si="20"/>
        <v>1</v>
      </c>
      <c r="AA95" s="309">
        <f t="shared" si="20"/>
        <v>4</v>
      </c>
      <c r="AB95" s="309">
        <f t="shared" si="20"/>
        <v>0</v>
      </c>
      <c r="AC95" s="309">
        <f t="shared" si="20"/>
        <v>0</v>
      </c>
      <c r="AD95" s="309">
        <f t="shared" si="20"/>
        <v>1</v>
      </c>
      <c r="AE95" s="309">
        <f t="shared" si="20"/>
        <v>1</v>
      </c>
      <c r="AF95" s="309">
        <f t="shared" si="20"/>
        <v>0</v>
      </c>
      <c r="AG95" s="309">
        <f t="shared" si="20"/>
        <v>0</v>
      </c>
      <c r="AH95" s="309">
        <f t="shared" si="20"/>
        <v>0</v>
      </c>
      <c r="AI95" s="205">
        <f t="shared" si="13"/>
        <v>9</v>
      </c>
      <c r="AJ95" s="179"/>
      <c r="AK95" s="179"/>
    </row>
    <row r="96" spans="1:41" ht="15" customHeight="1" x14ac:dyDescent="0.25">
      <c r="A96" s="112"/>
      <c r="B96" s="172" t="s">
        <v>40</v>
      </c>
      <c r="C96" s="172" t="s">
        <v>46</v>
      </c>
      <c r="D96" s="309">
        <f t="shared" ref="D96:AH96" si="21">D12-D40+D68</f>
        <v>0</v>
      </c>
      <c r="E96" s="309">
        <f t="shared" si="21"/>
        <v>0</v>
      </c>
      <c r="F96" s="309">
        <f t="shared" si="21"/>
        <v>0</v>
      </c>
      <c r="G96" s="309">
        <f t="shared" si="21"/>
        <v>0</v>
      </c>
      <c r="H96" s="309">
        <f t="shared" si="21"/>
        <v>0</v>
      </c>
      <c r="I96" s="309">
        <f t="shared" si="21"/>
        <v>0</v>
      </c>
      <c r="J96" s="309">
        <f t="shared" si="21"/>
        <v>0</v>
      </c>
      <c r="K96" s="309">
        <f t="shared" si="21"/>
        <v>0</v>
      </c>
      <c r="L96" s="309">
        <f t="shared" si="21"/>
        <v>0</v>
      </c>
      <c r="M96" s="309">
        <f t="shared" si="21"/>
        <v>0</v>
      </c>
      <c r="N96" s="309">
        <f t="shared" si="21"/>
        <v>0</v>
      </c>
      <c r="O96" s="309">
        <f t="shared" si="21"/>
        <v>0</v>
      </c>
      <c r="P96" s="309">
        <f t="shared" si="21"/>
        <v>0</v>
      </c>
      <c r="Q96" s="309">
        <f t="shared" si="21"/>
        <v>0</v>
      </c>
      <c r="R96" s="309">
        <f t="shared" si="21"/>
        <v>0</v>
      </c>
      <c r="S96" s="309">
        <f t="shared" si="21"/>
        <v>0</v>
      </c>
      <c r="T96" s="309">
        <f t="shared" si="21"/>
        <v>0</v>
      </c>
      <c r="U96" s="309">
        <f t="shared" si="21"/>
        <v>0</v>
      </c>
      <c r="V96" s="309">
        <f t="shared" si="21"/>
        <v>0</v>
      </c>
      <c r="W96" s="309">
        <f t="shared" si="21"/>
        <v>3</v>
      </c>
      <c r="X96" s="309">
        <f t="shared" si="21"/>
        <v>0</v>
      </c>
      <c r="Y96" s="309">
        <f t="shared" si="21"/>
        <v>3</v>
      </c>
      <c r="Z96" s="309">
        <f t="shared" si="21"/>
        <v>0</v>
      </c>
      <c r="AA96" s="309">
        <f t="shared" si="21"/>
        <v>0</v>
      </c>
      <c r="AB96" s="309">
        <f t="shared" si="21"/>
        <v>1</v>
      </c>
      <c r="AC96" s="309">
        <f t="shared" si="21"/>
        <v>0</v>
      </c>
      <c r="AD96" s="309">
        <f t="shared" si="21"/>
        <v>0</v>
      </c>
      <c r="AE96" s="309">
        <f t="shared" si="21"/>
        <v>1</v>
      </c>
      <c r="AF96" s="309">
        <f t="shared" si="21"/>
        <v>8</v>
      </c>
      <c r="AG96" s="309">
        <f t="shared" si="21"/>
        <v>12</v>
      </c>
      <c r="AH96" s="309">
        <f t="shared" si="21"/>
        <v>2</v>
      </c>
      <c r="AI96" s="205">
        <f t="shared" si="13"/>
        <v>30</v>
      </c>
      <c r="AJ96" s="179"/>
      <c r="AK96" s="179"/>
    </row>
    <row r="97" spans="1:37" ht="15" customHeight="1" x14ac:dyDescent="0.25">
      <c r="A97" s="112"/>
      <c r="B97" s="172" t="s">
        <v>40</v>
      </c>
      <c r="C97" s="172" t="s">
        <v>45</v>
      </c>
      <c r="D97" s="309">
        <f t="shared" ref="D97:AH97" si="22">D13-D41+D69</f>
        <v>0</v>
      </c>
      <c r="E97" s="309">
        <f t="shared" si="22"/>
        <v>0</v>
      </c>
      <c r="F97" s="309">
        <f t="shared" si="22"/>
        <v>0</v>
      </c>
      <c r="G97" s="309">
        <f t="shared" si="22"/>
        <v>0</v>
      </c>
      <c r="H97" s="309">
        <f t="shared" si="22"/>
        <v>0</v>
      </c>
      <c r="I97" s="309">
        <f t="shared" si="22"/>
        <v>0</v>
      </c>
      <c r="J97" s="309">
        <f t="shared" si="22"/>
        <v>0</v>
      </c>
      <c r="K97" s="309">
        <f t="shared" si="22"/>
        <v>0</v>
      </c>
      <c r="L97" s="309">
        <f t="shared" si="22"/>
        <v>0</v>
      </c>
      <c r="M97" s="309">
        <f t="shared" si="22"/>
        <v>0</v>
      </c>
      <c r="N97" s="309">
        <f t="shared" si="22"/>
        <v>0</v>
      </c>
      <c r="O97" s="309">
        <f t="shared" si="22"/>
        <v>0</v>
      </c>
      <c r="P97" s="309">
        <f t="shared" si="22"/>
        <v>0</v>
      </c>
      <c r="Q97" s="309">
        <f t="shared" si="22"/>
        <v>0</v>
      </c>
      <c r="R97" s="309">
        <f t="shared" si="22"/>
        <v>1</v>
      </c>
      <c r="S97" s="309">
        <f t="shared" si="22"/>
        <v>0</v>
      </c>
      <c r="T97" s="309">
        <f t="shared" si="22"/>
        <v>1</v>
      </c>
      <c r="U97" s="309">
        <f t="shared" si="22"/>
        <v>0</v>
      </c>
      <c r="V97" s="309">
        <f t="shared" si="22"/>
        <v>1</v>
      </c>
      <c r="W97" s="309">
        <f t="shared" si="22"/>
        <v>2</v>
      </c>
      <c r="X97" s="309">
        <f t="shared" si="22"/>
        <v>1</v>
      </c>
      <c r="Y97" s="309">
        <f t="shared" si="22"/>
        <v>0</v>
      </c>
      <c r="Z97" s="309">
        <f t="shared" si="22"/>
        <v>2</v>
      </c>
      <c r="AA97" s="309">
        <f t="shared" si="22"/>
        <v>0</v>
      </c>
      <c r="AB97" s="309">
        <f t="shared" si="22"/>
        <v>3</v>
      </c>
      <c r="AC97" s="309">
        <f t="shared" si="22"/>
        <v>0</v>
      </c>
      <c r="AD97" s="309">
        <f t="shared" si="22"/>
        <v>1</v>
      </c>
      <c r="AE97" s="309">
        <f t="shared" si="22"/>
        <v>0</v>
      </c>
      <c r="AF97" s="309">
        <f t="shared" si="22"/>
        <v>5</v>
      </c>
      <c r="AG97" s="309">
        <f t="shared" si="22"/>
        <v>0</v>
      </c>
      <c r="AH97" s="309">
        <f t="shared" si="22"/>
        <v>12</v>
      </c>
      <c r="AI97" s="205">
        <f t="shared" si="13"/>
        <v>29</v>
      </c>
      <c r="AJ97" s="179"/>
      <c r="AK97" s="179"/>
    </row>
    <row r="98" spans="1:37" ht="15" customHeight="1" x14ac:dyDescent="0.25">
      <c r="A98" s="112"/>
      <c r="B98" s="172" t="s">
        <v>40</v>
      </c>
      <c r="C98" s="172" t="s">
        <v>116</v>
      </c>
      <c r="D98" s="309">
        <f t="shared" ref="D98:AH98" si="23">D14-D42+D70</f>
        <v>0</v>
      </c>
      <c r="E98" s="309">
        <f t="shared" si="23"/>
        <v>0</v>
      </c>
      <c r="F98" s="309">
        <f t="shared" si="23"/>
        <v>0</v>
      </c>
      <c r="G98" s="309">
        <f t="shared" si="23"/>
        <v>0</v>
      </c>
      <c r="H98" s="309">
        <f t="shared" si="23"/>
        <v>0</v>
      </c>
      <c r="I98" s="309">
        <f t="shared" si="23"/>
        <v>0</v>
      </c>
      <c r="J98" s="309">
        <f t="shared" si="23"/>
        <v>0</v>
      </c>
      <c r="K98" s="309">
        <f t="shared" si="23"/>
        <v>0</v>
      </c>
      <c r="L98" s="309">
        <f t="shared" si="23"/>
        <v>0</v>
      </c>
      <c r="M98" s="309">
        <f t="shared" si="23"/>
        <v>0</v>
      </c>
      <c r="N98" s="309">
        <f t="shared" si="23"/>
        <v>0</v>
      </c>
      <c r="O98" s="309">
        <f t="shared" si="23"/>
        <v>0</v>
      </c>
      <c r="P98" s="309">
        <f t="shared" si="23"/>
        <v>0</v>
      </c>
      <c r="Q98" s="309">
        <f t="shared" si="23"/>
        <v>0</v>
      </c>
      <c r="R98" s="309">
        <f t="shared" si="23"/>
        <v>0</v>
      </c>
      <c r="S98" s="309">
        <f t="shared" si="23"/>
        <v>0</v>
      </c>
      <c r="T98" s="309">
        <f t="shared" si="23"/>
        <v>1</v>
      </c>
      <c r="U98" s="309">
        <f t="shared" si="23"/>
        <v>0</v>
      </c>
      <c r="V98" s="309">
        <f t="shared" si="23"/>
        <v>1</v>
      </c>
      <c r="W98" s="309">
        <f t="shared" si="23"/>
        <v>3</v>
      </c>
      <c r="X98" s="309">
        <f t="shared" si="23"/>
        <v>1</v>
      </c>
      <c r="Y98" s="309">
        <f t="shared" si="23"/>
        <v>1</v>
      </c>
      <c r="Z98" s="309">
        <f t="shared" si="23"/>
        <v>1</v>
      </c>
      <c r="AA98" s="309">
        <f t="shared" si="23"/>
        <v>0</v>
      </c>
      <c r="AB98" s="309">
        <f t="shared" si="23"/>
        <v>0</v>
      </c>
      <c r="AC98" s="309">
        <f t="shared" si="23"/>
        <v>0</v>
      </c>
      <c r="AD98" s="309">
        <f t="shared" si="23"/>
        <v>0</v>
      </c>
      <c r="AE98" s="309">
        <f t="shared" si="23"/>
        <v>2</v>
      </c>
      <c r="AF98" s="309">
        <f t="shared" si="23"/>
        <v>2</v>
      </c>
      <c r="AG98" s="309">
        <f t="shared" si="23"/>
        <v>0</v>
      </c>
      <c r="AH98" s="309">
        <f t="shared" si="23"/>
        <v>3</v>
      </c>
      <c r="AI98" s="205">
        <f t="shared" si="13"/>
        <v>15</v>
      </c>
      <c r="AJ98" s="179"/>
      <c r="AK98" s="179"/>
    </row>
    <row r="99" spans="1:37" ht="15" customHeight="1" x14ac:dyDescent="0.25">
      <c r="A99" s="112"/>
      <c r="B99" s="172" t="s">
        <v>40</v>
      </c>
      <c r="C99" s="172" t="s">
        <v>43</v>
      </c>
      <c r="D99" s="309">
        <f t="shared" ref="D99:AH99" si="24">D15-D43+D71</f>
        <v>0</v>
      </c>
      <c r="E99" s="309">
        <f t="shared" si="24"/>
        <v>0</v>
      </c>
      <c r="F99" s="309">
        <f t="shared" si="24"/>
        <v>0</v>
      </c>
      <c r="G99" s="309">
        <f t="shared" si="24"/>
        <v>0</v>
      </c>
      <c r="H99" s="309">
        <f t="shared" si="24"/>
        <v>0</v>
      </c>
      <c r="I99" s="309">
        <f t="shared" si="24"/>
        <v>0</v>
      </c>
      <c r="J99" s="309">
        <f t="shared" si="24"/>
        <v>0</v>
      </c>
      <c r="K99" s="309">
        <f t="shared" si="24"/>
        <v>0</v>
      </c>
      <c r="L99" s="309">
        <f t="shared" si="24"/>
        <v>0</v>
      </c>
      <c r="M99" s="309">
        <f t="shared" si="24"/>
        <v>0</v>
      </c>
      <c r="N99" s="309">
        <f t="shared" si="24"/>
        <v>0</v>
      </c>
      <c r="O99" s="309">
        <f t="shared" si="24"/>
        <v>0</v>
      </c>
      <c r="P99" s="309">
        <f t="shared" si="24"/>
        <v>0</v>
      </c>
      <c r="Q99" s="309">
        <f t="shared" si="24"/>
        <v>0</v>
      </c>
      <c r="R99" s="309">
        <f t="shared" si="24"/>
        <v>0</v>
      </c>
      <c r="S99" s="309">
        <f t="shared" si="24"/>
        <v>0</v>
      </c>
      <c r="T99" s="309">
        <f t="shared" si="24"/>
        <v>0</v>
      </c>
      <c r="U99" s="309">
        <f t="shared" si="24"/>
        <v>0</v>
      </c>
      <c r="V99" s="309">
        <f t="shared" si="24"/>
        <v>1</v>
      </c>
      <c r="W99" s="309">
        <f t="shared" si="24"/>
        <v>1</v>
      </c>
      <c r="X99" s="309">
        <f t="shared" si="24"/>
        <v>0</v>
      </c>
      <c r="Y99" s="309">
        <f t="shared" si="24"/>
        <v>0</v>
      </c>
      <c r="Z99" s="309">
        <f t="shared" si="24"/>
        <v>0</v>
      </c>
      <c r="AA99" s="309">
        <f t="shared" si="24"/>
        <v>0</v>
      </c>
      <c r="AB99" s="309">
        <f t="shared" si="24"/>
        <v>0</v>
      </c>
      <c r="AC99" s="309">
        <f t="shared" si="24"/>
        <v>0</v>
      </c>
      <c r="AD99" s="309">
        <f t="shared" si="24"/>
        <v>1</v>
      </c>
      <c r="AE99" s="309">
        <f t="shared" si="24"/>
        <v>0</v>
      </c>
      <c r="AF99" s="309">
        <f t="shared" si="24"/>
        <v>0</v>
      </c>
      <c r="AG99" s="309">
        <f t="shared" si="24"/>
        <v>6</v>
      </c>
      <c r="AH99" s="309">
        <f t="shared" si="24"/>
        <v>4</v>
      </c>
      <c r="AI99" s="205">
        <f t="shared" si="13"/>
        <v>13</v>
      </c>
      <c r="AJ99" s="179"/>
      <c r="AK99" s="179"/>
    </row>
    <row r="100" spans="1:37" ht="15" customHeight="1" x14ac:dyDescent="0.25">
      <c r="A100" s="112"/>
      <c r="B100" s="172" t="s">
        <v>40</v>
      </c>
      <c r="C100" s="172" t="s">
        <v>42</v>
      </c>
      <c r="D100" s="309">
        <f t="shared" ref="D100:AH100" si="25">D16-D44+D72</f>
        <v>0</v>
      </c>
      <c r="E100" s="309">
        <f t="shared" si="25"/>
        <v>0</v>
      </c>
      <c r="F100" s="309">
        <f t="shared" si="25"/>
        <v>0</v>
      </c>
      <c r="G100" s="309">
        <f t="shared" si="25"/>
        <v>0</v>
      </c>
      <c r="H100" s="309">
        <f t="shared" si="25"/>
        <v>0</v>
      </c>
      <c r="I100" s="309">
        <f t="shared" si="25"/>
        <v>0</v>
      </c>
      <c r="J100" s="309">
        <f t="shared" si="25"/>
        <v>0</v>
      </c>
      <c r="K100" s="309">
        <f t="shared" si="25"/>
        <v>0</v>
      </c>
      <c r="L100" s="309">
        <f t="shared" si="25"/>
        <v>0</v>
      </c>
      <c r="M100" s="309">
        <f t="shared" si="25"/>
        <v>0</v>
      </c>
      <c r="N100" s="309">
        <f t="shared" si="25"/>
        <v>0</v>
      </c>
      <c r="O100" s="309">
        <f t="shared" si="25"/>
        <v>0</v>
      </c>
      <c r="P100" s="309">
        <f t="shared" si="25"/>
        <v>0</v>
      </c>
      <c r="Q100" s="309">
        <f t="shared" si="25"/>
        <v>0</v>
      </c>
      <c r="R100" s="309">
        <f t="shared" si="25"/>
        <v>0</v>
      </c>
      <c r="S100" s="309">
        <f t="shared" si="25"/>
        <v>0</v>
      </c>
      <c r="T100" s="309">
        <f t="shared" si="25"/>
        <v>1</v>
      </c>
      <c r="U100" s="309">
        <f t="shared" si="25"/>
        <v>0</v>
      </c>
      <c r="V100" s="309">
        <f t="shared" si="25"/>
        <v>2</v>
      </c>
      <c r="W100" s="309">
        <f t="shared" si="25"/>
        <v>1</v>
      </c>
      <c r="X100" s="309">
        <f t="shared" si="25"/>
        <v>2</v>
      </c>
      <c r="Y100" s="309">
        <f t="shared" si="25"/>
        <v>0</v>
      </c>
      <c r="Z100" s="309">
        <f t="shared" si="25"/>
        <v>0</v>
      </c>
      <c r="AA100" s="309">
        <f t="shared" si="25"/>
        <v>0</v>
      </c>
      <c r="AB100" s="309">
        <f t="shared" si="25"/>
        <v>0</v>
      </c>
      <c r="AC100" s="309">
        <f t="shared" si="25"/>
        <v>1</v>
      </c>
      <c r="AD100" s="309">
        <f t="shared" si="25"/>
        <v>0</v>
      </c>
      <c r="AE100" s="309">
        <f t="shared" si="25"/>
        <v>0</v>
      </c>
      <c r="AF100" s="309">
        <f t="shared" si="25"/>
        <v>4</v>
      </c>
      <c r="AG100" s="309">
        <f t="shared" si="25"/>
        <v>10</v>
      </c>
      <c r="AH100" s="309">
        <f t="shared" si="25"/>
        <v>0</v>
      </c>
      <c r="AI100" s="205">
        <f t="shared" si="13"/>
        <v>21</v>
      </c>
      <c r="AJ100" s="179"/>
      <c r="AK100" s="179"/>
    </row>
    <row r="101" spans="1:37" ht="15" customHeight="1" x14ac:dyDescent="0.25">
      <c r="A101" s="112"/>
      <c r="B101" s="172" t="s">
        <v>47</v>
      </c>
      <c r="C101" s="172" t="s">
        <v>48</v>
      </c>
      <c r="D101" s="309">
        <f t="shared" ref="D101:AH101" si="26">D17-D45+D73</f>
        <v>0</v>
      </c>
      <c r="E101" s="309">
        <f t="shared" si="26"/>
        <v>0</v>
      </c>
      <c r="F101" s="309">
        <f t="shared" si="26"/>
        <v>0</v>
      </c>
      <c r="G101" s="309">
        <f t="shared" si="26"/>
        <v>0</v>
      </c>
      <c r="H101" s="309">
        <f t="shared" si="26"/>
        <v>0</v>
      </c>
      <c r="I101" s="309">
        <f t="shared" si="26"/>
        <v>0</v>
      </c>
      <c r="J101" s="309">
        <f t="shared" si="26"/>
        <v>0</v>
      </c>
      <c r="K101" s="309">
        <f t="shared" si="26"/>
        <v>0</v>
      </c>
      <c r="L101" s="309">
        <f t="shared" si="26"/>
        <v>0</v>
      </c>
      <c r="M101" s="309">
        <f t="shared" si="26"/>
        <v>0</v>
      </c>
      <c r="N101" s="309">
        <f t="shared" si="26"/>
        <v>0</v>
      </c>
      <c r="O101" s="309">
        <f t="shared" si="26"/>
        <v>0</v>
      </c>
      <c r="P101" s="309">
        <f t="shared" si="26"/>
        <v>0</v>
      </c>
      <c r="Q101" s="309">
        <f t="shared" si="26"/>
        <v>0</v>
      </c>
      <c r="R101" s="309">
        <f t="shared" si="26"/>
        <v>0</v>
      </c>
      <c r="S101" s="309">
        <f t="shared" si="26"/>
        <v>0</v>
      </c>
      <c r="T101" s="309">
        <f t="shared" si="26"/>
        <v>0</v>
      </c>
      <c r="U101" s="309">
        <f t="shared" si="26"/>
        <v>0</v>
      </c>
      <c r="V101" s="309">
        <f t="shared" si="26"/>
        <v>0</v>
      </c>
      <c r="W101" s="309">
        <f t="shared" si="26"/>
        <v>0</v>
      </c>
      <c r="X101" s="309">
        <f t="shared" si="26"/>
        <v>0</v>
      </c>
      <c r="Y101" s="309">
        <f t="shared" si="26"/>
        <v>1</v>
      </c>
      <c r="Z101" s="309">
        <f t="shared" si="26"/>
        <v>0</v>
      </c>
      <c r="AA101" s="309">
        <f t="shared" si="26"/>
        <v>0</v>
      </c>
      <c r="AB101" s="309">
        <f t="shared" si="26"/>
        <v>0</v>
      </c>
      <c r="AC101" s="309">
        <f t="shared" si="26"/>
        <v>0</v>
      </c>
      <c r="AD101" s="309">
        <f t="shared" si="26"/>
        <v>0</v>
      </c>
      <c r="AE101" s="309">
        <f t="shared" si="26"/>
        <v>0</v>
      </c>
      <c r="AF101" s="309">
        <f t="shared" si="26"/>
        <v>4</v>
      </c>
      <c r="AG101" s="309">
        <f t="shared" si="26"/>
        <v>2</v>
      </c>
      <c r="AH101" s="309">
        <f t="shared" si="26"/>
        <v>0</v>
      </c>
      <c r="AI101" s="205">
        <f t="shared" si="13"/>
        <v>7</v>
      </c>
      <c r="AJ101" s="179"/>
      <c r="AK101" s="179"/>
    </row>
    <row r="102" spans="1:37" ht="15" customHeight="1" x14ac:dyDescent="0.25">
      <c r="A102" s="112"/>
      <c r="B102" s="172" t="s">
        <v>32</v>
      </c>
      <c r="C102" s="172" t="s">
        <v>39</v>
      </c>
      <c r="D102" s="309">
        <f t="shared" ref="D102:AH102" si="27">D18-D46+D74</f>
        <v>0</v>
      </c>
      <c r="E102" s="309">
        <f t="shared" si="27"/>
        <v>1</v>
      </c>
      <c r="F102" s="309">
        <f t="shared" si="27"/>
        <v>0</v>
      </c>
      <c r="G102" s="309">
        <f t="shared" si="27"/>
        <v>0</v>
      </c>
      <c r="H102" s="309">
        <f t="shared" si="27"/>
        <v>0</v>
      </c>
      <c r="I102" s="309">
        <f t="shared" si="27"/>
        <v>0</v>
      </c>
      <c r="J102" s="309">
        <f t="shared" si="27"/>
        <v>0</v>
      </c>
      <c r="K102" s="309">
        <f t="shared" si="27"/>
        <v>0</v>
      </c>
      <c r="L102" s="309">
        <f t="shared" si="27"/>
        <v>0</v>
      </c>
      <c r="M102" s="309">
        <f t="shared" si="27"/>
        <v>0</v>
      </c>
      <c r="N102" s="309">
        <f t="shared" si="27"/>
        <v>0</v>
      </c>
      <c r="O102" s="309">
        <f t="shared" si="27"/>
        <v>0</v>
      </c>
      <c r="P102" s="309">
        <f t="shared" si="27"/>
        <v>0</v>
      </c>
      <c r="Q102" s="309">
        <f t="shared" si="27"/>
        <v>0</v>
      </c>
      <c r="R102" s="309">
        <f t="shared" si="27"/>
        <v>0</v>
      </c>
      <c r="S102" s="309">
        <f t="shared" si="27"/>
        <v>0</v>
      </c>
      <c r="T102" s="309">
        <f t="shared" si="27"/>
        <v>0</v>
      </c>
      <c r="U102" s="309">
        <f t="shared" si="27"/>
        <v>1</v>
      </c>
      <c r="V102" s="309">
        <f t="shared" si="27"/>
        <v>0</v>
      </c>
      <c r="W102" s="309">
        <f t="shared" si="27"/>
        <v>0</v>
      </c>
      <c r="X102" s="309">
        <f t="shared" si="27"/>
        <v>0</v>
      </c>
      <c r="Y102" s="309">
        <f t="shared" si="27"/>
        <v>2</v>
      </c>
      <c r="Z102" s="309">
        <f t="shared" si="27"/>
        <v>1</v>
      </c>
      <c r="AA102" s="309">
        <f t="shared" si="27"/>
        <v>0</v>
      </c>
      <c r="AB102" s="309">
        <f t="shared" si="27"/>
        <v>0</v>
      </c>
      <c r="AC102" s="309">
        <f t="shared" si="27"/>
        <v>1</v>
      </c>
      <c r="AD102" s="309">
        <f t="shared" si="27"/>
        <v>1</v>
      </c>
      <c r="AE102" s="309">
        <f t="shared" si="27"/>
        <v>0</v>
      </c>
      <c r="AF102" s="309">
        <f t="shared" si="27"/>
        <v>0</v>
      </c>
      <c r="AG102" s="309">
        <f t="shared" si="27"/>
        <v>1</v>
      </c>
      <c r="AH102" s="309">
        <f t="shared" si="27"/>
        <v>0</v>
      </c>
      <c r="AI102" s="205">
        <f t="shared" si="13"/>
        <v>8</v>
      </c>
      <c r="AJ102" s="179"/>
      <c r="AK102" s="179"/>
    </row>
    <row r="103" spans="1:37" ht="15" customHeight="1" x14ac:dyDescent="0.25">
      <c r="A103" s="112"/>
      <c r="B103" s="172"/>
      <c r="C103" s="299" t="s">
        <v>38</v>
      </c>
      <c r="D103" s="310">
        <f t="shared" ref="D103:AH103" si="28">D19-D47+D75</f>
        <v>0</v>
      </c>
      <c r="E103" s="310">
        <f t="shared" si="28"/>
        <v>0</v>
      </c>
      <c r="F103" s="310">
        <f t="shared" si="28"/>
        <v>0</v>
      </c>
      <c r="G103" s="310">
        <f t="shared" si="28"/>
        <v>0</v>
      </c>
      <c r="H103" s="310">
        <f t="shared" si="28"/>
        <v>0</v>
      </c>
      <c r="I103" s="310">
        <f t="shared" si="28"/>
        <v>0</v>
      </c>
      <c r="J103" s="310">
        <f t="shared" si="28"/>
        <v>0</v>
      </c>
      <c r="K103" s="310">
        <f t="shared" si="28"/>
        <v>0</v>
      </c>
      <c r="L103" s="310">
        <f t="shared" si="28"/>
        <v>0</v>
      </c>
      <c r="M103" s="310">
        <f t="shared" si="28"/>
        <v>0</v>
      </c>
      <c r="N103" s="310">
        <f t="shared" si="28"/>
        <v>0</v>
      </c>
      <c r="O103" s="310">
        <f t="shared" si="28"/>
        <v>0</v>
      </c>
      <c r="P103" s="310">
        <f t="shared" si="28"/>
        <v>0</v>
      </c>
      <c r="Q103" s="310">
        <f t="shared" si="28"/>
        <v>0</v>
      </c>
      <c r="R103" s="310">
        <f t="shared" si="28"/>
        <v>0</v>
      </c>
      <c r="S103" s="310">
        <f t="shared" si="28"/>
        <v>0</v>
      </c>
      <c r="T103" s="310">
        <f t="shared" si="28"/>
        <v>0</v>
      </c>
      <c r="U103" s="310">
        <f t="shared" si="28"/>
        <v>0</v>
      </c>
      <c r="V103" s="310">
        <f t="shared" si="28"/>
        <v>0</v>
      </c>
      <c r="W103" s="310">
        <f t="shared" si="28"/>
        <v>0</v>
      </c>
      <c r="X103" s="310">
        <f t="shared" si="28"/>
        <v>0</v>
      </c>
      <c r="Y103" s="310">
        <f t="shared" si="28"/>
        <v>0</v>
      </c>
      <c r="Z103" s="310">
        <f t="shared" si="28"/>
        <v>0</v>
      </c>
      <c r="AA103" s="310">
        <f t="shared" si="28"/>
        <v>0</v>
      </c>
      <c r="AB103" s="310">
        <f t="shared" si="28"/>
        <v>0</v>
      </c>
      <c r="AC103" s="310">
        <f t="shared" si="28"/>
        <v>0</v>
      </c>
      <c r="AD103" s="310">
        <f t="shared" si="28"/>
        <v>0</v>
      </c>
      <c r="AE103" s="310">
        <f t="shared" si="28"/>
        <v>0</v>
      </c>
      <c r="AF103" s="310">
        <f t="shared" si="28"/>
        <v>0</v>
      </c>
      <c r="AG103" s="310">
        <f t="shared" si="28"/>
        <v>0</v>
      </c>
      <c r="AH103" s="310">
        <f t="shared" si="28"/>
        <v>0</v>
      </c>
      <c r="AI103" s="300">
        <f t="shared" si="13"/>
        <v>0</v>
      </c>
      <c r="AJ103" s="179"/>
      <c r="AK103" s="179"/>
    </row>
    <row r="104" spans="1:37" ht="15" customHeight="1" x14ac:dyDescent="0.25">
      <c r="A104" s="112"/>
      <c r="B104" s="172"/>
      <c r="C104" s="299" t="s">
        <v>41</v>
      </c>
      <c r="D104" s="310">
        <f t="shared" ref="D104:AH104" si="29">D20-D48+D76</f>
        <v>0</v>
      </c>
      <c r="E104" s="310">
        <f t="shared" si="29"/>
        <v>0</v>
      </c>
      <c r="F104" s="310">
        <f t="shared" si="29"/>
        <v>0</v>
      </c>
      <c r="G104" s="310">
        <f t="shared" si="29"/>
        <v>0</v>
      </c>
      <c r="H104" s="310">
        <f t="shared" si="29"/>
        <v>0</v>
      </c>
      <c r="I104" s="310">
        <f t="shared" si="29"/>
        <v>0</v>
      </c>
      <c r="J104" s="310">
        <f t="shared" si="29"/>
        <v>0</v>
      </c>
      <c r="K104" s="310">
        <f t="shared" si="29"/>
        <v>0</v>
      </c>
      <c r="L104" s="310">
        <f t="shared" si="29"/>
        <v>0</v>
      </c>
      <c r="M104" s="310">
        <f t="shared" si="29"/>
        <v>0</v>
      </c>
      <c r="N104" s="310">
        <f t="shared" si="29"/>
        <v>0</v>
      </c>
      <c r="O104" s="310">
        <f t="shared" si="29"/>
        <v>0</v>
      </c>
      <c r="P104" s="310">
        <f t="shared" si="29"/>
        <v>0</v>
      </c>
      <c r="Q104" s="310">
        <f t="shared" si="29"/>
        <v>0</v>
      </c>
      <c r="R104" s="310">
        <f t="shared" si="29"/>
        <v>0</v>
      </c>
      <c r="S104" s="310">
        <f t="shared" si="29"/>
        <v>0</v>
      </c>
      <c r="T104" s="310">
        <f t="shared" si="29"/>
        <v>0</v>
      </c>
      <c r="U104" s="310">
        <f t="shared" si="29"/>
        <v>0</v>
      </c>
      <c r="V104" s="310">
        <f t="shared" si="29"/>
        <v>0</v>
      </c>
      <c r="W104" s="310">
        <f t="shared" si="29"/>
        <v>0</v>
      </c>
      <c r="X104" s="310">
        <f t="shared" si="29"/>
        <v>0</v>
      </c>
      <c r="Y104" s="310">
        <f t="shared" si="29"/>
        <v>0</v>
      </c>
      <c r="Z104" s="310">
        <f t="shared" si="29"/>
        <v>0</v>
      </c>
      <c r="AA104" s="310">
        <f t="shared" si="29"/>
        <v>0</v>
      </c>
      <c r="AB104" s="310">
        <f t="shared" si="29"/>
        <v>0</v>
      </c>
      <c r="AC104" s="310">
        <f t="shared" si="29"/>
        <v>0</v>
      </c>
      <c r="AD104" s="310">
        <f t="shared" si="29"/>
        <v>0</v>
      </c>
      <c r="AE104" s="310">
        <f t="shared" si="29"/>
        <v>0</v>
      </c>
      <c r="AF104" s="310">
        <f t="shared" si="29"/>
        <v>0</v>
      </c>
      <c r="AG104" s="310">
        <f t="shared" si="29"/>
        <v>0</v>
      </c>
      <c r="AH104" s="310">
        <f t="shared" si="29"/>
        <v>0</v>
      </c>
      <c r="AI104" s="300">
        <f t="shared" si="13"/>
        <v>0</v>
      </c>
      <c r="AJ104" s="179"/>
      <c r="AK104" s="179"/>
    </row>
    <row r="105" spans="1:37" ht="15" customHeight="1" x14ac:dyDescent="0.25">
      <c r="A105" s="112"/>
      <c r="B105" s="172" t="s">
        <v>32</v>
      </c>
      <c r="C105" s="172" t="s">
        <v>37</v>
      </c>
      <c r="D105" s="309">
        <f t="shared" ref="D105:AH105" si="30">D21-D49+D77</f>
        <v>0</v>
      </c>
      <c r="E105" s="309">
        <f t="shared" si="30"/>
        <v>0</v>
      </c>
      <c r="F105" s="309">
        <f t="shared" si="30"/>
        <v>0</v>
      </c>
      <c r="G105" s="309">
        <f t="shared" si="30"/>
        <v>0</v>
      </c>
      <c r="H105" s="309">
        <f t="shared" si="30"/>
        <v>0</v>
      </c>
      <c r="I105" s="309">
        <f t="shared" si="30"/>
        <v>1</v>
      </c>
      <c r="J105" s="309">
        <f t="shared" si="30"/>
        <v>0</v>
      </c>
      <c r="K105" s="309">
        <f t="shared" si="30"/>
        <v>0</v>
      </c>
      <c r="L105" s="309">
        <f t="shared" si="30"/>
        <v>0</v>
      </c>
      <c r="M105" s="309">
        <f t="shared" si="30"/>
        <v>0</v>
      </c>
      <c r="N105" s="309">
        <f t="shared" si="30"/>
        <v>0</v>
      </c>
      <c r="O105" s="309">
        <f t="shared" si="30"/>
        <v>1</v>
      </c>
      <c r="P105" s="309">
        <f t="shared" si="30"/>
        <v>0</v>
      </c>
      <c r="Q105" s="309">
        <f t="shared" si="30"/>
        <v>4</v>
      </c>
      <c r="R105" s="309">
        <f t="shared" si="30"/>
        <v>1</v>
      </c>
      <c r="S105" s="309">
        <f t="shared" si="30"/>
        <v>0</v>
      </c>
      <c r="T105" s="309">
        <f t="shared" si="30"/>
        <v>0</v>
      </c>
      <c r="U105" s="309">
        <f t="shared" si="30"/>
        <v>0</v>
      </c>
      <c r="V105" s="309">
        <f t="shared" si="30"/>
        <v>0</v>
      </c>
      <c r="W105" s="309">
        <f t="shared" si="30"/>
        <v>1</v>
      </c>
      <c r="X105" s="309">
        <f t="shared" si="30"/>
        <v>0</v>
      </c>
      <c r="Y105" s="309">
        <f t="shared" si="30"/>
        <v>0</v>
      </c>
      <c r="Z105" s="309">
        <f t="shared" si="30"/>
        <v>0</v>
      </c>
      <c r="AA105" s="309">
        <f t="shared" si="30"/>
        <v>2</v>
      </c>
      <c r="AB105" s="309">
        <f t="shared" si="30"/>
        <v>1</v>
      </c>
      <c r="AC105" s="309">
        <f t="shared" si="30"/>
        <v>3</v>
      </c>
      <c r="AD105" s="309">
        <f t="shared" si="30"/>
        <v>0</v>
      </c>
      <c r="AE105" s="309">
        <f t="shared" si="30"/>
        <v>1</v>
      </c>
      <c r="AF105" s="309">
        <f t="shared" si="30"/>
        <v>0</v>
      </c>
      <c r="AG105" s="309">
        <f t="shared" si="30"/>
        <v>0</v>
      </c>
      <c r="AH105" s="309">
        <f t="shared" si="30"/>
        <v>0</v>
      </c>
      <c r="AI105" s="205">
        <f t="shared" si="13"/>
        <v>15</v>
      </c>
      <c r="AJ105" s="179"/>
      <c r="AK105" s="179"/>
    </row>
    <row r="106" spans="1:37" ht="15" customHeight="1" x14ac:dyDescent="0.25">
      <c r="A106" s="112"/>
      <c r="B106" s="172" t="s">
        <v>32</v>
      </c>
      <c r="C106" s="172" t="s">
        <v>36</v>
      </c>
      <c r="D106" s="309">
        <f t="shared" ref="D106:AH106" si="31">D22-D50+D78</f>
        <v>0</v>
      </c>
      <c r="E106" s="309">
        <f t="shared" si="31"/>
        <v>0</v>
      </c>
      <c r="F106" s="309">
        <f t="shared" si="31"/>
        <v>0</v>
      </c>
      <c r="G106" s="309">
        <f t="shared" si="31"/>
        <v>0</v>
      </c>
      <c r="H106" s="309">
        <f t="shared" si="31"/>
        <v>0</v>
      </c>
      <c r="I106" s="309">
        <f t="shared" si="31"/>
        <v>0</v>
      </c>
      <c r="J106" s="309">
        <f t="shared" si="31"/>
        <v>0</v>
      </c>
      <c r="K106" s="309">
        <f t="shared" si="31"/>
        <v>0</v>
      </c>
      <c r="L106" s="309">
        <f t="shared" si="31"/>
        <v>0</v>
      </c>
      <c r="M106" s="309">
        <f t="shared" si="31"/>
        <v>0</v>
      </c>
      <c r="N106" s="309">
        <f t="shared" si="31"/>
        <v>0</v>
      </c>
      <c r="O106" s="309">
        <f t="shared" si="31"/>
        <v>0</v>
      </c>
      <c r="P106" s="309">
        <f t="shared" si="31"/>
        <v>0</v>
      </c>
      <c r="Q106" s="309">
        <f t="shared" si="31"/>
        <v>0</v>
      </c>
      <c r="R106" s="309">
        <f t="shared" si="31"/>
        <v>0</v>
      </c>
      <c r="S106" s="309">
        <f t="shared" si="31"/>
        <v>0</v>
      </c>
      <c r="T106" s="309">
        <f t="shared" si="31"/>
        <v>0</v>
      </c>
      <c r="U106" s="309">
        <f t="shared" si="31"/>
        <v>0</v>
      </c>
      <c r="V106" s="309">
        <f t="shared" si="31"/>
        <v>0</v>
      </c>
      <c r="W106" s="309">
        <f t="shared" si="31"/>
        <v>1</v>
      </c>
      <c r="X106" s="309">
        <f t="shared" si="31"/>
        <v>1</v>
      </c>
      <c r="Y106" s="309">
        <f t="shared" si="31"/>
        <v>0</v>
      </c>
      <c r="Z106" s="309">
        <f t="shared" si="31"/>
        <v>4</v>
      </c>
      <c r="AA106" s="309">
        <f t="shared" si="31"/>
        <v>0</v>
      </c>
      <c r="AB106" s="309">
        <f t="shared" si="31"/>
        <v>0</v>
      </c>
      <c r="AC106" s="309">
        <f t="shared" si="31"/>
        <v>1</v>
      </c>
      <c r="AD106" s="309">
        <f t="shared" si="31"/>
        <v>0</v>
      </c>
      <c r="AE106" s="309">
        <f t="shared" si="31"/>
        <v>0</v>
      </c>
      <c r="AF106" s="309">
        <f t="shared" si="31"/>
        <v>0</v>
      </c>
      <c r="AG106" s="309">
        <f t="shared" si="31"/>
        <v>0</v>
      </c>
      <c r="AH106" s="309">
        <f t="shared" si="31"/>
        <v>0</v>
      </c>
      <c r="AI106" s="205">
        <f t="shared" si="13"/>
        <v>7</v>
      </c>
      <c r="AJ106" s="179"/>
      <c r="AK106" s="179"/>
    </row>
    <row r="107" spans="1:37" ht="15" customHeight="1" x14ac:dyDescent="0.25">
      <c r="A107" s="112"/>
      <c r="B107" s="172" t="s">
        <v>32</v>
      </c>
      <c r="C107" s="172" t="s">
        <v>35</v>
      </c>
      <c r="D107" s="309">
        <f t="shared" ref="D107:AH107" si="32">D23-D51+D79</f>
        <v>0</v>
      </c>
      <c r="E107" s="309">
        <f t="shared" si="32"/>
        <v>0</v>
      </c>
      <c r="F107" s="309">
        <f t="shared" si="32"/>
        <v>0</v>
      </c>
      <c r="G107" s="309">
        <f t="shared" si="32"/>
        <v>0</v>
      </c>
      <c r="H107" s="309">
        <f t="shared" si="32"/>
        <v>0</v>
      </c>
      <c r="I107" s="309">
        <f t="shared" si="32"/>
        <v>0</v>
      </c>
      <c r="J107" s="309">
        <f t="shared" si="32"/>
        <v>0</v>
      </c>
      <c r="K107" s="309">
        <f t="shared" si="32"/>
        <v>1</v>
      </c>
      <c r="L107" s="309">
        <f t="shared" si="32"/>
        <v>0</v>
      </c>
      <c r="M107" s="309">
        <f t="shared" si="32"/>
        <v>0</v>
      </c>
      <c r="N107" s="309">
        <f t="shared" si="32"/>
        <v>0</v>
      </c>
      <c r="O107" s="309">
        <f t="shared" si="32"/>
        <v>0</v>
      </c>
      <c r="P107" s="309">
        <f t="shared" si="32"/>
        <v>0</v>
      </c>
      <c r="Q107" s="309">
        <f t="shared" si="32"/>
        <v>1</v>
      </c>
      <c r="R107" s="309">
        <f t="shared" si="32"/>
        <v>0</v>
      </c>
      <c r="S107" s="309">
        <f t="shared" si="32"/>
        <v>0</v>
      </c>
      <c r="T107" s="309">
        <f t="shared" si="32"/>
        <v>0</v>
      </c>
      <c r="U107" s="309">
        <f t="shared" si="32"/>
        <v>0</v>
      </c>
      <c r="V107" s="309">
        <f t="shared" si="32"/>
        <v>0</v>
      </c>
      <c r="W107" s="309">
        <f t="shared" si="32"/>
        <v>0</v>
      </c>
      <c r="X107" s="309">
        <f t="shared" si="32"/>
        <v>1</v>
      </c>
      <c r="Y107" s="309">
        <f t="shared" si="32"/>
        <v>1</v>
      </c>
      <c r="Z107" s="309">
        <f t="shared" si="32"/>
        <v>0</v>
      </c>
      <c r="AA107" s="309">
        <f t="shared" si="32"/>
        <v>0</v>
      </c>
      <c r="AB107" s="309">
        <f t="shared" si="32"/>
        <v>0</v>
      </c>
      <c r="AC107" s="309">
        <f t="shared" si="32"/>
        <v>0</v>
      </c>
      <c r="AD107" s="309">
        <f t="shared" si="32"/>
        <v>0</v>
      </c>
      <c r="AE107" s="309">
        <f t="shared" si="32"/>
        <v>0</v>
      </c>
      <c r="AF107" s="309">
        <f t="shared" si="32"/>
        <v>0</v>
      </c>
      <c r="AG107" s="309">
        <f t="shared" si="32"/>
        <v>0</v>
      </c>
      <c r="AH107" s="309">
        <f t="shared" si="32"/>
        <v>0</v>
      </c>
      <c r="AI107" s="205">
        <f t="shared" si="13"/>
        <v>4</v>
      </c>
      <c r="AJ107" s="179"/>
      <c r="AK107" s="179"/>
    </row>
    <row r="108" spans="1:37" ht="15" customHeight="1" x14ac:dyDescent="0.25">
      <c r="A108" s="112"/>
      <c r="B108" s="172" t="s">
        <v>32</v>
      </c>
      <c r="C108" s="172" t="s">
        <v>34</v>
      </c>
      <c r="D108" s="309">
        <f t="shared" ref="D108:AH108" si="33">D24-D52+D80</f>
        <v>0</v>
      </c>
      <c r="E108" s="309">
        <f t="shared" si="33"/>
        <v>0</v>
      </c>
      <c r="F108" s="309">
        <f t="shared" si="33"/>
        <v>0</v>
      </c>
      <c r="G108" s="309">
        <f t="shared" si="33"/>
        <v>0</v>
      </c>
      <c r="H108" s="309">
        <f t="shared" si="33"/>
        <v>0</v>
      </c>
      <c r="I108" s="309">
        <f t="shared" si="33"/>
        <v>0</v>
      </c>
      <c r="J108" s="309">
        <f t="shared" si="33"/>
        <v>0</v>
      </c>
      <c r="K108" s="309">
        <f t="shared" si="33"/>
        <v>0</v>
      </c>
      <c r="L108" s="309">
        <f t="shared" si="33"/>
        <v>0</v>
      </c>
      <c r="M108" s="309">
        <f t="shared" si="33"/>
        <v>0</v>
      </c>
      <c r="N108" s="309">
        <f t="shared" si="33"/>
        <v>0</v>
      </c>
      <c r="O108" s="309">
        <f t="shared" si="33"/>
        <v>0</v>
      </c>
      <c r="P108" s="309">
        <f t="shared" si="33"/>
        <v>0</v>
      </c>
      <c r="Q108" s="309">
        <f t="shared" si="33"/>
        <v>1</v>
      </c>
      <c r="R108" s="309">
        <f t="shared" si="33"/>
        <v>1</v>
      </c>
      <c r="S108" s="309">
        <f t="shared" si="33"/>
        <v>2</v>
      </c>
      <c r="T108" s="309">
        <f t="shared" si="33"/>
        <v>2</v>
      </c>
      <c r="U108" s="309">
        <f t="shared" si="33"/>
        <v>0</v>
      </c>
      <c r="V108" s="309">
        <f t="shared" si="33"/>
        <v>0</v>
      </c>
      <c r="W108" s="309">
        <f t="shared" si="33"/>
        <v>0</v>
      </c>
      <c r="X108" s="309">
        <f t="shared" si="33"/>
        <v>0</v>
      </c>
      <c r="Y108" s="309">
        <f t="shared" si="33"/>
        <v>1</v>
      </c>
      <c r="Z108" s="309">
        <f t="shared" si="33"/>
        <v>1</v>
      </c>
      <c r="AA108" s="309">
        <f t="shared" si="33"/>
        <v>3</v>
      </c>
      <c r="AB108" s="309">
        <f t="shared" si="33"/>
        <v>0</v>
      </c>
      <c r="AC108" s="309">
        <f t="shared" si="33"/>
        <v>0</v>
      </c>
      <c r="AD108" s="309">
        <f t="shared" si="33"/>
        <v>0</v>
      </c>
      <c r="AE108" s="309">
        <f t="shared" si="33"/>
        <v>0</v>
      </c>
      <c r="AF108" s="309">
        <f t="shared" si="33"/>
        <v>0</v>
      </c>
      <c r="AG108" s="309">
        <f t="shared" si="33"/>
        <v>0</v>
      </c>
      <c r="AH108" s="309">
        <f t="shared" si="33"/>
        <v>0</v>
      </c>
      <c r="AI108" s="205">
        <f t="shared" si="13"/>
        <v>11</v>
      </c>
      <c r="AJ108" s="179"/>
      <c r="AK108" s="179"/>
    </row>
    <row r="109" spans="1:37" ht="15" customHeight="1" x14ac:dyDescent="0.25">
      <c r="A109" s="112"/>
      <c r="B109" s="172" t="s">
        <v>32</v>
      </c>
      <c r="C109" s="172" t="s">
        <v>33</v>
      </c>
      <c r="D109" s="309">
        <f t="shared" ref="D109:AH109" si="34">D25-D53+D81</f>
        <v>1</v>
      </c>
      <c r="E109" s="309">
        <f t="shared" si="34"/>
        <v>0</v>
      </c>
      <c r="F109" s="309">
        <f t="shared" si="34"/>
        <v>0</v>
      </c>
      <c r="G109" s="309">
        <f t="shared" si="34"/>
        <v>0</v>
      </c>
      <c r="H109" s="309">
        <f t="shared" si="34"/>
        <v>0</v>
      </c>
      <c r="I109" s="309">
        <f t="shared" si="34"/>
        <v>0</v>
      </c>
      <c r="J109" s="309">
        <f t="shared" si="34"/>
        <v>1</v>
      </c>
      <c r="K109" s="309">
        <f t="shared" si="34"/>
        <v>0</v>
      </c>
      <c r="L109" s="309">
        <f t="shared" si="34"/>
        <v>0</v>
      </c>
      <c r="M109" s="309">
        <f t="shared" si="34"/>
        <v>0</v>
      </c>
      <c r="N109" s="309">
        <f t="shared" si="34"/>
        <v>0</v>
      </c>
      <c r="O109" s="309">
        <f t="shared" si="34"/>
        <v>0</v>
      </c>
      <c r="P109" s="309">
        <f t="shared" si="34"/>
        <v>0</v>
      </c>
      <c r="Q109" s="309">
        <f t="shared" si="34"/>
        <v>0</v>
      </c>
      <c r="R109" s="309">
        <f t="shared" si="34"/>
        <v>0</v>
      </c>
      <c r="S109" s="309">
        <f t="shared" si="34"/>
        <v>1</v>
      </c>
      <c r="T109" s="309">
        <f t="shared" si="34"/>
        <v>1</v>
      </c>
      <c r="U109" s="309">
        <f t="shared" si="34"/>
        <v>2</v>
      </c>
      <c r="V109" s="309">
        <f t="shared" si="34"/>
        <v>0</v>
      </c>
      <c r="W109" s="309">
        <f t="shared" si="34"/>
        <v>0</v>
      </c>
      <c r="X109" s="309">
        <f t="shared" si="34"/>
        <v>4</v>
      </c>
      <c r="Y109" s="309">
        <f t="shared" si="34"/>
        <v>0</v>
      </c>
      <c r="Z109" s="309">
        <f t="shared" si="34"/>
        <v>1</v>
      </c>
      <c r="AA109" s="309">
        <f t="shared" si="34"/>
        <v>1</v>
      </c>
      <c r="AB109" s="309">
        <f t="shared" si="34"/>
        <v>1</v>
      </c>
      <c r="AC109" s="309">
        <f t="shared" si="34"/>
        <v>1</v>
      </c>
      <c r="AD109" s="309">
        <f t="shared" si="34"/>
        <v>0</v>
      </c>
      <c r="AE109" s="309">
        <f t="shared" si="34"/>
        <v>1</v>
      </c>
      <c r="AF109" s="309">
        <f t="shared" si="34"/>
        <v>4</v>
      </c>
      <c r="AG109" s="309">
        <f t="shared" si="34"/>
        <v>1</v>
      </c>
      <c r="AH109" s="309">
        <f t="shared" si="34"/>
        <v>0</v>
      </c>
      <c r="AI109" s="205">
        <f t="shared" si="13"/>
        <v>20</v>
      </c>
      <c r="AJ109" s="179"/>
      <c r="AK109" s="179"/>
    </row>
    <row r="110" spans="1:37" ht="15" customHeight="1" x14ac:dyDescent="0.25">
      <c r="A110" s="112"/>
      <c r="B110" s="172" t="s">
        <v>205</v>
      </c>
      <c r="C110" s="296" t="s">
        <v>31</v>
      </c>
      <c r="D110" s="309">
        <f t="shared" ref="D110:AH110" si="35">D26-D54+D82</f>
        <v>0</v>
      </c>
      <c r="E110" s="309">
        <f t="shared" si="35"/>
        <v>0</v>
      </c>
      <c r="F110" s="309">
        <f t="shared" si="35"/>
        <v>0</v>
      </c>
      <c r="G110" s="309">
        <f t="shared" si="35"/>
        <v>0</v>
      </c>
      <c r="H110" s="309">
        <f t="shared" si="35"/>
        <v>0</v>
      </c>
      <c r="I110" s="309">
        <f t="shared" si="35"/>
        <v>0</v>
      </c>
      <c r="J110" s="309">
        <f t="shared" si="35"/>
        <v>1</v>
      </c>
      <c r="K110" s="309">
        <f t="shared" si="35"/>
        <v>0</v>
      </c>
      <c r="L110" s="309">
        <f t="shared" si="35"/>
        <v>0</v>
      </c>
      <c r="M110" s="309">
        <f t="shared" si="35"/>
        <v>0</v>
      </c>
      <c r="N110" s="309">
        <f t="shared" si="35"/>
        <v>0</v>
      </c>
      <c r="O110" s="309">
        <f t="shared" si="35"/>
        <v>0</v>
      </c>
      <c r="P110" s="309">
        <f t="shared" si="35"/>
        <v>2</v>
      </c>
      <c r="Q110" s="309">
        <f t="shared" si="35"/>
        <v>1</v>
      </c>
      <c r="R110" s="309">
        <f t="shared" si="35"/>
        <v>0</v>
      </c>
      <c r="S110" s="309">
        <f t="shared" si="35"/>
        <v>1</v>
      </c>
      <c r="T110" s="309">
        <f t="shared" si="35"/>
        <v>1</v>
      </c>
      <c r="U110" s="309">
        <f t="shared" si="35"/>
        <v>2</v>
      </c>
      <c r="V110" s="309">
        <f t="shared" si="35"/>
        <v>0</v>
      </c>
      <c r="W110" s="309">
        <f t="shared" si="35"/>
        <v>0</v>
      </c>
      <c r="X110" s="309">
        <f t="shared" si="35"/>
        <v>0</v>
      </c>
      <c r="Y110" s="309">
        <f t="shared" si="35"/>
        <v>1</v>
      </c>
      <c r="Z110" s="309">
        <f t="shared" si="35"/>
        <v>5</v>
      </c>
      <c r="AA110" s="309">
        <f t="shared" si="35"/>
        <v>3</v>
      </c>
      <c r="AB110" s="309">
        <f t="shared" si="35"/>
        <v>1</v>
      </c>
      <c r="AC110" s="309">
        <f t="shared" si="35"/>
        <v>1</v>
      </c>
      <c r="AD110" s="309">
        <f t="shared" si="35"/>
        <v>0</v>
      </c>
      <c r="AE110" s="309">
        <f t="shared" si="35"/>
        <v>1</v>
      </c>
      <c r="AF110" s="309">
        <f t="shared" si="35"/>
        <v>2</v>
      </c>
      <c r="AG110" s="309">
        <f t="shared" si="35"/>
        <v>0</v>
      </c>
      <c r="AH110" s="309">
        <f t="shared" si="35"/>
        <v>0</v>
      </c>
      <c r="AI110" s="298">
        <f t="shared" si="13"/>
        <v>22</v>
      </c>
      <c r="AJ110" s="179"/>
      <c r="AK110" s="179"/>
    </row>
    <row r="111" spans="1:37" ht="15" customHeight="1" x14ac:dyDescent="0.25">
      <c r="A111" s="112"/>
      <c r="B111" s="172" t="s">
        <v>205</v>
      </c>
      <c r="C111" s="296" t="s">
        <v>161</v>
      </c>
      <c r="D111" s="309">
        <f t="shared" ref="D111:AH111" si="36">D27-D55+D83</f>
        <v>0</v>
      </c>
      <c r="E111" s="309">
        <f t="shared" si="36"/>
        <v>0</v>
      </c>
      <c r="F111" s="309">
        <f t="shared" si="36"/>
        <v>0</v>
      </c>
      <c r="G111" s="309">
        <f t="shared" si="36"/>
        <v>0</v>
      </c>
      <c r="H111" s="309">
        <f t="shared" si="36"/>
        <v>0</v>
      </c>
      <c r="I111" s="309">
        <f t="shared" si="36"/>
        <v>0</v>
      </c>
      <c r="J111" s="309">
        <f t="shared" si="36"/>
        <v>0</v>
      </c>
      <c r="K111" s="309">
        <f t="shared" si="36"/>
        <v>0</v>
      </c>
      <c r="L111" s="309">
        <f t="shared" si="36"/>
        <v>1</v>
      </c>
      <c r="M111" s="309">
        <f t="shared" si="36"/>
        <v>0</v>
      </c>
      <c r="N111" s="309">
        <f t="shared" si="36"/>
        <v>0</v>
      </c>
      <c r="O111" s="309">
        <f t="shared" si="36"/>
        <v>0</v>
      </c>
      <c r="P111" s="309">
        <f t="shared" si="36"/>
        <v>0</v>
      </c>
      <c r="Q111" s="309">
        <f t="shared" si="36"/>
        <v>2</v>
      </c>
      <c r="R111" s="309">
        <f t="shared" si="36"/>
        <v>0</v>
      </c>
      <c r="S111" s="309">
        <f t="shared" si="36"/>
        <v>0</v>
      </c>
      <c r="T111" s="309">
        <f t="shared" si="36"/>
        <v>0</v>
      </c>
      <c r="U111" s="309">
        <f t="shared" si="36"/>
        <v>0</v>
      </c>
      <c r="V111" s="309">
        <f t="shared" si="36"/>
        <v>0</v>
      </c>
      <c r="W111" s="309">
        <f t="shared" si="36"/>
        <v>0</v>
      </c>
      <c r="X111" s="309">
        <f t="shared" si="36"/>
        <v>0</v>
      </c>
      <c r="Y111" s="309">
        <f t="shared" si="36"/>
        <v>0</v>
      </c>
      <c r="Z111" s="309">
        <f t="shared" si="36"/>
        <v>0</v>
      </c>
      <c r="AA111" s="309">
        <f t="shared" si="36"/>
        <v>0</v>
      </c>
      <c r="AB111" s="309">
        <f t="shared" si="36"/>
        <v>0</v>
      </c>
      <c r="AC111" s="309">
        <f t="shared" si="36"/>
        <v>0</v>
      </c>
      <c r="AD111" s="309">
        <f t="shared" si="36"/>
        <v>0</v>
      </c>
      <c r="AE111" s="309">
        <f t="shared" si="36"/>
        <v>0</v>
      </c>
      <c r="AF111" s="309">
        <f t="shared" si="36"/>
        <v>0</v>
      </c>
      <c r="AG111" s="309">
        <f t="shared" si="36"/>
        <v>0</v>
      </c>
      <c r="AH111" s="309">
        <f t="shared" si="36"/>
        <v>0</v>
      </c>
      <c r="AI111" s="301">
        <f t="shared" si="13"/>
        <v>3</v>
      </c>
      <c r="AJ111" s="179"/>
      <c r="AK111" s="179"/>
    </row>
    <row r="112" spans="1:37" ht="15" customHeight="1" x14ac:dyDescent="0.25">
      <c r="A112" s="112"/>
      <c r="B112" s="259" t="s">
        <v>115</v>
      </c>
      <c r="C112" s="259"/>
      <c r="D112" s="259">
        <v>1</v>
      </c>
      <c r="E112" s="259">
        <f t="shared" ref="E112:AI112" si="37">SUM(E89:E111)</f>
        <v>1</v>
      </c>
      <c r="F112" s="259">
        <f t="shared" si="37"/>
        <v>0</v>
      </c>
      <c r="G112" s="259">
        <f t="shared" si="37"/>
        <v>0</v>
      </c>
      <c r="H112" s="259">
        <f t="shared" si="37"/>
        <v>0</v>
      </c>
      <c r="I112" s="259">
        <f t="shared" si="37"/>
        <v>1</v>
      </c>
      <c r="J112" s="259">
        <f t="shared" si="37"/>
        <v>2</v>
      </c>
      <c r="K112" s="259">
        <f t="shared" si="37"/>
        <v>3</v>
      </c>
      <c r="L112" s="259">
        <f t="shared" si="37"/>
        <v>1</v>
      </c>
      <c r="M112" s="259">
        <f t="shared" si="37"/>
        <v>1</v>
      </c>
      <c r="N112" s="259">
        <f t="shared" si="37"/>
        <v>0</v>
      </c>
      <c r="O112" s="259">
        <f t="shared" si="37"/>
        <v>1</v>
      </c>
      <c r="P112" s="259">
        <f t="shared" si="37"/>
        <v>2</v>
      </c>
      <c r="Q112" s="259">
        <f t="shared" si="37"/>
        <v>10</v>
      </c>
      <c r="R112" s="259">
        <f t="shared" si="37"/>
        <v>4</v>
      </c>
      <c r="S112" s="259">
        <f t="shared" si="37"/>
        <v>6</v>
      </c>
      <c r="T112" s="259">
        <f t="shared" si="37"/>
        <v>13</v>
      </c>
      <c r="U112" s="259">
        <f t="shared" si="37"/>
        <v>6</v>
      </c>
      <c r="V112" s="259">
        <f t="shared" si="37"/>
        <v>7</v>
      </c>
      <c r="W112" s="259">
        <f t="shared" si="37"/>
        <v>13</v>
      </c>
      <c r="X112" s="259">
        <f t="shared" si="37"/>
        <v>12</v>
      </c>
      <c r="Y112" s="259">
        <f t="shared" si="37"/>
        <v>13</v>
      </c>
      <c r="Z112" s="259">
        <f t="shared" si="37"/>
        <v>17</v>
      </c>
      <c r="AA112" s="259">
        <f t="shared" si="37"/>
        <v>13</v>
      </c>
      <c r="AB112" s="259">
        <f t="shared" si="37"/>
        <v>7</v>
      </c>
      <c r="AC112" s="259">
        <f t="shared" si="37"/>
        <v>19</v>
      </c>
      <c r="AD112" s="259">
        <f t="shared" si="37"/>
        <v>5</v>
      </c>
      <c r="AE112" s="259">
        <f t="shared" si="37"/>
        <v>9</v>
      </c>
      <c r="AF112" s="259">
        <f t="shared" si="37"/>
        <v>46</v>
      </c>
      <c r="AG112" s="259">
        <f t="shared" si="37"/>
        <v>32</v>
      </c>
      <c r="AH112" s="259">
        <f t="shared" si="37"/>
        <v>22</v>
      </c>
      <c r="AI112" s="259">
        <f t="shared" si="37"/>
        <v>267</v>
      </c>
      <c r="AJ112" s="179"/>
      <c r="AK112" s="179"/>
    </row>
    <row r="113" spans="1:37" ht="15"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79"/>
      <c r="AJ113" s="179"/>
      <c r="AK113" s="179"/>
    </row>
    <row r="114" spans="1:37" ht="15"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79"/>
      <c r="AJ114" s="179"/>
      <c r="AK114" s="179"/>
    </row>
    <row r="115" spans="1:37" ht="15"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79"/>
      <c r="AJ115" s="179"/>
      <c r="AK115" s="179"/>
    </row>
    <row r="116" spans="1:37" ht="15"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79"/>
      <c r="AJ116" s="179"/>
      <c r="AK116" s="179"/>
    </row>
    <row r="117" spans="1:37" ht="15" customHeight="1" x14ac:dyDescent="0.25">
      <c r="A117" s="112"/>
      <c r="B117" s="183" t="s">
        <v>197</v>
      </c>
      <c r="C117" s="183"/>
      <c r="D117" s="183">
        <f t="shared" ref="D117:AG117" si="38">D4</f>
        <v>1970</v>
      </c>
      <c r="E117" s="183">
        <f t="shared" si="38"/>
        <v>1985</v>
      </c>
      <c r="F117" s="183">
        <f t="shared" si="38"/>
        <v>1987</v>
      </c>
      <c r="G117" s="183">
        <f t="shared" si="38"/>
        <v>1990</v>
      </c>
      <c r="H117" s="183">
        <f t="shared" si="38"/>
        <v>1992</v>
      </c>
      <c r="I117" s="183">
        <f t="shared" si="38"/>
        <v>1993</v>
      </c>
      <c r="J117" s="183">
        <f t="shared" si="38"/>
        <v>1995</v>
      </c>
      <c r="K117" s="183">
        <f t="shared" si="38"/>
        <v>1996</v>
      </c>
      <c r="L117" s="183">
        <f t="shared" si="38"/>
        <v>1997</v>
      </c>
      <c r="M117" s="183">
        <f t="shared" si="38"/>
        <v>1998</v>
      </c>
      <c r="N117" s="183">
        <f t="shared" si="38"/>
        <v>2000</v>
      </c>
      <c r="O117" s="183">
        <f t="shared" si="38"/>
        <v>2001</v>
      </c>
      <c r="P117" s="183">
        <f t="shared" si="38"/>
        <v>2002</v>
      </c>
      <c r="Q117" s="183">
        <f t="shared" si="38"/>
        <v>2003</v>
      </c>
      <c r="R117" s="183">
        <f t="shared" si="38"/>
        <v>2004</v>
      </c>
      <c r="S117" s="183">
        <f t="shared" si="38"/>
        <v>2005</v>
      </c>
      <c r="T117" s="183">
        <f t="shared" si="38"/>
        <v>2006</v>
      </c>
      <c r="U117" s="183">
        <f t="shared" si="38"/>
        <v>2007</v>
      </c>
      <c r="V117" s="183">
        <f t="shared" si="38"/>
        <v>2008</v>
      </c>
      <c r="W117" s="183">
        <f t="shared" si="38"/>
        <v>2009</v>
      </c>
      <c r="X117" s="183">
        <f t="shared" si="38"/>
        <v>2010</v>
      </c>
      <c r="Y117" s="183">
        <f t="shared" si="38"/>
        <v>2011</v>
      </c>
      <c r="Z117" s="183">
        <f t="shared" si="38"/>
        <v>2012</v>
      </c>
      <c r="AA117" s="183">
        <f t="shared" si="38"/>
        <v>2013</v>
      </c>
      <c r="AB117" s="183">
        <f t="shared" si="38"/>
        <v>2014</v>
      </c>
      <c r="AC117" s="183">
        <f t="shared" si="38"/>
        <v>2015</v>
      </c>
      <c r="AD117" s="183">
        <f t="shared" si="38"/>
        <v>2016</v>
      </c>
      <c r="AE117" s="183">
        <f t="shared" si="38"/>
        <v>2017</v>
      </c>
      <c r="AF117" s="183">
        <f t="shared" si="38"/>
        <v>2018</v>
      </c>
      <c r="AG117" s="183">
        <f t="shared" si="38"/>
        <v>2019</v>
      </c>
      <c r="AH117" s="182" t="s">
        <v>206</v>
      </c>
      <c r="AI117" s="182" t="s">
        <v>1</v>
      </c>
      <c r="AJ117" s="179"/>
      <c r="AK117" s="179"/>
    </row>
    <row r="118" spans="1:37" ht="15" customHeight="1" x14ac:dyDescent="0.25">
      <c r="A118" s="112"/>
      <c r="B118" s="180"/>
      <c r="C118" s="172" t="s">
        <v>47</v>
      </c>
      <c r="D118" s="303">
        <f>SUMIF($B$61:$B$83,$C118,D$61:D$83)</f>
        <v>0</v>
      </c>
      <c r="E118" s="303">
        <f t="shared" ref="E118:AH119" si="39">SUMIF($B$61:$B$83,$C118,E$61:E$83)</f>
        <v>0</v>
      </c>
      <c r="F118" s="303">
        <f t="shared" si="39"/>
        <v>0</v>
      </c>
      <c r="G118" s="303">
        <f t="shared" si="39"/>
        <v>0</v>
      </c>
      <c r="H118" s="303">
        <f t="shared" si="39"/>
        <v>0</v>
      </c>
      <c r="I118" s="303">
        <f t="shared" si="39"/>
        <v>0</v>
      </c>
      <c r="J118" s="303">
        <f t="shared" si="39"/>
        <v>0</v>
      </c>
      <c r="K118" s="303">
        <f t="shared" si="39"/>
        <v>0</v>
      </c>
      <c r="L118" s="303">
        <f t="shared" si="39"/>
        <v>0</v>
      </c>
      <c r="M118" s="303">
        <f t="shared" si="39"/>
        <v>0</v>
      </c>
      <c r="N118" s="303">
        <f t="shared" si="39"/>
        <v>0</v>
      </c>
      <c r="O118" s="303">
        <f t="shared" si="39"/>
        <v>0</v>
      </c>
      <c r="P118" s="303">
        <f t="shared" si="39"/>
        <v>0</v>
      </c>
      <c r="Q118" s="303">
        <f t="shared" si="39"/>
        <v>0</v>
      </c>
      <c r="R118" s="303">
        <f t="shared" si="39"/>
        <v>0</v>
      </c>
      <c r="S118" s="303">
        <f t="shared" si="39"/>
        <v>0</v>
      </c>
      <c r="T118" s="303">
        <f t="shared" si="39"/>
        <v>0</v>
      </c>
      <c r="U118" s="303">
        <f t="shared" si="39"/>
        <v>0</v>
      </c>
      <c r="V118" s="303">
        <f t="shared" si="39"/>
        <v>0</v>
      </c>
      <c r="W118" s="303">
        <f t="shared" si="39"/>
        <v>0</v>
      </c>
      <c r="X118" s="303">
        <f t="shared" si="39"/>
        <v>0</v>
      </c>
      <c r="Y118" s="303">
        <f t="shared" si="39"/>
        <v>0</v>
      </c>
      <c r="Z118" s="303">
        <f t="shared" si="39"/>
        <v>0</v>
      </c>
      <c r="AA118" s="303">
        <f t="shared" si="39"/>
        <v>0</v>
      </c>
      <c r="AB118" s="303">
        <f t="shared" si="39"/>
        <v>0</v>
      </c>
      <c r="AC118" s="303">
        <f t="shared" si="39"/>
        <v>2</v>
      </c>
      <c r="AD118" s="303">
        <f t="shared" si="39"/>
        <v>0</v>
      </c>
      <c r="AE118" s="303">
        <f t="shared" si="39"/>
        <v>0</v>
      </c>
      <c r="AF118" s="303">
        <f t="shared" si="39"/>
        <v>10</v>
      </c>
      <c r="AG118" s="303">
        <f t="shared" si="39"/>
        <v>1</v>
      </c>
      <c r="AH118" s="303">
        <f t="shared" si="39"/>
        <v>0</v>
      </c>
      <c r="AI118" s="205">
        <f t="shared" ref="AI118:AI121" si="40">SUM($D118:$AH118)</f>
        <v>13</v>
      </c>
      <c r="AJ118" s="179"/>
      <c r="AK118" s="179"/>
    </row>
    <row r="119" spans="1:37" ht="15" customHeight="1" x14ac:dyDescent="0.25">
      <c r="A119" s="112"/>
      <c r="C119" s="172" t="s">
        <v>40</v>
      </c>
      <c r="D119" s="303">
        <f>SUMIF($B$61:$B$83,$C119,D$61:D$83)</f>
        <v>0</v>
      </c>
      <c r="E119" s="303">
        <f t="shared" si="39"/>
        <v>0</v>
      </c>
      <c r="F119" s="303">
        <f t="shared" si="39"/>
        <v>0</v>
      </c>
      <c r="G119" s="303">
        <f t="shared" si="39"/>
        <v>0</v>
      </c>
      <c r="H119" s="303">
        <f t="shared" si="39"/>
        <v>0</v>
      </c>
      <c r="I119" s="303">
        <f t="shared" si="39"/>
        <v>0</v>
      </c>
      <c r="J119" s="303">
        <f t="shared" si="39"/>
        <v>0</v>
      </c>
      <c r="K119" s="303">
        <f t="shared" si="39"/>
        <v>0</v>
      </c>
      <c r="L119" s="303">
        <f t="shared" si="39"/>
        <v>0</v>
      </c>
      <c r="M119" s="303">
        <f t="shared" si="39"/>
        <v>0</v>
      </c>
      <c r="N119" s="303">
        <f t="shared" si="39"/>
        <v>0</v>
      </c>
      <c r="O119" s="303">
        <f t="shared" si="39"/>
        <v>0</v>
      </c>
      <c r="P119" s="303">
        <f t="shared" si="39"/>
        <v>0</v>
      </c>
      <c r="Q119" s="303">
        <f t="shared" si="39"/>
        <v>0</v>
      </c>
      <c r="R119" s="303">
        <f t="shared" si="39"/>
        <v>0</v>
      </c>
      <c r="S119" s="303">
        <f t="shared" si="39"/>
        <v>0</v>
      </c>
      <c r="T119" s="303">
        <f t="shared" si="39"/>
        <v>0</v>
      </c>
      <c r="U119" s="303">
        <f t="shared" si="39"/>
        <v>0</v>
      </c>
      <c r="V119" s="303">
        <f t="shared" si="39"/>
        <v>0</v>
      </c>
      <c r="W119" s="303">
        <f t="shared" si="39"/>
        <v>0</v>
      </c>
      <c r="X119" s="303">
        <f t="shared" si="39"/>
        <v>0</v>
      </c>
      <c r="Y119" s="303">
        <f t="shared" si="39"/>
        <v>0</v>
      </c>
      <c r="Z119" s="303">
        <f t="shared" si="39"/>
        <v>0</v>
      </c>
      <c r="AA119" s="303">
        <f t="shared" si="39"/>
        <v>0</v>
      </c>
      <c r="AB119" s="303">
        <f t="shared" si="39"/>
        <v>0</v>
      </c>
      <c r="AC119" s="303">
        <f t="shared" si="39"/>
        <v>0</v>
      </c>
      <c r="AD119" s="303">
        <f t="shared" si="39"/>
        <v>0</v>
      </c>
      <c r="AE119" s="303">
        <f t="shared" si="39"/>
        <v>0</v>
      </c>
      <c r="AF119" s="303">
        <f t="shared" si="39"/>
        <v>6</v>
      </c>
      <c r="AG119" s="303">
        <f t="shared" si="39"/>
        <v>11</v>
      </c>
      <c r="AH119" s="303">
        <f t="shared" si="39"/>
        <v>7</v>
      </c>
      <c r="AI119" s="205">
        <f t="shared" si="40"/>
        <v>24</v>
      </c>
      <c r="AJ119" s="179"/>
      <c r="AK119" s="179"/>
    </row>
    <row r="120" spans="1:37" ht="15" customHeight="1" x14ac:dyDescent="0.25">
      <c r="A120" s="112"/>
      <c r="C120" s="110" t="s">
        <v>194</v>
      </c>
      <c r="D120" s="294">
        <f t="shared" ref="D120:AH120" si="41">D28-SUM(D118:D119)</f>
        <v>1</v>
      </c>
      <c r="E120" s="294">
        <f t="shared" si="41"/>
        <v>1</v>
      </c>
      <c r="F120" s="294">
        <f t="shared" si="41"/>
        <v>0</v>
      </c>
      <c r="G120" s="294">
        <f t="shared" si="41"/>
        <v>1</v>
      </c>
      <c r="H120" s="294">
        <f t="shared" si="41"/>
        <v>2</v>
      </c>
      <c r="I120" s="294">
        <f t="shared" si="41"/>
        <v>1</v>
      </c>
      <c r="J120" s="294">
        <f t="shared" si="41"/>
        <v>3</v>
      </c>
      <c r="K120" s="294">
        <f t="shared" si="41"/>
        <v>5</v>
      </c>
      <c r="L120" s="294">
        <f t="shared" si="41"/>
        <v>2</v>
      </c>
      <c r="M120" s="294">
        <f t="shared" si="41"/>
        <v>1</v>
      </c>
      <c r="N120" s="294">
        <f>N28-SUM(N118:N119)</f>
        <v>1</v>
      </c>
      <c r="O120" s="294">
        <f t="shared" si="41"/>
        <v>1</v>
      </c>
      <c r="P120" s="294">
        <f t="shared" si="41"/>
        <v>5</v>
      </c>
      <c r="Q120" s="294">
        <f t="shared" si="41"/>
        <v>18</v>
      </c>
      <c r="R120" s="294">
        <f t="shared" si="41"/>
        <v>7</v>
      </c>
      <c r="S120" s="294">
        <f t="shared" si="41"/>
        <v>7</v>
      </c>
      <c r="T120" s="294">
        <f t="shared" si="41"/>
        <v>14</v>
      </c>
      <c r="U120" s="294">
        <f t="shared" si="41"/>
        <v>8</v>
      </c>
      <c r="V120" s="294">
        <f t="shared" si="41"/>
        <v>11</v>
      </c>
      <c r="W120" s="294">
        <f t="shared" si="41"/>
        <v>14</v>
      </c>
      <c r="X120" s="294">
        <f t="shared" si="41"/>
        <v>12</v>
      </c>
      <c r="Y120" s="294">
        <f t="shared" si="41"/>
        <v>14</v>
      </c>
      <c r="Z120" s="294">
        <f t="shared" si="41"/>
        <v>18</v>
      </c>
      <c r="AA120" s="294">
        <f t="shared" si="41"/>
        <v>14</v>
      </c>
      <c r="AB120" s="294">
        <f t="shared" si="41"/>
        <v>7</v>
      </c>
      <c r="AC120" s="294">
        <f t="shared" si="41"/>
        <v>16</v>
      </c>
      <c r="AD120" s="294">
        <f t="shared" si="41"/>
        <v>6</v>
      </c>
      <c r="AE120" s="294">
        <f t="shared" si="41"/>
        <v>10</v>
      </c>
      <c r="AF120" s="294">
        <f t="shared" si="41"/>
        <v>14</v>
      </c>
      <c r="AG120" s="294">
        <f t="shared" si="41"/>
        <v>8</v>
      </c>
      <c r="AH120" s="294">
        <f t="shared" si="41"/>
        <v>8</v>
      </c>
      <c r="AI120" s="205">
        <f t="shared" si="40"/>
        <v>230</v>
      </c>
      <c r="AJ120" s="179"/>
      <c r="AK120" s="179"/>
    </row>
    <row r="121" spans="1:37" x14ac:dyDescent="0.25">
      <c r="A121" s="112"/>
      <c r="C121" s="259" t="s">
        <v>1</v>
      </c>
      <c r="D121" s="259">
        <f>SUM(D118:D120)</f>
        <v>1</v>
      </c>
      <c r="E121" s="259">
        <f t="shared" ref="E121:AH121" si="42">SUM(E118:E120)</f>
        <v>1</v>
      </c>
      <c r="F121" s="259">
        <f t="shared" si="42"/>
        <v>0</v>
      </c>
      <c r="G121" s="259">
        <f t="shared" si="42"/>
        <v>1</v>
      </c>
      <c r="H121" s="259">
        <f t="shared" si="42"/>
        <v>2</v>
      </c>
      <c r="I121" s="259">
        <f t="shared" si="42"/>
        <v>1</v>
      </c>
      <c r="J121" s="259">
        <f t="shared" si="42"/>
        <v>3</v>
      </c>
      <c r="K121" s="259">
        <f t="shared" si="42"/>
        <v>5</v>
      </c>
      <c r="L121" s="259">
        <f t="shared" si="42"/>
        <v>2</v>
      </c>
      <c r="M121" s="259">
        <f t="shared" si="42"/>
        <v>1</v>
      </c>
      <c r="N121" s="259">
        <f t="shared" si="42"/>
        <v>1</v>
      </c>
      <c r="O121" s="259">
        <f t="shared" si="42"/>
        <v>1</v>
      </c>
      <c r="P121" s="259">
        <f t="shared" si="42"/>
        <v>5</v>
      </c>
      <c r="Q121" s="259">
        <f t="shared" si="42"/>
        <v>18</v>
      </c>
      <c r="R121" s="259">
        <f t="shared" si="42"/>
        <v>7</v>
      </c>
      <c r="S121" s="259">
        <f t="shared" si="42"/>
        <v>7</v>
      </c>
      <c r="T121" s="259">
        <f t="shared" si="42"/>
        <v>14</v>
      </c>
      <c r="U121" s="259">
        <f t="shared" si="42"/>
        <v>8</v>
      </c>
      <c r="V121" s="259">
        <f t="shared" si="42"/>
        <v>11</v>
      </c>
      <c r="W121" s="259">
        <f t="shared" si="42"/>
        <v>14</v>
      </c>
      <c r="X121" s="259">
        <f t="shared" si="42"/>
        <v>12</v>
      </c>
      <c r="Y121" s="259">
        <f t="shared" si="42"/>
        <v>14</v>
      </c>
      <c r="Z121" s="259">
        <f t="shared" si="42"/>
        <v>18</v>
      </c>
      <c r="AA121" s="259">
        <f t="shared" si="42"/>
        <v>14</v>
      </c>
      <c r="AB121" s="259">
        <f t="shared" si="42"/>
        <v>7</v>
      </c>
      <c r="AC121" s="259">
        <f t="shared" si="42"/>
        <v>18</v>
      </c>
      <c r="AD121" s="259">
        <f t="shared" si="42"/>
        <v>6</v>
      </c>
      <c r="AE121" s="259">
        <f t="shared" si="42"/>
        <v>10</v>
      </c>
      <c r="AF121" s="259">
        <f t="shared" si="42"/>
        <v>30</v>
      </c>
      <c r="AG121" s="259">
        <f t="shared" ref="AG121" si="43">SUM(AG118:AG120)</f>
        <v>20</v>
      </c>
      <c r="AH121" s="259">
        <f t="shared" si="42"/>
        <v>15</v>
      </c>
      <c r="AI121" s="259">
        <f t="shared" si="40"/>
        <v>267</v>
      </c>
      <c r="AJ121" s="179"/>
      <c r="AK121" s="179"/>
    </row>
    <row r="122" spans="1:37" x14ac:dyDescent="0.25">
      <c r="A122" s="112"/>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row>
    <row r="123" spans="1:37" x14ac:dyDescent="0.25">
      <c r="A123" s="112"/>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row>
    <row r="124" spans="1:37" x14ac:dyDescent="0.25">
      <c r="A124" s="112"/>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c r="AI124" s="179"/>
      <c r="AJ124" s="179"/>
      <c r="AK124" s="179"/>
    </row>
    <row r="125" spans="1:37" x14ac:dyDescent="0.25">
      <c r="A125" s="112"/>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row>
    <row r="126" spans="1:37" x14ac:dyDescent="0.25">
      <c r="A126" s="112"/>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row>
    <row r="127" spans="1:37" x14ac:dyDescent="0.25">
      <c r="A127" s="112"/>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row>
    <row r="128" spans="1:37" x14ac:dyDescent="0.25">
      <c r="A128" s="112"/>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row>
    <row r="129" spans="1:37" x14ac:dyDescent="0.25">
      <c r="A129" s="112"/>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row>
    <row r="130" spans="1:37" x14ac:dyDescent="0.25">
      <c r="A130" s="112"/>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row>
    <row r="131" spans="1:37" x14ac:dyDescent="0.25">
      <c r="A131" s="112"/>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row>
    <row r="132" spans="1:37" x14ac:dyDescent="0.25">
      <c r="A132" s="112"/>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row>
    <row r="133" spans="1:37" x14ac:dyDescent="0.25">
      <c r="A133" s="112"/>
    </row>
    <row r="134" spans="1:37" x14ac:dyDescent="0.25">
      <c r="A134" s="112"/>
    </row>
    <row r="135" spans="1:37" x14ac:dyDescent="0.25">
      <c r="A135" s="112"/>
    </row>
    <row r="136" spans="1:37" x14ac:dyDescent="0.25">
      <c r="A136" s="112"/>
    </row>
    <row r="137" spans="1:37" x14ac:dyDescent="0.25">
      <c r="A137" s="112"/>
    </row>
    <row r="138" spans="1:37" x14ac:dyDescent="0.25">
      <c r="A138" s="112"/>
    </row>
    <row r="139" spans="1:37" x14ac:dyDescent="0.25">
      <c r="A139" s="112"/>
    </row>
    <row r="140" spans="1:37" x14ac:dyDescent="0.25">
      <c r="A140" s="112"/>
    </row>
    <row r="141" spans="1:37" x14ac:dyDescent="0.25">
      <c r="A141" s="112"/>
    </row>
    <row r="142" spans="1:37" x14ac:dyDescent="0.25">
      <c r="A142" s="112"/>
    </row>
    <row r="143" spans="1:37" x14ac:dyDescent="0.25">
      <c r="A143" s="112"/>
    </row>
    <row r="144" spans="1:37" x14ac:dyDescent="0.25">
      <c r="A144" s="112"/>
    </row>
    <row r="145" spans="1:1" x14ac:dyDescent="0.25">
      <c r="A145" s="112"/>
    </row>
    <row r="146" spans="1:1" x14ac:dyDescent="0.25">
      <c r="A146" s="112"/>
    </row>
    <row r="147" spans="1:1" x14ac:dyDescent="0.25">
      <c r="A147" s="112"/>
    </row>
    <row r="148" spans="1:1" x14ac:dyDescent="0.25">
      <c r="A148" s="112"/>
    </row>
    <row r="149" spans="1:1" x14ac:dyDescent="0.25">
      <c r="A149" s="112"/>
    </row>
    <row r="150" spans="1:1" x14ac:dyDescent="0.25">
      <c r="A150" s="112"/>
    </row>
    <row r="151" spans="1:1" x14ac:dyDescent="0.25">
      <c r="A151" s="112"/>
    </row>
    <row r="152" spans="1:1" x14ac:dyDescent="0.25">
      <c r="A152" s="112"/>
    </row>
    <row r="153" spans="1:1" x14ac:dyDescent="0.25">
      <c r="A153" s="112"/>
    </row>
    <row r="154" spans="1:1" x14ac:dyDescent="0.25">
      <c r="A154" s="112"/>
    </row>
    <row r="155" spans="1:1" x14ac:dyDescent="0.25">
      <c r="A155" s="112"/>
    </row>
    <row r="156" spans="1:1" x14ac:dyDescent="0.25">
      <c r="A156" s="112"/>
    </row>
    <row r="157" spans="1:1" x14ac:dyDescent="0.25">
      <c r="A157" s="112"/>
    </row>
    <row r="158" spans="1:1" x14ac:dyDescent="0.25">
      <c r="A158" s="112"/>
    </row>
    <row r="159" spans="1:1" x14ac:dyDescent="0.25">
      <c r="A159" s="112"/>
    </row>
    <row r="160" spans="1:1" x14ac:dyDescent="0.25">
      <c r="A160" s="112"/>
    </row>
    <row r="161" spans="1:1" x14ac:dyDescent="0.25">
      <c r="A161" s="112"/>
    </row>
    <row r="162" spans="1:1" x14ac:dyDescent="0.25">
      <c r="A162" s="112"/>
    </row>
    <row r="163" spans="1:1" x14ac:dyDescent="0.25">
      <c r="A163" s="112"/>
    </row>
    <row r="164" spans="1:1" x14ac:dyDescent="0.25">
      <c r="A164" s="112"/>
    </row>
    <row r="165" spans="1:1" x14ac:dyDescent="0.25">
      <c r="A165" s="112"/>
    </row>
    <row r="166" spans="1:1" x14ac:dyDescent="0.25">
      <c r="A166" s="112"/>
    </row>
    <row r="167" spans="1:1" x14ac:dyDescent="0.25">
      <c r="A167" s="112"/>
    </row>
    <row r="168" spans="1:1" x14ac:dyDescent="0.25">
      <c r="A168" s="112"/>
    </row>
    <row r="169" spans="1:1" x14ac:dyDescent="0.25">
      <c r="A169" s="112"/>
    </row>
    <row r="170" spans="1:1" x14ac:dyDescent="0.25">
      <c r="A170" s="112"/>
    </row>
    <row r="171" spans="1:1" x14ac:dyDescent="0.25">
      <c r="A171" s="112"/>
    </row>
    <row r="172" spans="1:1" x14ac:dyDescent="0.25">
      <c r="A172" s="112"/>
    </row>
    <row r="173" spans="1:1" x14ac:dyDescent="0.25">
      <c r="A173" s="112"/>
    </row>
    <row r="174" spans="1:1" x14ac:dyDescent="0.25">
      <c r="A174" s="112"/>
    </row>
    <row r="175" spans="1:1" x14ac:dyDescent="0.25">
      <c r="A175" s="112"/>
    </row>
    <row r="176" spans="1:1" x14ac:dyDescent="0.25">
      <c r="A176" s="112"/>
    </row>
    <row r="177" spans="1:1" x14ac:dyDescent="0.25">
      <c r="A177" s="112"/>
    </row>
    <row r="178" spans="1:1" x14ac:dyDescent="0.25">
      <c r="A178" s="112"/>
    </row>
    <row r="179" spans="1:1" x14ac:dyDescent="0.25">
      <c r="A179" s="112"/>
    </row>
    <row r="180" spans="1:1" x14ac:dyDescent="0.25">
      <c r="A180" s="112"/>
    </row>
    <row r="181" spans="1:1" x14ac:dyDescent="0.25">
      <c r="A181" s="112"/>
    </row>
    <row r="182" spans="1:1" x14ac:dyDescent="0.25">
      <c r="A182" s="112"/>
    </row>
    <row r="183" spans="1:1" x14ac:dyDescent="0.25">
      <c r="A183" s="112"/>
    </row>
    <row r="184" spans="1:1" x14ac:dyDescent="0.25">
      <c r="A184" s="112"/>
    </row>
    <row r="185" spans="1:1" x14ac:dyDescent="0.25">
      <c r="A185" s="112"/>
    </row>
    <row r="186" spans="1:1" x14ac:dyDescent="0.25">
      <c r="A186" s="112"/>
    </row>
    <row r="187" spans="1:1" x14ac:dyDescent="0.25">
      <c r="A187" s="112"/>
    </row>
    <row r="188" spans="1:1" x14ac:dyDescent="0.25">
      <c r="A188" s="112"/>
    </row>
    <row r="189" spans="1:1" x14ac:dyDescent="0.25">
      <c r="A189" s="112"/>
    </row>
    <row r="190" spans="1:1" x14ac:dyDescent="0.25">
      <c r="A190" s="112"/>
    </row>
    <row r="191" spans="1:1" x14ac:dyDescent="0.25">
      <c r="A191" s="112"/>
    </row>
    <row r="192" spans="1:1" x14ac:dyDescent="0.25">
      <c r="A192" s="112"/>
    </row>
    <row r="193" spans="1:1" x14ac:dyDescent="0.25">
      <c r="A193" s="112"/>
    </row>
    <row r="194" spans="1:1" x14ac:dyDescent="0.25">
      <c r="A194" s="112"/>
    </row>
    <row r="195" spans="1:1" x14ac:dyDescent="0.25">
      <c r="A195" s="112"/>
    </row>
    <row r="196" spans="1:1" x14ac:dyDescent="0.25">
      <c r="A196" s="112"/>
    </row>
    <row r="197" spans="1:1" x14ac:dyDescent="0.25">
      <c r="A197" s="112"/>
    </row>
    <row r="198" spans="1:1" x14ac:dyDescent="0.25">
      <c r="A198" s="112"/>
    </row>
    <row r="199" spans="1:1" x14ac:dyDescent="0.25">
      <c r="A199" s="112"/>
    </row>
    <row r="200" spans="1:1" x14ac:dyDescent="0.25">
      <c r="A200" s="112"/>
    </row>
    <row r="201" spans="1:1" x14ac:dyDescent="0.25">
      <c r="A201" s="112"/>
    </row>
    <row r="202" spans="1:1" x14ac:dyDescent="0.25">
      <c r="A202" s="112"/>
    </row>
    <row r="203" spans="1:1" x14ac:dyDescent="0.25">
      <c r="A203" s="112"/>
    </row>
    <row r="204" spans="1:1" x14ac:dyDescent="0.25">
      <c r="A204" s="112"/>
    </row>
    <row r="205" spans="1:1" x14ac:dyDescent="0.25">
      <c r="A205" s="112"/>
    </row>
    <row r="206" spans="1:1" x14ac:dyDescent="0.25">
      <c r="A206" s="112"/>
    </row>
    <row r="207" spans="1:1" x14ac:dyDescent="0.25">
      <c r="A207" s="112"/>
    </row>
    <row r="208" spans="1:1" x14ac:dyDescent="0.25">
      <c r="A208" s="112"/>
    </row>
    <row r="209" spans="1:1" x14ac:dyDescent="0.25">
      <c r="A209" s="112"/>
    </row>
    <row r="210" spans="1:1" x14ac:dyDescent="0.25">
      <c r="A210" s="112"/>
    </row>
    <row r="211" spans="1:1" x14ac:dyDescent="0.25">
      <c r="A211" s="112"/>
    </row>
    <row r="212" spans="1:1" x14ac:dyDescent="0.25">
      <c r="A212" s="112"/>
    </row>
    <row r="213" spans="1:1" x14ac:dyDescent="0.25">
      <c r="A213" s="112"/>
    </row>
    <row r="214" spans="1:1" x14ac:dyDescent="0.25">
      <c r="A214" s="112"/>
    </row>
    <row r="215" spans="1:1" x14ac:dyDescent="0.25">
      <c r="A215" s="112"/>
    </row>
    <row r="216" spans="1:1" x14ac:dyDescent="0.25">
      <c r="A216" s="112"/>
    </row>
    <row r="217" spans="1:1" x14ac:dyDescent="0.25">
      <c r="A217" s="112"/>
    </row>
    <row r="218" spans="1:1" x14ac:dyDescent="0.25">
      <c r="A218" s="112"/>
    </row>
    <row r="219" spans="1:1" x14ac:dyDescent="0.25">
      <c r="A219" s="112"/>
    </row>
    <row r="220" spans="1:1" x14ac:dyDescent="0.25">
      <c r="A220" s="112"/>
    </row>
    <row r="221" spans="1:1" x14ac:dyDescent="0.25">
      <c r="A221" s="112"/>
    </row>
    <row r="222" spans="1:1" x14ac:dyDescent="0.25">
      <c r="A222" s="112"/>
    </row>
    <row r="223" spans="1:1" x14ac:dyDescent="0.25">
      <c r="A223" s="112"/>
    </row>
    <row r="224" spans="1:1" x14ac:dyDescent="0.25">
      <c r="A224" s="112"/>
    </row>
    <row r="225" spans="1:1" x14ac:dyDescent="0.25">
      <c r="A225" s="112"/>
    </row>
    <row r="226" spans="1:1" x14ac:dyDescent="0.25">
      <c r="A226" s="112"/>
    </row>
    <row r="227" spans="1:1" x14ac:dyDescent="0.25">
      <c r="A227" s="112"/>
    </row>
    <row r="228" spans="1:1" x14ac:dyDescent="0.25">
      <c r="A228" s="112"/>
    </row>
    <row r="229" spans="1:1" x14ac:dyDescent="0.25">
      <c r="A229" s="112"/>
    </row>
    <row r="230" spans="1:1" x14ac:dyDescent="0.25">
      <c r="A230" s="112"/>
    </row>
    <row r="231" spans="1:1" x14ac:dyDescent="0.25">
      <c r="A231" s="112"/>
    </row>
    <row r="232" spans="1:1" x14ac:dyDescent="0.25">
      <c r="A232" s="112"/>
    </row>
    <row r="233" spans="1:1" x14ac:dyDescent="0.25">
      <c r="A233" s="112"/>
    </row>
    <row r="234" spans="1:1" x14ac:dyDescent="0.25">
      <c r="A234" s="112"/>
    </row>
    <row r="235" spans="1:1" x14ac:dyDescent="0.25">
      <c r="A235" s="112"/>
    </row>
    <row r="236" spans="1:1" x14ac:dyDescent="0.25">
      <c r="A236" s="112"/>
    </row>
    <row r="237" spans="1:1" x14ac:dyDescent="0.25">
      <c r="A237" s="112"/>
    </row>
    <row r="238" spans="1:1" x14ac:dyDescent="0.25">
      <c r="A238" s="112"/>
    </row>
    <row r="239" spans="1:1" x14ac:dyDescent="0.25">
      <c r="A239" s="112"/>
    </row>
    <row r="240" spans="1:1" x14ac:dyDescent="0.25">
      <c r="A240" s="112"/>
    </row>
    <row r="241" spans="1:1" x14ac:dyDescent="0.25">
      <c r="A241" s="112"/>
    </row>
    <row r="242" spans="1:1" x14ac:dyDescent="0.25">
      <c r="A242" s="112"/>
    </row>
    <row r="243" spans="1:1" x14ac:dyDescent="0.25">
      <c r="A243" s="112"/>
    </row>
    <row r="244" spans="1:1" x14ac:dyDescent="0.25">
      <c r="A244" s="112"/>
    </row>
    <row r="245" spans="1:1" x14ac:dyDescent="0.25">
      <c r="A245" s="112"/>
    </row>
    <row r="246" spans="1:1" x14ac:dyDescent="0.25">
      <c r="A246" s="112"/>
    </row>
    <row r="247" spans="1:1" x14ac:dyDescent="0.25">
      <c r="A247" s="112"/>
    </row>
    <row r="248" spans="1:1" x14ac:dyDescent="0.25">
      <c r="A248" s="112"/>
    </row>
    <row r="249" spans="1:1" x14ac:dyDescent="0.25">
      <c r="A249" s="112"/>
    </row>
    <row r="250" spans="1:1" x14ac:dyDescent="0.25">
      <c r="A250" s="112"/>
    </row>
    <row r="251" spans="1:1" x14ac:dyDescent="0.25">
      <c r="A251" s="112"/>
    </row>
    <row r="252" spans="1:1" x14ac:dyDescent="0.25">
      <c r="A252" s="112"/>
    </row>
    <row r="253" spans="1:1" x14ac:dyDescent="0.25">
      <c r="A253" s="112"/>
    </row>
    <row r="254" spans="1:1" x14ac:dyDescent="0.25">
      <c r="A254" s="112"/>
    </row>
    <row r="255" spans="1:1" x14ac:dyDescent="0.25">
      <c r="A255" s="112"/>
    </row>
    <row r="256" spans="1:1" x14ac:dyDescent="0.25">
      <c r="A256" s="112"/>
    </row>
    <row r="257" spans="1:1" x14ac:dyDescent="0.25">
      <c r="A257" s="112"/>
    </row>
    <row r="258" spans="1:1" x14ac:dyDescent="0.25">
      <c r="A258" s="112"/>
    </row>
    <row r="259" spans="1:1" x14ac:dyDescent="0.25">
      <c r="A259" s="112"/>
    </row>
    <row r="260" spans="1:1" x14ac:dyDescent="0.25">
      <c r="A260" s="112"/>
    </row>
    <row r="261" spans="1:1" x14ac:dyDescent="0.25">
      <c r="A261" s="112"/>
    </row>
    <row r="262" spans="1:1" x14ac:dyDescent="0.25">
      <c r="A262" s="112"/>
    </row>
    <row r="263" spans="1:1" x14ac:dyDescent="0.25">
      <c r="A263" s="112"/>
    </row>
    <row r="264" spans="1:1" x14ac:dyDescent="0.25">
      <c r="A264" s="112"/>
    </row>
    <row r="265" spans="1:1" x14ac:dyDescent="0.25">
      <c r="A265" s="112"/>
    </row>
    <row r="266" spans="1:1" x14ac:dyDescent="0.25">
      <c r="A266" s="112"/>
    </row>
    <row r="267" spans="1:1" x14ac:dyDescent="0.25">
      <c r="A267" s="112"/>
    </row>
    <row r="268" spans="1:1" x14ac:dyDescent="0.25">
      <c r="A268" s="112"/>
    </row>
    <row r="269" spans="1:1" x14ac:dyDescent="0.25">
      <c r="A269" s="112"/>
    </row>
    <row r="270" spans="1:1" x14ac:dyDescent="0.25">
      <c r="A270" s="112"/>
    </row>
    <row r="271" spans="1:1" x14ac:dyDescent="0.25">
      <c r="A271" s="112"/>
    </row>
    <row r="272" spans="1:1" x14ac:dyDescent="0.25">
      <c r="A272" s="112"/>
    </row>
    <row r="273" spans="1:1" x14ac:dyDescent="0.25">
      <c r="A273" s="112"/>
    </row>
    <row r="274" spans="1:1" x14ac:dyDescent="0.25">
      <c r="A274" s="112"/>
    </row>
    <row r="275" spans="1:1" x14ac:dyDescent="0.25">
      <c r="A275" s="112"/>
    </row>
    <row r="276" spans="1:1" x14ac:dyDescent="0.25">
      <c r="A276" s="112"/>
    </row>
    <row r="277" spans="1:1" x14ac:dyDescent="0.25">
      <c r="A277" s="112"/>
    </row>
    <row r="278" spans="1:1" x14ac:dyDescent="0.25">
      <c r="A278" s="112"/>
    </row>
    <row r="279" spans="1:1" x14ac:dyDescent="0.25">
      <c r="A279" s="112"/>
    </row>
    <row r="280" spans="1:1" x14ac:dyDescent="0.25">
      <c r="A280" s="112"/>
    </row>
    <row r="281" spans="1:1" x14ac:dyDescent="0.25">
      <c r="A281" s="112"/>
    </row>
    <row r="282" spans="1:1" x14ac:dyDescent="0.25">
      <c r="A282" s="112"/>
    </row>
    <row r="283" spans="1:1" x14ac:dyDescent="0.25">
      <c r="A283" s="112"/>
    </row>
    <row r="284" spans="1:1" x14ac:dyDescent="0.25">
      <c r="A284" s="112"/>
    </row>
    <row r="285" spans="1:1" x14ac:dyDescent="0.25">
      <c r="A285" s="112"/>
    </row>
    <row r="286" spans="1:1" x14ac:dyDescent="0.25">
      <c r="A286" s="112"/>
    </row>
    <row r="287" spans="1:1" x14ac:dyDescent="0.25">
      <c r="A287" s="112"/>
    </row>
    <row r="288" spans="1:1" x14ac:dyDescent="0.25">
      <c r="A288" s="112"/>
    </row>
    <row r="289" spans="1:1" x14ac:dyDescent="0.25">
      <c r="A289" s="112"/>
    </row>
    <row r="290" spans="1:1" x14ac:dyDescent="0.25">
      <c r="A290" s="112"/>
    </row>
    <row r="291" spans="1:1" x14ac:dyDescent="0.25">
      <c r="A291" s="112"/>
    </row>
    <row r="292" spans="1:1" x14ac:dyDescent="0.25">
      <c r="A292" s="112"/>
    </row>
    <row r="293" spans="1:1" x14ac:dyDescent="0.25">
      <c r="A293" s="112"/>
    </row>
    <row r="294" spans="1:1" x14ac:dyDescent="0.25">
      <c r="A294" s="112"/>
    </row>
    <row r="295" spans="1:1" x14ac:dyDescent="0.25">
      <c r="A295" s="112"/>
    </row>
    <row r="296" spans="1:1" x14ac:dyDescent="0.25">
      <c r="A296" s="112"/>
    </row>
    <row r="297" spans="1:1" x14ac:dyDescent="0.25">
      <c r="A297" s="112"/>
    </row>
    <row r="298" spans="1:1" x14ac:dyDescent="0.25">
      <c r="A298" s="112"/>
    </row>
    <row r="299" spans="1:1" x14ac:dyDescent="0.25">
      <c r="A299" s="112"/>
    </row>
    <row r="300" spans="1:1" x14ac:dyDescent="0.25">
      <c r="A300" s="112"/>
    </row>
    <row r="301" spans="1:1" x14ac:dyDescent="0.25">
      <c r="A301" s="112"/>
    </row>
    <row r="302" spans="1:1" x14ac:dyDescent="0.25">
      <c r="A302" s="112"/>
    </row>
    <row r="303" spans="1:1" x14ac:dyDescent="0.25">
      <c r="A303" s="112"/>
    </row>
    <row r="304" spans="1:1" x14ac:dyDescent="0.25">
      <c r="A304" s="112"/>
    </row>
    <row r="305" spans="1:1" x14ac:dyDescent="0.25">
      <c r="A305" s="112"/>
    </row>
    <row r="306" spans="1:1" x14ac:dyDescent="0.25">
      <c r="A306" s="112"/>
    </row>
    <row r="307" spans="1:1" x14ac:dyDescent="0.25">
      <c r="A307" s="112"/>
    </row>
    <row r="308" spans="1:1" x14ac:dyDescent="0.25">
      <c r="A308" s="112"/>
    </row>
    <row r="309" spans="1:1" x14ac:dyDescent="0.25">
      <c r="A309" s="112"/>
    </row>
    <row r="310" spans="1:1" x14ac:dyDescent="0.25">
      <c r="A310" s="112"/>
    </row>
    <row r="311" spans="1:1" x14ac:dyDescent="0.25">
      <c r="A311" s="112"/>
    </row>
    <row r="312" spans="1:1" x14ac:dyDescent="0.25">
      <c r="A312" s="112"/>
    </row>
    <row r="313" spans="1:1" x14ac:dyDescent="0.25">
      <c r="A313" s="112"/>
    </row>
    <row r="314" spans="1:1" x14ac:dyDescent="0.25">
      <c r="A314" s="112"/>
    </row>
    <row r="315" spans="1:1" x14ac:dyDescent="0.25">
      <c r="A315" s="112"/>
    </row>
    <row r="316" spans="1:1" x14ac:dyDescent="0.25">
      <c r="A316" s="112"/>
    </row>
    <row r="317" spans="1:1" x14ac:dyDescent="0.25">
      <c r="A317" s="112"/>
    </row>
    <row r="318" spans="1:1" x14ac:dyDescent="0.25">
      <c r="A318" s="112"/>
    </row>
    <row r="319" spans="1:1" x14ac:dyDescent="0.25">
      <c r="A319" s="112"/>
    </row>
    <row r="320" spans="1:1" x14ac:dyDescent="0.25">
      <c r="A320" s="112"/>
    </row>
    <row r="321" spans="1:1" x14ac:dyDescent="0.25">
      <c r="A321" s="112"/>
    </row>
    <row r="322" spans="1:1" x14ac:dyDescent="0.25">
      <c r="A322" s="112"/>
    </row>
    <row r="323" spans="1:1" x14ac:dyDescent="0.25">
      <c r="A323" s="112"/>
    </row>
    <row r="324" spans="1:1" x14ac:dyDescent="0.25">
      <c r="A324" s="112"/>
    </row>
    <row r="325" spans="1:1" x14ac:dyDescent="0.25">
      <c r="A325" s="112"/>
    </row>
    <row r="326" spans="1:1" x14ac:dyDescent="0.25">
      <c r="A326" s="112"/>
    </row>
    <row r="327" spans="1:1" x14ac:dyDescent="0.25">
      <c r="A327" s="112"/>
    </row>
    <row r="328" spans="1:1" x14ac:dyDescent="0.25">
      <c r="A328" s="112"/>
    </row>
    <row r="329" spans="1:1" x14ac:dyDescent="0.25">
      <c r="A329" s="112"/>
    </row>
    <row r="330" spans="1:1" x14ac:dyDescent="0.25">
      <c r="A330" s="112"/>
    </row>
    <row r="331" spans="1:1" x14ac:dyDescent="0.25">
      <c r="A331" s="112"/>
    </row>
    <row r="332" spans="1:1" x14ac:dyDescent="0.25">
      <c r="A332" s="112"/>
    </row>
    <row r="333" spans="1:1" x14ac:dyDescent="0.25">
      <c r="A333" s="112"/>
    </row>
    <row r="334" spans="1:1" x14ac:dyDescent="0.25">
      <c r="A334" s="112"/>
    </row>
    <row r="335" spans="1:1" x14ac:dyDescent="0.25">
      <c r="A335" s="112"/>
    </row>
    <row r="336" spans="1:1" x14ac:dyDescent="0.25">
      <c r="A336" s="112"/>
    </row>
    <row r="337" spans="1:1" x14ac:dyDescent="0.25">
      <c r="A337" s="112"/>
    </row>
    <row r="338" spans="1:1" x14ac:dyDescent="0.25">
      <c r="A338" s="112"/>
    </row>
    <row r="339" spans="1:1" x14ac:dyDescent="0.25">
      <c r="A339" s="112"/>
    </row>
    <row r="340" spans="1:1" x14ac:dyDescent="0.25">
      <c r="A340" s="112"/>
    </row>
    <row r="341" spans="1:1" x14ac:dyDescent="0.25">
      <c r="A341" s="112"/>
    </row>
    <row r="342" spans="1:1" x14ac:dyDescent="0.25">
      <c r="A342" s="112"/>
    </row>
    <row r="343" spans="1:1" x14ac:dyDescent="0.25">
      <c r="A343" s="112"/>
    </row>
    <row r="344" spans="1:1" x14ac:dyDescent="0.25">
      <c r="A344" s="112"/>
    </row>
    <row r="345" spans="1:1" x14ac:dyDescent="0.25">
      <c r="A345" s="112"/>
    </row>
    <row r="346" spans="1:1" x14ac:dyDescent="0.25">
      <c r="A346" s="112"/>
    </row>
    <row r="347" spans="1:1" x14ac:dyDescent="0.25">
      <c r="A347" s="112"/>
    </row>
    <row r="348" spans="1:1" x14ac:dyDescent="0.25">
      <c r="A348" s="112"/>
    </row>
    <row r="349" spans="1:1" x14ac:dyDescent="0.25">
      <c r="A349" s="112"/>
    </row>
    <row r="350" spans="1:1" x14ac:dyDescent="0.25">
      <c r="A350" s="112"/>
    </row>
    <row r="351" spans="1:1" x14ac:dyDescent="0.25">
      <c r="A351" s="112"/>
    </row>
    <row r="352" spans="1:1" x14ac:dyDescent="0.25">
      <c r="A352" s="112"/>
    </row>
    <row r="353" spans="1:1" x14ac:dyDescent="0.25">
      <c r="A353" s="112"/>
    </row>
    <row r="354" spans="1:1" x14ac:dyDescent="0.25">
      <c r="A354" s="112"/>
    </row>
    <row r="355" spans="1:1" x14ac:dyDescent="0.25">
      <c r="A355" s="112"/>
    </row>
    <row r="356" spans="1:1" x14ac:dyDescent="0.25">
      <c r="A356" s="112"/>
    </row>
    <row r="357" spans="1:1" x14ac:dyDescent="0.25">
      <c r="A357" s="112"/>
    </row>
    <row r="358" spans="1:1" x14ac:dyDescent="0.25">
      <c r="A358" s="112"/>
    </row>
    <row r="359" spans="1:1" x14ac:dyDescent="0.25">
      <c r="A359" s="112"/>
    </row>
    <row r="360" spans="1:1" x14ac:dyDescent="0.25">
      <c r="A360" s="112"/>
    </row>
    <row r="361" spans="1:1" x14ac:dyDescent="0.25">
      <c r="A361" s="112"/>
    </row>
    <row r="362" spans="1:1" x14ac:dyDescent="0.25">
      <c r="A362" s="112"/>
    </row>
    <row r="363" spans="1:1" x14ac:dyDescent="0.25">
      <c r="A363" s="112"/>
    </row>
    <row r="364" spans="1:1" x14ac:dyDescent="0.25">
      <c r="A364" s="112"/>
    </row>
    <row r="365" spans="1:1" x14ac:dyDescent="0.25">
      <c r="A365" s="112"/>
    </row>
    <row r="366" spans="1:1" x14ac:dyDescent="0.25">
      <c r="A366" s="112"/>
    </row>
    <row r="367" spans="1:1" x14ac:dyDescent="0.25">
      <c r="A367" s="112"/>
    </row>
    <row r="368" spans="1:1" x14ac:dyDescent="0.25">
      <c r="A368" s="112"/>
    </row>
    <row r="369" spans="1:1" x14ac:dyDescent="0.25">
      <c r="A369" s="112"/>
    </row>
    <row r="370" spans="1:1" x14ac:dyDescent="0.25">
      <c r="A370" s="112"/>
    </row>
    <row r="371" spans="1:1" x14ac:dyDescent="0.25">
      <c r="A371" s="112"/>
    </row>
    <row r="372" spans="1:1" x14ac:dyDescent="0.25">
      <c r="A372" s="112"/>
    </row>
    <row r="373" spans="1:1" x14ac:dyDescent="0.25">
      <c r="A373" s="112"/>
    </row>
    <row r="374" spans="1:1" x14ac:dyDescent="0.25">
      <c r="A374" s="112"/>
    </row>
    <row r="375" spans="1:1" x14ac:dyDescent="0.25">
      <c r="A375" s="112"/>
    </row>
    <row r="376" spans="1:1" x14ac:dyDescent="0.25">
      <c r="A376" s="112"/>
    </row>
  </sheetData>
  <pageMargins left="0.70866141732283472" right="0.51181102362204722" top="0.55118110236220474" bottom="0.55118110236220474" header="0.31496062992125984" footer="0.31496062992125984"/>
  <pageSetup paperSize="9" scale="38" orientation="landscape" r:id="rId1"/>
  <ignoredErrors>
    <ignoredError sqref="AH28:AI28 E28:AG28" formulaRange="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Z42"/>
  <sheetViews>
    <sheetView showGridLines="0" zoomScale="70" zoomScaleNormal="70" workbookViewId="0">
      <pane xSplit="3" ySplit="6" topLeftCell="D9" activePane="bottomRight" state="frozen"/>
      <selection activeCell="K19" sqref="K19"/>
      <selection pane="topRight" activeCell="K19" sqref="K19"/>
      <selection pane="bottomLeft" activeCell="K19" sqref="K19"/>
      <selection pane="bottomRight" activeCell="M49" sqref="M49"/>
    </sheetView>
  </sheetViews>
  <sheetFormatPr defaultColWidth="9" defaultRowHeight="12.75" x14ac:dyDescent="0.2"/>
  <cols>
    <col min="1" max="1" width="2.125" style="184" customWidth="1"/>
    <col min="2" max="2" width="9" style="184"/>
    <col min="3" max="3" width="26.25" style="184" customWidth="1"/>
    <col min="4" max="59" width="12.125" style="185" customWidth="1"/>
    <col min="60" max="16384" width="9" style="184"/>
  </cols>
  <sheetData>
    <row r="1" spans="1:78" s="1" customFormat="1" ht="18.75" x14ac:dyDescent="0.3">
      <c r="A1" s="197" t="str">
        <f>REFCL_Data!$A$1</f>
        <v>PAL Accelerated depreciation</v>
      </c>
      <c r="B1" s="197"/>
      <c r="C1" s="197"/>
      <c r="D1" s="197"/>
      <c r="E1" s="197"/>
      <c r="F1" s="197"/>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10"/>
      <c r="BI1" s="110"/>
      <c r="BJ1" s="110"/>
      <c r="BK1" s="110"/>
      <c r="BL1" s="110"/>
      <c r="BM1" s="110"/>
      <c r="BN1" s="110"/>
      <c r="BO1" s="110"/>
      <c r="BP1" s="110"/>
      <c r="BQ1" s="110"/>
      <c r="BR1" s="110"/>
      <c r="BS1" s="110"/>
      <c r="BT1" s="110"/>
      <c r="BU1" s="110"/>
      <c r="BV1" s="110"/>
      <c r="BW1" s="110"/>
      <c r="BX1" s="110"/>
      <c r="BY1" s="110"/>
      <c r="BZ1" s="110"/>
    </row>
    <row r="2" spans="1:78" s="1" customFormat="1" ht="15.75" x14ac:dyDescent="0.25">
      <c r="A2" s="200" t="s">
        <v>130</v>
      </c>
      <c r="B2" s="200"/>
      <c r="C2" s="200"/>
      <c r="D2" s="200"/>
      <c r="E2" s="200"/>
      <c r="F2" s="200"/>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110"/>
      <c r="BI2" s="110"/>
      <c r="BJ2" s="110"/>
      <c r="BK2" s="110"/>
      <c r="BL2" s="110"/>
      <c r="BM2" s="110"/>
      <c r="BN2" s="110"/>
      <c r="BO2" s="110"/>
      <c r="BP2" s="110"/>
      <c r="BQ2" s="110"/>
      <c r="BR2" s="110"/>
      <c r="BS2" s="110"/>
      <c r="BT2" s="110"/>
      <c r="BU2" s="110"/>
      <c r="BV2" s="110"/>
      <c r="BW2" s="110"/>
      <c r="BX2" s="110"/>
      <c r="BY2" s="110"/>
      <c r="BZ2" s="110"/>
    </row>
    <row r="3" spans="1:78" x14ac:dyDescent="0.2">
      <c r="BF3" s="293" t="s">
        <v>191</v>
      </c>
      <c r="BG3" s="293"/>
    </row>
    <row r="5" spans="1:78" x14ac:dyDescent="0.2">
      <c r="C5" s="204"/>
    </row>
    <row r="6" spans="1:78" x14ac:dyDescent="0.2">
      <c r="B6" s="251"/>
      <c r="C6" s="251"/>
      <c r="D6" s="252">
        <v>1956</v>
      </c>
      <c r="E6" s="252">
        <v>1963</v>
      </c>
      <c r="F6" s="252">
        <v>1966</v>
      </c>
      <c r="G6" s="252">
        <v>1968</v>
      </c>
      <c r="H6" s="252">
        <v>1970</v>
      </c>
      <c r="I6" s="252">
        <v>1971</v>
      </c>
      <c r="J6" s="252">
        <v>1972</v>
      </c>
      <c r="K6" s="252">
        <v>1973</v>
      </c>
      <c r="L6" s="252">
        <v>1974</v>
      </c>
      <c r="M6" s="252">
        <v>1975</v>
      </c>
      <c r="N6" s="252">
        <v>1976</v>
      </c>
      <c r="O6" s="252">
        <v>1977</v>
      </c>
      <c r="P6" s="252">
        <v>1978</v>
      </c>
      <c r="Q6" s="252">
        <v>1979</v>
      </c>
      <c r="R6" s="252">
        <v>1980</v>
      </c>
      <c r="S6" s="252">
        <v>1981</v>
      </c>
      <c r="T6" s="252">
        <v>1982</v>
      </c>
      <c r="U6" s="252">
        <v>1983</v>
      </c>
      <c r="V6" s="252">
        <v>1984</v>
      </c>
      <c r="W6" s="252">
        <v>1985</v>
      </c>
      <c r="X6" s="252">
        <v>1986</v>
      </c>
      <c r="Y6" s="252">
        <v>1987</v>
      </c>
      <c r="Z6" s="252">
        <v>1988</v>
      </c>
      <c r="AA6" s="252">
        <v>1989</v>
      </c>
      <c r="AB6" s="252">
        <v>1990</v>
      </c>
      <c r="AC6" s="252">
        <v>1991</v>
      </c>
      <c r="AD6" s="252">
        <v>1992</v>
      </c>
      <c r="AE6" s="252">
        <v>1993</v>
      </c>
      <c r="AF6" s="252">
        <v>1994</v>
      </c>
      <c r="AG6" s="252">
        <v>1995</v>
      </c>
      <c r="AH6" s="252">
        <v>1996</v>
      </c>
      <c r="AI6" s="252">
        <v>1997</v>
      </c>
      <c r="AJ6" s="252">
        <v>1998</v>
      </c>
      <c r="AK6" s="252">
        <v>1999</v>
      </c>
      <c r="AL6" s="252">
        <v>2000</v>
      </c>
      <c r="AM6" s="252">
        <v>2001</v>
      </c>
      <c r="AN6" s="252">
        <v>2002</v>
      </c>
      <c r="AO6" s="252">
        <v>2003</v>
      </c>
      <c r="AP6" s="252">
        <v>2004</v>
      </c>
      <c r="AQ6" s="252">
        <v>2005</v>
      </c>
      <c r="AR6" s="252">
        <v>2006</v>
      </c>
      <c r="AS6" s="252">
        <v>2007</v>
      </c>
      <c r="AT6" s="252">
        <v>2008</v>
      </c>
      <c r="AU6" s="252">
        <v>2009</v>
      </c>
      <c r="AV6" s="252">
        <v>2010</v>
      </c>
      <c r="AW6" s="252">
        <v>2011</v>
      </c>
      <c r="AX6" s="252">
        <v>2012</v>
      </c>
      <c r="AY6" s="252">
        <v>2013</v>
      </c>
      <c r="AZ6" s="252">
        <v>2014</v>
      </c>
      <c r="BA6" s="252">
        <v>2015</v>
      </c>
      <c r="BB6" s="252">
        <v>2016</v>
      </c>
      <c r="BC6" s="252">
        <v>2017</v>
      </c>
      <c r="BD6" s="252">
        <v>2018</v>
      </c>
      <c r="BE6" s="252">
        <v>2019</v>
      </c>
      <c r="BF6" s="253"/>
      <c r="BG6" s="254" t="s">
        <v>115</v>
      </c>
    </row>
    <row r="7" spans="1:78" x14ac:dyDescent="0.2">
      <c r="B7" s="193" t="s">
        <v>127</v>
      </c>
      <c r="C7" s="184" t="s">
        <v>53</v>
      </c>
      <c r="D7" s="186"/>
      <c r="E7" s="186"/>
      <c r="F7" s="186"/>
      <c r="G7" s="186"/>
      <c r="H7" s="186"/>
      <c r="I7" s="186"/>
      <c r="J7" s="186"/>
      <c r="K7" s="186"/>
      <c r="L7" s="186"/>
      <c r="M7" s="186"/>
      <c r="N7" s="186"/>
      <c r="O7" s="186"/>
      <c r="P7" s="186"/>
      <c r="Q7" s="186"/>
      <c r="R7" s="186"/>
      <c r="S7" s="186"/>
      <c r="T7" s="186">
        <v>254.77187640929998</v>
      </c>
      <c r="U7" s="186"/>
      <c r="V7" s="186"/>
      <c r="W7" s="186"/>
      <c r="X7" s="186"/>
      <c r="Y7" s="186"/>
      <c r="Z7" s="186"/>
      <c r="AA7" s="186"/>
      <c r="AB7" s="186">
        <v>122.24740434900001</v>
      </c>
      <c r="AC7" s="186"/>
      <c r="AD7" s="186"/>
      <c r="AE7" s="186"/>
      <c r="AF7" s="186"/>
      <c r="AG7" s="186"/>
      <c r="AH7" s="186"/>
      <c r="AI7" s="186"/>
      <c r="AJ7" s="186">
        <v>397.05349128649999</v>
      </c>
      <c r="AK7" s="186"/>
      <c r="AL7" s="186"/>
      <c r="AM7" s="186">
        <v>57.569347690400001</v>
      </c>
      <c r="AN7" s="186"/>
      <c r="AO7" s="186">
        <v>102.485514513</v>
      </c>
      <c r="AP7" s="186">
        <v>41.059338736699999</v>
      </c>
      <c r="AQ7" s="186">
        <v>107.85222256199999</v>
      </c>
      <c r="AR7" s="186"/>
      <c r="AS7" s="186">
        <v>42.774099828399997</v>
      </c>
      <c r="AT7" s="186">
        <v>89.674357279751803</v>
      </c>
      <c r="AU7" s="186"/>
      <c r="AV7" s="186"/>
      <c r="AW7" s="186"/>
      <c r="AX7" s="186">
        <v>16.0759500144</v>
      </c>
      <c r="AY7" s="186"/>
      <c r="AZ7" s="186"/>
      <c r="BA7" s="186">
        <v>5.3265657837499996</v>
      </c>
      <c r="BB7" s="186"/>
      <c r="BC7" s="186">
        <v>138.2517164468</v>
      </c>
      <c r="BD7" s="186"/>
      <c r="BE7" s="186"/>
      <c r="BF7" s="186"/>
      <c r="BG7" s="247">
        <f t="shared" ref="BG7:BG35" si="0">SUM(D7:BE7)</f>
        <v>1375.1418849000017</v>
      </c>
    </row>
    <row r="8" spans="1:78" x14ac:dyDescent="0.2">
      <c r="B8" s="193" t="s">
        <v>127</v>
      </c>
      <c r="C8" s="184" t="s">
        <v>52</v>
      </c>
      <c r="D8" s="186"/>
      <c r="E8" s="186"/>
      <c r="F8" s="186"/>
      <c r="G8" s="186">
        <v>43.833692276599997</v>
      </c>
      <c r="H8" s="186"/>
      <c r="I8" s="186">
        <v>42.433817751200003</v>
      </c>
      <c r="J8" s="186"/>
      <c r="K8" s="186"/>
      <c r="L8" s="186"/>
      <c r="M8" s="186"/>
      <c r="N8" s="186"/>
      <c r="O8" s="186"/>
      <c r="P8" s="186">
        <v>77.824181007799993</v>
      </c>
      <c r="Q8" s="186"/>
      <c r="R8" s="186">
        <v>47.562532922199999</v>
      </c>
      <c r="S8" s="186">
        <v>281.23432995400003</v>
      </c>
      <c r="T8" s="186">
        <v>138.32986686999999</v>
      </c>
      <c r="U8" s="186">
        <v>189.468244172</v>
      </c>
      <c r="V8" s="186"/>
      <c r="W8" s="186">
        <v>31.1858776529</v>
      </c>
      <c r="X8" s="186">
        <v>130.01937229239999</v>
      </c>
      <c r="Y8" s="186"/>
      <c r="Z8" s="186">
        <v>53.732965239599999</v>
      </c>
      <c r="AA8" s="186">
        <v>296.062894454</v>
      </c>
      <c r="AB8" s="186"/>
      <c r="AC8" s="186">
        <v>526.5492520148</v>
      </c>
      <c r="AD8" s="186">
        <v>692.89485828279999</v>
      </c>
      <c r="AE8" s="186">
        <v>477.57498142439999</v>
      </c>
      <c r="AF8" s="186">
        <v>60.5036103459</v>
      </c>
      <c r="AG8" s="186">
        <v>80.364427080599995</v>
      </c>
      <c r="AH8" s="186"/>
      <c r="AI8" s="186">
        <v>2887.1760494639998</v>
      </c>
      <c r="AJ8" s="186">
        <v>5865.8244609630001</v>
      </c>
      <c r="AK8" s="186">
        <v>7528.6561248472008</v>
      </c>
      <c r="AL8" s="186">
        <v>82.288556401999998</v>
      </c>
      <c r="AM8" s="186">
        <v>1794.5196630935</v>
      </c>
      <c r="AN8" s="186"/>
      <c r="AO8" s="186">
        <v>124.02974191529999</v>
      </c>
      <c r="AP8" s="186">
        <v>3738.3655351327002</v>
      </c>
      <c r="AQ8" s="186">
        <v>932.39970854849992</v>
      </c>
      <c r="AR8" s="186">
        <v>4157.3767355839691</v>
      </c>
      <c r="AS8" s="186">
        <v>1913.7632973077</v>
      </c>
      <c r="AT8" s="186">
        <v>3.9274576095600002</v>
      </c>
      <c r="AU8" s="186">
        <v>1058.8067072106999</v>
      </c>
      <c r="AV8" s="186">
        <v>4619.391309753415</v>
      </c>
      <c r="AW8" s="186">
        <v>314.87066393110001</v>
      </c>
      <c r="AX8" s="186">
        <v>48.632793958169998</v>
      </c>
      <c r="AY8" s="186">
        <v>333.75248459401502</v>
      </c>
      <c r="AZ8" s="186">
        <v>331.64835627470001</v>
      </c>
      <c r="BA8" s="186">
        <v>2.7902460465000001</v>
      </c>
      <c r="BB8" s="186">
        <v>101.716373746</v>
      </c>
      <c r="BC8" s="186">
        <v>5213.9524020977169</v>
      </c>
      <c r="BD8" s="186">
        <v>892.66096825699992</v>
      </c>
      <c r="BE8" s="186"/>
      <c r="BF8" s="186"/>
      <c r="BG8" s="247">
        <f t="shared" si="0"/>
        <v>45116.12454047794</v>
      </c>
    </row>
    <row r="9" spans="1:78" x14ac:dyDescent="0.2">
      <c r="B9" s="193" t="s">
        <v>127</v>
      </c>
      <c r="C9" s="184" t="s">
        <v>126</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v>100</v>
      </c>
      <c r="AX9" s="186"/>
      <c r="AY9" s="186">
        <v>142.669650293854</v>
      </c>
      <c r="AZ9" s="186"/>
      <c r="BA9" s="186"/>
      <c r="BB9" s="186"/>
      <c r="BC9" s="186"/>
      <c r="BD9" s="186"/>
      <c r="BE9" s="186"/>
      <c r="BF9" s="186"/>
      <c r="BG9" s="247">
        <f t="shared" si="0"/>
        <v>242.669650293854</v>
      </c>
    </row>
    <row r="10" spans="1:78" x14ac:dyDescent="0.2">
      <c r="B10" s="193" t="s">
        <v>127</v>
      </c>
      <c r="C10" s="184" t="s">
        <v>51</v>
      </c>
      <c r="D10" s="186"/>
      <c r="E10" s="186"/>
      <c r="F10" s="186"/>
      <c r="G10" s="186"/>
      <c r="H10" s="186"/>
      <c r="I10" s="186"/>
      <c r="J10" s="186"/>
      <c r="K10" s="186"/>
      <c r="L10" s="186"/>
      <c r="M10" s="186"/>
      <c r="N10" s="186"/>
      <c r="O10" s="186"/>
      <c r="P10" s="186"/>
      <c r="Q10" s="186"/>
      <c r="R10" s="186">
        <v>125.072834633</v>
      </c>
      <c r="S10" s="186"/>
      <c r="T10" s="186"/>
      <c r="U10" s="186">
        <v>151.73161948019097</v>
      </c>
      <c r="V10" s="186"/>
      <c r="W10" s="186"/>
      <c r="X10" s="186"/>
      <c r="Y10" s="186">
        <v>33.66380341</v>
      </c>
      <c r="Z10" s="186"/>
      <c r="AA10" s="186"/>
      <c r="AB10" s="186"/>
      <c r="AC10" s="186">
        <v>41.449092162500001</v>
      </c>
      <c r="AD10" s="186"/>
      <c r="AE10" s="186"/>
      <c r="AF10" s="186"/>
      <c r="AG10" s="186"/>
      <c r="AH10" s="186">
        <v>491.55754700699998</v>
      </c>
      <c r="AI10" s="186">
        <v>357.21906817499996</v>
      </c>
      <c r="AJ10" s="186">
        <v>96.094198416200001</v>
      </c>
      <c r="AK10" s="186">
        <v>507.62499344000003</v>
      </c>
      <c r="AL10" s="186">
        <v>1157.4945192390001</v>
      </c>
      <c r="AM10" s="186">
        <v>204.06874155380001</v>
      </c>
      <c r="AN10" s="186">
        <v>384.03130999539997</v>
      </c>
      <c r="AO10" s="186">
        <v>819.44541454540001</v>
      </c>
      <c r="AP10" s="186">
        <v>1708.7785962244</v>
      </c>
      <c r="AQ10" s="186">
        <v>954.95221040000001</v>
      </c>
      <c r="AR10" s="186">
        <v>1989.7520053950002</v>
      </c>
      <c r="AS10" s="186">
        <v>1208.4842061011</v>
      </c>
      <c r="AT10" s="186">
        <v>3373.2041328851838</v>
      </c>
      <c r="AU10" s="186"/>
      <c r="AV10" s="186">
        <v>908.18235253900002</v>
      </c>
      <c r="AW10" s="186">
        <v>167.0436539435</v>
      </c>
      <c r="AX10" s="186">
        <v>260.608732782</v>
      </c>
      <c r="AY10" s="186">
        <v>853.37827123403156</v>
      </c>
      <c r="AZ10" s="186">
        <v>1372.333348865817</v>
      </c>
      <c r="BA10" s="186">
        <v>428.05797737561204</v>
      </c>
      <c r="BB10" s="186">
        <v>867.76793887839995</v>
      </c>
      <c r="BC10" s="186">
        <v>2313.436243997</v>
      </c>
      <c r="BD10" s="186"/>
      <c r="BE10" s="186"/>
      <c r="BF10" s="186"/>
      <c r="BG10" s="247">
        <f t="shared" si="0"/>
        <v>20775.432812678533</v>
      </c>
    </row>
    <row r="11" spans="1:78" x14ac:dyDescent="0.2">
      <c r="B11" s="193" t="s">
        <v>127</v>
      </c>
      <c r="C11" s="184" t="s">
        <v>125</v>
      </c>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v>140.34339744879998</v>
      </c>
      <c r="AR11" s="186"/>
      <c r="AS11" s="186"/>
      <c r="AT11" s="186"/>
      <c r="AU11" s="186"/>
      <c r="AV11" s="186">
        <v>390</v>
      </c>
      <c r="AW11" s="186"/>
      <c r="AX11" s="186"/>
      <c r="AY11" s="186"/>
      <c r="AZ11" s="186"/>
      <c r="BA11" s="186"/>
      <c r="BB11" s="186"/>
      <c r="BC11" s="186"/>
      <c r="BD11" s="186"/>
      <c r="BE11" s="186"/>
      <c r="BF11" s="186"/>
      <c r="BG11" s="247">
        <f t="shared" si="0"/>
        <v>530.34339744880003</v>
      </c>
    </row>
    <row r="12" spans="1:78" x14ac:dyDescent="0.2">
      <c r="B12" s="193" t="s">
        <v>127</v>
      </c>
      <c r="C12" s="184" t="s">
        <v>48</v>
      </c>
      <c r="D12" s="186"/>
      <c r="E12" s="186"/>
      <c r="F12" s="186"/>
      <c r="G12" s="186"/>
      <c r="H12" s="186"/>
      <c r="I12" s="186"/>
      <c r="J12" s="186"/>
      <c r="K12" s="186"/>
      <c r="L12" s="186"/>
      <c r="M12" s="186"/>
      <c r="N12" s="186"/>
      <c r="O12" s="186"/>
      <c r="P12" s="186">
        <v>83.655983230000004</v>
      </c>
      <c r="Q12" s="186"/>
      <c r="R12" s="186"/>
      <c r="S12" s="186"/>
      <c r="T12" s="186"/>
      <c r="U12" s="186"/>
      <c r="V12" s="186"/>
      <c r="W12" s="186"/>
      <c r="X12" s="186"/>
      <c r="Y12" s="186"/>
      <c r="Z12" s="186"/>
      <c r="AA12" s="186"/>
      <c r="AB12" s="186"/>
      <c r="AC12" s="186"/>
      <c r="AD12" s="186"/>
      <c r="AE12" s="186"/>
      <c r="AF12" s="186">
        <v>70.932091639999996</v>
      </c>
      <c r="AG12" s="186"/>
      <c r="AH12" s="186">
        <v>98.67474292</v>
      </c>
      <c r="AI12" s="186">
        <v>530.05353860000002</v>
      </c>
      <c r="AJ12" s="186">
        <v>608.72938607000003</v>
      </c>
      <c r="AK12" s="186">
        <v>168.20174988000002</v>
      </c>
      <c r="AL12" s="186">
        <v>181.71138389999999</v>
      </c>
      <c r="AM12" s="186">
        <v>1923.77148257</v>
      </c>
      <c r="AN12" s="186">
        <v>309.78496858</v>
      </c>
      <c r="AO12" s="186">
        <v>1958.0664793350002</v>
      </c>
      <c r="AP12" s="186">
        <v>1821.19505944</v>
      </c>
      <c r="AQ12" s="186">
        <v>928.52874341999996</v>
      </c>
      <c r="AR12" s="186">
        <v>912.57714453999995</v>
      </c>
      <c r="AS12" s="186">
        <v>2405.3925195570005</v>
      </c>
      <c r="AT12" s="186">
        <v>3382.7708995149997</v>
      </c>
      <c r="AU12" s="186">
        <v>1586.9178289619999</v>
      </c>
      <c r="AV12" s="186">
        <v>142.47719580699999</v>
      </c>
      <c r="AW12" s="186">
        <v>1161.240516909</v>
      </c>
      <c r="AX12" s="186">
        <v>5626.2557199159983</v>
      </c>
      <c r="AY12" s="186">
        <v>3279.2891562019995</v>
      </c>
      <c r="AZ12" s="186">
        <v>2596.3736761880004</v>
      </c>
      <c r="BA12" s="186">
        <v>2478.8315366740003</v>
      </c>
      <c r="BB12" s="186">
        <v>2056.9637448200001</v>
      </c>
      <c r="BC12" s="186">
        <v>3287.4142691630004</v>
      </c>
      <c r="BD12" s="186">
        <v>1475.5110473899999</v>
      </c>
      <c r="BE12" s="186"/>
      <c r="BF12" s="186"/>
      <c r="BG12" s="247">
        <f t="shared" si="0"/>
        <v>39075.320865228001</v>
      </c>
    </row>
    <row r="13" spans="1:78" x14ac:dyDescent="0.2">
      <c r="B13" s="193" t="s">
        <v>127</v>
      </c>
      <c r="C13" s="184" t="s">
        <v>54</v>
      </c>
      <c r="D13" s="186"/>
      <c r="E13" s="186"/>
      <c r="F13" s="186"/>
      <c r="G13" s="186"/>
      <c r="H13" s="186"/>
      <c r="I13" s="186"/>
      <c r="J13" s="186"/>
      <c r="K13" s="186"/>
      <c r="L13" s="186"/>
      <c r="M13" s="186"/>
      <c r="N13" s="186"/>
      <c r="O13" s="186"/>
      <c r="P13" s="186"/>
      <c r="Q13" s="186"/>
      <c r="R13" s="186"/>
      <c r="S13" s="186"/>
      <c r="T13" s="186"/>
      <c r="U13" s="186">
        <v>385.65154015799999</v>
      </c>
      <c r="V13" s="186"/>
      <c r="W13" s="186">
        <v>1738.7669308182001</v>
      </c>
      <c r="X13" s="186"/>
      <c r="Y13" s="186">
        <v>353.15856412599999</v>
      </c>
      <c r="Z13" s="186"/>
      <c r="AA13" s="186">
        <v>33.9530831135</v>
      </c>
      <c r="AB13" s="186"/>
      <c r="AC13" s="186"/>
      <c r="AD13" s="186">
        <v>262.23912735099998</v>
      </c>
      <c r="AE13" s="186">
        <v>1576.2340378900001</v>
      </c>
      <c r="AF13" s="186">
        <v>216.4288593412</v>
      </c>
      <c r="AG13" s="186">
        <v>36.447710059800002</v>
      </c>
      <c r="AH13" s="186">
        <v>546.23742160400002</v>
      </c>
      <c r="AI13" s="186">
        <v>731.47396402800007</v>
      </c>
      <c r="AJ13" s="186">
        <v>479.89473558200001</v>
      </c>
      <c r="AK13" s="186">
        <v>1641.8824270770101</v>
      </c>
      <c r="AL13" s="186">
        <v>3284.1524748894994</v>
      </c>
      <c r="AM13" s="186">
        <v>24.517792487099999</v>
      </c>
      <c r="AN13" s="186">
        <v>2302.4660593266203</v>
      </c>
      <c r="AO13" s="186">
        <v>2058.1482830489003</v>
      </c>
      <c r="AP13" s="186">
        <v>1163.3115349980001</v>
      </c>
      <c r="AQ13" s="186">
        <v>955.19497797910003</v>
      </c>
      <c r="AR13" s="186">
        <v>589.593932817</v>
      </c>
      <c r="AS13" s="186">
        <v>681.94726728599994</v>
      </c>
      <c r="AT13" s="186">
        <v>1041.7203160601</v>
      </c>
      <c r="AU13" s="186">
        <v>1069.7219090306</v>
      </c>
      <c r="AV13" s="186">
        <v>1960.734084984</v>
      </c>
      <c r="AW13" s="186">
        <v>53.323694633750002</v>
      </c>
      <c r="AX13" s="186">
        <v>1616.9935098507403</v>
      </c>
      <c r="AY13" s="186">
        <v>1514.7901390929999</v>
      </c>
      <c r="AZ13" s="186">
        <v>488.926555823</v>
      </c>
      <c r="BA13" s="186">
        <v>1098.739236024473</v>
      </c>
      <c r="BB13" s="186">
        <v>2323.4763509058998</v>
      </c>
      <c r="BC13" s="186">
        <v>155.28327332200001</v>
      </c>
      <c r="BD13" s="186">
        <v>396.11926415099998</v>
      </c>
      <c r="BE13" s="186"/>
      <c r="BF13" s="186"/>
      <c r="BG13" s="247">
        <f t="shared" si="0"/>
        <v>30781.529057859487</v>
      </c>
    </row>
    <row r="14" spans="1:78" x14ac:dyDescent="0.2">
      <c r="B14" s="193" t="s">
        <v>127</v>
      </c>
      <c r="C14" s="184" t="s">
        <v>50</v>
      </c>
      <c r="D14" s="186"/>
      <c r="E14" s="186"/>
      <c r="F14" s="186"/>
      <c r="G14" s="186"/>
      <c r="H14" s="186"/>
      <c r="I14" s="186"/>
      <c r="J14" s="186"/>
      <c r="K14" s="186"/>
      <c r="L14" s="186"/>
      <c r="M14" s="186"/>
      <c r="N14" s="186">
        <v>259.15667598790003</v>
      </c>
      <c r="O14" s="186"/>
      <c r="P14" s="186"/>
      <c r="Q14" s="186"/>
      <c r="R14" s="186"/>
      <c r="S14" s="186"/>
      <c r="T14" s="186"/>
      <c r="U14" s="186"/>
      <c r="V14" s="186"/>
      <c r="W14" s="186"/>
      <c r="X14" s="186">
        <v>125.026111916</v>
      </c>
      <c r="Y14" s="186"/>
      <c r="Z14" s="186"/>
      <c r="AA14" s="186">
        <v>2.7727278986599999</v>
      </c>
      <c r="AB14" s="186">
        <v>102.1678086894</v>
      </c>
      <c r="AC14" s="186"/>
      <c r="AD14" s="186"/>
      <c r="AE14" s="186"/>
      <c r="AF14" s="186"/>
      <c r="AG14" s="186"/>
      <c r="AH14" s="186"/>
      <c r="AI14" s="186">
        <v>197.86634298000001</v>
      </c>
      <c r="AJ14" s="186">
        <v>391.8024433567</v>
      </c>
      <c r="AK14" s="186"/>
      <c r="AL14" s="186">
        <v>101.63850008</v>
      </c>
      <c r="AM14" s="186">
        <v>122.393764628</v>
      </c>
      <c r="AN14" s="186">
        <v>181.87366518499999</v>
      </c>
      <c r="AO14" s="186">
        <v>802.63757467799996</v>
      </c>
      <c r="AP14" s="186">
        <v>253.37026093200001</v>
      </c>
      <c r="AQ14" s="186">
        <v>201.91887028850002</v>
      </c>
      <c r="AR14" s="186">
        <v>749.42670045399996</v>
      </c>
      <c r="AS14" s="186">
        <v>36.069685742499999</v>
      </c>
      <c r="AT14" s="186">
        <v>519.66435319499999</v>
      </c>
      <c r="AU14" s="186"/>
      <c r="AV14" s="186">
        <v>11.21888055835</v>
      </c>
      <c r="AW14" s="186">
        <v>341.58256377384009</v>
      </c>
      <c r="AX14" s="186">
        <v>276.79124909299998</v>
      </c>
      <c r="AY14" s="186">
        <v>12.6572766907</v>
      </c>
      <c r="AZ14" s="186">
        <v>125.29292229128281</v>
      </c>
      <c r="BA14" s="186">
        <v>434.12797198499999</v>
      </c>
      <c r="BB14" s="186">
        <v>180.39206341041998</v>
      </c>
      <c r="BC14" s="186">
        <v>15.0987183638</v>
      </c>
      <c r="BD14" s="186"/>
      <c r="BE14" s="186"/>
      <c r="BF14" s="186"/>
      <c r="BG14" s="247">
        <f t="shared" si="0"/>
        <v>5444.9471321780529</v>
      </c>
    </row>
    <row r="15" spans="1:78" x14ac:dyDescent="0.2">
      <c r="B15" s="193" t="s">
        <v>127</v>
      </c>
      <c r="C15" s="184" t="s">
        <v>49</v>
      </c>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v>58.432223631900001</v>
      </c>
      <c r="AD15" s="186"/>
      <c r="AE15" s="186"/>
      <c r="AF15" s="186"/>
      <c r="AG15" s="186"/>
      <c r="AH15" s="186"/>
      <c r="AI15" s="186"/>
      <c r="AJ15" s="186">
        <v>206.380293311</v>
      </c>
      <c r="AK15" s="186"/>
      <c r="AL15" s="186">
        <v>247.98779953219997</v>
      </c>
      <c r="AM15" s="186"/>
      <c r="AN15" s="186">
        <v>314.47084137399997</v>
      </c>
      <c r="AO15" s="186">
        <v>571.24568613609995</v>
      </c>
      <c r="AP15" s="186">
        <v>170.27187552699999</v>
      </c>
      <c r="AQ15" s="186">
        <v>191.18138345099999</v>
      </c>
      <c r="AR15" s="186">
        <v>756.12073587400005</v>
      </c>
      <c r="AS15" s="186">
        <v>1397.783213533</v>
      </c>
      <c r="AT15" s="186">
        <v>581.11349817400003</v>
      </c>
      <c r="AU15" s="186">
        <v>1168.310272984</v>
      </c>
      <c r="AV15" s="186">
        <v>186.13371200700001</v>
      </c>
      <c r="AW15" s="186">
        <v>1096.834251174</v>
      </c>
      <c r="AX15" s="186">
        <v>589.21900818500001</v>
      </c>
      <c r="AY15" s="186"/>
      <c r="AZ15" s="186">
        <v>1686.783739151</v>
      </c>
      <c r="BA15" s="186">
        <v>22628.58324568321</v>
      </c>
      <c r="BB15" s="186">
        <v>1023.353206051</v>
      </c>
      <c r="BC15" s="186">
        <v>940.28939694919995</v>
      </c>
      <c r="BD15" s="186">
        <v>14.8605792404</v>
      </c>
      <c r="BE15" s="186"/>
      <c r="BF15" s="186"/>
      <c r="BG15" s="247">
        <f t="shared" si="0"/>
        <v>33829.354961969009</v>
      </c>
    </row>
    <row r="16" spans="1:78" x14ac:dyDescent="0.2">
      <c r="B16" s="193" t="s">
        <v>127</v>
      </c>
      <c r="C16" s="184" t="s">
        <v>55</v>
      </c>
      <c r="D16" s="186"/>
      <c r="E16" s="186"/>
      <c r="F16" s="186">
        <v>217.68691515099999</v>
      </c>
      <c r="G16" s="186"/>
      <c r="H16" s="186"/>
      <c r="I16" s="186"/>
      <c r="J16" s="186"/>
      <c r="K16" s="186"/>
      <c r="L16" s="186"/>
      <c r="M16" s="186"/>
      <c r="N16" s="186"/>
      <c r="O16" s="186"/>
      <c r="P16" s="186"/>
      <c r="Q16" s="186">
        <v>57.1694568789</v>
      </c>
      <c r="R16" s="186"/>
      <c r="S16" s="186"/>
      <c r="T16" s="186"/>
      <c r="U16" s="186"/>
      <c r="V16" s="186"/>
      <c r="W16" s="186"/>
      <c r="X16" s="186">
        <v>132.23150741500001</v>
      </c>
      <c r="Y16" s="186"/>
      <c r="Z16" s="186">
        <v>248.920275264</v>
      </c>
      <c r="AA16" s="186">
        <v>210.86244722180001</v>
      </c>
      <c r="AB16" s="186">
        <v>50.324938639000003</v>
      </c>
      <c r="AC16" s="186">
        <v>295.133843329</v>
      </c>
      <c r="AD16" s="186">
        <v>375.88475689810002</v>
      </c>
      <c r="AE16" s="186"/>
      <c r="AF16" s="186">
        <v>705.51070788300001</v>
      </c>
      <c r="AG16" s="186">
        <v>803.08717295199995</v>
      </c>
      <c r="AH16" s="186">
        <v>240.50956434299999</v>
      </c>
      <c r="AI16" s="186"/>
      <c r="AJ16" s="186"/>
      <c r="AK16" s="186">
        <v>5015.8281444899994</v>
      </c>
      <c r="AL16" s="186">
        <v>2415.0379691297603</v>
      </c>
      <c r="AM16" s="186">
        <v>5835.4262428875982</v>
      </c>
      <c r="AN16" s="186"/>
      <c r="AO16" s="186">
        <v>1469.1455166888002</v>
      </c>
      <c r="AP16" s="186">
        <v>1630.1858413729001</v>
      </c>
      <c r="AQ16" s="186">
        <v>2258.9320270759999</v>
      </c>
      <c r="AR16" s="186">
        <v>1626.823522034</v>
      </c>
      <c r="AS16" s="186">
        <v>309.68490765600001</v>
      </c>
      <c r="AT16" s="186">
        <v>527.65747883173992</v>
      </c>
      <c r="AU16" s="186">
        <v>40.430265286700006</v>
      </c>
      <c r="AV16" s="186"/>
      <c r="AW16" s="186">
        <v>87.611407184699999</v>
      </c>
      <c r="AX16" s="186">
        <v>1168.2488951765431</v>
      </c>
      <c r="AY16" s="186">
        <v>399.66166322399999</v>
      </c>
      <c r="AZ16" s="186">
        <v>515.73093915899994</v>
      </c>
      <c r="BA16" s="186">
        <v>2798.7766470840002</v>
      </c>
      <c r="BB16" s="186">
        <v>786.85932150227006</v>
      </c>
      <c r="BC16" s="186">
        <v>9949.9851875529002</v>
      </c>
      <c r="BD16" s="186">
        <v>1912.5744895473499</v>
      </c>
      <c r="BE16" s="186"/>
      <c r="BF16" s="186"/>
      <c r="BG16" s="247">
        <f t="shared" si="0"/>
        <v>42085.922051859059</v>
      </c>
    </row>
    <row r="17" spans="2:59" x14ac:dyDescent="0.2">
      <c r="B17" s="206" t="s">
        <v>124</v>
      </c>
      <c r="C17" s="206" t="s">
        <v>39</v>
      </c>
      <c r="D17" s="207"/>
      <c r="E17" s="207"/>
      <c r="F17" s="207"/>
      <c r="G17" s="207"/>
      <c r="H17" s="207"/>
      <c r="I17" s="207"/>
      <c r="J17" s="207"/>
      <c r="K17" s="207"/>
      <c r="L17" s="207"/>
      <c r="M17" s="207"/>
      <c r="N17" s="207"/>
      <c r="O17" s="207"/>
      <c r="P17" s="207"/>
      <c r="Q17" s="207"/>
      <c r="R17" s="207"/>
      <c r="S17" s="207"/>
      <c r="T17" s="207"/>
      <c r="U17" s="207">
        <v>125.741182575</v>
      </c>
      <c r="V17" s="207"/>
      <c r="W17" s="207"/>
      <c r="X17" s="207">
        <v>512.495265303</v>
      </c>
      <c r="Y17" s="207">
        <v>129.69688158700001</v>
      </c>
      <c r="Z17" s="207">
        <v>326.98067619100004</v>
      </c>
      <c r="AA17" s="207"/>
      <c r="AB17" s="207"/>
      <c r="AC17" s="207">
        <v>162.83904887530002</v>
      </c>
      <c r="AD17" s="207"/>
      <c r="AE17" s="207"/>
      <c r="AF17" s="207">
        <v>177.03445045300001</v>
      </c>
      <c r="AG17" s="207">
        <v>207.12241307100001</v>
      </c>
      <c r="AH17" s="207"/>
      <c r="AI17" s="207">
        <v>562.01026018049993</v>
      </c>
      <c r="AJ17" s="207"/>
      <c r="AK17" s="207">
        <v>808.15144445199996</v>
      </c>
      <c r="AL17" s="207"/>
      <c r="AM17" s="207"/>
      <c r="AN17" s="207"/>
      <c r="AO17" s="207"/>
      <c r="AP17" s="207">
        <v>52.571857913300001</v>
      </c>
      <c r="AQ17" s="207"/>
      <c r="AR17" s="207">
        <v>338.75580328720002</v>
      </c>
      <c r="AS17" s="207">
        <v>188.95139941599999</v>
      </c>
      <c r="AT17" s="207">
        <v>285.94636699199998</v>
      </c>
      <c r="AU17" s="207">
        <v>96.361792112399996</v>
      </c>
      <c r="AV17" s="207"/>
      <c r="AW17" s="207">
        <v>242.05201755032999</v>
      </c>
      <c r="AX17" s="207"/>
      <c r="AY17" s="207">
        <v>219.62011524947999</v>
      </c>
      <c r="AZ17" s="207"/>
      <c r="BA17" s="207">
        <v>460.15974677009001</v>
      </c>
      <c r="BB17" s="207">
        <v>206.76884070529997</v>
      </c>
      <c r="BC17" s="207">
        <v>21.611183376303998</v>
      </c>
      <c r="BD17" s="207">
        <v>335.216915099</v>
      </c>
      <c r="BE17" s="207"/>
      <c r="BF17" s="207"/>
      <c r="BG17" s="248">
        <f t="shared" si="0"/>
        <v>5460.0876611592048</v>
      </c>
    </row>
    <row r="18" spans="2:59" x14ac:dyDescent="0.2">
      <c r="B18" s="193" t="s">
        <v>124</v>
      </c>
      <c r="C18" s="184" t="s">
        <v>123</v>
      </c>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v>10</v>
      </c>
      <c r="BD18" s="186"/>
      <c r="BE18" s="186"/>
      <c r="BF18" s="186"/>
      <c r="BG18" s="247">
        <f t="shared" si="0"/>
        <v>10</v>
      </c>
    </row>
    <row r="19" spans="2:59" x14ac:dyDescent="0.2">
      <c r="B19" s="193" t="s">
        <v>124</v>
      </c>
      <c r="C19" s="184" t="s">
        <v>46</v>
      </c>
      <c r="D19" s="186"/>
      <c r="E19" s="186"/>
      <c r="F19" s="186"/>
      <c r="G19" s="186"/>
      <c r="H19" s="186"/>
      <c r="I19" s="186"/>
      <c r="J19" s="186"/>
      <c r="K19" s="186">
        <v>59.522262576000003</v>
      </c>
      <c r="L19" s="186">
        <v>88.790308371900011</v>
      </c>
      <c r="M19" s="186"/>
      <c r="N19" s="186"/>
      <c r="O19" s="186"/>
      <c r="P19" s="186">
        <v>404.31210480100003</v>
      </c>
      <c r="Q19" s="186">
        <v>95.664859699499999</v>
      </c>
      <c r="R19" s="186">
        <v>137.8606291891</v>
      </c>
      <c r="S19" s="186">
        <v>77.892031837100006</v>
      </c>
      <c r="T19" s="186">
        <v>415.59769873520003</v>
      </c>
      <c r="U19" s="186">
        <v>67.341232667</v>
      </c>
      <c r="V19" s="186">
        <v>313.73478663519995</v>
      </c>
      <c r="W19" s="186">
        <v>104.241152</v>
      </c>
      <c r="X19" s="186"/>
      <c r="Y19" s="186">
        <v>1410.7376251247999</v>
      </c>
      <c r="Z19" s="186">
        <v>3703.5265628289999</v>
      </c>
      <c r="AA19" s="186"/>
      <c r="AB19" s="186">
        <v>768.24500780669996</v>
      </c>
      <c r="AC19" s="186">
        <v>960.47617296299995</v>
      </c>
      <c r="AD19" s="186">
        <v>1189.6447627707</v>
      </c>
      <c r="AE19" s="186">
        <v>2246.5624533954997</v>
      </c>
      <c r="AF19" s="186">
        <v>3411.4472659515995</v>
      </c>
      <c r="AG19" s="186">
        <v>1285.1550166467</v>
      </c>
      <c r="AH19" s="186">
        <v>1006.2584218009</v>
      </c>
      <c r="AI19" s="186">
        <v>934.08140651790006</v>
      </c>
      <c r="AJ19" s="186">
        <v>1591.7272667213999</v>
      </c>
      <c r="AK19" s="186">
        <v>4337.4031426700003</v>
      </c>
      <c r="AL19" s="186">
        <v>1755.3546600228699</v>
      </c>
      <c r="AM19" s="186">
        <v>7740.3830131963005</v>
      </c>
      <c r="AN19" s="186">
        <v>3061.7261224233002</v>
      </c>
      <c r="AO19" s="186">
        <v>1299.7031646669</v>
      </c>
      <c r="AP19" s="186">
        <v>1869.4473800575702</v>
      </c>
      <c r="AQ19" s="186">
        <v>2135.0863173025996</v>
      </c>
      <c r="AR19" s="186">
        <v>5027.0151082829989</v>
      </c>
      <c r="AS19" s="186">
        <v>3407.3769725838997</v>
      </c>
      <c r="AT19" s="186">
        <v>3667.4059847306503</v>
      </c>
      <c r="AU19" s="186">
        <v>1680.5023963746</v>
      </c>
      <c r="AV19" s="186">
        <v>1714.8433994488</v>
      </c>
      <c r="AW19" s="186">
        <v>1475.9804798443449</v>
      </c>
      <c r="AX19" s="186">
        <v>880.99066023830778</v>
      </c>
      <c r="AY19" s="186">
        <v>3114.4861754008116</v>
      </c>
      <c r="AZ19" s="186">
        <v>666.36723840710818</v>
      </c>
      <c r="BA19" s="186">
        <v>1612.3968600538199</v>
      </c>
      <c r="BB19" s="186">
        <v>3562.5096598290406</v>
      </c>
      <c r="BC19" s="186">
        <v>1306.6297848883901</v>
      </c>
      <c r="BD19" s="186">
        <v>1164.3095466454999</v>
      </c>
      <c r="BE19" s="186">
        <v>709.2373027054</v>
      </c>
      <c r="BF19" s="186"/>
      <c r="BG19" s="247">
        <f t="shared" si="0"/>
        <v>72461.974398813385</v>
      </c>
    </row>
    <row r="20" spans="2:59" x14ac:dyDescent="0.2">
      <c r="B20" s="193" t="s">
        <v>124</v>
      </c>
      <c r="C20" s="184" t="s">
        <v>122</v>
      </c>
      <c r="D20" s="186"/>
      <c r="E20" s="186"/>
      <c r="F20" s="186"/>
      <c r="G20" s="186"/>
      <c r="H20" s="186"/>
      <c r="I20" s="186">
        <v>196.838175143</v>
      </c>
      <c r="J20" s="186"/>
      <c r="K20" s="186"/>
      <c r="L20" s="186"/>
      <c r="M20" s="186"/>
      <c r="N20" s="186"/>
      <c r="O20" s="186"/>
      <c r="P20" s="186"/>
      <c r="Q20" s="186"/>
      <c r="R20" s="186">
        <v>76</v>
      </c>
      <c r="S20" s="186">
        <v>2087.6636542000001</v>
      </c>
      <c r="T20" s="186"/>
      <c r="U20" s="186"/>
      <c r="V20" s="186"/>
      <c r="W20" s="186"/>
      <c r="X20" s="186"/>
      <c r="Y20" s="186"/>
      <c r="Z20" s="186">
        <v>360</v>
      </c>
      <c r="AA20" s="186"/>
      <c r="AB20" s="186"/>
      <c r="AC20" s="186"/>
      <c r="AD20" s="186"/>
      <c r="AE20" s="186">
        <v>215.437630756</v>
      </c>
      <c r="AF20" s="186"/>
      <c r="AG20" s="186"/>
      <c r="AH20" s="186"/>
      <c r="AI20" s="186">
        <v>565.24224652769999</v>
      </c>
      <c r="AJ20" s="186"/>
      <c r="AK20" s="186"/>
      <c r="AL20" s="186"/>
      <c r="AM20" s="186"/>
      <c r="AN20" s="186"/>
      <c r="AO20" s="186"/>
      <c r="AP20" s="186"/>
      <c r="AQ20" s="186"/>
      <c r="AR20" s="186">
        <v>53.460299445100006</v>
      </c>
      <c r="AS20" s="186"/>
      <c r="AT20" s="186">
        <v>1.4618031795099999</v>
      </c>
      <c r="AU20" s="186"/>
      <c r="AV20" s="186"/>
      <c r="AW20" s="186"/>
      <c r="AX20" s="186"/>
      <c r="AY20" s="186">
        <v>4.7692805537099998</v>
      </c>
      <c r="AZ20" s="186"/>
      <c r="BA20" s="186"/>
      <c r="BB20" s="186"/>
      <c r="BC20" s="186"/>
      <c r="BD20" s="186"/>
      <c r="BE20" s="186"/>
      <c r="BF20" s="186"/>
      <c r="BG20" s="247">
        <f t="shared" si="0"/>
        <v>3560.8730898050203</v>
      </c>
    </row>
    <row r="21" spans="2:59" x14ac:dyDescent="0.2">
      <c r="B21" s="193" t="s">
        <v>124</v>
      </c>
      <c r="C21" s="184" t="s">
        <v>45</v>
      </c>
      <c r="D21" s="186">
        <v>246</v>
      </c>
      <c r="E21" s="186"/>
      <c r="F21" s="186"/>
      <c r="G21" s="186">
        <v>19</v>
      </c>
      <c r="H21" s="186"/>
      <c r="I21" s="186">
        <v>193</v>
      </c>
      <c r="J21" s="186">
        <v>602</v>
      </c>
      <c r="K21" s="186"/>
      <c r="L21" s="186">
        <v>48</v>
      </c>
      <c r="M21" s="186">
        <v>125</v>
      </c>
      <c r="N21" s="186"/>
      <c r="O21" s="186"/>
      <c r="P21" s="186">
        <v>324</v>
      </c>
      <c r="Q21" s="186">
        <v>537</v>
      </c>
      <c r="R21" s="186">
        <v>409</v>
      </c>
      <c r="S21" s="186">
        <v>66</v>
      </c>
      <c r="T21" s="186">
        <v>92</v>
      </c>
      <c r="U21" s="186">
        <v>210</v>
      </c>
      <c r="V21" s="186"/>
      <c r="W21" s="186">
        <v>235</v>
      </c>
      <c r="X21" s="186">
        <v>25</v>
      </c>
      <c r="Y21" s="186">
        <v>242</v>
      </c>
      <c r="Z21" s="186">
        <v>971</v>
      </c>
      <c r="AA21" s="186">
        <v>229</v>
      </c>
      <c r="AB21" s="186"/>
      <c r="AC21" s="186">
        <v>963</v>
      </c>
      <c r="AD21" s="186">
        <v>397</v>
      </c>
      <c r="AE21" s="186">
        <v>434</v>
      </c>
      <c r="AF21" s="186">
        <v>74</v>
      </c>
      <c r="AG21" s="186">
        <v>1291</v>
      </c>
      <c r="AH21" s="186">
        <v>698</v>
      </c>
      <c r="AI21" s="186">
        <v>833</v>
      </c>
      <c r="AJ21" s="186">
        <v>1759</v>
      </c>
      <c r="AK21" s="186">
        <v>1430</v>
      </c>
      <c r="AL21" s="186">
        <v>145</v>
      </c>
      <c r="AM21" s="186">
        <v>699</v>
      </c>
      <c r="AN21" s="186">
        <v>393</v>
      </c>
      <c r="AO21" s="186">
        <v>3005</v>
      </c>
      <c r="AP21" s="186">
        <v>2955</v>
      </c>
      <c r="AQ21" s="186">
        <v>4008</v>
      </c>
      <c r="AR21" s="186">
        <v>4389</v>
      </c>
      <c r="AS21" s="186">
        <v>3095</v>
      </c>
      <c r="AT21" s="186">
        <v>5251</v>
      </c>
      <c r="AU21" s="186">
        <v>3291</v>
      </c>
      <c r="AV21" s="186">
        <v>2359</v>
      </c>
      <c r="AW21" s="186">
        <v>2995</v>
      </c>
      <c r="AX21" s="186">
        <v>3660</v>
      </c>
      <c r="AY21" s="186">
        <v>4834</v>
      </c>
      <c r="AZ21" s="186">
        <v>3568</v>
      </c>
      <c r="BA21" s="186">
        <v>4564</v>
      </c>
      <c r="BB21" s="186">
        <v>1855</v>
      </c>
      <c r="BC21" s="186">
        <v>6857.4497000000001</v>
      </c>
      <c r="BD21" s="186">
        <v>1235</v>
      </c>
      <c r="BE21" s="186">
        <v>51.05</v>
      </c>
      <c r="BF21" s="186"/>
      <c r="BG21" s="247">
        <f t="shared" si="0"/>
        <v>71661.4997</v>
      </c>
    </row>
    <row r="22" spans="2:59" x14ac:dyDescent="0.2">
      <c r="B22" s="193" t="s">
        <v>124</v>
      </c>
      <c r="C22" s="184" t="s">
        <v>121</v>
      </c>
      <c r="D22" s="186"/>
      <c r="E22" s="186"/>
      <c r="F22" s="186"/>
      <c r="G22" s="186"/>
      <c r="H22" s="186"/>
      <c r="I22" s="186"/>
      <c r="J22" s="186"/>
      <c r="K22" s="186"/>
      <c r="L22" s="186"/>
      <c r="M22" s="186"/>
      <c r="N22" s="186"/>
      <c r="O22" s="186"/>
      <c r="P22" s="186"/>
      <c r="Q22" s="186"/>
      <c r="R22" s="186">
        <v>60</v>
      </c>
      <c r="S22" s="186"/>
      <c r="T22" s="186"/>
      <c r="U22" s="186"/>
      <c r="V22" s="186"/>
      <c r="W22" s="186"/>
      <c r="X22" s="186"/>
      <c r="Y22" s="186"/>
      <c r="Z22" s="186"/>
      <c r="AA22" s="186"/>
      <c r="AB22" s="186">
        <v>227</v>
      </c>
      <c r="AC22" s="186"/>
      <c r="AD22" s="186"/>
      <c r="AE22" s="186"/>
      <c r="AF22" s="186"/>
      <c r="AG22" s="186"/>
      <c r="AH22" s="186"/>
      <c r="AI22" s="186"/>
      <c r="AJ22" s="186"/>
      <c r="AK22" s="186"/>
      <c r="AL22" s="186"/>
      <c r="AM22" s="186"/>
      <c r="AN22" s="186"/>
      <c r="AO22" s="186"/>
      <c r="AP22" s="186"/>
      <c r="AQ22" s="186"/>
      <c r="AR22" s="186">
        <v>262</v>
      </c>
      <c r="AS22" s="186"/>
      <c r="AT22" s="186">
        <v>6</v>
      </c>
      <c r="AU22" s="186">
        <v>108</v>
      </c>
      <c r="AV22" s="186"/>
      <c r="AW22" s="186"/>
      <c r="AX22" s="186"/>
      <c r="AY22" s="186"/>
      <c r="AZ22" s="186"/>
      <c r="BA22" s="186">
        <v>194</v>
      </c>
      <c r="BB22" s="186"/>
      <c r="BC22" s="186"/>
      <c r="BD22" s="186"/>
      <c r="BE22" s="186"/>
      <c r="BF22" s="186"/>
      <c r="BG22" s="247">
        <f t="shared" si="0"/>
        <v>857</v>
      </c>
    </row>
    <row r="23" spans="2:59" x14ac:dyDescent="0.2">
      <c r="B23" s="193" t="s">
        <v>124</v>
      </c>
      <c r="C23" s="184" t="s">
        <v>44</v>
      </c>
      <c r="D23" s="186"/>
      <c r="E23" s="186"/>
      <c r="F23" s="186"/>
      <c r="G23" s="186"/>
      <c r="H23" s="186"/>
      <c r="I23" s="186"/>
      <c r="J23" s="186"/>
      <c r="K23" s="186"/>
      <c r="L23" s="186"/>
      <c r="M23" s="186"/>
      <c r="N23" s="186"/>
      <c r="O23" s="186"/>
      <c r="P23" s="186"/>
      <c r="Q23" s="186"/>
      <c r="R23" s="186"/>
      <c r="S23" s="186"/>
      <c r="T23" s="186"/>
      <c r="U23" s="186">
        <v>222.1722776</v>
      </c>
      <c r="V23" s="186"/>
      <c r="W23" s="186">
        <v>102.4704284</v>
      </c>
      <c r="X23" s="186"/>
      <c r="Y23" s="186">
        <v>401.57561770000001</v>
      </c>
      <c r="Z23" s="186"/>
      <c r="AA23" s="186">
        <v>69.497321499999998</v>
      </c>
      <c r="AB23" s="186">
        <v>436.28161420000004</v>
      </c>
      <c r="AC23" s="186"/>
      <c r="AD23" s="186"/>
      <c r="AE23" s="186">
        <v>93.712144170000002</v>
      </c>
      <c r="AF23" s="186"/>
      <c r="AG23" s="186"/>
      <c r="AH23" s="186">
        <v>332.53080469999998</v>
      </c>
      <c r="AI23" s="186">
        <v>160.5114106</v>
      </c>
      <c r="AJ23" s="186">
        <v>539.75661049999997</v>
      </c>
      <c r="AK23" s="186">
        <v>1287.4958404399999</v>
      </c>
      <c r="AL23" s="186">
        <v>1080.0999025000001</v>
      </c>
      <c r="AM23" s="186">
        <v>1095.4042065890003</v>
      </c>
      <c r="AN23" s="186">
        <v>1275.8885937499999</v>
      </c>
      <c r="AO23" s="186">
        <v>2608.6924882499998</v>
      </c>
      <c r="AP23" s="186">
        <v>1630.9929016600001</v>
      </c>
      <c r="AQ23" s="186">
        <v>904.99993197000003</v>
      </c>
      <c r="AR23" s="186">
        <v>1810.9463367999999</v>
      </c>
      <c r="AS23" s="186">
        <v>1707.4153213399998</v>
      </c>
      <c r="AT23" s="186">
        <v>1563.754941249</v>
      </c>
      <c r="AU23" s="186">
        <v>1444.3376235599999</v>
      </c>
      <c r="AV23" s="186">
        <v>1735.3176297329999</v>
      </c>
      <c r="AW23" s="186">
        <v>691.96285466799998</v>
      </c>
      <c r="AX23" s="186">
        <v>236.18656706000002</v>
      </c>
      <c r="AY23" s="186">
        <v>810.69336074599994</v>
      </c>
      <c r="AZ23" s="186">
        <v>1936.767282817</v>
      </c>
      <c r="BA23" s="186">
        <v>619.42201540000008</v>
      </c>
      <c r="BB23" s="186">
        <v>240.26779303799998</v>
      </c>
      <c r="BC23" s="186">
        <v>1409.4450889140001</v>
      </c>
      <c r="BD23" s="186">
        <v>801.70237280000003</v>
      </c>
      <c r="BE23" s="186"/>
      <c r="BF23" s="186"/>
      <c r="BG23" s="247">
        <f t="shared" si="0"/>
        <v>27250.301282653996</v>
      </c>
    </row>
    <row r="24" spans="2:59" x14ac:dyDescent="0.2">
      <c r="B24" s="193" t="s">
        <v>124</v>
      </c>
      <c r="C24" s="184" t="s">
        <v>43</v>
      </c>
      <c r="D24" s="186"/>
      <c r="E24" s="186"/>
      <c r="F24" s="186"/>
      <c r="G24" s="186"/>
      <c r="H24" s="186"/>
      <c r="I24" s="186"/>
      <c r="J24" s="186"/>
      <c r="K24" s="186"/>
      <c r="L24" s="186"/>
      <c r="M24" s="186"/>
      <c r="N24" s="186"/>
      <c r="O24" s="186"/>
      <c r="P24" s="186"/>
      <c r="Q24" s="186">
        <v>206</v>
      </c>
      <c r="R24" s="186"/>
      <c r="S24" s="186">
        <v>351</v>
      </c>
      <c r="T24" s="186"/>
      <c r="U24" s="186"/>
      <c r="V24" s="186">
        <v>116</v>
      </c>
      <c r="W24" s="186">
        <v>141</v>
      </c>
      <c r="X24" s="186">
        <v>212</v>
      </c>
      <c r="Y24" s="186">
        <v>1560</v>
      </c>
      <c r="Z24" s="186"/>
      <c r="AA24" s="186">
        <v>91</v>
      </c>
      <c r="AB24" s="186">
        <v>427</v>
      </c>
      <c r="AC24" s="186"/>
      <c r="AD24" s="186">
        <v>507</v>
      </c>
      <c r="AE24" s="186">
        <v>581</v>
      </c>
      <c r="AF24" s="186">
        <v>551</v>
      </c>
      <c r="AG24" s="186">
        <v>3</v>
      </c>
      <c r="AH24" s="186">
        <v>104</v>
      </c>
      <c r="AI24" s="186">
        <v>453</v>
      </c>
      <c r="AJ24" s="186">
        <v>1941</v>
      </c>
      <c r="AK24" s="186">
        <v>1187</v>
      </c>
      <c r="AL24" s="186">
        <v>731</v>
      </c>
      <c r="AM24" s="186">
        <v>1885</v>
      </c>
      <c r="AN24" s="186">
        <v>2332</v>
      </c>
      <c r="AO24" s="186">
        <v>3131</v>
      </c>
      <c r="AP24" s="186">
        <v>2979</v>
      </c>
      <c r="AQ24" s="186">
        <v>2606</v>
      </c>
      <c r="AR24" s="186">
        <v>1153</v>
      </c>
      <c r="AS24" s="186">
        <v>2844</v>
      </c>
      <c r="AT24" s="186">
        <v>1941</v>
      </c>
      <c r="AU24" s="186">
        <v>2135</v>
      </c>
      <c r="AV24" s="186">
        <v>804</v>
      </c>
      <c r="AW24" s="186">
        <v>593</v>
      </c>
      <c r="AX24" s="186">
        <v>1461</v>
      </c>
      <c r="AY24" s="186"/>
      <c r="AZ24" s="186">
        <v>1490</v>
      </c>
      <c r="BA24" s="186">
        <v>1344</v>
      </c>
      <c r="BB24" s="186">
        <v>448</v>
      </c>
      <c r="BC24" s="186">
        <v>1233</v>
      </c>
      <c r="BD24" s="186">
        <v>737</v>
      </c>
      <c r="BE24" s="186"/>
      <c r="BF24" s="186"/>
      <c r="BG24" s="247">
        <f t="shared" si="0"/>
        <v>38278</v>
      </c>
    </row>
    <row r="25" spans="2:59" x14ac:dyDescent="0.2">
      <c r="B25" s="193" t="s">
        <v>124</v>
      </c>
      <c r="C25" s="184" t="s">
        <v>120</v>
      </c>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v>754</v>
      </c>
      <c r="AL25" s="186"/>
      <c r="AM25" s="186">
        <v>86</v>
      </c>
      <c r="AN25" s="186"/>
      <c r="AO25" s="186">
        <v>635</v>
      </c>
      <c r="AP25" s="186"/>
      <c r="AQ25" s="186"/>
      <c r="AR25" s="186">
        <v>599</v>
      </c>
      <c r="AS25" s="186"/>
      <c r="AT25" s="186"/>
      <c r="AU25" s="186"/>
      <c r="AV25" s="186"/>
      <c r="AW25" s="186"/>
      <c r="AX25" s="186"/>
      <c r="AY25" s="186"/>
      <c r="AZ25" s="186"/>
      <c r="BA25" s="186"/>
      <c r="BB25" s="186"/>
      <c r="BC25" s="186">
        <v>70</v>
      </c>
      <c r="BD25" s="186"/>
      <c r="BE25" s="186"/>
      <c r="BF25" s="186"/>
      <c r="BG25" s="247">
        <f t="shared" si="0"/>
        <v>2144</v>
      </c>
    </row>
    <row r="26" spans="2:59" x14ac:dyDescent="0.2">
      <c r="B26" s="193" t="s">
        <v>124</v>
      </c>
      <c r="C26" s="184" t="s">
        <v>42</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v>260.42280410299998</v>
      </c>
      <c r="AE26" s="186"/>
      <c r="AF26" s="186">
        <v>88.746785518099998</v>
      </c>
      <c r="AG26" s="186"/>
      <c r="AH26" s="186">
        <v>207.88970201800001</v>
      </c>
      <c r="AI26" s="186">
        <v>893.33980633700003</v>
      </c>
      <c r="AJ26" s="186">
        <v>459.429281344</v>
      </c>
      <c r="AK26" s="186"/>
      <c r="AL26" s="186">
        <v>78.247088333999997</v>
      </c>
      <c r="AM26" s="186">
        <v>1743.4446674129999</v>
      </c>
      <c r="AN26" s="186"/>
      <c r="AO26" s="186">
        <v>56.552286386200002</v>
      </c>
      <c r="AP26" s="186"/>
      <c r="AQ26" s="186">
        <v>104.663751187</v>
      </c>
      <c r="AR26" s="186"/>
      <c r="AS26" s="186"/>
      <c r="AT26" s="186"/>
      <c r="AU26" s="186">
        <v>239.35555689200001</v>
      </c>
      <c r="AV26" s="186"/>
      <c r="AW26" s="186"/>
      <c r="AX26" s="186">
        <v>37.006307311956597</v>
      </c>
      <c r="AY26" s="186">
        <v>465.677022384</v>
      </c>
      <c r="AZ26" s="186"/>
      <c r="BA26" s="186">
        <v>44.3633006787</v>
      </c>
      <c r="BB26" s="186">
        <v>234.08214709078001</v>
      </c>
      <c r="BC26" s="186">
        <v>117.026146587</v>
      </c>
      <c r="BD26" s="186"/>
      <c r="BE26" s="186"/>
      <c r="BF26" s="186"/>
      <c r="BG26" s="247">
        <f t="shared" si="0"/>
        <v>5030.246653584737</v>
      </c>
    </row>
    <row r="27" spans="2:59" x14ac:dyDescent="0.2">
      <c r="B27" s="193" t="s">
        <v>124</v>
      </c>
      <c r="C27" s="184" t="s">
        <v>119</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v>93.121614927500005</v>
      </c>
      <c r="AD27" s="186"/>
      <c r="AE27" s="186">
        <v>10</v>
      </c>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v>128</v>
      </c>
      <c r="BC27" s="186"/>
      <c r="BD27" s="186"/>
      <c r="BE27" s="186"/>
      <c r="BF27" s="186"/>
      <c r="BG27" s="247">
        <f t="shared" si="0"/>
        <v>231.12161492749999</v>
      </c>
    </row>
    <row r="28" spans="2:59" x14ac:dyDescent="0.2">
      <c r="B28" s="193" t="s">
        <v>124</v>
      </c>
      <c r="C28" s="184" t="s">
        <v>33</v>
      </c>
      <c r="D28" s="186"/>
      <c r="E28" s="186"/>
      <c r="F28" s="186"/>
      <c r="G28" s="186"/>
      <c r="H28" s="186"/>
      <c r="I28" s="186"/>
      <c r="J28" s="186"/>
      <c r="K28" s="186"/>
      <c r="L28" s="186"/>
      <c r="M28" s="186"/>
      <c r="N28" s="186"/>
      <c r="O28" s="186"/>
      <c r="P28" s="186"/>
      <c r="Q28" s="186"/>
      <c r="R28" s="186"/>
      <c r="S28" s="186"/>
      <c r="T28" s="186">
        <v>99.199197683199998</v>
      </c>
      <c r="U28" s="186"/>
      <c r="V28" s="186"/>
      <c r="W28" s="186"/>
      <c r="X28" s="186"/>
      <c r="Y28" s="186"/>
      <c r="Z28" s="186"/>
      <c r="AA28" s="186"/>
      <c r="AB28" s="186"/>
      <c r="AC28" s="186"/>
      <c r="AD28" s="186"/>
      <c r="AE28" s="186"/>
      <c r="AF28" s="186"/>
      <c r="AG28" s="186"/>
      <c r="AH28" s="186"/>
      <c r="AI28" s="186">
        <v>489.60342053490001</v>
      </c>
      <c r="AJ28" s="186">
        <v>157.642008011</v>
      </c>
      <c r="AK28" s="186">
        <v>40.128572589999997</v>
      </c>
      <c r="AL28" s="186"/>
      <c r="AM28" s="186"/>
      <c r="AN28" s="186"/>
      <c r="AO28" s="186">
        <v>659.18193422029992</v>
      </c>
      <c r="AP28" s="186">
        <v>290.73490866999998</v>
      </c>
      <c r="AQ28" s="186">
        <v>289.3108911699</v>
      </c>
      <c r="AR28" s="186">
        <v>115.76879787049</v>
      </c>
      <c r="AS28" s="186"/>
      <c r="AT28" s="186">
        <v>379.65319822000004</v>
      </c>
      <c r="AU28" s="186"/>
      <c r="AV28" s="186">
        <v>1933.0347372910001</v>
      </c>
      <c r="AW28" s="186">
        <v>468.47727217829998</v>
      </c>
      <c r="AX28" s="186"/>
      <c r="AY28" s="186"/>
      <c r="AZ28" s="186"/>
      <c r="BA28" s="186"/>
      <c r="BB28" s="186"/>
      <c r="BC28" s="186"/>
      <c r="BD28" s="186"/>
      <c r="BE28" s="186"/>
      <c r="BF28" s="186"/>
      <c r="BG28" s="247">
        <f t="shared" si="0"/>
        <v>4922.73493843909</v>
      </c>
    </row>
    <row r="29" spans="2:59" x14ac:dyDescent="0.2">
      <c r="B29" s="206" t="s">
        <v>118</v>
      </c>
      <c r="C29" s="274" t="s">
        <v>38</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48">
        <f t="shared" si="0"/>
        <v>0</v>
      </c>
    </row>
    <row r="30" spans="2:59" x14ac:dyDescent="0.2">
      <c r="B30" s="193" t="s">
        <v>118</v>
      </c>
      <c r="C30" s="275" t="s">
        <v>41</v>
      </c>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47">
        <f t="shared" si="0"/>
        <v>0</v>
      </c>
    </row>
    <row r="31" spans="2:59" x14ac:dyDescent="0.2">
      <c r="B31" s="193" t="s">
        <v>118</v>
      </c>
      <c r="C31" s="184" t="s">
        <v>37</v>
      </c>
      <c r="D31" s="186"/>
      <c r="E31" s="186"/>
      <c r="F31" s="186"/>
      <c r="G31" s="186"/>
      <c r="H31" s="186"/>
      <c r="I31" s="186"/>
      <c r="J31" s="186"/>
      <c r="K31" s="186"/>
      <c r="L31" s="186"/>
      <c r="M31" s="186"/>
      <c r="N31" s="186">
        <v>274.97931064400001</v>
      </c>
      <c r="O31" s="186"/>
      <c r="P31" s="186"/>
      <c r="Q31" s="186"/>
      <c r="R31" s="186"/>
      <c r="S31" s="186"/>
      <c r="T31" s="186"/>
      <c r="U31" s="186">
        <v>201.20505403549998</v>
      </c>
      <c r="V31" s="186"/>
      <c r="W31" s="186"/>
      <c r="X31" s="186"/>
      <c r="Y31" s="186"/>
      <c r="Z31" s="186"/>
      <c r="AA31" s="186">
        <v>198.65839953790001</v>
      </c>
      <c r="AB31" s="186">
        <v>188.834387424</v>
      </c>
      <c r="AC31" s="186">
        <v>229.65166156050003</v>
      </c>
      <c r="AD31" s="186">
        <v>126.82122658199999</v>
      </c>
      <c r="AE31" s="186"/>
      <c r="AF31" s="186">
        <v>950.32685438480007</v>
      </c>
      <c r="AG31" s="186"/>
      <c r="AH31" s="186">
        <v>67.154074061599999</v>
      </c>
      <c r="AI31" s="186">
        <v>282.612705264</v>
      </c>
      <c r="AJ31" s="186">
        <v>19.518952687100001</v>
      </c>
      <c r="AK31" s="186">
        <v>718.79291014360001</v>
      </c>
      <c r="AL31" s="186">
        <v>1851.7569497263999</v>
      </c>
      <c r="AM31" s="186">
        <v>334.10501892320002</v>
      </c>
      <c r="AN31" s="186"/>
      <c r="AO31" s="186"/>
      <c r="AP31" s="186">
        <v>347.38994970018996</v>
      </c>
      <c r="AQ31" s="186">
        <v>255.192502284</v>
      </c>
      <c r="AR31" s="186"/>
      <c r="AS31" s="186">
        <v>619.13792768400003</v>
      </c>
      <c r="AT31" s="186">
        <v>471.28016409420002</v>
      </c>
      <c r="AU31" s="186">
        <v>1203.6306471098299</v>
      </c>
      <c r="AV31" s="186">
        <v>12.455318598120002</v>
      </c>
      <c r="AW31" s="186">
        <v>258.00533362207801</v>
      </c>
      <c r="AX31" s="186"/>
      <c r="AY31" s="186">
        <v>111.7303053607</v>
      </c>
      <c r="AZ31" s="186"/>
      <c r="BA31" s="186">
        <v>392.94213595790001</v>
      </c>
      <c r="BB31" s="186">
        <v>186.13585475320002</v>
      </c>
      <c r="BC31" s="186"/>
      <c r="BD31" s="186"/>
      <c r="BE31" s="186"/>
      <c r="BF31" s="186"/>
      <c r="BG31" s="247">
        <f t="shared" si="0"/>
        <v>9302.317644138815</v>
      </c>
    </row>
    <row r="32" spans="2:59" x14ac:dyDescent="0.2">
      <c r="B32" s="193" t="s">
        <v>118</v>
      </c>
      <c r="C32" s="184" t="s">
        <v>36</v>
      </c>
      <c r="D32" s="186"/>
      <c r="E32" s="186"/>
      <c r="F32" s="186"/>
      <c r="G32" s="186"/>
      <c r="H32" s="186">
        <v>1.38693363409</v>
      </c>
      <c r="I32" s="186"/>
      <c r="J32" s="186"/>
      <c r="K32" s="186"/>
      <c r="L32" s="186"/>
      <c r="M32" s="186"/>
      <c r="N32" s="186"/>
      <c r="O32" s="186"/>
      <c r="P32" s="186"/>
      <c r="Q32" s="186"/>
      <c r="R32" s="186"/>
      <c r="S32" s="186"/>
      <c r="T32" s="186">
        <v>394.76729729160002</v>
      </c>
      <c r="U32" s="186"/>
      <c r="V32" s="186"/>
      <c r="W32" s="186"/>
      <c r="X32" s="186"/>
      <c r="Y32" s="186">
        <v>62.694937029899997</v>
      </c>
      <c r="Z32" s="186"/>
      <c r="AA32" s="186"/>
      <c r="AB32" s="186"/>
      <c r="AC32" s="186"/>
      <c r="AD32" s="186"/>
      <c r="AE32" s="186"/>
      <c r="AF32" s="186"/>
      <c r="AG32" s="186"/>
      <c r="AH32" s="186"/>
      <c r="AI32" s="186"/>
      <c r="AJ32" s="186">
        <v>437.27203161339997</v>
      </c>
      <c r="AK32" s="186">
        <v>58.199664683199998</v>
      </c>
      <c r="AL32" s="186">
        <v>288.250255471</v>
      </c>
      <c r="AM32" s="186">
        <v>507.73291368059995</v>
      </c>
      <c r="AN32" s="186">
        <v>226.89897627100001</v>
      </c>
      <c r="AO32" s="186">
        <v>453.07820108300001</v>
      </c>
      <c r="AP32" s="186">
        <v>382.16385717580005</v>
      </c>
      <c r="AQ32" s="186">
        <v>375.98449912000001</v>
      </c>
      <c r="AR32" s="186">
        <v>617.57918919046995</v>
      </c>
      <c r="AS32" s="186">
        <v>158.20811245900001</v>
      </c>
      <c r="AT32" s="186">
        <v>299.09880416709996</v>
      </c>
      <c r="AU32" s="186">
        <v>1172.6027327510001</v>
      </c>
      <c r="AV32" s="186">
        <v>572.16892317400004</v>
      </c>
      <c r="AW32" s="186">
        <v>2146.6928116326999</v>
      </c>
      <c r="AX32" s="186">
        <v>540.48877233379994</v>
      </c>
      <c r="AY32" s="186">
        <v>1469.80572201718</v>
      </c>
      <c r="AZ32" s="186">
        <v>93.056974555191005</v>
      </c>
      <c r="BA32" s="186">
        <v>459.40074838100003</v>
      </c>
      <c r="BB32" s="186"/>
      <c r="BC32" s="186">
        <v>535.50140364100002</v>
      </c>
      <c r="BD32" s="186">
        <v>478.23954414026997</v>
      </c>
      <c r="BE32" s="186"/>
      <c r="BF32" s="186"/>
      <c r="BG32" s="247">
        <f t="shared" si="0"/>
        <v>11731.273305496301</v>
      </c>
    </row>
    <row r="33" spans="1:59" x14ac:dyDescent="0.2">
      <c r="B33" s="193" t="s">
        <v>118</v>
      </c>
      <c r="C33" s="184" t="s">
        <v>35</v>
      </c>
      <c r="D33" s="186"/>
      <c r="E33" s="186"/>
      <c r="F33" s="186"/>
      <c r="G33" s="186"/>
      <c r="H33" s="186"/>
      <c r="I33" s="186">
        <v>82.045602572199996</v>
      </c>
      <c r="J33" s="186"/>
      <c r="K33" s="186"/>
      <c r="L33" s="186"/>
      <c r="M33" s="186"/>
      <c r="N33" s="186">
        <v>21.056925242199998</v>
      </c>
      <c r="O33" s="186"/>
      <c r="P33" s="186">
        <v>242.83033323999999</v>
      </c>
      <c r="Q33" s="186">
        <v>1447.316654449</v>
      </c>
      <c r="R33" s="186">
        <v>106.228860733</v>
      </c>
      <c r="S33" s="186">
        <v>636.80619815399996</v>
      </c>
      <c r="T33" s="186">
        <v>356.70525851440004</v>
      </c>
      <c r="U33" s="186">
        <v>152.46655259779999</v>
      </c>
      <c r="V33" s="186"/>
      <c r="W33" s="186">
        <v>1094.3503971721002</v>
      </c>
      <c r="X33" s="186">
        <v>1317.6614359580001</v>
      </c>
      <c r="Y33" s="186">
        <v>698.97091686700003</v>
      </c>
      <c r="Z33" s="186">
        <v>1498.091780581</v>
      </c>
      <c r="AA33" s="186">
        <v>717.23449692899999</v>
      </c>
      <c r="AB33" s="186">
        <v>321.13077260479997</v>
      </c>
      <c r="AC33" s="186">
        <v>853.40258231000007</v>
      </c>
      <c r="AD33" s="186">
        <v>558.41703392519992</v>
      </c>
      <c r="AE33" s="186">
        <v>409.66140465199999</v>
      </c>
      <c r="AF33" s="186">
        <v>1763.856893572</v>
      </c>
      <c r="AG33" s="186">
        <v>66.416962631199993</v>
      </c>
      <c r="AH33" s="186">
        <v>3010.3106305003998</v>
      </c>
      <c r="AI33" s="186">
        <v>930.30936813109997</v>
      </c>
      <c r="AJ33" s="186">
        <v>257.54037172199997</v>
      </c>
      <c r="AK33" s="186">
        <v>688.06666818807798</v>
      </c>
      <c r="AL33" s="186">
        <v>3029.795525348</v>
      </c>
      <c r="AM33" s="186">
        <v>1022.132210345</v>
      </c>
      <c r="AN33" s="186">
        <v>1057.6289833646999</v>
      </c>
      <c r="AO33" s="186">
        <v>1336.8794747635</v>
      </c>
      <c r="AP33" s="186">
        <v>2237.0175507106997</v>
      </c>
      <c r="AQ33" s="186">
        <v>2128.7973271743999</v>
      </c>
      <c r="AR33" s="186">
        <v>769.97258502490001</v>
      </c>
      <c r="AS33" s="186">
        <v>1920.6459637921</v>
      </c>
      <c r="AT33" s="186">
        <v>2191.1782963421001</v>
      </c>
      <c r="AU33" s="186">
        <v>518.81578968849999</v>
      </c>
      <c r="AV33" s="186">
        <v>1385.5950140145001</v>
      </c>
      <c r="AW33" s="186">
        <v>495.25454670783267</v>
      </c>
      <c r="AX33" s="186">
        <v>397.63997598669999</v>
      </c>
      <c r="AY33" s="186">
        <v>2883.6415085227</v>
      </c>
      <c r="AZ33" s="186">
        <v>272.82461717553247</v>
      </c>
      <c r="BA33" s="186">
        <v>1880.8028963700197</v>
      </c>
      <c r="BB33" s="186">
        <v>1854.0870287578073</v>
      </c>
      <c r="BC33" s="186">
        <v>604.41478413559196</v>
      </c>
      <c r="BD33" s="186">
        <v>279.11896077680001</v>
      </c>
      <c r="BE33" s="186"/>
      <c r="BF33" s="186"/>
      <c r="BG33" s="247">
        <f t="shared" si="0"/>
        <v>43497.121140247866</v>
      </c>
    </row>
    <row r="34" spans="1:59" x14ac:dyDescent="0.2">
      <c r="B34" s="193" t="s">
        <v>118</v>
      </c>
      <c r="C34" s="184" t="s">
        <v>34</v>
      </c>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v>115.862011112</v>
      </c>
      <c r="AC34" s="186"/>
      <c r="AD34" s="186"/>
      <c r="AE34" s="186"/>
      <c r="AF34" s="186"/>
      <c r="AG34" s="186"/>
      <c r="AH34" s="186"/>
      <c r="AI34" s="186"/>
      <c r="AJ34" s="186"/>
      <c r="AK34" s="186"/>
      <c r="AL34" s="186"/>
      <c r="AM34" s="186"/>
      <c r="AN34" s="186"/>
      <c r="AO34" s="186"/>
      <c r="AP34" s="186">
        <v>600.30767140199998</v>
      </c>
      <c r="AQ34" s="186">
        <v>32.6696038089</v>
      </c>
      <c r="AR34" s="186"/>
      <c r="AS34" s="186"/>
      <c r="AT34" s="186">
        <v>62.319015936500001</v>
      </c>
      <c r="AU34" s="186">
        <v>80.286830349900001</v>
      </c>
      <c r="AV34" s="186">
        <v>5.3082039335399998</v>
      </c>
      <c r="AW34" s="186">
        <v>146.36340973</v>
      </c>
      <c r="AX34" s="186"/>
      <c r="AY34" s="186">
        <v>203.41015035877751</v>
      </c>
      <c r="AZ34" s="186"/>
      <c r="BA34" s="186"/>
      <c r="BB34" s="186"/>
      <c r="BC34" s="186">
        <v>662.34737893719989</v>
      </c>
      <c r="BD34" s="186">
        <v>144.81166356700001</v>
      </c>
      <c r="BE34" s="186"/>
      <c r="BF34" s="186"/>
      <c r="BG34" s="247">
        <f t="shared" si="0"/>
        <v>2053.6859391358175</v>
      </c>
    </row>
    <row r="35" spans="1:59" x14ac:dyDescent="0.2">
      <c r="B35" s="193"/>
      <c r="C35" s="184" t="s">
        <v>31</v>
      </c>
      <c r="D35" s="186"/>
      <c r="E35" s="186"/>
      <c r="F35" s="186"/>
      <c r="G35" s="186"/>
      <c r="H35" s="186">
        <v>58.987315044940004</v>
      </c>
      <c r="I35" s="186"/>
      <c r="J35" s="186"/>
      <c r="K35" s="186"/>
      <c r="L35" s="186">
        <v>77.879521374800007</v>
      </c>
      <c r="M35" s="186">
        <v>197.53206446799999</v>
      </c>
      <c r="N35" s="186">
        <v>441.96748971269994</v>
      </c>
      <c r="O35" s="186">
        <v>239.06466677100002</v>
      </c>
      <c r="P35" s="186"/>
      <c r="Q35" s="186">
        <v>832.38367619299993</v>
      </c>
      <c r="R35" s="186">
        <v>994.91877103220008</v>
      </c>
      <c r="S35" s="186"/>
      <c r="T35" s="186">
        <v>115.96828521499999</v>
      </c>
      <c r="U35" s="186">
        <v>122.05277582759999</v>
      </c>
      <c r="V35" s="186">
        <v>214.866863293645</v>
      </c>
      <c r="W35" s="186"/>
      <c r="X35" s="186">
        <v>240.39530016610001</v>
      </c>
      <c r="Y35" s="186">
        <v>923.32242285899997</v>
      </c>
      <c r="Z35" s="186">
        <v>864.21059384135015</v>
      </c>
      <c r="AA35" s="186">
        <v>336.72810031400002</v>
      </c>
      <c r="AB35" s="186">
        <v>2666.9600010167997</v>
      </c>
      <c r="AC35" s="186">
        <v>2867.1885562902003</v>
      </c>
      <c r="AD35" s="186">
        <v>449.89038753599999</v>
      </c>
      <c r="AE35" s="186">
        <v>1978.7541827312</v>
      </c>
      <c r="AF35" s="186">
        <v>2298.9996124328181</v>
      </c>
      <c r="AG35" s="186">
        <v>1524.57466997085</v>
      </c>
      <c r="AH35" s="186">
        <v>797.49568290699995</v>
      </c>
      <c r="AI35" s="186">
        <v>1062.3232937437999</v>
      </c>
      <c r="AJ35" s="186">
        <v>4270.9348079643996</v>
      </c>
      <c r="AK35" s="186">
        <v>2135.0059266629996</v>
      </c>
      <c r="AL35" s="186">
        <v>2862.5155239862565</v>
      </c>
      <c r="AM35" s="186">
        <v>3191.5831655559</v>
      </c>
      <c r="AN35" s="186">
        <v>6214.8160778394995</v>
      </c>
      <c r="AO35" s="186">
        <v>7269.5290465882708</v>
      </c>
      <c r="AP35" s="186">
        <v>2184.1579960939998</v>
      </c>
      <c r="AQ35" s="186">
        <v>6641.8298172203004</v>
      </c>
      <c r="AR35" s="186">
        <v>5009.3248712214699</v>
      </c>
      <c r="AS35" s="186">
        <v>4241.8742785901495</v>
      </c>
      <c r="AT35" s="186">
        <v>6078.2429720694863</v>
      </c>
      <c r="AU35" s="186">
        <v>8904.8262486907097</v>
      </c>
      <c r="AV35" s="186">
        <v>4724.1850067446012</v>
      </c>
      <c r="AW35" s="186">
        <v>2293.4709350399903</v>
      </c>
      <c r="AX35" s="186">
        <v>3439.4382839828531</v>
      </c>
      <c r="AY35" s="186">
        <v>8753.9640461549843</v>
      </c>
      <c r="AZ35" s="186">
        <v>6491.8598245070698</v>
      </c>
      <c r="BA35" s="186">
        <v>6517.8107006784494</v>
      </c>
      <c r="BB35" s="186">
        <v>10437.844891531518</v>
      </c>
      <c r="BC35" s="186">
        <v>8990.1488066912207</v>
      </c>
      <c r="BD35" s="186">
        <v>9975.9177680839548</v>
      </c>
      <c r="BE35" s="186"/>
      <c r="BF35" s="186"/>
      <c r="BG35" s="247">
        <f t="shared" si="0"/>
        <v>139935.74522864009</v>
      </c>
    </row>
    <row r="36" spans="1:59" s="193" customFormat="1" x14ac:dyDescent="0.2"/>
    <row r="37" spans="1:59" x14ac:dyDescent="0.2">
      <c r="A37" s="188"/>
      <c r="B37" s="188"/>
      <c r="C37" s="250" t="s">
        <v>115</v>
      </c>
      <c r="D37" s="249">
        <f>SUM(D7:D36)</f>
        <v>246</v>
      </c>
      <c r="E37" s="249">
        <f t="shared" ref="E37:BE37" si="1">SUM(E7:E36)</f>
        <v>0</v>
      </c>
      <c r="F37" s="249">
        <f t="shared" si="1"/>
        <v>217.68691515099999</v>
      </c>
      <c r="G37" s="249">
        <f t="shared" si="1"/>
        <v>62.833692276599997</v>
      </c>
      <c r="H37" s="249">
        <f t="shared" si="1"/>
        <v>60.374248679030003</v>
      </c>
      <c r="I37" s="249">
        <f t="shared" si="1"/>
        <v>514.31759546640001</v>
      </c>
      <c r="J37" s="249">
        <f t="shared" si="1"/>
        <v>602</v>
      </c>
      <c r="K37" s="249">
        <f t="shared" si="1"/>
        <v>59.522262576000003</v>
      </c>
      <c r="L37" s="249">
        <f t="shared" si="1"/>
        <v>214.66982974670003</v>
      </c>
      <c r="M37" s="249">
        <f t="shared" si="1"/>
        <v>322.53206446799999</v>
      </c>
      <c r="N37" s="249">
        <f t="shared" si="1"/>
        <v>997.16040158680005</v>
      </c>
      <c r="O37" s="249">
        <f t="shared" si="1"/>
        <v>239.06466677100002</v>
      </c>
      <c r="P37" s="249">
        <f t="shared" si="1"/>
        <v>1132.6226022788001</v>
      </c>
      <c r="Q37" s="249">
        <f t="shared" si="1"/>
        <v>3175.5346472204001</v>
      </c>
      <c r="R37" s="249">
        <f t="shared" si="1"/>
        <v>1956.6436285095001</v>
      </c>
      <c r="S37" s="249">
        <f t="shared" si="1"/>
        <v>3500.5962141451</v>
      </c>
      <c r="T37" s="249">
        <f t="shared" si="1"/>
        <v>1867.3394807187001</v>
      </c>
      <c r="U37" s="249">
        <f t="shared" si="1"/>
        <v>1827.8304791130909</v>
      </c>
      <c r="V37" s="249">
        <f t="shared" si="1"/>
        <v>644.60164992884495</v>
      </c>
      <c r="W37" s="249">
        <f t="shared" si="1"/>
        <v>3447.0147860432003</v>
      </c>
      <c r="X37" s="249">
        <f t="shared" si="1"/>
        <v>2694.8289930505007</v>
      </c>
      <c r="Y37" s="249">
        <f t="shared" si="1"/>
        <v>5815.8207687036993</v>
      </c>
      <c r="Z37" s="249">
        <f t="shared" si="1"/>
        <v>8026.46285394595</v>
      </c>
      <c r="AA37" s="249">
        <f t="shared" si="1"/>
        <v>2185.7694709688599</v>
      </c>
      <c r="AB37" s="249">
        <f t="shared" si="1"/>
        <v>5426.0539458416988</v>
      </c>
      <c r="AC37" s="249">
        <f t="shared" si="1"/>
        <v>7051.2440480647001</v>
      </c>
      <c r="AD37" s="249">
        <f t="shared" si="1"/>
        <v>4820.2149574488003</v>
      </c>
      <c r="AE37" s="249">
        <f t="shared" si="1"/>
        <v>8022.9368350190989</v>
      </c>
      <c r="AF37" s="249">
        <f t="shared" si="1"/>
        <v>10368.787131522418</v>
      </c>
      <c r="AG37" s="249">
        <f t="shared" si="1"/>
        <v>5297.1683724121503</v>
      </c>
      <c r="AH37" s="249">
        <f t="shared" si="1"/>
        <v>7600.6185918618994</v>
      </c>
      <c r="AI37" s="249">
        <f t="shared" si="1"/>
        <v>11869.822881083903</v>
      </c>
      <c r="AJ37" s="249">
        <f t="shared" si="1"/>
        <v>19479.600339548699</v>
      </c>
      <c r="AK37" s="249">
        <f t="shared" si="1"/>
        <v>28306.437609564084</v>
      </c>
      <c r="AL37" s="249">
        <f t="shared" si="1"/>
        <v>19292.331108560989</v>
      </c>
      <c r="AM37" s="249">
        <f t="shared" si="1"/>
        <v>28267.052230613401</v>
      </c>
      <c r="AN37" s="249">
        <f t="shared" si="1"/>
        <v>18054.585598109523</v>
      </c>
      <c r="AO37" s="249">
        <f t="shared" si="1"/>
        <v>28359.820806818672</v>
      </c>
      <c r="AP37" s="249">
        <f t="shared" si="1"/>
        <v>26055.322115747265</v>
      </c>
      <c r="AQ37" s="249">
        <f t="shared" si="1"/>
        <v>26153.838182411</v>
      </c>
      <c r="AR37" s="249">
        <f t="shared" si="1"/>
        <v>30927.493767820597</v>
      </c>
      <c r="AS37" s="249">
        <f t="shared" si="1"/>
        <v>26178.509172876849</v>
      </c>
      <c r="AT37" s="249">
        <f t="shared" si="1"/>
        <v>31718.074040530882</v>
      </c>
      <c r="AU37" s="249">
        <f t="shared" si="1"/>
        <v>25798.906601002942</v>
      </c>
      <c r="AV37" s="249">
        <f t="shared" si="1"/>
        <v>23464.045768586322</v>
      </c>
      <c r="AW37" s="249">
        <f t="shared" si="1"/>
        <v>15128.766412523464</v>
      </c>
      <c r="AX37" s="249">
        <f t="shared" si="1"/>
        <v>20255.576425889471</v>
      </c>
      <c r="AY37" s="249">
        <f t="shared" si="1"/>
        <v>29407.996328079942</v>
      </c>
      <c r="AZ37" s="249">
        <f t="shared" si="1"/>
        <v>21635.965475214703</v>
      </c>
      <c r="BA37" s="249">
        <f t="shared" si="1"/>
        <v>47964.531830946522</v>
      </c>
      <c r="BB37" s="249">
        <f t="shared" si="1"/>
        <v>26493.225215019636</v>
      </c>
      <c r="BC37" s="249">
        <f t="shared" si="1"/>
        <v>43831.285485063127</v>
      </c>
      <c r="BD37" s="249">
        <f t="shared" si="1"/>
        <v>19843.043119698275</v>
      </c>
      <c r="BE37" s="249">
        <f t="shared" si="1"/>
        <v>760.28730270539995</v>
      </c>
      <c r="BF37" s="187"/>
      <c r="BG37" s="249">
        <f>SUM(D37:BE37)</f>
        <v>657644.76895193453</v>
      </c>
    </row>
    <row r="39" spans="1:59" x14ac:dyDescent="0.2">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2" spans="1:59" x14ac:dyDescent="0.2">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row>
  </sheetData>
  <pageMargins left="0.7" right="0.7" top="0.75" bottom="0.75" header="0.3" footer="0.3"/>
  <pageSetup paperSize="9" orientation="portrait" r:id="rId1"/>
  <ignoredErrors>
    <ignoredError sqref="D37:BE3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pageSetUpPr fitToPage="1"/>
  </sheetPr>
  <dimension ref="A1:BQ70"/>
  <sheetViews>
    <sheetView showGridLines="0" tabSelected="1" zoomScale="85" zoomScaleNormal="85" workbookViewId="0">
      <selection activeCell="I3" sqref="I3"/>
    </sheetView>
  </sheetViews>
  <sheetFormatPr defaultColWidth="9" defaultRowHeight="12.75" x14ac:dyDescent="0.2"/>
  <cols>
    <col min="1" max="1" width="3.625" style="1" customWidth="1"/>
    <col min="2" max="2" width="35.25" style="1" customWidth="1"/>
    <col min="3" max="6" width="8.625" style="1" customWidth="1"/>
    <col min="7" max="7" width="17.375" style="6" customWidth="1"/>
    <col min="8" max="12" width="11.375" style="6" customWidth="1"/>
    <col min="13" max="68" width="11.375" style="1" customWidth="1"/>
    <col min="69" max="16384" width="9" style="1"/>
  </cols>
  <sheetData>
    <row r="1" spans="1:58" ht="18.75" x14ac:dyDescent="0.3">
      <c r="A1" s="197" t="str">
        <f>Output!A1</f>
        <v>PAL Accelerated depreciation</v>
      </c>
      <c r="B1" s="197"/>
      <c r="C1" s="197"/>
      <c r="D1" s="197"/>
      <c r="E1" s="197"/>
      <c r="F1" s="197"/>
      <c r="G1" s="198"/>
      <c r="H1" s="198"/>
      <c r="I1" s="198"/>
      <c r="J1" s="198"/>
      <c r="K1" s="198"/>
      <c r="L1" s="198"/>
      <c r="M1" s="197"/>
      <c r="N1" s="197"/>
      <c r="O1" s="197"/>
      <c r="P1" s="197"/>
      <c r="Q1" s="197"/>
      <c r="R1" s="197"/>
      <c r="S1" s="197"/>
      <c r="T1" s="197"/>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row>
    <row r="2" spans="1:58" ht="15.75" x14ac:dyDescent="0.25">
      <c r="A2" s="200" t="s">
        <v>136</v>
      </c>
      <c r="B2" s="200"/>
      <c r="C2" s="200"/>
      <c r="D2" s="200"/>
      <c r="E2" s="200"/>
      <c r="F2" s="200"/>
      <c r="G2" s="201"/>
      <c r="H2" s="201"/>
      <c r="I2" s="201"/>
      <c r="J2" s="201"/>
      <c r="K2" s="201"/>
      <c r="L2" s="201"/>
      <c r="M2" s="200"/>
      <c r="N2" s="200"/>
      <c r="O2" s="200"/>
      <c r="P2" s="200"/>
      <c r="Q2" s="200"/>
      <c r="R2" s="200"/>
      <c r="S2" s="200"/>
      <c r="T2" s="200"/>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row>
    <row r="3" spans="1:58" x14ac:dyDescent="0.2">
      <c r="A3" s="2"/>
      <c r="B3" s="2"/>
      <c r="C3" s="2"/>
      <c r="D3" s="323"/>
      <c r="E3" s="323"/>
      <c r="F3" s="15"/>
      <c r="G3" s="323"/>
      <c r="H3" s="323"/>
      <c r="I3" s="2"/>
      <c r="J3" s="15"/>
      <c r="K3" s="324"/>
      <c r="L3" s="2"/>
      <c r="M3" s="2"/>
      <c r="N3" s="293" t="s">
        <v>191</v>
      </c>
      <c r="O3" s="292"/>
      <c r="P3" s="2"/>
      <c r="Q3" s="2"/>
      <c r="R3" s="2"/>
      <c r="S3" s="2"/>
      <c r="T3" s="2"/>
    </row>
    <row r="4" spans="1:58" x14ac:dyDescent="0.2">
      <c r="B4" s="3" t="s">
        <v>2</v>
      </c>
      <c r="C4" s="202">
        <v>51</v>
      </c>
      <c r="H4" s="2"/>
      <c r="I4" s="2"/>
      <c r="J4" s="2"/>
      <c r="K4" s="2"/>
      <c r="L4" s="2"/>
      <c r="M4" s="2"/>
      <c r="N4" s="2"/>
      <c r="O4" s="2"/>
      <c r="P4" s="2"/>
      <c r="Q4" s="2"/>
      <c r="R4" s="2"/>
      <c r="S4" s="2"/>
      <c r="T4" s="2"/>
    </row>
    <row r="5" spans="1:58" x14ac:dyDescent="0.2">
      <c r="B5" s="3" t="s">
        <v>9</v>
      </c>
      <c r="C5" s="348"/>
      <c r="H5" s="4"/>
      <c r="I5" s="4"/>
      <c r="J5" s="4"/>
      <c r="K5" s="4"/>
      <c r="L5" s="4"/>
      <c r="M5" s="2"/>
      <c r="N5" s="2"/>
      <c r="O5" s="2"/>
      <c r="P5" s="2"/>
      <c r="Q5" s="2"/>
      <c r="R5" s="2"/>
      <c r="S5" s="2"/>
      <c r="T5" s="2"/>
    </row>
    <row r="6" spans="1:58" x14ac:dyDescent="0.2">
      <c r="H6" s="4"/>
      <c r="I6" s="4"/>
      <c r="J6" s="4"/>
      <c r="K6" s="4"/>
      <c r="L6" s="4"/>
      <c r="M6" s="2"/>
      <c r="N6" s="2"/>
      <c r="O6" s="2"/>
      <c r="P6" s="2"/>
      <c r="Q6" s="2"/>
      <c r="R6" s="2"/>
      <c r="S6" s="2"/>
      <c r="T6" s="2"/>
    </row>
    <row r="7" spans="1:58" x14ac:dyDescent="0.2">
      <c r="A7" s="2"/>
      <c r="B7" s="5"/>
      <c r="C7" s="2"/>
      <c r="D7" s="2"/>
      <c r="E7" s="2"/>
      <c r="F7" s="2"/>
      <c r="G7" s="49" t="s">
        <v>23</v>
      </c>
      <c r="H7" s="50"/>
      <c r="I7" s="50"/>
      <c r="J7" s="50"/>
      <c r="K7" s="50"/>
      <c r="L7" s="50"/>
      <c r="M7" s="2"/>
      <c r="N7" s="2"/>
      <c r="O7" s="2"/>
      <c r="P7" s="2"/>
      <c r="Q7" s="2"/>
      <c r="R7" s="2"/>
      <c r="S7" s="2"/>
      <c r="T7" s="2"/>
    </row>
    <row r="8" spans="1:58" ht="25.5" x14ac:dyDescent="0.2">
      <c r="A8" s="2"/>
      <c r="B8" s="7" t="s">
        <v>0</v>
      </c>
      <c r="C8" s="8" t="s">
        <v>12</v>
      </c>
      <c r="D8" s="8" t="s">
        <v>11</v>
      </c>
      <c r="E8" s="8" t="s">
        <v>13</v>
      </c>
      <c r="F8" s="8" t="s">
        <v>10</v>
      </c>
      <c r="G8" s="48" t="s">
        <v>1</v>
      </c>
      <c r="H8" s="22">
        <v>2022</v>
      </c>
      <c r="I8" s="22">
        <v>2023</v>
      </c>
      <c r="J8" s="22">
        <v>2024</v>
      </c>
      <c r="K8" s="22">
        <v>2025</v>
      </c>
      <c r="L8" s="22">
        <v>2026</v>
      </c>
      <c r="M8" s="2"/>
      <c r="N8" s="2"/>
      <c r="O8" s="2"/>
      <c r="P8" s="2"/>
      <c r="Q8" s="2"/>
      <c r="R8" s="2"/>
      <c r="S8" s="2"/>
      <c r="T8" s="2"/>
    </row>
    <row r="9" spans="1:58" x14ac:dyDescent="0.2">
      <c r="A9" s="2"/>
      <c r="B9" s="10" t="s">
        <v>5</v>
      </c>
      <c r="C9" s="14">
        <v>51</v>
      </c>
      <c r="D9" s="327">
        <v>19</v>
      </c>
      <c r="E9" s="326">
        <v>0</v>
      </c>
      <c r="F9" s="326">
        <v>84196.673697598555</v>
      </c>
      <c r="G9" s="194">
        <f>(E9*F9)/Assumptions!$C$5*D9</f>
        <v>0</v>
      </c>
      <c r="H9" s="328"/>
      <c r="I9" s="329"/>
      <c r="J9" s="329"/>
      <c r="K9" s="329"/>
      <c r="L9" s="329"/>
      <c r="M9" s="15"/>
      <c r="N9" s="15" t="str">
        <f>IF(G9=SUM(H9:L9),"ok","check")</f>
        <v>ok</v>
      </c>
      <c r="O9" s="15"/>
      <c r="P9" s="2"/>
      <c r="Q9" s="2"/>
      <c r="R9" s="2"/>
      <c r="S9" s="2"/>
      <c r="T9" s="2"/>
    </row>
    <row r="10" spans="1:58" x14ac:dyDescent="0.2">
      <c r="A10" s="2"/>
      <c r="B10" s="11" t="s">
        <v>4</v>
      </c>
      <c r="C10" s="14">
        <v>51</v>
      </c>
      <c r="D10" s="14">
        <v>25.5</v>
      </c>
      <c r="E10" s="327">
        <v>9.6</v>
      </c>
      <c r="F10" s="325">
        <f>OtherAssets!C9*Assumptions!$K$12</f>
        <v>437035.39823008847</v>
      </c>
      <c r="G10" s="194">
        <f>(E10*F10)/Assumptions!$C$5*D10</f>
        <v>2097769.9115044246</v>
      </c>
      <c r="H10" s="347">
        <f>$G10/5</f>
        <v>419553.98230088491</v>
      </c>
      <c r="I10" s="347">
        <f t="shared" ref="I10:K10" si="0">$G10/5</f>
        <v>419553.98230088491</v>
      </c>
      <c r="J10" s="347">
        <f t="shared" si="0"/>
        <v>419553.98230088491</v>
      </c>
      <c r="K10" s="347">
        <f t="shared" si="0"/>
        <v>419553.98230088491</v>
      </c>
      <c r="L10" s="347">
        <f>$G10/5</f>
        <v>419553.98230088491</v>
      </c>
      <c r="M10" s="15"/>
      <c r="N10" s="15" t="str">
        <f>IF(G10=SUM(H10:L10),"ok","check")</f>
        <v>ok</v>
      </c>
      <c r="O10" s="15"/>
      <c r="P10" s="2"/>
      <c r="Q10" s="2"/>
      <c r="R10" s="2"/>
      <c r="S10" s="2"/>
      <c r="T10" s="2"/>
    </row>
    <row r="11" spans="1:58" x14ac:dyDescent="0.2">
      <c r="A11" s="2"/>
      <c r="B11" s="11" t="s">
        <v>7</v>
      </c>
      <c r="C11" s="14">
        <v>51</v>
      </c>
      <c r="D11" s="352">
        <f>C11-(2+5.24029126213592)</f>
        <v>43.759708737864081</v>
      </c>
      <c r="E11" s="326">
        <v>1652.4910650464619</v>
      </c>
      <c r="F11" s="326">
        <v>3693.1366828572186</v>
      </c>
      <c r="G11" s="194">
        <f>(E11*F11)/Assumptions!$C$5*D11</f>
        <v>5236471.5426064143</v>
      </c>
      <c r="H11" s="330">
        <f>$G11/2</f>
        <v>2618235.7713032071</v>
      </c>
      <c r="I11" s="330">
        <f>$G11/2</f>
        <v>2618235.7713032071</v>
      </c>
      <c r="J11" s="239">
        <v>0</v>
      </c>
      <c r="K11" s="239">
        <v>0</v>
      </c>
      <c r="L11" s="239">
        <v>0</v>
      </c>
      <c r="M11" s="15"/>
      <c r="N11" s="15" t="str">
        <f t="shared" ref="N11:N16" si="1">IF(G11=SUM(H11:L11),"ok","check")</f>
        <v>ok</v>
      </c>
      <c r="O11" s="15"/>
      <c r="P11" s="2"/>
      <c r="Q11" s="2"/>
      <c r="R11" s="2"/>
      <c r="S11" s="2"/>
      <c r="T11" s="2"/>
    </row>
    <row r="12" spans="1:58" x14ac:dyDescent="0.2">
      <c r="A12" s="2"/>
      <c r="B12" s="11" t="s">
        <v>3</v>
      </c>
      <c r="C12" s="14">
        <v>51</v>
      </c>
      <c r="D12" s="14">
        <v>25.5</v>
      </c>
      <c r="E12" s="326">
        <v>75.526656579770872</v>
      </c>
      <c r="F12" s="326">
        <v>68021.799446025092</v>
      </c>
      <c r="G12" s="194">
        <f>(E12*F12)/Assumptions!$C$5*D12</f>
        <v>2568729.5433489927</v>
      </c>
      <c r="H12" s="330">
        <f>$G12/5</f>
        <v>513745.90866979852</v>
      </c>
      <c r="I12" s="330">
        <f t="shared" ref="I12:L12" si="2">$G$12/5</f>
        <v>513745.90866979852</v>
      </c>
      <c r="J12" s="330">
        <f t="shared" si="2"/>
        <v>513745.90866979852</v>
      </c>
      <c r="K12" s="330">
        <f t="shared" si="2"/>
        <v>513745.90866979852</v>
      </c>
      <c r="L12" s="330">
        <f t="shared" si="2"/>
        <v>513745.90866979852</v>
      </c>
      <c r="M12" s="15"/>
      <c r="N12" s="15" t="str">
        <f t="shared" si="1"/>
        <v>ok</v>
      </c>
      <c r="O12" s="15"/>
      <c r="P12" s="2"/>
      <c r="Q12" s="2"/>
      <c r="R12" s="2"/>
      <c r="S12" s="2"/>
      <c r="T12" s="2"/>
    </row>
    <row r="13" spans="1:58" x14ac:dyDescent="0.2">
      <c r="A13" s="2"/>
      <c r="B13" s="11" t="s">
        <v>6</v>
      </c>
      <c r="C13" s="14"/>
      <c r="D13" s="14">
        <f>'T3 surge arrestors'!$D$7</f>
        <v>31.861768802228415</v>
      </c>
      <c r="E13" s="12"/>
      <c r="F13" s="12"/>
      <c r="G13" s="195">
        <f>SUM('T3 surge arrestors'!$H$16:$H$22)*Assumptions!$D$14</f>
        <v>5122164.945568949</v>
      </c>
      <c r="H13" s="330">
        <f>$G13/4</f>
        <v>1280541.2363922372</v>
      </c>
      <c r="I13" s="330">
        <f t="shared" ref="I13:K13" si="3">$G13/4</f>
        <v>1280541.2363922372</v>
      </c>
      <c r="J13" s="330">
        <f t="shared" si="3"/>
        <v>1280541.2363922372</v>
      </c>
      <c r="K13" s="330">
        <f t="shared" si="3"/>
        <v>1280541.2363922372</v>
      </c>
      <c r="L13" s="239">
        <v>0</v>
      </c>
      <c r="M13" s="15"/>
      <c r="N13" s="15" t="str">
        <f t="shared" si="1"/>
        <v>ok</v>
      </c>
      <c r="O13" s="15"/>
      <c r="P13" s="2"/>
      <c r="Q13" s="2"/>
      <c r="R13" s="2"/>
      <c r="S13" s="2"/>
      <c r="T13" s="2"/>
    </row>
    <row r="14" spans="1:58" x14ac:dyDescent="0.2">
      <c r="A14" s="2"/>
      <c r="B14" s="288" t="s">
        <v>178</v>
      </c>
      <c r="C14" s="14"/>
      <c r="D14" s="14">
        <f>D13</f>
        <v>31.861768802228415</v>
      </c>
      <c r="E14" s="12"/>
      <c r="F14" s="12"/>
      <c r="G14" s="195">
        <f>('T3 surge arrestors'!$H$23+'T3 surge arrestors'!$H$24)*Assumptions!$D$14</f>
        <v>2513319.9491245686</v>
      </c>
      <c r="H14" s="330">
        <f>$G14/3</f>
        <v>837773.31637485616</v>
      </c>
      <c r="I14" s="330">
        <f t="shared" ref="I14:J16" si="4">$G14/3</f>
        <v>837773.31637485616</v>
      </c>
      <c r="J14" s="330">
        <f t="shared" si="4"/>
        <v>837773.31637485616</v>
      </c>
      <c r="K14" s="287">
        <v>0</v>
      </c>
      <c r="L14" s="239">
        <v>0</v>
      </c>
      <c r="M14" s="15"/>
      <c r="N14" s="15" t="str">
        <f t="shared" si="1"/>
        <v>ok</v>
      </c>
      <c r="O14" s="15"/>
      <c r="P14" s="2"/>
      <c r="Q14" s="2"/>
      <c r="R14" s="2"/>
      <c r="S14" s="2"/>
      <c r="T14" s="2"/>
    </row>
    <row r="15" spans="1:58" x14ac:dyDescent="0.2">
      <c r="A15" s="2"/>
      <c r="B15" s="288" t="s">
        <v>179</v>
      </c>
      <c r="C15" s="14"/>
      <c r="D15" s="14">
        <f>Other_ACRs!$D$51</f>
        <v>42.820224719101127</v>
      </c>
      <c r="E15" s="12"/>
      <c r="F15" s="12"/>
      <c r="G15" s="346">
        <f>Other_ACRs!G57*Assumptions!$D$14</f>
        <v>1195792.898572393</v>
      </c>
      <c r="H15" s="330">
        <f>$G15/3</f>
        <v>398597.63285746431</v>
      </c>
      <c r="I15" s="330">
        <f t="shared" si="4"/>
        <v>398597.63285746431</v>
      </c>
      <c r="J15" s="330">
        <f t="shared" si="4"/>
        <v>398597.63285746431</v>
      </c>
      <c r="K15" s="287">
        <v>0</v>
      </c>
      <c r="L15" s="239">
        <v>0</v>
      </c>
      <c r="M15" s="15"/>
      <c r="N15" s="15" t="str">
        <f t="shared" si="1"/>
        <v>ok</v>
      </c>
      <c r="O15" s="15"/>
      <c r="P15" s="2"/>
      <c r="Q15" s="2"/>
      <c r="R15" s="2"/>
      <c r="S15" s="2"/>
      <c r="T15" s="2"/>
    </row>
    <row r="16" spans="1:58" x14ac:dyDescent="0.2">
      <c r="A16" s="2"/>
      <c r="B16" s="16" t="s">
        <v>14</v>
      </c>
      <c r="C16" s="17"/>
      <c r="D16" s="369">
        <f>'Underground cable'!T66</f>
        <v>30.880724821823957</v>
      </c>
      <c r="E16" s="18"/>
      <c r="F16" s="18"/>
      <c r="G16" s="196">
        <f>('Underground cable'!$H$66+'Underground cable'!$I$66)*Assumptions!$D$14</f>
        <v>10753070.310994275</v>
      </c>
      <c r="H16" s="330">
        <f>$G16/3</f>
        <v>3584356.7703314251</v>
      </c>
      <c r="I16" s="330">
        <f t="shared" si="4"/>
        <v>3584356.7703314251</v>
      </c>
      <c r="J16" s="330">
        <f t="shared" si="4"/>
        <v>3584356.7703314251</v>
      </c>
      <c r="K16" s="287">
        <v>0</v>
      </c>
      <c r="L16" s="239">
        <v>0</v>
      </c>
      <c r="M16" s="15"/>
      <c r="N16" s="15" t="str">
        <f t="shared" si="1"/>
        <v>ok</v>
      </c>
      <c r="O16" s="15"/>
      <c r="P16" s="2"/>
      <c r="Q16" s="2"/>
      <c r="R16" s="2"/>
      <c r="S16" s="2"/>
      <c r="T16" s="2"/>
    </row>
    <row r="17" spans="1:69" x14ac:dyDescent="0.2">
      <c r="A17" s="2"/>
      <c r="B17" s="19" t="s">
        <v>1</v>
      </c>
      <c r="C17" s="20"/>
      <c r="D17" s="20"/>
      <c r="E17" s="20"/>
      <c r="F17" s="21"/>
      <c r="G17" s="13">
        <f t="shared" ref="G17:L17" si="5">SUM(G9:G16)</f>
        <v>29487319.101720016</v>
      </c>
      <c r="H17" s="13">
        <f t="shared" si="5"/>
        <v>9652804.6182298735</v>
      </c>
      <c r="I17" s="13">
        <f t="shared" si="5"/>
        <v>9652804.6182298735</v>
      </c>
      <c r="J17" s="13">
        <f t="shared" si="5"/>
        <v>7034568.8469266668</v>
      </c>
      <c r="K17" s="13">
        <f t="shared" si="5"/>
        <v>2213841.1273629209</v>
      </c>
      <c r="L17" s="13">
        <f t="shared" si="5"/>
        <v>933299.89097068342</v>
      </c>
      <c r="M17" s="15"/>
      <c r="N17" s="2"/>
      <c r="O17" s="15"/>
      <c r="P17" s="2"/>
      <c r="Q17" s="2"/>
      <c r="R17" s="2"/>
      <c r="S17" s="2"/>
    </row>
    <row r="18" spans="1:69" x14ac:dyDescent="0.2">
      <c r="A18" s="2"/>
      <c r="B18" s="2"/>
      <c r="C18" s="2"/>
      <c r="D18" s="2"/>
      <c r="E18" s="2"/>
      <c r="F18" s="2"/>
      <c r="G18" s="4"/>
      <c r="H18" s="4"/>
      <c r="I18" s="4"/>
      <c r="J18" s="4"/>
      <c r="K18" s="4"/>
      <c r="L18" s="4"/>
      <c r="M18" s="2"/>
      <c r="N18" s="2"/>
      <c r="O18" s="2"/>
      <c r="P18" s="2"/>
      <c r="Q18" s="2"/>
      <c r="R18" s="2"/>
      <c r="S18" s="2"/>
      <c r="T18" s="2"/>
    </row>
    <row r="19" spans="1:69" ht="12.75" customHeight="1" x14ac:dyDescent="0.2">
      <c r="A19" s="2"/>
      <c r="B19" s="5"/>
      <c r="C19" s="2"/>
      <c r="D19" s="2"/>
      <c r="E19" s="2"/>
      <c r="F19" s="2"/>
      <c r="G19"/>
      <c r="H19" s="52" t="s">
        <v>18</v>
      </c>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row>
    <row r="20" spans="1:69" x14ac:dyDescent="0.2">
      <c r="B20" s="7" t="s">
        <v>0</v>
      </c>
      <c r="C20" s="8"/>
      <c r="D20" s="8"/>
      <c r="E20" s="8"/>
      <c r="F20" s="8"/>
      <c r="G20" s="8"/>
      <c r="H20" s="22">
        <v>2022</v>
      </c>
      <c r="I20" s="22">
        <v>2023</v>
      </c>
      <c r="J20" s="22">
        <v>2024</v>
      </c>
      <c r="K20" s="22">
        <v>2025</v>
      </c>
      <c r="L20" s="22">
        <v>2026</v>
      </c>
      <c r="M20" s="22">
        <v>2027</v>
      </c>
      <c r="N20" s="22">
        <v>2028</v>
      </c>
      <c r="O20" s="22">
        <v>2029</v>
      </c>
      <c r="P20" s="22">
        <v>2030</v>
      </c>
      <c r="Q20" s="22">
        <v>2031</v>
      </c>
      <c r="R20" s="22">
        <v>2032</v>
      </c>
      <c r="S20" s="22">
        <v>2033</v>
      </c>
      <c r="T20" s="22">
        <v>2034</v>
      </c>
      <c r="U20" s="22">
        <v>2035</v>
      </c>
      <c r="V20" s="22">
        <v>2036</v>
      </c>
      <c r="W20" s="22">
        <v>2037</v>
      </c>
      <c r="X20" s="22">
        <v>2038</v>
      </c>
      <c r="Y20" s="22">
        <v>2039</v>
      </c>
      <c r="Z20" s="22">
        <v>2040</v>
      </c>
      <c r="AA20" s="22">
        <v>2041</v>
      </c>
      <c r="AB20" s="22">
        <v>2042</v>
      </c>
      <c r="AC20" s="22">
        <v>2043</v>
      </c>
      <c r="AD20" s="22">
        <v>2044</v>
      </c>
      <c r="AE20" s="22">
        <v>2045</v>
      </c>
      <c r="AF20" s="22">
        <v>2046</v>
      </c>
      <c r="AG20" s="22">
        <v>2047</v>
      </c>
      <c r="AH20" s="22">
        <v>2048</v>
      </c>
      <c r="AI20" s="22">
        <v>2049</v>
      </c>
      <c r="AJ20" s="22">
        <v>2050</v>
      </c>
      <c r="AK20" s="22">
        <v>2051</v>
      </c>
      <c r="AL20" s="22">
        <v>2052</v>
      </c>
      <c r="AM20" s="22">
        <v>2053</v>
      </c>
      <c r="AN20" s="22">
        <v>2054</v>
      </c>
      <c r="AO20" s="22">
        <v>2055</v>
      </c>
      <c r="AP20" s="22">
        <v>2056</v>
      </c>
      <c r="AQ20" s="22">
        <v>2057</v>
      </c>
      <c r="AR20" s="22">
        <v>2058</v>
      </c>
      <c r="AS20" s="22">
        <v>2059</v>
      </c>
      <c r="AT20" s="22">
        <v>2060</v>
      </c>
      <c r="AU20" s="22">
        <v>2061</v>
      </c>
      <c r="AV20" s="22">
        <v>2062</v>
      </c>
      <c r="AW20" s="22">
        <v>2063</v>
      </c>
      <c r="AX20" s="22">
        <v>2064</v>
      </c>
      <c r="AY20" s="22">
        <v>2065</v>
      </c>
      <c r="AZ20" s="22">
        <v>2066</v>
      </c>
      <c r="BA20" s="22">
        <v>2067</v>
      </c>
      <c r="BB20" s="22">
        <v>2068</v>
      </c>
      <c r="BC20" s="22">
        <v>2069</v>
      </c>
      <c r="BD20" s="22">
        <v>2070</v>
      </c>
      <c r="BE20" s="22">
        <v>2071</v>
      </c>
      <c r="BF20" s="22">
        <v>2072</v>
      </c>
      <c r="BG20" s="22">
        <v>2073</v>
      </c>
      <c r="BH20" s="22">
        <v>2074</v>
      </c>
      <c r="BI20" s="22">
        <v>2075</v>
      </c>
      <c r="BJ20" s="22">
        <v>2076</v>
      </c>
      <c r="BK20" s="22">
        <v>2077</v>
      </c>
      <c r="BL20" s="22">
        <v>2078</v>
      </c>
      <c r="BM20" s="22">
        <v>2079</v>
      </c>
      <c r="BN20" s="22">
        <v>2080</v>
      </c>
      <c r="BO20" s="22">
        <v>2081</v>
      </c>
      <c r="BP20" s="22">
        <v>2082</v>
      </c>
    </row>
    <row r="21" spans="1:69" x14ac:dyDescent="0.2">
      <c r="B21" s="23" t="str">
        <f t="shared" ref="B21:B28" si="6">B9</f>
        <v>PVC grey services (dog-bones)</v>
      </c>
      <c r="C21" s="24"/>
      <c r="D21" s="25"/>
      <c r="E21" s="24"/>
      <c r="F21" s="24"/>
      <c r="G21" s="26"/>
      <c r="H21" s="26">
        <f>$G9/$D9</f>
        <v>0</v>
      </c>
      <c r="I21" s="26">
        <f>MIN($G9/$D9,$G9-SUM($H21:H21))</f>
        <v>0</v>
      </c>
      <c r="J21" s="26">
        <f>MIN($G9/$D9,$G9-SUM($H21:I21))</f>
        <v>0</v>
      </c>
      <c r="K21" s="26">
        <f>MIN($G9/$D9,$G9-SUM($H21:J21))</f>
        <v>0</v>
      </c>
      <c r="L21" s="26">
        <f>MIN($G9/$D9,$G9-SUM($H21:K21))</f>
        <v>0</v>
      </c>
      <c r="M21" s="26">
        <f>MIN($G9/$D9,$G9-SUM($H21:L21))</f>
        <v>0</v>
      </c>
      <c r="N21" s="26">
        <f>MIN($G9/$D9,$G9-SUM($H21:M21))</f>
        <v>0</v>
      </c>
      <c r="O21" s="26">
        <f>MIN($G9/$D9,$G9-SUM($H21:N21))</f>
        <v>0</v>
      </c>
      <c r="P21" s="26">
        <f>MIN($G9/$D9,$G9-SUM($H21:O21))</f>
        <v>0</v>
      </c>
      <c r="Q21" s="26">
        <f>MIN($G9/$D9,$G9-SUM($H21:P21))</f>
        <v>0</v>
      </c>
      <c r="R21" s="26">
        <f>MIN($G9/$D9,$G9-SUM($H21:Q21))</f>
        <v>0</v>
      </c>
      <c r="S21" s="26">
        <f>MIN($G9/$D9,$G9-SUM($H21:R21))</f>
        <v>0</v>
      </c>
      <c r="T21" s="26">
        <f>MIN($G9/$D9,$G9-SUM($H21:S21))</f>
        <v>0</v>
      </c>
      <c r="U21" s="26">
        <f>MIN($G9/$D9,$G9-SUM($H21:T21))</f>
        <v>0</v>
      </c>
      <c r="V21" s="26">
        <f>MIN($G9/$D9,$G9-SUM($H21:U21))</f>
        <v>0</v>
      </c>
      <c r="W21" s="26">
        <f>MIN($G9/$D9,$G9-SUM($H21:V21))</f>
        <v>0</v>
      </c>
      <c r="X21" s="26">
        <f>MIN($G9/$D9,$G9-SUM($H21:W21))</f>
        <v>0</v>
      </c>
      <c r="Y21" s="26">
        <f>MIN($G9/$D9,$G9-SUM($H21:X21))</f>
        <v>0</v>
      </c>
      <c r="Z21" s="26">
        <f>MIN($G9/$D9,$G9-SUM($H21:Y21))</f>
        <v>0</v>
      </c>
      <c r="AA21" s="26">
        <f>MIN($G9/$D9,$G9-SUM($H21:Z21))</f>
        <v>0</v>
      </c>
      <c r="AB21" s="26">
        <f>MIN($G9/$D9,$G9-SUM($H21:AA21))</f>
        <v>0</v>
      </c>
      <c r="AC21" s="26">
        <f>MIN($G9/$D9,$G9-SUM($H21:AB21))</f>
        <v>0</v>
      </c>
      <c r="AD21" s="26">
        <f>MIN($G9/$D9,$G9-SUM($H21:AC21))</f>
        <v>0</v>
      </c>
      <c r="AE21" s="26">
        <f>MIN($G9/$D9,$G9-SUM($H21:AD21))</f>
        <v>0</v>
      </c>
      <c r="AF21" s="26">
        <f>MIN($G9/$D9,$G9-SUM($H21:AE21))</f>
        <v>0</v>
      </c>
      <c r="AG21" s="26">
        <f>MIN($G9/$D9,$G9-SUM($H21:AF21))</f>
        <v>0</v>
      </c>
      <c r="AH21" s="26">
        <f>MIN($G9/$D9,$G9-SUM($H21:AG21))</f>
        <v>0</v>
      </c>
      <c r="AI21" s="26">
        <f>MIN($G9/$D9,$G9-SUM($H21:AH21))</f>
        <v>0</v>
      </c>
      <c r="AJ21" s="26">
        <f>MIN($G9/$D9,$G9-SUM($H21:AI21))</f>
        <v>0</v>
      </c>
      <c r="AK21" s="26">
        <f>MIN($G9/$D9,$G9-SUM($H21:AJ21))</f>
        <v>0</v>
      </c>
      <c r="AL21" s="26">
        <f>MIN($G9/$D9,$G9-SUM($H21:AK21))</f>
        <v>0</v>
      </c>
      <c r="AM21" s="26">
        <f>MIN($G9/$D9,$G9-SUM($H21:AL21))</f>
        <v>0</v>
      </c>
      <c r="AN21" s="26">
        <f>MIN($G9/$D9,$G9-SUM($H21:AM21))</f>
        <v>0</v>
      </c>
      <c r="AO21" s="26">
        <f>MIN($G9/$D9,$G9-SUM($H21:AN21))</f>
        <v>0</v>
      </c>
      <c r="AP21" s="26">
        <f>MIN($G9/$D9,$G9-SUM($H21:AO21))</f>
        <v>0</v>
      </c>
      <c r="AQ21" s="26">
        <f>MIN($G9/$D9,$G9-SUM($H21:AP21))</f>
        <v>0</v>
      </c>
      <c r="AR21" s="26">
        <f>MIN($G9/$D9,$G9-SUM($H21:AQ21))</f>
        <v>0</v>
      </c>
      <c r="AS21" s="26">
        <f>MIN($G9/$D9,$G9-SUM($H21:AR21))</f>
        <v>0</v>
      </c>
      <c r="AT21" s="26">
        <f>MIN($G9/$D9,$G9-SUM($H21:AS21))</f>
        <v>0</v>
      </c>
      <c r="AU21" s="26">
        <f>MIN($G9/$D9,$G9-SUM($H21:AT21))</f>
        <v>0</v>
      </c>
      <c r="AV21" s="26">
        <f>MIN($G9/$D9,$G9-SUM($H21:AU21))</f>
        <v>0</v>
      </c>
      <c r="AW21" s="26">
        <f>MIN($G9/$D9,$G9-SUM($H21:AV21))</f>
        <v>0</v>
      </c>
      <c r="AX21" s="26">
        <f>MIN($G9/$D9,$G9-SUM($H21:AW21))</f>
        <v>0</v>
      </c>
      <c r="AY21" s="26">
        <f>MIN($G9/$D9,$G9-SUM($H21:AX21))</f>
        <v>0</v>
      </c>
      <c r="AZ21" s="26">
        <f>MIN($G9/$D9,$G9-SUM($H21:AY21))</f>
        <v>0</v>
      </c>
      <c r="BA21" s="26">
        <f>MIN($G9/$D9,$G9-SUM($H21:AZ21))</f>
        <v>0</v>
      </c>
      <c r="BB21" s="26">
        <f>MIN($G9/$D9,$G9-SUM($H21:BA21))</f>
        <v>0</v>
      </c>
      <c r="BC21" s="26">
        <f>MIN($G9/$D9,$G9-SUM($H21:BB21))</f>
        <v>0</v>
      </c>
      <c r="BD21" s="26">
        <f>MIN($G9/$D9,$G9-SUM($H21:BC21))</f>
        <v>0</v>
      </c>
      <c r="BE21" s="26">
        <f>MIN($G9/$D9,$G9-SUM($H21:BD21))</f>
        <v>0</v>
      </c>
      <c r="BF21" s="26">
        <f>MIN($G9/$D9,$G9-SUM($H21:BE21))</f>
        <v>0</v>
      </c>
      <c r="BG21" s="26">
        <f>MIN($G9/$D9,$G9-SUM($H21:BF21))</f>
        <v>0</v>
      </c>
      <c r="BH21" s="26">
        <f>MIN($G9/$D9,$G9-SUM($H21:BG21))</f>
        <v>0</v>
      </c>
      <c r="BI21" s="26">
        <f>MIN($G9/$D9,$G9-SUM($H21:BH21))</f>
        <v>0</v>
      </c>
      <c r="BJ21" s="26">
        <f>MIN($G9/$D9,$G9-SUM($H21:BI21))</f>
        <v>0</v>
      </c>
      <c r="BK21" s="26">
        <f>MIN($G9/$D9,$G9-SUM($H21:BJ21))</f>
        <v>0</v>
      </c>
      <c r="BL21" s="26">
        <f>MIN($G9/$D9,$G9-SUM($H21:BK21))</f>
        <v>0</v>
      </c>
      <c r="BM21" s="26">
        <f>MIN($G9/$D9,$G9-SUM($H21:BL21))</f>
        <v>0</v>
      </c>
      <c r="BN21" s="26">
        <f>MIN($G9/$D9,$G9-SUM($H21:BM21))</f>
        <v>0</v>
      </c>
      <c r="BO21" s="26">
        <f>MIN($G9/$D9,$G9-SUM($H21:BN21))</f>
        <v>0</v>
      </c>
      <c r="BP21" s="26">
        <f>MIN($G9/$D9,$G9-SUM($H21:BO21))</f>
        <v>0</v>
      </c>
      <c r="BQ21" s="27">
        <f t="shared" ref="BQ21:BQ29" si="7">ROUND(G9-SUM(H21:BP21),3)</f>
        <v>0</v>
      </c>
    </row>
    <row r="22" spans="1:69" s="9" customFormat="1" x14ac:dyDescent="0.2">
      <c r="A22" s="1"/>
      <c r="B22" s="23" t="str">
        <f t="shared" si="6"/>
        <v>Replacing HV ABC in the LBRA</v>
      </c>
      <c r="C22" s="24"/>
      <c r="D22" s="25"/>
      <c r="E22" s="24"/>
      <c r="F22" s="24"/>
      <c r="G22" s="26"/>
      <c r="H22" s="26">
        <f>$G10/$D10</f>
        <v>82265.486725663708</v>
      </c>
      <c r="I22" s="26">
        <f>MIN($G10/$D10,$G10-SUM($H22:H22))</f>
        <v>82265.486725663708</v>
      </c>
      <c r="J22" s="26">
        <f>MIN($G10/$D10,$G10-SUM($H22:I22))</f>
        <v>82265.486725663708</v>
      </c>
      <c r="K22" s="26">
        <f>MIN($G10/$D10,$G10-SUM($H22:J22))</f>
        <v>82265.486725663708</v>
      </c>
      <c r="L22" s="26">
        <f>MIN($G10/$D10,$G10-SUM($H22:K22))</f>
        <v>82265.486725663708</v>
      </c>
      <c r="M22" s="26">
        <f>MIN($G10/$D10,$G10-SUM($H22:L22))</f>
        <v>82265.486725663708</v>
      </c>
      <c r="N22" s="26">
        <f>MIN($G10/$D10,$G10-SUM($H22:M22))</f>
        <v>82265.486725663708</v>
      </c>
      <c r="O22" s="26">
        <f>MIN($G10/$D10,$G10-SUM($H22:N22))</f>
        <v>82265.486725663708</v>
      </c>
      <c r="P22" s="26">
        <f>MIN($G10/$D10,$G10-SUM($H22:O22))</f>
        <v>82265.486725663708</v>
      </c>
      <c r="Q22" s="26">
        <f>MIN($G10/$D10,$G10-SUM($H22:P22))</f>
        <v>82265.486725663708</v>
      </c>
      <c r="R22" s="26">
        <f>MIN($G10/$D10,$G10-SUM($H22:Q22))</f>
        <v>82265.486725663708</v>
      </c>
      <c r="S22" s="26">
        <f>MIN($G10/$D10,$G10-SUM($H22:R22))</f>
        <v>82265.486725663708</v>
      </c>
      <c r="T22" s="26">
        <f>MIN($G10/$D10,$G10-SUM($H22:S22))</f>
        <v>82265.486725663708</v>
      </c>
      <c r="U22" s="26">
        <f>MIN($G10/$D10,$G10-SUM($H22:T22))</f>
        <v>82265.486725663708</v>
      </c>
      <c r="V22" s="26">
        <f>MIN($G10/$D10,$G10-SUM($H22:U22))</f>
        <v>82265.486725663708</v>
      </c>
      <c r="W22" s="26">
        <f>MIN($G10/$D10,$G10-SUM($H22:V22))</f>
        <v>82265.486725663708</v>
      </c>
      <c r="X22" s="26">
        <f>MIN($G10/$D10,$G10-SUM($H22:W22))</f>
        <v>82265.486725663708</v>
      </c>
      <c r="Y22" s="26">
        <f>MIN($G10/$D10,$G10-SUM($H22:X22))</f>
        <v>82265.486725663708</v>
      </c>
      <c r="Z22" s="26">
        <f>MIN($G10/$D10,$G10-SUM($H22:Y22))</f>
        <v>82265.486725663708</v>
      </c>
      <c r="AA22" s="26">
        <f>MIN($G10/$D10,$G10-SUM($H22:Z22))</f>
        <v>82265.486725663708</v>
      </c>
      <c r="AB22" s="26">
        <f>MIN($G10/$D10,$G10-SUM($H22:AA22))</f>
        <v>82265.486725663708</v>
      </c>
      <c r="AC22" s="26">
        <f>MIN($G10/$D10,$G10-SUM($H22:AB22))</f>
        <v>82265.486725663708</v>
      </c>
      <c r="AD22" s="26">
        <f>MIN($G10/$D10,$G10-SUM($H22:AC22))</f>
        <v>82265.486725663708</v>
      </c>
      <c r="AE22" s="26">
        <f>MIN($G10/$D10,$G10-SUM($H22:AD22))</f>
        <v>82265.486725663708</v>
      </c>
      <c r="AF22" s="26">
        <f>MIN($G10/$D10,$G10-SUM($H22:AE22))</f>
        <v>82265.486725663708</v>
      </c>
      <c r="AG22" s="26">
        <f>MIN($G10/$D10,$G10-SUM($H22:AF22))</f>
        <v>41132.743362830952</v>
      </c>
      <c r="AH22" s="26">
        <f>MIN($G10/$D10,$G10-SUM($H22:AG22))</f>
        <v>0</v>
      </c>
      <c r="AI22" s="26">
        <f>MIN($G10/$D10,$G10-SUM($H22:AH22))</f>
        <v>0</v>
      </c>
      <c r="AJ22" s="26">
        <f>MIN($G10/$D10,$G10-SUM($H22:AI22))</f>
        <v>0</v>
      </c>
      <c r="AK22" s="26">
        <f>MIN($G10/$D10,$G10-SUM($H22:AJ22))</f>
        <v>0</v>
      </c>
      <c r="AL22" s="26">
        <f>MIN($G10/$D10,$G10-SUM($H22:AK22))</f>
        <v>0</v>
      </c>
      <c r="AM22" s="26">
        <f>MIN($G10/$D10,$G10-SUM($H22:AL22))</f>
        <v>0</v>
      </c>
      <c r="AN22" s="26">
        <f>MIN($G10/$D10,$G10-SUM($H22:AM22))</f>
        <v>0</v>
      </c>
      <c r="AO22" s="26">
        <f>MIN($G10/$D10,$G10-SUM($H22:AN22))</f>
        <v>0</v>
      </c>
      <c r="AP22" s="26">
        <f>MIN($G10/$D10,$G10-SUM($H22:AO22))</f>
        <v>0</v>
      </c>
      <c r="AQ22" s="26">
        <f>MIN($G10/$D10,$G10-SUM($H22:AP22))</f>
        <v>0</v>
      </c>
      <c r="AR22" s="26">
        <f>MIN($G10/$D10,$G10-SUM($H22:AQ22))</f>
        <v>0</v>
      </c>
      <c r="AS22" s="26">
        <f>MIN($G10/$D10,$G10-SUM($H22:AR22))</f>
        <v>0</v>
      </c>
      <c r="AT22" s="26">
        <f>MIN($G10/$D10,$G10-SUM($H22:AS22))</f>
        <v>0</v>
      </c>
      <c r="AU22" s="26">
        <f>MIN($G10/$D10,$G10-SUM($H22:AT22))</f>
        <v>0</v>
      </c>
      <c r="AV22" s="26">
        <f>MIN($G10/$D10,$G10-SUM($H22:AU22))</f>
        <v>0</v>
      </c>
      <c r="AW22" s="26">
        <f>MIN($G10/$D10,$G10-SUM($H22:AV22))</f>
        <v>0</v>
      </c>
      <c r="AX22" s="26">
        <f>MIN($G10/$D10,$G10-SUM($H22:AW22))</f>
        <v>0</v>
      </c>
      <c r="AY22" s="26">
        <f>MIN($G10/$D10,$G10-SUM($H22:AX22))</f>
        <v>0</v>
      </c>
      <c r="AZ22" s="26">
        <f>MIN($G10/$D10,$G10-SUM($H22:AY22))</f>
        <v>0</v>
      </c>
      <c r="BA22" s="26">
        <f>MIN($G10/$D10,$G10-SUM($H22:AZ22))</f>
        <v>0</v>
      </c>
      <c r="BB22" s="26">
        <f>MIN($G10/$D10,$G10-SUM($H22:BA22))</f>
        <v>0</v>
      </c>
      <c r="BC22" s="26">
        <f>MIN($G10/$D10,$G10-SUM($H22:BB22))</f>
        <v>0</v>
      </c>
      <c r="BD22" s="26">
        <f>MIN($G10/$D10,$G10-SUM($H22:BC22))</f>
        <v>0</v>
      </c>
      <c r="BE22" s="26">
        <f>MIN($G10/$D10,$G10-SUM($H22:BD22))</f>
        <v>0</v>
      </c>
      <c r="BF22" s="26">
        <f>MIN($G10/$D10,$G10-SUM($H22:BE22))</f>
        <v>0</v>
      </c>
      <c r="BG22" s="26">
        <f>MIN($G10/$D10,$G10-SUM($H22:BF22))</f>
        <v>0</v>
      </c>
      <c r="BH22" s="26">
        <f>MIN($G10/$D10,$G10-SUM($H22:BG22))</f>
        <v>0</v>
      </c>
      <c r="BI22" s="26">
        <f>MIN($G10/$D10,$G10-SUM($H22:BH22))</f>
        <v>0</v>
      </c>
      <c r="BJ22" s="26">
        <f>MIN($G10/$D10,$G10-SUM($H22:BI22))</f>
        <v>0</v>
      </c>
      <c r="BK22" s="26">
        <f>MIN($G10/$D10,$G10-SUM($H22:BJ22))</f>
        <v>0</v>
      </c>
      <c r="BL22" s="26">
        <f>MIN($G10/$D10,$G10-SUM($H22:BK22))</f>
        <v>0</v>
      </c>
      <c r="BM22" s="26">
        <f>MIN($G10/$D10,$G10-SUM($H22:BL22))</f>
        <v>0</v>
      </c>
      <c r="BN22" s="26">
        <f>MIN($G10/$D10,$G10-SUM($H22:BM22))</f>
        <v>0</v>
      </c>
      <c r="BO22" s="26">
        <f>MIN($G10/$D10,$G10-SUM($H22:BN22))</f>
        <v>0</v>
      </c>
      <c r="BP22" s="26">
        <f>MIN($G10/$D10,$G10-SUM($H22:BO22))</f>
        <v>0</v>
      </c>
      <c r="BQ22" s="27">
        <f t="shared" si="7"/>
        <v>0</v>
      </c>
    </row>
    <row r="23" spans="1:69" s="9" customFormat="1" x14ac:dyDescent="0.2">
      <c r="A23" s="1"/>
      <c r="B23" s="23" t="str">
        <f t="shared" si="6"/>
        <v>3G to 5G upgrade (control boxes)</v>
      </c>
      <c r="C23" s="24"/>
      <c r="D23" s="25"/>
      <c r="E23" s="24"/>
      <c r="F23" s="24"/>
      <c r="G23" s="26"/>
      <c r="H23" s="26">
        <f>$G11/$D11</f>
        <v>119664.22294935063</v>
      </c>
      <c r="I23" s="26">
        <f>MIN($G11/$D11,$G11-SUM($H23:H23))</f>
        <v>119664.22294935063</v>
      </c>
      <c r="J23" s="26">
        <f>MIN($G11/$D11,$G11-SUM($H23:I23))</f>
        <v>119664.22294935063</v>
      </c>
      <c r="K23" s="26">
        <f>MIN($G11/$D11,$G11-SUM($H23:J23))</f>
        <v>119664.22294935063</v>
      </c>
      <c r="L23" s="26">
        <f>MIN($G11/$D11,$G11-SUM($H23:K23))</f>
        <v>119664.22294935063</v>
      </c>
      <c r="M23" s="26">
        <f>MIN($G11/$D11,$G11-SUM($H23:L23))</f>
        <v>119664.22294935063</v>
      </c>
      <c r="N23" s="26">
        <f>MIN($G11/$D11,$G11-SUM($H23:M23))</f>
        <v>119664.22294935063</v>
      </c>
      <c r="O23" s="26">
        <f>MIN($G11/$D11,$G11-SUM($H23:N23))</f>
        <v>119664.22294935063</v>
      </c>
      <c r="P23" s="26">
        <f>MIN($G11/$D11,$G11-SUM($H23:O23))</f>
        <v>119664.22294935063</v>
      </c>
      <c r="Q23" s="26">
        <f>MIN($G11/$D11,$G11-SUM($H23:P23))</f>
        <v>119664.22294935063</v>
      </c>
      <c r="R23" s="26">
        <f>MIN($G11/$D11,$G11-SUM($H23:Q23))</f>
        <v>119664.22294935063</v>
      </c>
      <c r="S23" s="26">
        <f>MIN($G11/$D11,$G11-SUM($H23:R23))</f>
        <v>119664.22294935063</v>
      </c>
      <c r="T23" s="26">
        <f>MIN($G11/$D11,$G11-SUM($H23:S23))</f>
        <v>119664.22294935063</v>
      </c>
      <c r="U23" s="26">
        <f>MIN($G11/$D11,$G11-SUM($H23:T23))</f>
        <v>119664.22294935063</v>
      </c>
      <c r="V23" s="26">
        <f>MIN($G11/$D11,$G11-SUM($H23:U23))</f>
        <v>119664.22294935063</v>
      </c>
      <c r="W23" s="26">
        <f>MIN($G11/$D11,$G11-SUM($H23:V23))</f>
        <v>119664.22294935063</v>
      </c>
      <c r="X23" s="26">
        <f>MIN($G11/$D11,$G11-SUM($H23:W23))</f>
        <v>119664.22294935063</v>
      </c>
      <c r="Y23" s="26">
        <f>MIN($G11/$D11,$G11-SUM($H23:X23))</f>
        <v>119664.22294935063</v>
      </c>
      <c r="Z23" s="26">
        <f>MIN($G11/$D11,$G11-SUM($H23:Y23))</f>
        <v>119664.22294935063</v>
      </c>
      <c r="AA23" s="26">
        <f>MIN($G11/$D11,$G11-SUM($H23:Z23))</f>
        <v>119664.22294935063</v>
      </c>
      <c r="AB23" s="26">
        <f>MIN($G11/$D11,$G11-SUM($H23:AA23))</f>
        <v>119664.22294935063</v>
      </c>
      <c r="AC23" s="26">
        <f>MIN($G11/$D11,$G11-SUM($H23:AB23))</f>
        <v>119664.22294935063</v>
      </c>
      <c r="AD23" s="26">
        <f>MIN($G11/$D11,$G11-SUM($H23:AC23))</f>
        <v>119664.22294935063</v>
      </c>
      <c r="AE23" s="26">
        <f>MIN($G11/$D11,$G11-SUM($H23:AD23))</f>
        <v>119664.22294935063</v>
      </c>
      <c r="AF23" s="26">
        <f>MIN($G11/$D11,$G11-SUM($H23:AE23))</f>
        <v>119664.22294935063</v>
      </c>
      <c r="AG23" s="26">
        <f>MIN($G11/$D11,$G11-SUM($H23:AF23))</f>
        <v>119664.22294935063</v>
      </c>
      <c r="AH23" s="26">
        <f>MIN($G11/$D11,$G11-SUM($H23:AG23))</f>
        <v>119664.22294935063</v>
      </c>
      <c r="AI23" s="26">
        <f>MIN($G11/$D11,$G11-SUM($H23:AH23))</f>
        <v>119664.22294935063</v>
      </c>
      <c r="AJ23" s="26">
        <f>MIN($G11/$D11,$G11-SUM($H23:AI23))</f>
        <v>119664.22294935063</v>
      </c>
      <c r="AK23" s="26">
        <f>MIN($G11/$D11,$G11-SUM($H23:AJ23))</f>
        <v>119664.22294935063</v>
      </c>
      <c r="AL23" s="26">
        <f>MIN($G11/$D11,$G11-SUM($H23:AK23))</f>
        <v>119664.22294935063</v>
      </c>
      <c r="AM23" s="26">
        <f>MIN($G11/$D11,$G11-SUM($H23:AL23))</f>
        <v>119664.22294935063</v>
      </c>
      <c r="AN23" s="26">
        <f>MIN($G11/$D11,$G11-SUM($H23:AM23))</f>
        <v>119664.22294935063</v>
      </c>
      <c r="AO23" s="26">
        <f>MIN($G11/$D11,$G11-SUM($H23:AN23))</f>
        <v>119664.22294935063</v>
      </c>
      <c r="AP23" s="26">
        <f>MIN($G11/$D11,$G11-SUM($H23:AO23))</f>
        <v>119664.22294935063</v>
      </c>
      <c r="AQ23" s="26">
        <f>MIN($G11/$D11,$G11-SUM($H23:AP23))</f>
        <v>119664.22294935063</v>
      </c>
      <c r="AR23" s="26">
        <f>MIN($G11/$D11,$G11-SUM($H23:AQ23))</f>
        <v>119664.22294935063</v>
      </c>
      <c r="AS23" s="26">
        <f>MIN($G11/$D11,$G11-SUM($H23:AR23))</f>
        <v>119664.22294935063</v>
      </c>
      <c r="AT23" s="26">
        <f>MIN($G11/$D11,$G11-SUM($H23:AS23))</f>
        <v>119664.22294935063</v>
      </c>
      <c r="AU23" s="26">
        <f>MIN($G11/$D11,$G11-SUM($H23:AT23))</f>
        <v>119664.22294935063</v>
      </c>
      <c r="AV23" s="26">
        <f>MIN($G11/$D11,$G11-SUM($H23:AU23))</f>
        <v>119664.22294935063</v>
      </c>
      <c r="AW23" s="26">
        <f>MIN($G11/$D11,$G11-SUM($H23:AV23))</f>
        <v>119664.22294935063</v>
      </c>
      <c r="AX23" s="26">
        <f>MIN($G11/$D11,$G11-SUM($H23:AW23))</f>
        <v>119664.22294935063</v>
      </c>
      <c r="AY23" s="26">
        <f>MIN($G11/$D11,$G11-SUM($H23:AX23))</f>
        <v>90909.955784337595</v>
      </c>
      <c r="AZ23" s="26">
        <f>MIN($G11/$D11,$G11-SUM($H23:AY23))</f>
        <v>0</v>
      </c>
      <c r="BA23" s="26">
        <f>MIN($G11/$D11,$G11-SUM($H23:AZ23))</f>
        <v>0</v>
      </c>
      <c r="BB23" s="26">
        <f>MIN($G11/$D11,$G11-SUM($H23:BA23))</f>
        <v>0</v>
      </c>
      <c r="BC23" s="26">
        <f>MIN($G11/$D11,$G11-SUM($H23:BB23))</f>
        <v>0</v>
      </c>
      <c r="BD23" s="26">
        <f>MIN($G11/$D11,$G11-SUM($H23:BC23))</f>
        <v>0</v>
      </c>
      <c r="BE23" s="26">
        <f>MIN($G11/$D11,$G11-SUM($H23:BD23))</f>
        <v>0</v>
      </c>
      <c r="BF23" s="26">
        <f>MIN($G11/$D11,$G11-SUM($H23:BE23))</f>
        <v>0</v>
      </c>
      <c r="BG23" s="26">
        <f>MIN($G11/$D11,$G11-SUM($H23:BF23))</f>
        <v>0</v>
      </c>
      <c r="BH23" s="26">
        <f>MIN($G11/$D11,$G11-SUM($H23:BG23))</f>
        <v>0</v>
      </c>
      <c r="BI23" s="26">
        <f>MIN($G11/$D11,$G11-SUM($H23:BH23))</f>
        <v>0</v>
      </c>
      <c r="BJ23" s="26">
        <f>MIN($G11/$D11,$G11-SUM($H23:BI23))</f>
        <v>0</v>
      </c>
      <c r="BK23" s="26">
        <f>MIN($G11/$D11,$G11-SUM($H23:BJ23))</f>
        <v>0</v>
      </c>
      <c r="BL23" s="26">
        <f>MIN($G11/$D11,$G11-SUM($H23:BK23))</f>
        <v>0</v>
      </c>
      <c r="BM23" s="26">
        <f>MIN($G11/$D11,$G11-SUM($H23:BL23))</f>
        <v>0</v>
      </c>
      <c r="BN23" s="26">
        <f>MIN($G11/$D11,$G11-SUM($H23:BM23))</f>
        <v>0</v>
      </c>
      <c r="BO23" s="26">
        <f>MIN($G11/$D11,$G11-SUM($H23:BN23))</f>
        <v>0</v>
      </c>
      <c r="BP23" s="26">
        <f>MIN($G11/$D11,$G11-SUM($H23:BO23))</f>
        <v>0</v>
      </c>
      <c r="BQ23" s="27">
        <f t="shared" si="7"/>
        <v>0</v>
      </c>
    </row>
    <row r="24" spans="1:69" s="9" customFormat="1" x14ac:dyDescent="0.2">
      <c r="A24" s="1"/>
      <c r="B24" s="23" t="str">
        <f t="shared" si="6"/>
        <v>Solar enablement: distribution transformers</v>
      </c>
      <c r="C24" s="24"/>
      <c r="D24" s="25"/>
      <c r="E24" s="24"/>
      <c r="F24" s="24"/>
      <c r="G24" s="26"/>
      <c r="H24" s="26">
        <f>$G12/$D12</f>
        <v>100734.49189603893</v>
      </c>
      <c r="I24" s="26">
        <f>MIN($G12/$D12,$G12-SUM($H24:H24))</f>
        <v>100734.49189603893</v>
      </c>
      <c r="J24" s="26">
        <f>MIN($G12/$D12,$G12-SUM($H24:I24))</f>
        <v>100734.49189603893</v>
      </c>
      <c r="K24" s="26">
        <f>MIN($G12/$D12,$G12-SUM($H24:J24))</f>
        <v>100734.49189603893</v>
      </c>
      <c r="L24" s="26">
        <f>MIN($G12/$D12,$G12-SUM($H24:K24))</f>
        <v>100734.49189603893</v>
      </c>
      <c r="M24" s="26">
        <f>MIN($G12/$D12,$G12-SUM($H24:L24))</f>
        <v>100734.49189603893</v>
      </c>
      <c r="N24" s="26">
        <f>MIN($G12/$D12,$G12-SUM($H24:M24))</f>
        <v>100734.49189603893</v>
      </c>
      <c r="O24" s="26">
        <f>MIN($G12/$D12,$G12-SUM($H24:N24))</f>
        <v>100734.49189603893</v>
      </c>
      <c r="P24" s="26">
        <f>MIN($G12/$D12,$G12-SUM($H24:O24))</f>
        <v>100734.49189603893</v>
      </c>
      <c r="Q24" s="26">
        <f>MIN($G12/$D12,$G12-SUM($H24:P24))</f>
        <v>100734.49189603893</v>
      </c>
      <c r="R24" s="26">
        <f>MIN($G12/$D12,$G12-SUM($H24:Q24))</f>
        <v>100734.49189603893</v>
      </c>
      <c r="S24" s="26">
        <f>MIN($G12/$D12,$G12-SUM($H24:R24))</f>
        <v>100734.49189603893</v>
      </c>
      <c r="T24" s="26">
        <f>MIN($G12/$D12,$G12-SUM($H24:S24))</f>
        <v>100734.49189603893</v>
      </c>
      <c r="U24" s="26">
        <f>MIN($G12/$D12,$G12-SUM($H24:T24))</f>
        <v>100734.49189603893</v>
      </c>
      <c r="V24" s="26">
        <f>MIN($G12/$D12,$G12-SUM($H24:U24))</f>
        <v>100734.49189603893</v>
      </c>
      <c r="W24" s="26">
        <f>MIN($G12/$D12,$G12-SUM($H24:V24))</f>
        <v>100734.49189603893</v>
      </c>
      <c r="X24" s="26">
        <f>MIN($G12/$D12,$G12-SUM($H24:W24))</f>
        <v>100734.49189603893</v>
      </c>
      <c r="Y24" s="26">
        <f>MIN($G12/$D12,$G12-SUM($H24:X24))</f>
        <v>100734.49189603893</v>
      </c>
      <c r="Z24" s="26">
        <f>MIN($G12/$D12,$G12-SUM($H24:Y24))</f>
        <v>100734.49189603893</v>
      </c>
      <c r="AA24" s="26">
        <f>MIN($G12/$D12,$G12-SUM($H24:Z24))</f>
        <v>100734.49189603893</v>
      </c>
      <c r="AB24" s="26">
        <f>MIN($G12/$D12,$G12-SUM($H24:AA24))</f>
        <v>100734.49189603893</v>
      </c>
      <c r="AC24" s="26">
        <f>MIN($G12/$D12,$G12-SUM($H24:AB24))</f>
        <v>100734.49189603893</v>
      </c>
      <c r="AD24" s="26">
        <f>MIN($G12/$D12,$G12-SUM($H24:AC24))</f>
        <v>100734.49189603893</v>
      </c>
      <c r="AE24" s="26">
        <f>MIN($G12/$D12,$G12-SUM($H24:AD24))</f>
        <v>100734.49189603893</v>
      </c>
      <c r="AF24" s="26">
        <f>MIN($G12/$D12,$G12-SUM($H24:AE24))</f>
        <v>100734.49189603893</v>
      </c>
      <c r="AG24" s="26">
        <f>MIN($G12/$D12,$G12-SUM($H24:AF24))</f>
        <v>50367.245948020369</v>
      </c>
      <c r="AH24" s="26">
        <f>MIN($G12/$D12,$G12-SUM($H24:AG24))</f>
        <v>0</v>
      </c>
      <c r="AI24" s="26">
        <f>MIN($G12/$D12,$G12-SUM($H24:AH24))</f>
        <v>0</v>
      </c>
      <c r="AJ24" s="26">
        <f>MIN($G12/$D12,$G12-SUM($H24:AI24))</f>
        <v>0</v>
      </c>
      <c r="AK24" s="26">
        <f>MIN($G12/$D12,$G12-SUM($H24:AJ24))</f>
        <v>0</v>
      </c>
      <c r="AL24" s="26">
        <f>MIN($G12/$D12,$G12-SUM($H24:AK24))</f>
        <v>0</v>
      </c>
      <c r="AM24" s="26">
        <f>MIN($G12/$D12,$G12-SUM($H24:AL24))</f>
        <v>0</v>
      </c>
      <c r="AN24" s="26">
        <f>MIN($G12/$D12,$G12-SUM($H24:AM24))</f>
        <v>0</v>
      </c>
      <c r="AO24" s="26">
        <f>MIN($G12/$D12,$G12-SUM($H24:AN24))</f>
        <v>0</v>
      </c>
      <c r="AP24" s="26">
        <f>MIN($G12/$D12,$G12-SUM($H24:AO24))</f>
        <v>0</v>
      </c>
      <c r="AQ24" s="26">
        <f>MIN($G12/$D12,$G12-SUM($H24:AP24))</f>
        <v>0</v>
      </c>
      <c r="AR24" s="26">
        <f>MIN($G12/$D12,$G12-SUM($H24:AQ24))</f>
        <v>0</v>
      </c>
      <c r="AS24" s="26">
        <f>MIN($G12/$D12,$G12-SUM($H24:AR24))</f>
        <v>0</v>
      </c>
      <c r="AT24" s="26">
        <f>MIN($G12/$D12,$G12-SUM($H24:AS24))</f>
        <v>0</v>
      </c>
      <c r="AU24" s="26">
        <f>MIN($G12/$D12,$G12-SUM($H24:AT24))</f>
        <v>0</v>
      </c>
      <c r="AV24" s="26">
        <f>MIN($G12/$D12,$G12-SUM($H24:AU24))</f>
        <v>0</v>
      </c>
      <c r="AW24" s="26">
        <f>MIN($G12/$D12,$G12-SUM($H24:AV24))</f>
        <v>0</v>
      </c>
      <c r="AX24" s="26">
        <f>MIN($G12/$D12,$G12-SUM($H24:AW24))</f>
        <v>0</v>
      </c>
      <c r="AY24" s="26">
        <f>MIN($G12/$D12,$G12-SUM($H24:AX24))</f>
        <v>0</v>
      </c>
      <c r="AZ24" s="26">
        <f>MIN($G12/$D12,$G12-SUM($H24:AY24))</f>
        <v>0</v>
      </c>
      <c r="BA24" s="26">
        <f>MIN($G12/$D12,$G12-SUM($H24:AZ24))</f>
        <v>0</v>
      </c>
      <c r="BB24" s="26">
        <f>MIN($G12/$D12,$G12-SUM($H24:BA24))</f>
        <v>0</v>
      </c>
      <c r="BC24" s="26">
        <f>MIN($G12/$D12,$G12-SUM($H24:BB24))</f>
        <v>0</v>
      </c>
      <c r="BD24" s="26">
        <f>MIN($G12/$D12,$G12-SUM($H24:BC24))</f>
        <v>0</v>
      </c>
      <c r="BE24" s="26">
        <f>MIN($G12/$D12,$G12-SUM($H24:BD24))</f>
        <v>0</v>
      </c>
      <c r="BF24" s="26">
        <f>MIN($G12/$D12,$G12-SUM($H24:BE24))</f>
        <v>0</v>
      </c>
      <c r="BG24" s="26">
        <f>MIN($G12/$D12,$G12-SUM($H24:BF24))</f>
        <v>0</v>
      </c>
      <c r="BH24" s="26">
        <f>MIN($G12/$D12,$G12-SUM($H24:BG24))</f>
        <v>0</v>
      </c>
      <c r="BI24" s="26">
        <f>MIN($G12/$D12,$G12-SUM($H24:BH24))</f>
        <v>0</v>
      </c>
      <c r="BJ24" s="26">
        <f>MIN($G12/$D12,$G12-SUM($H24:BI24))</f>
        <v>0</v>
      </c>
      <c r="BK24" s="26">
        <f>MIN($G12/$D12,$G12-SUM($H24:BJ24))</f>
        <v>0</v>
      </c>
      <c r="BL24" s="26">
        <f>MIN($G12/$D12,$G12-SUM($H24:BK24))</f>
        <v>0</v>
      </c>
      <c r="BM24" s="26">
        <f>MIN($G12/$D12,$G12-SUM($H24:BL24))</f>
        <v>0</v>
      </c>
      <c r="BN24" s="26">
        <f>MIN($G12/$D12,$G12-SUM($H24:BM24))</f>
        <v>0</v>
      </c>
      <c r="BO24" s="26">
        <f>MIN($G12/$D12,$G12-SUM($H24:BN24))</f>
        <v>0</v>
      </c>
      <c r="BP24" s="26">
        <f>MIN($G12/$D12,$G12-SUM($H24:BO24))</f>
        <v>0</v>
      </c>
      <c r="BQ24" s="27">
        <f t="shared" si="7"/>
        <v>0</v>
      </c>
    </row>
    <row r="25" spans="1:69" s="9" customFormat="1" x14ac:dyDescent="0.2">
      <c r="A25" s="1"/>
      <c r="B25" s="23" t="str">
        <f t="shared" si="6"/>
        <v>T3 REFCL: surge arrestors</v>
      </c>
      <c r="C25" s="24"/>
      <c r="D25" s="25"/>
      <c r="E25" s="24"/>
      <c r="F25" s="24"/>
      <c r="G25" s="26"/>
      <c r="H25" s="26">
        <f>G13/$D13</f>
        <v>160762.10261153814</v>
      </c>
      <c r="I25" s="26">
        <f>MIN($G13/$D13,$G13-SUM($H25:H25))</f>
        <v>160762.10261153814</v>
      </c>
      <c r="J25" s="26">
        <f>MIN($G13/$D13,$G13-SUM($H25:I25))</f>
        <v>160762.10261153814</v>
      </c>
      <c r="K25" s="26">
        <f>MIN($G13/$D13,$G13-SUM($H25:J25))</f>
        <v>160762.10261153814</v>
      </c>
      <c r="L25" s="26">
        <f>MIN($G13/$D13,$G13-SUM($H25:K25))</f>
        <v>160762.10261153814</v>
      </c>
      <c r="M25" s="26">
        <f>MIN($G13/$D13,$G13-SUM($H25:L25))</f>
        <v>160762.10261153814</v>
      </c>
      <c r="N25" s="26">
        <f>MIN($G13/$D13,$G13-SUM($H25:M25))</f>
        <v>160762.10261153814</v>
      </c>
      <c r="O25" s="26">
        <f>MIN($G13/$D13,$G13-SUM($H25:N25))</f>
        <v>160762.10261153814</v>
      </c>
      <c r="P25" s="26">
        <f>MIN($G13/$D13,$G13-SUM($H25:O25))</f>
        <v>160762.10261153814</v>
      </c>
      <c r="Q25" s="26">
        <f>MIN($G13/$D13,$G13-SUM($H25:P25))</f>
        <v>160762.10261153814</v>
      </c>
      <c r="R25" s="26">
        <f>MIN($G13/$D13,$G13-SUM($H25:Q25))</f>
        <v>160762.10261153814</v>
      </c>
      <c r="S25" s="26">
        <f>MIN($G13/$D13,$G13-SUM($H25:R25))</f>
        <v>160762.10261153814</v>
      </c>
      <c r="T25" s="26">
        <f>MIN($G13/$D13,$G13-SUM($H25:S25))</f>
        <v>160762.10261153814</v>
      </c>
      <c r="U25" s="26">
        <f>MIN($G13/$D13,$G13-SUM($H25:T25))</f>
        <v>160762.10261153814</v>
      </c>
      <c r="V25" s="26">
        <f>MIN($G13/$D13,$G13-SUM($H25:U25))</f>
        <v>160762.10261153814</v>
      </c>
      <c r="W25" s="26">
        <f>MIN($G13/$D13,$G13-SUM($H25:V25))</f>
        <v>160762.10261153814</v>
      </c>
      <c r="X25" s="26">
        <f>MIN($G13/$D13,$G13-SUM($H25:W25))</f>
        <v>160762.10261153814</v>
      </c>
      <c r="Y25" s="26">
        <f>MIN($G13/$D13,$G13-SUM($H25:X25))</f>
        <v>160762.10261153814</v>
      </c>
      <c r="Z25" s="26">
        <f>MIN($G13/$D13,$G13-SUM($H25:Y25))</f>
        <v>160762.10261153814</v>
      </c>
      <c r="AA25" s="26">
        <f>MIN($G13/$D13,$G13-SUM($H25:Z25))</f>
        <v>160762.10261153814</v>
      </c>
      <c r="AB25" s="26">
        <f>MIN($G13/$D13,$G13-SUM($H25:AA25))</f>
        <v>160762.10261153814</v>
      </c>
      <c r="AC25" s="26">
        <f>MIN($G13/$D13,$G13-SUM($H25:AB25))</f>
        <v>160762.10261153814</v>
      </c>
      <c r="AD25" s="26">
        <f>MIN($G13/$D13,$G13-SUM($H25:AC25))</f>
        <v>160762.10261153814</v>
      </c>
      <c r="AE25" s="26">
        <f>MIN($G13/$D13,$G13-SUM($H25:AD25))</f>
        <v>160762.10261153814</v>
      </c>
      <c r="AF25" s="26">
        <f>MIN($G13/$D13,$G13-SUM($H25:AE25))</f>
        <v>160762.10261153814</v>
      </c>
      <c r="AG25" s="26">
        <f>MIN($G13/$D13,$G13-SUM($H25:AF25))</f>
        <v>160762.10261153814</v>
      </c>
      <c r="AH25" s="26">
        <f>MIN($G13/$D13,$G13-SUM($H25:AG25))</f>
        <v>160762.10261153814</v>
      </c>
      <c r="AI25" s="26">
        <f>MIN($G13/$D13,$G13-SUM($H25:AH25))</f>
        <v>160762.10261153814</v>
      </c>
      <c r="AJ25" s="26">
        <f>MIN($G13/$D13,$G13-SUM($H25:AI25))</f>
        <v>160762.10261153814</v>
      </c>
      <c r="AK25" s="26">
        <f>MIN($G13/$D13,$G13-SUM($H25:AJ25))</f>
        <v>160762.10261153814</v>
      </c>
      <c r="AL25" s="26">
        <f>MIN($G13/$D13,$G13-SUM($H25:AK25))</f>
        <v>160762.10261153814</v>
      </c>
      <c r="AM25" s="26">
        <f>MIN($G13/$D13,$G13-SUM($H25:AL25))</f>
        <v>138539.76461126935</v>
      </c>
      <c r="AN25" s="26">
        <f>MIN($G13/$D13,$G13-SUM($H25:AM25))</f>
        <v>0</v>
      </c>
      <c r="AO25" s="26">
        <f>MIN($G13/$D13,$G13-SUM($H25:AN25))</f>
        <v>0</v>
      </c>
      <c r="AP25" s="26">
        <f>MIN($G13/$D13,$G13-SUM($H25:AO25))</f>
        <v>0</v>
      </c>
      <c r="AQ25" s="26">
        <f>MIN($G13/$D13,$G13-SUM($H25:AP25))</f>
        <v>0</v>
      </c>
      <c r="AR25" s="26">
        <f>MIN($G13/$D13,$G13-SUM($H25:AQ25))</f>
        <v>0</v>
      </c>
      <c r="AS25" s="26">
        <f>MIN($G13/$D13,$G13-SUM($H25:AR25))</f>
        <v>0</v>
      </c>
      <c r="AT25" s="26">
        <f>MIN($G13/$D13,$G13-SUM($H25:AS25))</f>
        <v>0</v>
      </c>
      <c r="AU25" s="26">
        <f>MIN($G13/$D13,$G13-SUM($H25:AT25))</f>
        <v>0</v>
      </c>
      <c r="AV25" s="26">
        <f>MIN($G13/$D13,$G13-SUM($H25:AU25))</f>
        <v>0</v>
      </c>
      <c r="AW25" s="26">
        <f>MIN($G13/$D13,$G13-SUM($H25:AV25))</f>
        <v>0</v>
      </c>
      <c r="AX25" s="26">
        <f>MIN($G13/$D13,$G13-SUM($H25:AW25))</f>
        <v>0</v>
      </c>
      <c r="AY25" s="26">
        <f>MIN($G13/$D13,$G13-SUM($H25:AX25))</f>
        <v>0</v>
      </c>
      <c r="AZ25" s="26">
        <f>MIN($G13/$D13,$G13-SUM($H25:AY25))</f>
        <v>0</v>
      </c>
      <c r="BA25" s="26">
        <f>MIN($G13/$D13,$G13-SUM($H25:AZ25))</f>
        <v>0</v>
      </c>
      <c r="BB25" s="26">
        <f>MIN($G13/$D13,$G13-SUM($H25:BA25))</f>
        <v>0</v>
      </c>
      <c r="BC25" s="26">
        <f>MIN($G13/$D13,$G13-SUM($H25:BB25))</f>
        <v>0</v>
      </c>
      <c r="BD25" s="26">
        <f>MIN($G13/$D13,$G13-SUM($H25:BC25))</f>
        <v>0</v>
      </c>
      <c r="BE25" s="26">
        <f>MIN($G13/$D13,$G13-SUM($H25:BD25))</f>
        <v>0</v>
      </c>
      <c r="BF25" s="26">
        <f>MIN($G13/$D13,$G13-SUM($H25:BE25))</f>
        <v>0</v>
      </c>
      <c r="BG25" s="26">
        <f>MIN($G13/$D13,$G13-SUM($H25:BF25))</f>
        <v>0</v>
      </c>
      <c r="BH25" s="26">
        <f>MIN($G13/$D13,$G13-SUM($H25:BG25))</f>
        <v>0</v>
      </c>
      <c r="BI25" s="26">
        <f>MIN($G13/$D13,$G13-SUM($H25:BH25))</f>
        <v>0</v>
      </c>
      <c r="BJ25" s="26">
        <f>MIN($G13/$D13,$G13-SUM($H25:BI25))</f>
        <v>0</v>
      </c>
      <c r="BK25" s="26">
        <f>MIN($G13/$D13,$G13-SUM($H25:BJ25))</f>
        <v>0</v>
      </c>
      <c r="BL25" s="26">
        <f>MIN($G13/$D13,$G13-SUM($H25:BK25))</f>
        <v>0</v>
      </c>
      <c r="BM25" s="26">
        <f>MIN($G13/$D13,$G13-SUM($H25:BL25))</f>
        <v>0</v>
      </c>
      <c r="BN25" s="26">
        <f>MIN($G13/$D13,$G13-SUM($H25:BM25))</f>
        <v>0</v>
      </c>
      <c r="BO25" s="26">
        <f>MIN($G13/$D13,$G13-SUM($H25:BN25))</f>
        <v>0</v>
      </c>
      <c r="BP25" s="26">
        <f>MIN($G13/$D13,$G13-SUM($H25:BO25))</f>
        <v>0</v>
      </c>
      <c r="BQ25" s="27">
        <f t="shared" si="7"/>
        <v>0</v>
      </c>
    </row>
    <row r="26" spans="1:69" s="9" customFormat="1" x14ac:dyDescent="0.2">
      <c r="A26" s="1"/>
      <c r="B26" s="23" t="str">
        <f t="shared" si="6"/>
        <v>WPD &amp; GHP: surge arrestors</v>
      </c>
      <c r="C26" s="24"/>
      <c r="D26" s="25"/>
      <c r="E26" s="24"/>
      <c r="F26" s="24"/>
      <c r="G26" s="26"/>
      <c r="H26" s="26">
        <f>$G14/$D14</f>
        <v>78881.996938876371</v>
      </c>
      <c r="I26" s="26">
        <f>MIN($G14/$D14,$G14-SUM($H26:H26))</f>
        <v>78881.996938876371</v>
      </c>
      <c r="J26" s="26">
        <f>MIN($G14/$D14,$G14-SUM($H26:I26))</f>
        <v>78881.996938876371</v>
      </c>
      <c r="K26" s="26">
        <f>MIN($G14/$D14,$G14-SUM($H26:J26))</f>
        <v>78881.996938876371</v>
      </c>
      <c r="L26" s="26">
        <f>MIN($G14/$D14,$G14-SUM($H26:K26))</f>
        <v>78881.996938876371</v>
      </c>
      <c r="M26" s="26">
        <f>MIN($G14/$D14,$G14-SUM($H26:L26))</f>
        <v>78881.996938876371</v>
      </c>
      <c r="N26" s="26">
        <f>MIN($G14/$D14,$G14-SUM($H26:M26))</f>
        <v>78881.996938876371</v>
      </c>
      <c r="O26" s="26">
        <f>MIN($G14/$D14,$G14-SUM($H26:N26))</f>
        <v>78881.996938876371</v>
      </c>
      <c r="P26" s="26">
        <f>MIN($G14/$D14,$G14-SUM($H26:O26))</f>
        <v>78881.996938876371</v>
      </c>
      <c r="Q26" s="26">
        <f>MIN($G14/$D14,$G14-SUM($H26:P26))</f>
        <v>78881.996938876371</v>
      </c>
      <c r="R26" s="26">
        <f>MIN($G14/$D14,$G14-SUM($H26:Q26))</f>
        <v>78881.996938876371</v>
      </c>
      <c r="S26" s="26">
        <f>MIN($G14/$D14,$G14-SUM($H26:R26))</f>
        <v>78881.996938876371</v>
      </c>
      <c r="T26" s="26">
        <f>MIN($G14/$D14,$G14-SUM($H26:S26))</f>
        <v>78881.996938876371</v>
      </c>
      <c r="U26" s="26">
        <f>MIN($G14/$D14,$G14-SUM($H26:T26))</f>
        <v>78881.996938876371</v>
      </c>
      <c r="V26" s="26">
        <f>MIN($G14/$D14,$G14-SUM($H26:U26))</f>
        <v>78881.996938876371</v>
      </c>
      <c r="W26" s="26">
        <f>MIN($G14/$D14,$G14-SUM($H26:V26))</f>
        <v>78881.996938876371</v>
      </c>
      <c r="X26" s="26">
        <f>MIN($G14/$D14,$G14-SUM($H26:W26))</f>
        <v>78881.996938876371</v>
      </c>
      <c r="Y26" s="26">
        <f>MIN($G14/$D14,$G14-SUM($H26:X26))</f>
        <v>78881.996938876371</v>
      </c>
      <c r="Z26" s="26">
        <f>MIN($G14/$D14,$G14-SUM($H26:Y26))</f>
        <v>78881.996938876371</v>
      </c>
      <c r="AA26" s="26">
        <f>MIN($G14/$D14,$G14-SUM($H26:Z26))</f>
        <v>78881.996938876371</v>
      </c>
      <c r="AB26" s="26">
        <f>MIN($G14/$D14,$G14-SUM($H26:AA26))</f>
        <v>78881.996938876371</v>
      </c>
      <c r="AC26" s="26">
        <f>MIN($G14/$D14,$G14-SUM($H26:AB26))</f>
        <v>78881.996938876371</v>
      </c>
      <c r="AD26" s="26">
        <f>MIN($G14/$D14,$G14-SUM($H26:AC26))</f>
        <v>78881.996938876371</v>
      </c>
      <c r="AE26" s="26">
        <f>MIN($G14/$D14,$G14-SUM($H26:AD26))</f>
        <v>78881.996938876371</v>
      </c>
      <c r="AF26" s="26">
        <f>MIN($G14/$D14,$G14-SUM($H26:AE26))</f>
        <v>78881.996938876371</v>
      </c>
      <c r="AG26" s="26">
        <f>MIN($G14/$D14,$G14-SUM($H26:AF26))</f>
        <v>78881.996938876371</v>
      </c>
      <c r="AH26" s="26">
        <f>MIN($G14/$D14,$G14-SUM($H26:AG26))</f>
        <v>78881.996938876371</v>
      </c>
      <c r="AI26" s="26">
        <f>MIN($G14/$D14,$G14-SUM($H26:AH26))</f>
        <v>78881.996938876371</v>
      </c>
      <c r="AJ26" s="26">
        <f>MIN($G14/$D14,$G14-SUM($H26:AI26))</f>
        <v>78881.996938876371</v>
      </c>
      <c r="AK26" s="26">
        <f>MIN($G14/$D14,$G14-SUM($H26:AJ26))</f>
        <v>78881.996938876371</v>
      </c>
      <c r="AL26" s="26">
        <f>MIN($G14/$D14,$G14-SUM($H26:AK26))</f>
        <v>78881.996938876371</v>
      </c>
      <c r="AM26" s="26">
        <f>MIN($G14/$D14,$G14-SUM($H26:AL26))</f>
        <v>67978.044019401539</v>
      </c>
      <c r="AN26" s="26">
        <f>MIN($G14/$D14,$G14-SUM($H26:AM26))</f>
        <v>0</v>
      </c>
      <c r="AO26" s="26">
        <f>MIN($G14/$D14,$G14-SUM($H26:AN26))</f>
        <v>0</v>
      </c>
      <c r="AP26" s="26">
        <f>MIN($G14/$D14,$G14-SUM($H26:AO26))</f>
        <v>0</v>
      </c>
      <c r="AQ26" s="26">
        <f>MIN($G14/$D14,$G14-SUM($H26:AP26))</f>
        <v>0</v>
      </c>
      <c r="AR26" s="26">
        <f>MIN($G14/$D14,$G14-SUM($H26:AQ26))</f>
        <v>0</v>
      </c>
      <c r="AS26" s="26">
        <f>MIN($G14/$D14,$G14-SUM($H26:AR26))</f>
        <v>0</v>
      </c>
      <c r="AT26" s="26">
        <f>MIN($G14/$D14,$G14-SUM($H26:AS26))</f>
        <v>0</v>
      </c>
      <c r="AU26" s="26">
        <f>MIN($G14/$D14,$G14-SUM($H26:AT26))</f>
        <v>0</v>
      </c>
      <c r="AV26" s="26">
        <f>MIN($G14/$D14,$G14-SUM($H26:AU26))</f>
        <v>0</v>
      </c>
      <c r="AW26" s="26">
        <f>MIN($G14/$D14,$G14-SUM($H26:AV26))</f>
        <v>0</v>
      </c>
      <c r="AX26" s="26">
        <f>MIN($G14/$D14,$G14-SUM($H26:AW26))</f>
        <v>0</v>
      </c>
      <c r="AY26" s="26">
        <f>MIN($G14/$D14,$G14-SUM($H26:AX26))</f>
        <v>0</v>
      </c>
      <c r="AZ26" s="26">
        <f>MIN($G14/$D14,$G14-SUM($H26:AY26))</f>
        <v>0</v>
      </c>
      <c r="BA26" s="26">
        <f>MIN($G14/$D14,$G14-SUM($H26:AZ26))</f>
        <v>0</v>
      </c>
      <c r="BB26" s="26">
        <f>MIN($G14/$D14,$G14-SUM($H26:BA26))</f>
        <v>0</v>
      </c>
      <c r="BC26" s="26">
        <f>MIN($G14/$D14,$G14-SUM($H26:BB26))</f>
        <v>0</v>
      </c>
      <c r="BD26" s="26">
        <f>MIN($G14/$D14,$G14-SUM($H26:BC26))</f>
        <v>0</v>
      </c>
      <c r="BE26" s="26">
        <f>MIN($G14/$D14,$G14-SUM($H26:BD26))</f>
        <v>0</v>
      </c>
      <c r="BF26" s="26">
        <f>MIN($G14/$D14,$G14-SUM($H26:BE26))</f>
        <v>0</v>
      </c>
      <c r="BG26" s="26">
        <f>MIN($G14/$D14,$G14-SUM($H26:BF26))</f>
        <v>0</v>
      </c>
      <c r="BH26" s="26">
        <f>MIN($G14/$D14,$G14-SUM($H26:BG26))</f>
        <v>0</v>
      </c>
      <c r="BI26" s="26">
        <f>MIN($G14/$D14,$G14-SUM($H26:BH26))</f>
        <v>0</v>
      </c>
      <c r="BJ26" s="26">
        <f>MIN($G14/$D14,$G14-SUM($H26:BI26))</f>
        <v>0</v>
      </c>
      <c r="BK26" s="26">
        <f>MIN($G14/$D14,$G14-SUM($H26:BJ26))</f>
        <v>0</v>
      </c>
      <c r="BL26" s="26">
        <f>MIN($G14/$D14,$G14-SUM($H26:BK26))</f>
        <v>0</v>
      </c>
      <c r="BM26" s="26">
        <f>MIN($G14/$D14,$G14-SUM($H26:BL26))</f>
        <v>0</v>
      </c>
      <c r="BN26" s="26">
        <f>MIN($G14/$D14,$G14-SUM($H26:BM26))</f>
        <v>0</v>
      </c>
      <c r="BO26" s="26">
        <f>MIN($G14/$D14,$G14-SUM($H26:BN26))</f>
        <v>0</v>
      </c>
      <c r="BP26" s="26">
        <f>MIN($G14/$D14,$G14-SUM($H26:BO26))</f>
        <v>0</v>
      </c>
      <c r="BQ26" s="27">
        <f t="shared" si="7"/>
        <v>0</v>
      </c>
    </row>
    <row r="27" spans="1:69" s="9" customFormat="1" x14ac:dyDescent="0.2">
      <c r="A27" s="1"/>
      <c r="B27" s="23" t="str">
        <f t="shared" si="6"/>
        <v>T1-T3 &amp; WPD &amp; GHP REFCL: ACRs</v>
      </c>
      <c r="C27" s="24"/>
      <c r="D27" s="25"/>
      <c r="E27" s="24"/>
      <c r="F27" s="24"/>
      <c r="G27" s="26"/>
      <c r="H27" s="26">
        <f>$G15/$D15</f>
        <v>27925.89031040225</v>
      </c>
      <c r="I27" s="26">
        <f>MIN($G15/$D15,$G15-SUM($H27:H27))</f>
        <v>27925.89031040225</v>
      </c>
      <c r="J27" s="26">
        <f>MIN($G15/$D15,$G15-SUM($H27:I27))</f>
        <v>27925.89031040225</v>
      </c>
      <c r="K27" s="26">
        <f>MIN($G15/$D15,$G15-SUM($H27:J27))</f>
        <v>27925.89031040225</v>
      </c>
      <c r="L27" s="26">
        <f>MIN($G15/$D15,$G15-SUM($H27:K27))</f>
        <v>27925.89031040225</v>
      </c>
      <c r="M27" s="26">
        <f>MIN($G15/$D15,$G15-SUM($H27:L27))</f>
        <v>27925.89031040225</v>
      </c>
      <c r="N27" s="26">
        <f>MIN($G15/$D15,$G15-SUM($H27:M27))</f>
        <v>27925.89031040225</v>
      </c>
      <c r="O27" s="26">
        <f>MIN($G15/$D15,$G15-SUM($H27:N27))</f>
        <v>27925.89031040225</v>
      </c>
      <c r="P27" s="26">
        <f>MIN($G15/$D15,$G15-SUM($H27:O27))</f>
        <v>27925.89031040225</v>
      </c>
      <c r="Q27" s="26">
        <f>MIN($G15/$D15,$G15-SUM($H27:P27))</f>
        <v>27925.89031040225</v>
      </c>
      <c r="R27" s="26">
        <f>MIN($G15/$D15,$G15-SUM($H27:Q27))</f>
        <v>27925.89031040225</v>
      </c>
      <c r="S27" s="26">
        <f>MIN($G15/$D15,$G15-SUM($H27:R27))</f>
        <v>27925.89031040225</v>
      </c>
      <c r="T27" s="26">
        <f>MIN($G15/$D15,$G15-SUM($H27:S27))</f>
        <v>27925.89031040225</v>
      </c>
      <c r="U27" s="26">
        <f>MIN($G15/$D15,$G15-SUM($H27:T27))</f>
        <v>27925.89031040225</v>
      </c>
      <c r="V27" s="26">
        <f>MIN($G15/$D15,$G15-SUM($H27:U27))</f>
        <v>27925.89031040225</v>
      </c>
      <c r="W27" s="26">
        <f>MIN($G15/$D15,$G15-SUM($H27:V27))</f>
        <v>27925.89031040225</v>
      </c>
      <c r="X27" s="26">
        <f>MIN($G15/$D15,$G15-SUM($H27:W27))</f>
        <v>27925.89031040225</v>
      </c>
      <c r="Y27" s="26">
        <f>MIN($G15/$D15,$G15-SUM($H27:X27))</f>
        <v>27925.89031040225</v>
      </c>
      <c r="Z27" s="26">
        <f>MIN($G15/$D15,$G15-SUM($H27:Y27))</f>
        <v>27925.89031040225</v>
      </c>
      <c r="AA27" s="26">
        <f>MIN($G15/$D15,$G15-SUM($H27:Z27))</f>
        <v>27925.89031040225</v>
      </c>
      <c r="AB27" s="26">
        <f>MIN($G15/$D15,$G15-SUM($H27:AA27))</f>
        <v>27925.89031040225</v>
      </c>
      <c r="AC27" s="26">
        <f>MIN($G15/$D15,$G15-SUM($H27:AB27))</f>
        <v>27925.89031040225</v>
      </c>
      <c r="AD27" s="26">
        <f>MIN($G15/$D15,$G15-SUM($H27:AC27))</f>
        <v>27925.89031040225</v>
      </c>
      <c r="AE27" s="26">
        <f>MIN($G15/$D15,$G15-SUM($H27:AD27))</f>
        <v>27925.89031040225</v>
      </c>
      <c r="AF27" s="26">
        <f>MIN($G15/$D15,$G15-SUM($H27:AE27))</f>
        <v>27925.89031040225</v>
      </c>
      <c r="AG27" s="26">
        <f>MIN($G15/$D15,$G15-SUM($H27:AF27))</f>
        <v>27925.89031040225</v>
      </c>
      <c r="AH27" s="26">
        <f>MIN($G15/$D15,$G15-SUM($H27:AG27))</f>
        <v>27925.89031040225</v>
      </c>
      <c r="AI27" s="26">
        <f>MIN($G15/$D15,$G15-SUM($H27:AH27))</f>
        <v>27925.89031040225</v>
      </c>
      <c r="AJ27" s="26">
        <f>MIN($G15/$D15,$G15-SUM($H27:AI27))</f>
        <v>27925.89031040225</v>
      </c>
      <c r="AK27" s="26">
        <f>MIN($G15/$D15,$G15-SUM($H27:AJ27))</f>
        <v>27925.89031040225</v>
      </c>
      <c r="AL27" s="26">
        <f>MIN($G15/$D15,$G15-SUM($H27:AK27))</f>
        <v>27925.89031040225</v>
      </c>
      <c r="AM27" s="26">
        <f>MIN($G15/$D15,$G15-SUM($H27:AL27))</f>
        <v>27925.89031040225</v>
      </c>
      <c r="AN27" s="26">
        <f>MIN($G15/$D15,$G15-SUM($H27:AM27))</f>
        <v>27925.89031040225</v>
      </c>
      <c r="AO27" s="26">
        <f>MIN($G15/$D15,$G15-SUM($H27:AN27))</f>
        <v>27925.89031040225</v>
      </c>
      <c r="AP27" s="26">
        <f>MIN($G15/$D15,$G15-SUM($H27:AO27))</f>
        <v>27925.89031040225</v>
      </c>
      <c r="AQ27" s="26">
        <f>MIN($G15/$D15,$G15-SUM($H27:AP27))</f>
        <v>27925.89031040225</v>
      </c>
      <c r="AR27" s="26">
        <f>MIN($G15/$D15,$G15-SUM($H27:AQ27))</f>
        <v>27925.89031040225</v>
      </c>
      <c r="AS27" s="26">
        <f>MIN($G15/$D15,$G15-SUM($H27:AR27))</f>
        <v>27925.89031040225</v>
      </c>
      <c r="AT27" s="26">
        <f>MIN($G15/$D15,$G15-SUM($H27:AS27))</f>
        <v>27925.89031040225</v>
      </c>
      <c r="AU27" s="26">
        <f>MIN($G15/$D15,$G15-SUM($H27:AT27))</f>
        <v>27925.89031040225</v>
      </c>
      <c r="AV27" s="26">
        <f>MIN($G15/$D15,$G15-SUM($H27:AU27))</f>
        <v>27925.89031040225</v>
      </c>
      <c r="AW27" s="26">
        <f>MIN($G15/$D15,$G15-SUM($H27:AV27))</f>
        <v>27925.89031040225</v>
      </c>
      <c r="AX27" s="26">
        <f>MIN($G15/$D15,$G15-SUM($H27:AW27))</f>
        <v>22905.505535498261</v>
      </c>
      <c r="AY27" s="26">
        <f>MIN($G15/$D15,$G15-SUM($H27:AX27))</f>
        <v>0</v>
      </c>
      <c r="AZ27" s="26">
        <f>MIN($G15/$D15,$G15-SUM($H27:AY27))</f>
        <v>0</v>
      </c>
      <c r="BA27" s="26">
        <f>MIN($G15/$D15,$G15-SUM($H27:AZ27))</f>
        <v>0</v>
      </c>
      <c r="BB27" s="26">
        <f>MIN($G15/$D15,$G15-SUM($H27:BA27))</f>
        <v>0</v>
      </c>
      <c r="BC27" s="26">
        <f>MIN($G15/$D15,$G15-SUM($H27:BB27))</f>
        <v>0</v>
      </c>
      <c r="BD27" s="26">
        <f>MIN($G15/$D15,$G15-SUM($H27:BC27))</f>
        <v>0</v>
      </c>
      <c r="BE27" s="26">
        <f>MIN($G15/$D15,$G15-SUM($H27:BD27))</f>
        <v>0</v>
      </c>
      <c r="BF27" s="26">
        <f>MIN($G15/$D15,$G15-SUM($H27:BE27))</f>
        <v>0</v>
      </c>
      <c r="BG27" s="26">
        <f>MIN($G15/$D15,$G15-SUM($H27:BF27))</f>
        <v>0</v>
      </c>
      <c r="BH27" s="26">
        <f>MIN($G15/$D15,$G15-SUM($H27:BG27))</f>
        <v>0</v>
      </c>
      <c r="BI27" s="26">
        <f>MIN($G15/$D15,$G15-SUM($H27:BH27))</f>
        <v>0</v>
      </c>
      <c r="BJ27" s="26">
        <f>MIN($G15/$D15,$G15-SUM($H27:BI27))</f>
        <v>0</v>
      </c>
      <c r="BK27" s="26">
        <f>MIN($G15/$D15,$G15-SUM($H27:BJ27))</f>
        <v>0</v>
      </c>
      <c r="BL27" s="26">
        <f>MIN($G15/$D15,$G15-SUM($H27:BK27))</f>
        <v>0</v>
      </c>
      <c r="BM27" s="26">
        <f>MIN($G15/$D15,$G15-SUM($H27:BL27))</f>
        <v>0</v>
      </c>
      <c r="BN27" s="26">
        <f>MIN($G15/$D15,$G15-SUM($H27:BM27))</f>
        <v>0</v>
      </c>
      <c r="BO27" s="26">
        <f>MIN($G15/$D15,$G15-SUM($H27:BN27))</f>
        <v>0</v>
      </c>
      <c r="BP27" s="26">
        <f>MIN($G15/$D15,$G15-SUM($H27:BO27))</f>
        <v>0</v>
      </c>
      <c r="BQ27" s="27">
        <f t="shared" si="7"/>
        <v>0</v>
      </c>
    </row>
    <row r="28" spans="1:69" s="9" customFormat="1" x14ac:dyDescent="0.2">
      <c r="A28" s="1"/>
      <c r="B28" s="23" t="str">
        <f t="shared" si="6"/>
        <v>T1-T3 REFCL: underground cable</v>
      </c>
      <c r="C28" s="24"/>
      <c r="D28" s="25"/>
      <c r="E28" s="24"/>
      <c r="F28" s="24"/>
      <c r="G28" s="26"/>
      <c r="H28" s="26">
        <f>$G16/$D16</f>
        <v>348213.01549874531</v>
      </c>
      <c r="I28" s="26">
        <f>MIN($G16/$D16,$G16-SUM($H28:H28))</f>
        <v>348213.01549874531</v>
      </c>
      <c r="J28" s="26">
        <f>MIN($G16/$D16,$G16-SUM($H28:I28))</f>
        <v>348213.01549874531</v>
      </c>
      <c r="K28" s="26">
        <f>MIN($G16/$D16,$G16-SUM($H28:J28))</f>
        <v>348213.01549874531</v>
      </c>
      <c r="L28" s="26">
        <f>MIN($G16/$D16,$G16-SUM($H28:K28))</f>
        <v>348213.01549874531</v>
      </c>
      <c r="M28" s="26">
        <f>MIN($G16/$D16,$G16-SUM($H28:L28))</f>
        <v>348213.01549874531</v>
      </c>
      <c r="N28" s="26">
        <f>MIN($G16/$D16,$G16-SUM($H28:M28))</f>
        <v>348213.01549874531</v>
      </c>
      <c r="O28" s="26">
        <f>MIN($G16/$D16,$G16-SUM($H28:N28))</f>
        <v>348213.01549874531</v>
      </c>
      <c r="P28" s="26">
        <f>MIN($G16/$D16,$G16-SUM($H28:O28))</f>
        <v>348213.01549874531</v>
      </c>
      <c r="Q28" s="26">
        <f>MIN($G16/$D16,$G16-SUM($H28:P28))</f>
        <v>348213.01549874531</v>
      </c>
      <c r="R28" s="26">
        <f>MIN($G16/$D16,$G16-SUM($H28:Q28))</f>
        <v>348213.01549874531</v>
      </c>
      <c r="S28" s="26">
        <f>MIN($G16/$D16,$G16-SUM($H28:R28))</f>
        <v>348213.01549874531</v>
      </c>
      <c r="T28" s="26">
        <f>MIN($G16/$D16,$G16-SUM($H28:S28))</f>
        <v>348213.01549874531</v>
      </c>
      <c r="U28" s="26">
        <f>MIN($G16/$D16,$G16-SUM($H28:T28))</f>
        <v>348213.01549874531</v>
      </c>
      <c r="V28" s="26">
        <f>MIN($G16/$D16,$G16-SUM($H28:U28))</f>
        <v>348213.01549874531</v>
      </c>
      <c r="W28" s="26">
        <f>MIN($G16/$D16,$G16-SUM($H28:V28))</f>
        <v>348213.01549874531</v>
      </c>
      <c r="X28" s="26">
        <f>MIN($G16/$D16,$G16-SUM($H28:W28))</f>
        <v>348213.01549874531</v>
      </c>
      <c r="Y28" s="26">
        <f>MIN($G16/$D16,$G16-SUM($H28:X28))</f>
        <v>348213.01549874531</v>
      </c>
      <c r="Z28" s="26">
        <f>MIN($G16/$D16,$G16-SUM($H28:Y28))</f>
        <v>348213.01549874531</v>
      </c>
      <c r="AA28" s="26">
        <f>MIN($G16/$D16,$G16-SUM($H28:Z28))</f>
        <v>348213.01549874531</v>
      </c>
      <c r="AB28" s="26">
        <f>MIN($G16/$D16,$G16-SUM($H28:AA28))</f>
        <v>348213.01549874531</v>
      </c>
      <c r="AC28" s="26">
        <f>MIN($G16/$D16,$G16-SUM($H28:AB28))</f>
        <v>348213.01549874531</v>
      </c>
      <c r="AD28" s="26">
        <f>MIN($G16/$D16,$G16-SUM($H28:AC28))</f>
        <v>348213.01549874531</v>
      </c>
      <c r="AE28" s="26">
        <f>MIN($G16/$D16,$G16-SUM($H28:AD28))</f>
        <v>348213.01549874531</v>
      </c>
      <c r="AF28" s="26">
        <f>MIN($G16/$D16,$G16-SUM($H28:AE28))</f>
        <v>348213.01549874531</v>
      </c>
      <c r="AG28" s="26">
        <f>MIN($G16/$D16,$G16-SUM($H28:AF28))</f>
        <v>348213.01549874531</v>
      </c>
      <c r="AH28" s="26">
        <f>MIN($G16/$D16,$G16-SUM($H28:AG28))</f>
        <v>348213.01549874531</v>
      </c>
      <c r="AI28" s="26">
        <f>MIN($G16/$D16,$G16-SUM($H28:AH28))</f>
        <v>348213.01549874531</v>
      </c>
      <c r="AJ28" s="26">
        <f>MIN($G16/$D16,$G16-SUM($H28:AI28))</f>
        <v>348213.01549874531</v>
      </c>
      <c r="AK28" s="26">
        <f>MIN($G16/$D16,$G16-SUM($H28:AJ28))</f>
        <v>348213.01549874531</v>
      </c>
      <c r="AL28" s="26">
        <f>MIN($G16/$D16,$G16-SUM($H28:AK28))</f>
        <v>306679.84603191167</v>
      </c>
      <c r="AM28" s="26">
        <f>MIN($G16/$D16,$G16-SUM($H28:AL28))</f>
        <v>0</v>
      </c>
      <c r="AN28" s="26">
        <f>MIN($G16/$D16,$G16-SUM($H28:AM28))</f>
        <v>0</v>
      </c>
      <c r="AO28" s="26">
        <f>MIN($G16/$D16,$G16-SUM($H28:AN28))</f>
        <v>0</v>
      </c>
      <c r="AP28" s="26">
        <f>MIN($G16/$D16,$G16-SUM($H28:AO28))</f>
        <v>0</v>
      </c>
      <c r="AQ28" s="26">
        <f>MIN($G16/$D16,$G16-SUM($H28:AP28))</f>
        <v>0</v>
      </c>
      <c r="AR28" s="26">
        <f>MIN($G16/$D16,$G16-SUM($H28:AQ28))</f>
        <v>0</v>
      </c>
      <c r="AS28" s="26">
        <f>MIN($G16/$D16,$G16-SUM($H28:AR28))</f>
        <v>0</v>
      </c>
      <c r="AT28" s="26">
        <f>MIN($G16/$D16,$G16-SUM($H28:AS28))</f>
        <v>0</v>
      </c>
      <c r="AU28" s="26">
        <f>MIN($G16/$D16,$G16-SUM($H28:AT28))</f>
        <v>0</v>
      </c>
      <c r="AV28" s="26">
        <f>MIN($G16/$D16,$G16-SUM($H28:AU28))</f>
        <v>0</v>
      </c>
      <c r="AW28" s="26">
        <f>MIN($G16/$D16,$G16-SUM($H28:AV28))</f>
        <v>0</v>
      </c>
      <c r="AX28" s="26">
        <f>MIN($G16/$D16,$G16-SUM($H28:AW28))</f>
        <v>0</v>
      </c>
      <c r="AY28" s="26">
        <f>MIN($G16/$D16,$G16-SUM($H28:AX28))</f>
        <v>0</v>
      </c>
      <c r="AZ28" s="26">
        <f>MIN($G16/$D16,$G16-SUM($H28:AY28))</f>
        <v>0</v>
      </c>
      <c r="BA28" s="26">
        <f>MIN($G16/$D16,$G16-SUM($H28:AZ28))</f>
        <v>0</v>
      </c>
      <c r="BB28" s="26">
        <f>MIN($G16/$D16,$G16-SUM($H28:BA28))</f>
        <v>0</v>
      </c>
      <c r="BC28" s="26">
        <f>MIN($G16/$D16,$G16-SUM($H28:BB28))</f>
        <v>0</v>
      </c>
      <c r="BD28" s="26">
        <f>MIN($G16/$D16,$G16-SUM($H28:BC28))</f>
        <v>0</v>
      </c>
      <c r="BE28" s="26">
        <f>MIN($G16/$D16,$G16-SUM($H28:BD28))</f>
        <v>0</v>
      </c>
      <c r="BF28" s="26">
        <f>MIN($G16/$D16,$G16-SUM($H28:BE28))</f>
        <v>0</v>
      </c>
      <c r="BG28" s="26">
        <f>MIN($G16/$D16,$G16-SUM($H28:BF28))</f>
        <v>0</v>
      </c>
      <c r="BH28" s="26">
        <f>MIN($G16/$D16,$G16-SUM($H28:BG28))</f>
        <v>0</v>
      </c>
      <c r="BI28" s="26">
        <f>MIN($G16/$D16,$G16-SUM($H28:BH28))</f>
        <v>0</v>
      </c>
      <c r="BJ28" s="26">
        <f>MIN($G16/$D16,$G16-SUM($H28:BI28))</f>
        <v>0</v>
      </c>
      <c r="BK28" s="26">
        <f>MIN($G16/$D16,$G16-SUM($H28:BJ28))</f>
        <v>0</v>
      </c>
      <c r="BL28" s="26">
        <f>MIN($G16/$D16,$G16-SUM($H28:BK28))</f>
        <v>0</v>
      </c>
      <c r="BM28" s="26">
        <f>MIN($G16/$D16,$G16-SUM($H28:BL28))</f>
        <v>0</v>
      </c>
      <c r="BN28" s="26">
        <f>MIN($G16/$D16,$G16-SUM($H28:BM28))</f>
        <v>0</v>
      </c>
      <c r="BO28" s="26">
        <f>MIN($G16/$D16,$G16-SUM($H28:BN28))</f>
        <v>0</v>
      </c>
      <c r="BP28" s="26">
        <f>MIN($G16/$D16,$G16-SUM($H28:BO28))</f>
        <v>0</v>
      </c>
      <c r="BQ28" s="27">
        <f t="shared" si="7"/>
        <v>0</v>
      </c>
    </row>
    <row r="29" spans="1:69" s="34" customFormat="1" x14ac:dyDescent="0.2">
      <c r="A29" s="28"/>
      <c r="B29" s="29" t="s">
        <v>17</v>
      </c>
      <c r="C29" s="30"/>
      <c r="D29" s="31"/>
      <c r="E29" s="30"/>
      <c r="F29" s="30"/>
      <c r="G29" s="32"/>
      <c r="H29" s="32">
        <f>SUM(H21:H28)</f>
        <v>918447.20693061524</v>
      </c>
      <c r="I29" s="32">
        <f t="shared" ref="I29:AF29" si="8">SUM(I21:I28)</f>
        <v>918447.20693061524</v>
      </c>
      <c r="J29" s="32">
        <f t="shared" si="8"/>
        <v>918447.20693061524</v>
      </c>
      <c r="K29" s="32">
        <f t="shared" si="8"/>
        <v>918447.20693061524</v>
      </c>
      <c r="L29" s="32">
        <f t="shared" si="8"/>
        <v>918447.20693061524</v>
      </c>
      <c r="M29" s="32">
        <f t="shared" si="8"/>
        <v>918447.20693061524</v>
      </c>
      <c r="N29" s="32">
        <f t="shared" si="8"/>
        <v>918447.20693061524</v>
      </c>
      <c r="O29" s="32">
        <f t="shared" si="8"/>
        <v>918447.20693061524</v>
      </c>
      <c r="P29" s="32">
        <f t="shared" si="8"/>
        <v>918447.20693061524</v>
      </c>
      <c r="Q29" s="32">
        <f t="shared" si="8"/>
        <v>918447.20693061524</v>
      </c>
      <c r="R29" s="32">
        <f t="shared" si="8"/>
        <v>918447.20693061524</v>
      </c>
      <c r="S29" s="32">
        <f t="shared" si="8"/>
        <v>918447.20693061524</v>
      </c>
      <c r="T29" s="32">
        <f t="shared" si="8"/>
        <v>918447.20693061524</v>
      </c>
      <c r="U29" s="32">
        <f t="shared" si="8"/>
        <v>918447.20693061524</v>
      </c>
      <c r="V29" s="32">
        <f t="shared" si="8"/>
        <v>918447.20693061524</v>
      </c>
      <c r="W29" s="32">
        <f t="shared" si="8"/>
        <v>918447.20693061524</v>
      </c>
      <c r="X29" s="32">
        <f t="shared" si="8"/>
        <v>918447.20693061524</v>
      </c>
      <c r="Y29" s="32">
        <f t="shared" si="8"/>
        <v>918447.20693061524</v>
      </c>
      <c r="Z29" s="32">
        <f t="shared" si="8"/>
        <v>918447.20693061524</v>
      </c>
      <c r="AA29" s="32">
        <f t="shared" si="8"/>
        <v>918447.20693061524</v>
      </c>
      <c r="AB29" s="32">
        <f t="shared" si="8"/>
        <v>918447.20693061524</v>
      </c>
      <c r="AC29" s="32">
        <f t="shared" si="8"/>
        <v>918447.20693061524</v>
      </c>
      <c r="AD29" s="32">
        <f t="shared" si="8"/>
        <v>918447.20693061524</v>
      </c>
      <c r="AE29" s="32">
        <f t="shared" si="8"/>
        <v>918447.20693061524</v>
      </c>
      <c r="AF29" s="32">
        <f t="shared" si="8"/>
        <v>918447.20693061524</v>
      </c>
      <c r="AG29" s="32">
        <f t="shared" ref="AG29:BP29" si="9">SUM(AG21:AG28)</f>
        <v>826947.21761976392</v>
      </c>
      <c r="AH29" s="32">
        <f t="shared" si="9"/>
        <v>735447.2283089126</v>
      </c>
      <c r="AI29" s="32">
        <f t="shared" si="9"/>
        <v>735447.2283089126</v>
      </c>
      <c r="AJ29" s="32">
        <f t="shared" si="9"/>
        <v>735447.2283089126</v>
      </c>
      <c r="AK29" s="32">
        <f t="shared" si="9"/>
        <v>735447.2283089126</v>
      </c>
      <c r="AL29" s="32">
        <f t="shared" si="9"/>
        <v>693914.05884207902</v>
      </c>
      <c r="AM29" s="32">
        <f t="shared" si="9"/>
        <v>354107.92189042375</v>
      </c>
      <c r="AN29" s="32">
        <f t="shared" si="9"/>
        <v>147590.11325975289</v>
      </c>
      <c r="AO29" s="32">
        <f t="shared" si="9"/>
        <v>147590.11325975289</v>
      </c>
      <c r="AP29" s="32">
        <f t="shared" si="9"/>
        <v>147590.11325975289</v>
      </c>
      <c r="AQ29" s="32">
        <f t="shared" si="9"/>
        <v>147590.11325975289</v>
      </c>
      <c r="AR29" s="32">
        <f t="shared" si="9"/>
        <v>147590.11325975289</v>
      </c>
      <c r="AS29" s="32">
        <f t="shared" si="9"/>
        <v>147590.11325975289</v>
      </c>
      <c r="AT29" s="32">
        <f t="shared" si="9"/>
        <v>147590.11325975289</v>
      </c>
      <c r="AU29" s="32">
        <f t="shared" si="9"/>
        <v>147590.11325975289</v>
      </c>
      <c r="AV29" s="32">
        <f t="shared" si="9"/>
        <v>147590.11325975289</v>
      </c>
      <c r="AW29" s="32">
        <f t="shared" si="9"/>
        <v>147590.11325975289</v>
      </c>
      <c r="AX29" s="32">
        <f t="shared" si="9"/>
        <v>142569.72848484889</v>
      </c>
      <c r="AY29" s="32">
        <f t="shared" si="9"/>
        <v>90909.955784337595</v>
      </c>
      <c r="AZ29" s="32">
        <f t="shared" si="9"/>
        <v>0</v>
      </c>
      <c r="BA29" s="32">
        <f t="shared" si="9"/>
        <v>0</v>
      </c>
      <c r="BB29" s="32">
        <f t="shared" si="9"/>
        <v>0</v>
      </c>
      <c r="BC29" s="32">
        <f t="shared" si="9"/>
        <v>0</v>
      </c>
      <c r="BD29" s="32">
        <f t="shared" si="9"/>
        <v>0</v>
      </c>
      <c r="BE29" s="32">
        <f t="shared" si="9"/>
        <v>0</v>
      </c>
      <c r="BF29" s="32">
        <f t="shared" si="9"/>
        <v>0</v>
      </c>
      <c r="BG29" s="32">
        <f t="shared" si="9"/>
        <v>0</v>
      </c>
      <c r="BH29" s="32">
        <f t="shared" si="9"/>
        <v>0</v>
      </c>
      <c r="BI29" s="32">
        <f t="shared" si="9"/>
        <v>0</v>
      </c>
      <c r="BJ29" s="32">
        <f t="shared" si="9"/>
        <v>0</v>
      </c>
      <c r="BK29" s="32">
        <f t="shared" si="9"/>
        <v>0</v>
      </c>
      <c r="BL29" s="32">
        <f t="shared" si="9"/>
        <v>0</v>
      </c>
      <c r="BM29" s="32">
        <f t="shared" si="9"/>
        <v>0</v>
      </c>
      <c r="BN29" s="32">
        <f t="shared" si="9"/>
        <v>0</v>
      </c>
      <c r="BO29" s="32">
        <f t="shared" si="9"/>
        <v>0</v>
      </c>
      <c r="BP29" s="32">
        <f t="shared" si="9"/>
        <v>0</v>
      </c>
      <c r="BQ29" s="33">
        <f t="shared" si="7"/>
        <v>0</v>
      </c>
    </row>
    <row r="30" spans="1:69" s="9" customFormat="1" x14ac:dyDescent="0.2">
      <c r="A30" s="1"/>
      <c r="B30" s="1"/>
      <c r="C30" s="1"/>
      <c r="D30" s="1"/>
      <c r="E30" s="1"/>
      <c r="F30" s="1"/>
      <c r="G30" s="6"/>
      <c r="H30" s="6"/>
      <c r="I30" s="6"/>
      <c r="J30" s="6"/>
      <c r="K30" s="6"/>
      <c r="L30" s="6"/>
      <c r="M30" s="1"/>
      <c r="N30" s="1"/>
      <c r="O30" s="1"/>
      <c r="P30" s="1"/>
      <c r="Q30" s="1"/>
      <c r="R30" s="1"/>
      <c r="S30" s="1"/>
      <c r="T30" s="1"/>
      <c r="U30" s="1"/>
      <c r="V30" s="1"/>
      <c r="W30" s="1"/>
      <c r="X30" s="1"/>
      <c r="Y30" s="1"/>
      <c r="Z30" s="1"/>
      <c r="AA30" s="1"/>
      <c r="AB30" s="1"/>
    </row>
    <row r="31" spans="1:69" s="9" customFormat="1" x14ac:dyDescent="0.2">
      <c r="A31" s="1"/>
      <c r="B31" s="1"/>
      <c r="C31" s="1"/>
      <c r="D31" s="1"/>
      <c r="E31" s="1"/>
      <c r="F31" s="1"/>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1:69" x14ac:dyDescent="0.2">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7:69" x14ac:dyDescent="0.2">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7:69" x14ac:dyDescent="0.2">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7:69" x14ac:dyDescent="0.2">
      <c r="G35" s="191"/>
      <c r="H35" s="304"/>
      <c r="I35" s="304"/>
      <c r="J35" s="304"/>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row>
    <row r="36" spans="7:69" x14ac:dyDescent="0.2">
      <c r="G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91"/>
      <c r="BJ36" s="191"/>
      <c r="BK36" s="191"/>
      <c r="BL36" s="191"/>
      <c r="BM36" s="191"/>
      <c r="BN36" s="191"/>
      <c r="BO36" s="191"/>
      <c r="BP36" s="191"/>
      <c r="BQ36" s="191"/>
    </row>
    <row r="37" spans="7:69" x14ac:dyDescent="0.2">
      <c r="G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row>
    <row r="38" spans="7:69" x14ac:dyDescent="0.2">
      <c r="G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1"/>
    </row>
    <row r="39" spans="7:69" x14ac:dyDescent="0.2">
      <c r="G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row>
    <row r="40" spans="7:69" x14ac:dyDescent="0.2">
      <c r="G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1"/>
    </row>
    <row r="41" spans="7:69" x14ac:dyDescent="0.2">
      <c r="G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1"/>
    </row>
    <row r="42" spans="7:69" x14ac:dyDescent="0.2">
      <c r="G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row>
    <row r="43" spans="7:69" x14ac:dyDescent="0.2">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1"/>
    </row>
    <row r="44" spans="7:69" x14ac:dyDescent="0.2">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1"/>
    </row>
    <row r="45" spans="7:69" x14ac:dyDescent="0.2">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1"/>
    </row>
    <row r="46" spans="7:69" x14ac:dyDescent="0.2">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7:69" x14ac:dyDescent="0.2">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7:69" x14ac:dyDescent="0.2">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7:69" x14ac:dyDescent="0.2">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row>
    <row r="53" spans="7:69" x14ac:dyDescent="0.2">
      <c r="H53" s="190"/>
      <c r="I53" s="190"/>
      <c r="J53" s="190"/>
      <c r="K53" s="190"/>
      <c r="L53" s="190"/>
      <c r="M53" s="190"/>
      <c r="N53" s="190"/>
      <c r="O53" s="190"/>
      <c r="P53" s="190"/>
      <c r="Q53" s="190"/>
      <c r="R53" s="190"/>
      <c r="S53" s="190"/>
      <c r="T53" s="190"/>
      <c r="U53" s="190"/>
      <c r="V53" s="190"/>
      <c r="W53" s="190">
        <v>201179.90196078431</v>
      </c>
      <c r="X53" s="190">
        <v>201179.90196078431</v>
      </c>
      <c r="Y53" s="190">
        <v>201179.90196078431</v>
      </c>
      <c r="Z53" s="190">
        <v>201179.90196078431</v>
      </c>
      <c r="AA53" s="190">
        <v>201179.90196078431</v>
      </c>
      <c r="AB53" s="190">
        <v>201179.90196078431</v>
      </c>
      <c r="AC53" s="190">
        <v>201179.90196078431</v>
      </c>
      <c r="AD53" s="190">
        <v>201179.90196078431</v>
      </c>
      <c r="AE53" s="190">
        <v>201179.90196078431</v>
      </c>
      <c r="AF53" s="190">
        <v>201179.90196078431</v>
      </c>
      <c r="AG53" s="190">
        <v>100589.95098039322</v>
      </c>
      <c r="AH53" s="190">
        <v>0</v>
      </c>
      <c r="AI53" s="190">
        <v>0</v>
      </c>
      <c r="AJ53" s="190">
        <v>0</v>
      </c>
      <c r="AK53" s="190">
        <v>0</v>
      </c>
      <c r="AL53" s="190">
        <v>0</v>
      </c>
      <c r="AM53" s="190">
        <v>0</v>
      </c>
      <c r="AN53" s="190">
        <v>0</v>
      </c>
      <c r="AO53" s="190">
        <v>0</v>
      </c>
      <c r="AP53" s="190">
        <v>0</v>
      </c>
      <c r="AQ53" s="190">
        <v>0</v>
      </c>
      <c r="AR53" s="190">
        <v>0</v>
      </c>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row>
    <row r="54" spans="7:69" x14ac:dyDescent="0.2">
      <c r="H54" s="190"/>
      <c r="I54" s="190"/>
      <c r="J54" s="190"/>
      <c r="K54" s="190"/>
      <c r="L54" s="190"/>
      <c r="M54" s="190"/>
      <c r="N54" s="190"/>
      <c r="O54" s="190"/>
      <c r="P54" s="190"/>
      <c r="Q54" s="190"/>
      <c r="R54" s="190"/>
      <c r="S54" s="190"/>
      <c r="T54" s="190"/>
      <c r="U54" s="190"/>
      <c r="V54" s="190"/>
      <c r="W54" s="190">
        <v>48823.529411764699</v>
      </c>
      <c r="X54" s="190">
        <v>48823.529411764699</v>
      </c>
      <c r="Y54" s="190">
        <v>48823.529411764699</v>
      </c>
      <c r="Z54" s="190">
        <v>48823.529411764699</v>
      </c>
      <c r="AA54" s="190">
        <v>48823.529411764699</v>
      </c>
      <c r="AB54" s="190">
        <v>48823.529411764699</v>
      </c>
      <c r="AC54" s="190">
        <v>48823.529411764699</v>
      </c>
      <c r="AD54" s="190">
        <v>48823.529411764699</v>
      </c>
      <c r="AE54" s="190">
        <v>48823.529411764699</v>
      </c>
      <c r="AF54" s="190">
        <v>48823.529411764699</v>
      </c>
      <c r="AG54" s="190">
        <v>24411.764705882175</v>
      </c>
      <c r="AH54" s="190">
        <v>0</v>
      </c>
      <c r="AI54" s="190">
        <v>0</v>
      </c>
      <c r="AJ54" s="190">
        <v>0</v>
      </c>
      <c r="AK54" s="190">
        <v>0</v>
      </c>
      <c r="AL54" s="190">
        <v>0</v>
      </c>
      <c r="AM54" s="190">
        <v>0</v>
      </c>
      <c r="AN54" s="190">
        <v>0</v>
      </c>
      <c r="AO54" s="190">
        <v>0</v>
      </c>
      <c r="AP54" s="190">
        <v>0</v>
      </c>
      <c r="AQ54" s="190">
        <v>0</v>
      </c>
      <c r="AR54" s="190">
        <v>0</v>
      </c>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row>
    <row r="55" spans="7:69" x14ac:dyDescent="0.2">
      <c r="H55" s="190"/>
      <c r="I55" s="190"/>
      <c r="J55" s="190"/>
      <c r="K55" s="190"/>
      <c r="L55" s="190"/>
      <c r="M55" s="190"/>
      <c r="N55" s="190"/>
      <c r="O55" s="190"/>
      <c r="P55" s="190"/>
      <c r="Q55" s="190"/>
      <c r="R55" s="190"/>
      <c r="S55" s="190"/>
      <c r="T55" s="190"/>
      <c r="U55" s="190"/>
      <c r="V55" s="190"/>
      <c r="W55" s="190">
        <v>145065.70096107179</v>
      </c>
      <c r="X55" s="190">
        <v>145065.70096107179</v>
      </c>
      <c r="Y55" s="190">
        <v>145065.70096107179</v>
      </c>
      <c r="Z55" s="190">
        <v>145065.70096107179</v>
      </c>
      <c r="AA55" s="190">
        <v>145065.70096107179</v>
      </c>
      <c r="AB55" s="190">
        <v>145065.70096107179</v>
      </c>
      <c r="AC55" s="190">
        <v>145065.70096107179</v>
      </c>
      <c r="AD55" s="190">
        <v>145065.70096107179</v>
      </c>
      <c r="AE55" s="190">
        <v>145065.70096107179</v>
      </c>
      <c r="AF55" s="190">
        <v>145065.70096107179</v>
      </c>
      <c r="AG55" s="190">
        <v>145065.70096107179</v>
      </c>
      <c r="AH55" s="190">
        <v>145065.70096107179</v>
      </c>
      <c r="AI55" s="190">
        <v>145065.70096107179</v>
      </c>
      <c r="AJ55" s="190">
        <v>145065.70096107179</v>
      </c>
      <c r="AK55" s="190">
        <v>145065.70096107179</v>
      </c>
      <c r="AL55" s="190">
        <v>145065.70096107179</v>
      </c>
      <c r="AM55" s="190">
        <v>145065.70096107179</v>
      </c>
      <c r="AN55" s="190">
        <v>145065.70096107179</v>
      </c>
      <c r="AO55" s="190">
        <v>145065.70096107179</v>
      </c>
      <c r="AP55" s="190">
        <v>145065.70096107179</v>
      </c>
      <c r="AQ55" s="190">
        <v>145065.70096107179</v>
      </c>
      <c r="AR55" s="190">
        <v>145065.70096107179</v>
      </c>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row>
    <row r="56" spans="7:69" x14ac:dyDescent="0.2">
      <c r="H56" s="190"/>
      <c r="I56" s="190"/>
      <c r="J56" s="190"/>
      <c r="K56" s="190"/>
      <c r="L56" s="190"/>
      <c r="M56" s="190"/>
      <c r="N56" s="190"/>
      <c r="O56" s="190"/>
      <c r="P56" s="190"/>
      <c r="Q56" s="190"/>
      <c r="R56" s="190"/>
      <c r="S56" s="190"/>
      <c r="T56" s="190"/>
      <c r="U56" s="190"/>
      <c r="V56" s="190"/>
      <c r="W56" s="190">
        <v>827225.14785914053</v>
      </c>
      <c r="X56" s="190">
        <v>827225.14785914053</v>
      </c>
      <c r="Y56" s="190">
        <v>827225.14785914053</v>
      </c>
      <c r="Z56" s="190">
        <v>827225.14785914053</v>
      </c>
      <c r="AA56" s="190">
        <v>827225.14785914053</v>
      </c>
      <c r="AB56" s="190">
        <v>827225.14785914053</v>
      </c>
      <c r="AC56" s="190">
        <v>827225.14785914053</v>
      </c>
      <c r="AD56" s="190">
        <v>827225.14785914053</v>
      </c>
      <c r="AE56" s="190">
        <v>827225.14785914053</v>
      </c>
      <c r="AF56" s="190">
        <v>827225.14785914053</v>
      </c>
      <c r="AG56" s="190">
        <v>413612.57392956316</v>
      </c>
      <c r="AH56" s="190">
        <v>0</v>
      </c>
      <c r="AI56" s="190">
        <v>0</v>
      </c>
      <c r="AJ56" s="190">
        <v>0</v>
      </c>
      <c r="AK56" s="190">
        <v>0</v>
      </c>
      <c r="AL56" s="190">
        <v>0</v>
      </c>
      <c r="AM56" s="190">
        <v>0</v>
      </c>
      <c r="AN56" s="190">
        <v>0</v>
      </c>
      <c r="AO56" s="190">
        <v>0</v>
      </c>
      <c r="AP56" s="190">
        <v>0</v>
      </c>
      <c r="AQ56" s="190">
        <v>0</v>
      </c>
      <c r="AR56" s="190">
        <v>0</v>
      </c>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row>
    <row r="57" spans="7:69" x14ac:dyDescent="0.2">
      <c r="H57" s="190"/>
      <c r="I57" s="190"/>
      <c r="J57" s="190"/>
      <c r="K57" s="190"/>
      <c r="L57" s="190"/>
      <c r="M57" s="190"/>
      <c r="N57" s="190"/>
      <c r="O57" s="190"/>
      <c r="P57" s="190"/>
      <c r="Q57" s="190"/>
      <c r="R57" s="190"/>
      <c r="S57" s="190"/>
      <c r="T57" s="190"/>
      <c r="U57" s="190"/>
      <c r="V57" s="190"/>
      <c r="W57" s="190">
        <v>341055.00783450564</v>
      </c>
      <c r="X57" s="190">
        <v>341055.00783450564</v>
      </c>
      <c r="Y57" s="190">
        <v>341055.00783450564</v>
      </c>
      <c r="Z57" s="190">
        <v>341055.00783450564</v>
      </c>
      <c r="AA57" s="190">
        <v>341055.00783450564</v>
      </c>
      <c r="AB57" s="190">
        <v>341055.00783450564</v>
      </c>
      <c r="AC57" s="190">
        <v>341055.00783450564</v>
      </c>
      <c r="AD57" s="190">
        <v>341055.00783450564</v>
      </c>
      <c r="AE57" s="190">
        <v>341055.00783450564</v>
      </c>
      <c r="AF57" s="190">
        <v>341055.00783450564</v>
      </c>
      <c r="AG57" s="190">
        <v>341055.00783450564</v>
      </c>
      <c r="AH57" s="190">
        <v>341055.00783450564</v>
      </c>
      <c r="AI57" s="190">
        <v>341055.00783450564</v>
      </c>
      <c r="AJ57" s="190">
        <v>341055.00783450564</v>
      </c>
      <c r="AK57" s="190">
        <v>341055.00783450564</v>
      </c>
      <c r="AL57" s="190">
        <v>341055.00783450564</v>
      </c>
      <c r="AM57" s="190">
        <v>341055.00783450564</v>
      </c>
      <c r="AN57" s="190">
        <v>26636.107903152704</v>
      </c>
      <c r="AO57" s="190">
        <v>0</v>
      </c>
      <c r="AP57" s="190">
        <v>0</v>
      </c>
      <c r="AQ57" s="190">
        <v>0</v>
      </c>
      <c r="AR57" s="190">
        <v>0</v>
      </c>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row>
    <row r="58" spans="7:69" x14ac:dyDescent="0.2">
      <c r="H58" s="190"/>
      <c r="I58" s="190"/>
      <c r="J58" s="190"/>
      <c r="K58" s="190"/>
      <c r="L58" s="190"/>
      <c r="M58" s="190"/>
      <c r="N58" s="190"/>
      <c r="O58" s="190"/>
      <c r="P58" s="190"/>
      <c r="Q58" s="190"/>
      <c r="R58" s="190"/>
      <c r="S58" s="190"/>
      <c r="T58" s="190"/>
      <c r="U58" s="190"/>
      <c r="V58" s="190"/>
      <c r="W58" s="190">
        <v>311001.05812548613</v>
      </c>
      <c r="X58" s="190">
        <v>311001.05812548613</v>
      </c>
      <c r="Y58" s="190">
        <v>311001.05812548613</v>
      </c>
      <c r="Z58" s="190">
        <v>311001.05812548613</v>
      </c>
      <c r="AA58" s="190">
        <v>311001.05812548613</v>
      </c>
      <c r="AB58" s="190">
        <v>311001.05812548613</v>
      </c>
      <c r="AC58" s="190">
        <v>311001.05812548613</v>
      </c>
      <c r="AD58" s="190">
        <v>311001.05812548613</v>
      </c>
      <c r="AE58" s="190">
        <v>311001.05812548613</v>
      </c>
      <c r="AF58" s="190">
        <v>311001.05812548613</v>
      </c>
      <c r="AG58" s="190">
        <v>311001.05812548613</v>
      </c>
      <c r="AH58" s="190">
        <v>311001.05812548613</v>
      </c>
      <c r="AI58" s="190">
        <v>311001.05812548613</v>
      </c>
      <c r="AJ58" s="190">
        <v>311001.05812548613</v>
      </c>
      <c r="AK58" s="190">
        <v>311001.05812548613</v>
      </c>
      <c r="AL58" s="190">
        <v>311001.05812548613</v>
      </c>
      <c r="AM58" s="190">
        <v>311001.05812548613</v>
      </c>
      <c r="AN58" s="190">
        <v>311001.05812548613</v>
      </c>
      <c r="AO58" s="190">
        <v>311001.05812548613</v>
      </c>
      <c r="AP58" s="190">
        <v>311001.05812548613</v>
      </c>
      <c r="AQ58" s="190">
        <v>311001.05812548613</v>
      </c>
      <c r="AR58" s="190">
        <v>311001.05812548613</v>
      </c>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row>
    <row r="59" spans="7:69" x14ac:dyDescent="0.2">
      <c r="H59" s="190"/>
      <c r="I59" s="190"/>
      <c r="J59" s="190"/>
      <c r="K59" s="190"/>
      <c r="L59" s="190"/>
      <c r="M59" s="190"/>
      <c r="N59" s="190"/>
      <c r="O59" s="190"/>
      <c r="P59" s="190"/>
      <c r="Q59" s="190"/>
      <c r="R59" s="190"/>
      <c r="S59" s="190"/>
      <c r="T59" s="190"/>
      <c r="U59" s="190"/>
      <c r="V59" s="190"/>
      <c r="W59" s="190">
        <v>107552.61967868147</v>
      </c>
      <c r="X59" s="190">
        <v>107552.61967868147</v>
      </c>
      <c r="Y59" s="190">
        <v>107552.61967868147</v>
      </c>
      <c r="Z59" s="190">
        <v>107552.61967868147</v>
      </c>
      <c r="AA59" s="190">
        <v>107552.61967868147</v>
      </c>
      <c r="AB59" s="190">
        <v>107552.61967868147</v>
      </c>
      <c r="AC59" s="190">
        <v>107552.61967868147</v>
      </c>
      <c r="AD59" s="190">
        <v>107552.61967868147</v>
      </c>
      <c r="AE59" s="190">
        <v>107552.61967868147</v>
      </c>
      <c r="AF59" s="190">
        <v>107552.61967868147</v>
      </c>
      <c r="AG59" s="190">
        <v>107552.61967868147</v>
      </c>
      <c r="AH59" s="190">
        <v>107552.61967868147</v>
      </c>
      <c r="AI59" s="190">
        <v>107552.61967868147</v>
      </c>
      <c r="AJ59" s="190">
        <v>107552.61967868147</v>
      </c>
      <c r="AK59" s="190">
        <v>107552.61967868147</v>
      </c>
      <c r="AL59" s="190">
        <v>107552.61967868147</v>
      </c>
      <c r="AM59" s="190">
        <v>107552.61967868147</v>
      </c>
      <c r="AN59" s="190">
        <v>107552.61967868147</v>
      </c>
      <c r="AO59" s="190">
        <v>107552.61967868147</v>
      </c>
      <c r="AP59" s="190">
        <v>107552.61967868147</v>
      </c>
      <c r="AQ59" s="190">
        <v>107552.61967868147</v>
      </c>
      <c r="AR59" s="190">
        <v>107552.61967868147</v>
      </c>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row>
    <row r="60" spans="7:69" x14ac:dyDescent="0.2">
      <c r="H60" s="190"/>
      <c r="I60" s="190"/>
      <c r="J60" s="190"/>
      <c r="K60" s="190"/>
      <c r="L60" s="190"/>
      <c r="M60" s="190"/>
      <c r="N60" s="190"/>
      <c r="O60" s="190"/>
      <c r="P60" s="190"/>
      <c r="Q60" s="190"/>
      <c r="R60" s="190"/>
      <c r="S60" s="190"/>
      <c r="T60" s="190"/>
      <c r="U60" s="190"/>
      <c r="V60" s="190"/>
      <c r="W60" s="190">
        <v>344663.43474693917</v>
      </c>
      <c r="X60" s="190">
        <v>344663.43474693917</v>
      </c>
      <c r="Y60" s="190">
        <v>344663.43474693917</v>
      </c>
      <c r="Z60" s="190">
        <v>344663.43474693917</v>
      </c>
      <c r="AA60" s="190">
        <v>344663.43474693917</v>
      </c>
      <c r="AB60" s="190">
        <v>344663.43474693917</v>
      </c>
      <c r="AC60" s="190">
        <v>344663.43474693917</v>
      </c>
      <c r="AD60" s="190">
        <v>344663.43474693917</v>
      </c>
      <c r="AE60" s="190">
        <v>344663.43474693917</v>
      </c>
      <c r="AF60" s="190">
        <v>344663.43474693917</v>
      </c>
      <c r="AG60" s="190">
        <v>77827.22720092535</v>
      </c>
      <c r="AH60" s="190">
        <v>0</v>
      </c>
      <c r="AI60" s="190">
        <v>0</v>
      </c>
      <c r="AJ60" s="190">
        <v>0</v>
      </c>
      <c r="AK60" s="190">
        <v>0</v>
      </c>
      <c r="AL60" s="190">
        <v>0</v>
      </c>
      <c r="AM60" s="190">
        <v>0</v>
      </c>
      <c r="AN60" s="190">
        <v>0</v>
      </c>
      <c r="AO60" s="190">
        <v>0</v>
      </c>
      <c r="AP60" s="190">
        <v>0</v>
      </c>
      <c r="AQ60" s="190">
        <v>0</v>
      </c>
      <c r="AR60" s="190">
        <v>0</v>
      </c>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row>
    <row r="61" spans="7:69" x14ac:dyDescent="0.2">
      <c r="H61" s="190"/>
      <c r="I61" s="190"/>
      <c r="J61" s="190"/>
      <c r="K61" s="190"/>
      <c r="L61" s="190"/>
      <c r="M61" s="190"/>
      <c r="N61" s="190"/>
      <c r="O61" s="190"/>
      <c r="P61" s="190"/>
      <c r="Q61" s="190"/>
      <c r="R61" s="190"/>
      <c r="S61" s="190"/>
      <c r="T61" s="190"/>
      <c r="U61" s="190"/>
      <c r="V61" s="190"/>
      <c r="W61" s="190">
        <v>12536.076484848609</v>
      </c>
      <c r="X61" s="190">
        <v>12536.076484848609</v>
      </c>
      <c r="Y61" s="190">
        <v>12536.076484848609</v>
      </c>
      <c r="Z61" s="190">
        <v>12536.076484848609</v>
      </c>
      <c r="AA61" s="190">
        <v>12536.076484848609</v>
      </c>
      <c r="AB61" s="190">
        <v>12536.076484848609</v>
      </c>
      <c r="AC61" s="190">
        <v>12536.076484848609</v>
      </c>
      <c r="AD61" s="190">
        <v>12536.076484848609</v>
      </c>
      <c r="AE61" s="190">
        <v>12536.076484848609</v>
      </c>
      <c r="AF61" s="190">
        <v>12536.076484848609</v>
      </c>
      <c r="AG61" s="190">
        <v>12536.076484848609</v>
      </c>
      <c r="AH61" s="190">
        <v>12536.076484848609</v>
      </c>
      <c r="AI61" s="190">
        <v>12536.076484848609</v>
      </c>
      <c r="AJ61" s="190">
        <v>12536.076484848609</v>
      </c>
      <c r="AK61" s="190">
        <v>12536.076484848609</v>
      </c>
      <c r="AL61" s="190">
        <v>12536.076484848609</v>
      </c>
      <c r="AM61" s="190">
        <v>12536.076484848609</v>
      </c>
      <c r="AN61" s="190">
        <v>12536.076484848609</v>
      </c>
      <c r="AO61" s="190">
        <v>12536.076484848609</v>
      </c>
      <c r="AP61" s="190">
        <v>12536.076484848609</v>
      </c>
      <c r="AQ61" s="190">
        <v>12536.076484848609</v>
      </c>
      <c r="AR61" s="190">
        <v>12536.076484848609</v>
      </c>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row>
    <row r="62" spans="7:69" x14ac:dyDescent="0.2">
      <c r="H62" s="190"/>
      <c r="I62" s="190"/>
      <c r="J62" s="190"/>
      <c r="K62" s="190"/>
      <c r="L62" s="190"/>
      <c r="M62" s="190"/>
      <c r="N62" s="190"/>
      <c r="O62" s="190"/>
      <c r="P62" s="190"/>
      <c r="Q62" s="190"/>
      <c r="R62" s="190"/>
      <c r="S62" s="190"/>
      <c r="T62" s="190"/>
      <c r="U62" s="190"/>
      <c r="V62" s="190"/>
      <c r="W62" s="190">
        <v>2339102.4770632223</v>
      </c>
      <c r="X62" s="190">
        <v>2339102.4770632223</v>
      </c>
      <c r="Y62" s="190">
        <v>2339102.4770632223</v>
      </c>
      <c r="Z62" s="190">
        <v>2339102.4770632223</v>
      </c>
      <c r="AA62" s="190">
        <v>2339102.4770632223</v>
      </c>
      <c r="AB62" s="190">
        <v>2339102.4770632223</v>
      </c>
      <c r="AC62" s="190">
        <v>2339102.4770632223</v>
      </c>
      <c r="AD62" s="190">
        <v>2339102.4770632223</v>
      </c>
      <c r="AE62" s="190">
        <v>2339102.4770632223</v>
      </c>
      <c r="AF62" s="190">
        <v>2339102.4770632223</v>
      </c>
      <c r="AG62" s="190">
        <v>1533651.9799013576</v>
      </c>
      <c r="AH62" s="190">
        <v>917210.46308459365</v>
      </c>
      <c r="AI62" s="190">
        <v>917210.46308459365</v>
      </c>
      <c r="AJ62" s="190">
        <v>917210.46308459365</v>
      </c>
      <c r="AK62" s="190">
        <v>917210.46308459365</v>
      </c>
      <c r="AL62" s="190">
        <v>917210.46308459365</v>
      </c>
      <c r="AM62" s="190">
        <v>917210.46308459365</v>
      </c>
      <c r="AN62" s="190">
        <v>602791.56315324071</v>
      </c>
      <c r="AO62" s="190">
        <v>576155.45525008801</v>
      </c>
      <c r="AP62" s="190">
        <v>576155.45525008801</v>
      </c>
      <c r="AQ62" s="190">
        <v>576155.45525008801</v>
      </c>
      <c r="AR62" s="190">
        <v>576155.45525008801</v>
      </c>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row>
    <row r="65" spans="8:13" x14ac:dyDescent="0.2">
      <c r="H65" s="190"/>
      <c r="I65" s="190"/>
      <c r="J65" s="190"/>
      <c r="K65" s="190"/>
      <c r="L65" s="190"/>
      <c r="M65" s="190"/>
    </row>
    <row r="70" spans="8:13" x14ac:dyDescent="0.2">
      <c r="H70" s="190"/>
      <c r="I70" s="190"/>
      <c r="J70" s="190"/>
      <c r="K70" s="190"/>
      <c r="L70" s="190"/>
      <c r="M70" s="190"/>
    </row>
  </sheetData>
  <conditionalFormatting sqref="N9:N16">
    <cfRule type="cellIs" dxfId="1" priority="1" operator="equal">
      <formula>"check"</formula>
    </cfRule>
    <cfRule type="cellIs" dxfId="0" priority="2" operator="equal">
      <formula>"ok"</formula>
    </cfRule>
  </conditionalFormatting>
  <pageMargins left="0.19685039370078741" right="0.19685039370078741" top="0.19685039370078741" bottom="0.19685039370078741" header="0.31496062992125984" footer="0.31496062992125984"/>
  <pageSetup paperSize="9" scale="54" orientation="landscape" r:id="rId1"/>
  <ignoredErrors>
    <ignoredError sqref="H25" formula="1"/>
    <ignoredError sqref="H17:L1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2:D7"/>
  <sheetViews>
    <sheetView workbookViewId="0">
      <selection activeCell="C6" sqref="C6"/>
    </sheetView>
  </sheetViews>
  <sheetFormatPr defaultRowHeight="12.75" x14ac:dyDescent="0.2"/>
  <cols>
    <col min="3" max="3" width="69.875" bestFit="1" customWidth="1"/>
    <col min="4" max="4" width="31.875" bestFit="1" customWidth="1"/>
  </cols>
  <sheetData>
    <row r="2" spans="3:4" x14ac:dyDescent="0.2">
      <c r="C2" s="357" t="s">
        <v>225</v>
      </c>
      <c r="D2" s="357" t="s">
        <v>0</v>
      </c>
    </row>
    <row r="3" spans="3:4" x14ac:dyDescent="0.2">
      <c r="C3" t="s">
        <v>223</v>
      </c>
      <c r="D3" t="s">
        <v>224</v>
      </c>
    </row>
    <row r="4" spans="3:4" x14ac:dyDescent="0.2">
      <c r="C4" s="337" t="s">
        <v>217</v>
      </c>
      <c r="D4" t="s">
        <v>218</v>
      </c>
    </row>
    <row r="5" spans="3:4" x14ac:dyDescent="0.2">
      <c r="C5" s="356" t="s">
        <v>219</v>
      </c>
      <c r="D5" t="s">
        <v>220</v>
      </c>
    </row>
    <row r="6" spans="3:4" x14ac:dyDescent="0.2">
      <c r="C6" s="356" t="s">
        <v>221</v>
      </c>
      <c r="D6" t="s">
        <v>222</v>
      </c>
    </row>
    <row r="7" spans="3:4" x14ac:dyDescent="0.2">
      <c r="C7" t="s">
        <v>226</v>
      </c>
      <c r="D7" t="s">
        <v>227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19"/>
  <sheetViews>
    <sheetView showGridLines="0" zoomScale="85" zoomScaleNormal="85" workbookViewId="0">
      <selection activeCell="H19" sqref="H19"/>
    </sheetView>
  </sheetViews>
  <sheetFormatPr defaultRowHeight="12.75" x14ac:dyDescent="0.2"/>
  <cols>
    <col min="2" max="2" width="16.125" customWidth="1"/>
  </cols>
  <sheetData>
    <row r="1" spans="1:58" s="1" customFormat="1" ht="18.75" x14ac:dyDescent="0.3">
      <c r="A1" s="197" t="str">
        <f>Output!A1</f>
        <v>PAL Accelerated depreciation</v>
      </c>
      <c r="B1" s="197"/>
      <c r="C1" s="197"/>
      <c r="D1" s="197"/>
      <c r="E1" s="197"/>
      <c r="F1" s="197"/>
      <c r="G1" s="198"/>
      <c r="H1" s="198"/>
      <c r="I1" s="198"/>
      <c r="J1" s="198"/>
      <c r="K1" s="198"/>
      <c r="L1" s="198"/>
      <c r="M1" s="197"/>
      <c r="N1" s="197"/>
      <c r="O1" s="197"/>
      <c r="P1" s="197"/>
      <c r="Q1" s="197"/>
      <c r="R1" s="197"/>
      <c r="S1" s="197"/>
      <c r="T1" s="197"/>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row>
    <row r="2" spans="1:58" s="1" customFormat="1" ht="15.75" x14ac:dyDescent="0.25">
      <c r="A2" s="200" t="str">
        <f ca="1">RIGHT(CELL("filename", $A$1), LEN(CELL("filename", $A$1)) - SEARCH("]", CELL("filename", $A$1)))</f>
        <v>Assumptions</v>
      </c>
      <c r="B2" s="200"/>
      <c r="C2" s="200"/>
      <c r="D2" s="200"/>
      <c r="E2" s="200"/>
      <c r="F2" s="200"/>
      <c r="G2" s="201"/>
      <c r="H2" s="201"/>
      <c r="I2" s="201"/>
      <c r="J2" s="201"/>
      <c r="K2" s="201"/>
      <c r="L2" s="201"/>
      <c r="M2" s="200"/>
      <c r="N2" s="200"/>
      <c r="O2" s="200"/>
      <c r="P2" s="200"/>
      <c r="Q2" s="200"/>
      <c r="R2" s="200"/>
      <c r="S2" s="200"/>
      <c r="T2" s="200"/>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row>
    <row r="4" spans="1:58" x14ac:dyDescent="0.2">
      <c r="A4" s="44"/>
      <c r="B4" s="44"/>
      <c r="C4" s="44"/>
      <c r="D4" s="44"/>
      <c r="E4" s="44"/>
      <c r="F4" s="44"/>
      <c r="G4" s="44"/>
      <c r="H4" s="44"/>
    </row>
    <row r="5" spans="1:58" x14ac:dyDescent="0.2">
      <c r="A5" s="3"/>
      <c r="B5" s="3" t="s">
        <v>2</v>
      </c>
      <c r="C5" s="45">
        <v>51</v>
      </c>
      <c r="D5" s="46"/>
      <c r="E5" s="46"/>
      <c r="F5" s="46"/>
      <c r="G5" s="46"/>
      <c r="H5" s="46"/>
    </row>
    <row r="6" spans="1:58" x14ac:dyDescent="0.2">
      <c r="A6" s="3"/>
      <c r="B6" s="3" t="s">
        <v>8</v>
      </c>
      <c r="C6" s="45">
        <v>15</v>
      </c>
      <c r="D6" s="46"/>
      <c r="E6" s="46"/>
      <c r="F6" s="46"/>
      <c r="G6" s="46"/>
      <c r="H6" s="46"/>
    </row>
    <row r="7" spans="1:58" x14ac:dyDescent="0.2">
      <c r="A7" s="3"/>
      <c r="B7" s="3" t="s">
        <v>9</v>
      </c>
      <c r="C7" s="47"/>
      <c r="D7" s="46"/>
      <c r="E7" s="46"/>
      <c r="F7" s="46"/>
      <c r="G7" s="46"/>
      <c r="H7" s="46"/>
    </row>
    <row r="8" spans="1:58" x14ac:dyDescent="0.2">
      <c r="A8" s="44"/>
      <c r="B8" s="44"/>
      <c r="C8" s="44"/>
      <c r="D8" s="44"/>
      <c r="E8" s="44"/>
      <c r="F8" s="44"/>
      <c r="G8" s="44"/>
      <c r="H8" s="44"/>
    </row>
    <row r="10" spans="1:58" x14ac:dyDescent="0.2">
      <c r="B10" s="38" t="s">
        <v>19</v>
      </c>
      <c r="C10" s="39">
        <v>2011</v>
      </c>
      <c r="D10" s="39">
        <v>2012</v>
      </c>
      <c r="E10" s="39">
        <v>2013</v>
      </c>
      <c r="F10" s="39">
        <v>2014</v>
      </c>
      <c r="G10" s="39">
        <v>2015</v>
      </c>
      <c r="H10" s="39">
        <v>2016</v>
      </c>
      <c r="I10" s="39">
        <v>2017</v>
      </c>
      <c r="J10" s="39">
        <v>2018</v>
      </c>
      <c r="K10" s="39">
        <v>2019</v>
      </c>
      <c r="L10" s="39">
        <v>2020</v>
      </c>
      <c r="M10" s="39">
        <v>2021</v>
      </c>
    </row>
    <row r="11" spans="1:58" x14ac:dyDescent="0.2">
      <c r="B11" s="40" t="s">
        <v>20</v>
      </c>
      <c r="C11" s="41"/>
      <c r="D11" s="41"/>
      <c r="E11" s="41"/>
      <c r="F11" s="41"/>
      <c r="G11" s="338">
        <v>2.3076923076923217E-2</v>
      </c>
      <c r="H11" s="338">
        <v>1.5108593012275628E-2</v>
      </c>
      <c r="I11" s="338">
        <v>1.0232558139534831E-2</v>
      </c>
      <c r="J11" s="338">
        <v>1.9337016574585641E-2</v>
      </c>
      <c r="K11" s="338">
        <v>2.0776874435411097E-2</v>
      </c>
      <c r="L11" s="338">
        <v>1.5929203539823078E-2</v>
      </c>
      <c r="M11" s="338">
        <v>1.2195121951219523E-2</v>
      </c>
    </row>
    <row r="12" spans="1:58" x14ac:dyDescent="0.2">
      <c r="B12" s="40" t="s">
        <v>21</v>
      </c>
      <c r="C12" s="42"/>
      <c r="D12" s="42"/>
      <c r="E12" s="42"/>
      <c r="F12" s="42"/>
      <c r="G12" s="42">
        <f t="shared" ref="G12:K12" si="0">H12*(1+H11)</f>
        <v>1.0972615675165249</v>
      </c>
      <c r="H12" s="42">
        <f t="shared" si="0"/>
        <v>1.0809302325581396</v>
      </c>
      <c r="I12" s="42">
        <f t="shared" si="0"/>
        <v>1.0699815837937385</v>
      </c>
      <c r="J12" s="42">
        <f t="shared" si="0"/>
        <v>1.0496838301716351</v>
      </c>
      <c r="K12" s="42">
        <f t="shared" si="0"/>
        <v>1.0283185840707965</v>
      </c>
      <c r="L12" s="42">
        <f>M12*(1+M11)</f>
        <v>1.0121951219512195</v>
      </c>
      <c r="M12" s="43">
        <v>1</v>
      </c>
    </row>
    <row r="14" spans="1:58" x14ac:dyDescent="0.2">
      <c r="B14" s="37" t="s">
        <v>129</v>
      </c>
      <c r="D14" s="339">
        <f>G12</f>
        <v>1.0972615675165249</v>
      </c>
    </row>
    <row r="19" spans="3:13" x14ac:dyDescent="0.2">
      <c r="C19" s="337"/>
      <c r="D19" s="337"/>
      <c r="E19" s="337"/>
      <c r="G19" s="337"/>
      <c r="H19" s="337"/>
      <c r="I19" s="337"/>
      <c r="J19" s="337"/>
      <c r="K19" s="337"/>
      <c r="L19" s="337"/>
      <c r="M19" s="33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P16"/>
  <sheetViews>
    <sheetView showGridLines="0" zoomScale="85" zoomScaleNormal="85" workbookViewId="0">
      <selection activeCell="L17" sqref="L17"/>
    </sheetView>
  </sheetViews>
  <sheetFormatPr defaultRowHeight="12.75" x14ac:dyDescent="0.2"/>
  <cols>
    <col min="8" max="8" width="9.5" bestFit="1" customWidth="1"/>
  </cols>
  <sheetData>
    <row r="1" spans="1:68" s="1" customFormat="1" ht="18.75" x14ac:dyDescent="0.3">
      <c r="A1" s="197" t="s">
        <v>128</v>
      </c>
      <c r="B1" s="197"/>
      <c r="C1" s="197"/>
      <c r="D1" s="197"/>
      <c r="E1" s="197"/>
      <c r="F1" s="197"/>
      <c r="G1" s="198"/>
      <c r="H1" s="198"/>
      <c r="I1" s="198"/>
      <c r="J1" s="198"/>
      <c r="K1" s="198"/>
      <c r="L1" s="198"/>
      <c r="M1" s="197"/>
      <c r="N1" s="197"/>
      <c r="O1" s="197"/>
      <c r="P1" s="197"/>
      <c r="Q1" s="197"/>
      <c r="R1" s="197"/>
      <c r="S1" s="197"/>
      <c r="T1" s="197"/>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row>
    <row r="2" spans="1:68" s="1" customFormat="1" ht="15.75" x14ac:dyDescent="0.25">
      <c r="A2" s="200" t="str">
        <f ca="1">RIGHT(CELL("filename", $A$1), LEN(CELL("filename", $A$1)) - SEARCH("]", CELL("filename", $A$1)))</f>
        <v>Output</v>
      </c>
      <c r="B2" s="200"/>
      <c r="C2" s="200"/>
      <c r="D2" s="200"/>
      <c r="E2" s="200"/>
      <c r="F2" s="200"/>
      <c r="G2" s="201"/>
      <c r="H2" s="201"/>
      <c r="I2" s="201"/>
      <c r="J2" s="201"/>
      <c r="K2" s="201"/>
      <c r="L2" s="201"/>
      <c r="M2" s="200"/>
      <c r="N2" s="200"/>
      <c r="O2" s="200"/>
      <c r="P2" s="200"/>
      <c r="Q2" s="200"/>
      <c r="R2" s="200"/>
      <c r="S2" s="200"/>
      <c r="T2" s="200"/>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row>
    <row r="6" spans="1:68" x14ac:dyDescent="0.2">
      <c r="A6" s="1"/>
      <c r="B6" s="7" t="s">
        <v>0</v>
      </c>
      <c r="C6" s="8"/>
      <c r="D6" s="8"/>
      <c r="E6" s="8"/>
      <c r="F6" s="8"/>
      <c r="G6" s="8" t="s">
        <v>1</v>
      </c>
      <c r="H6" s="22">
        <v>2022</v>
      </c>
      <c r="I6" s="22">
        <v>2023</v>
      </c>
      <c r="J6" s="22">
        <v>2024</v>
      </c>
      <c r="K6" s="22">
        <v>2025</v>
      </c>
      <c r="L6" s="22">
        <v>2026</v>
      </c>
      <c r="M6" s="22">
        <v>2027</v>
      </c>
      <c r="N6" s="22">
        <v>2028</v>
      </c>
      <c r="O6" s="22">
        <v>2029</v>
      </c>
      <c r="P6" s="22">
        <v>2030</v>
      </c>
      <c r="Q6" s="22">
        <v>2031</v>
      </c>
      <c r="R6" s="22">
        <v>2032</v>
      </c>
      <c r="S6" s="22">
        <v>2033</v>
      </c>
      <c r="T6" s="22">
        <v>2034</v>
      </c>
      <c r="U6" s="22">
        <v>2035</v>
      </c>
      <c r="V6" s="22">
        <v>2036</v>
      </c>
      <c r="W6" s="22">
        <v>2037</v>
      </c>
      <c r="X6" s="22">
        <v>2038</v>
      </c>
      <c r="Y6" s="22">
        <v>2039</v>
      </c>
      <c r="Z6" s="22">
        <v>2040</v>
      </c>
      <c r="AA6" s="22">
        <v>2041</v>
      </c>
      <c r="AB6" s="22">
        <v>2042</v>
      </c>
      <c r="AC6" s="22">
        <v>2043</v>
      </c>
      <c r="AD6" s="22">
        <v>2044</v>
      </c>
      <c r="AE6" s="22">
        <v>2045</v>
      </c>
      <c r="AF6" s="22">
        <v>2046</v>
      </c>
      <c r="AG6" s="22">
        <v>2047</v>
      </c>
      <c r="AH6" s="22">
        <v>2048</v>
      </c>
      <c r="AI6" s="22">
        <v>2049</v>
      </c>
      <c r="AJ6" s="22">
        <v>2050</v>
      </c>
      <c r="AK6" s="22">
        <v>2051</v>
      </c>
      <c r="AL6" s="22">
        <v>2052</v>
      </c>
      <c r="AM6" s="22">
        <v>2053</v>
      </c>
      <c r="AN6" s="22">
        <v>2054</v>
      </c>
      <c r="AO6" s="22">
        <v>2055</v>
      </c>
      <c r="AP6" s="22">
        <v>2056</v>
      </c>
      <c r="AQ6" s="22">
        <v>2057</v>
      </c>
      <c r="AR6" s="22">
        <v>2058</v>
      </c>
      <c r="AS6" s="22">
        <v>2059</v>
      </c>
      <c r="AT6" s="22">
        <v>2060</v>
      </c>
      <c r="AU6" s="22">
        <v>2061</v>
      </c>
      <c r="AV6" s="22">
        <v>2062</v>
      </c>
      <c r="AW6" s="22">
        <v>2063</v>
      </c>
      <c r="AX6" s="22">
        <v>2064</v>
      </c>
      <c r="AY6" s="22">
        <v>2065</v>
      </c>
      <c r="AZ6" s="22">
        <v>2066</v>
      </c>
      <c r="BA6" s="22">
        <v>2067</v>
      </c>
      <c r="BB6" s="22">
        <v>2068</v>
      </c>
      <c r="BC6" s="22">
        <v>2069</v>
      </c>
      <c r="BD6" s="22">
        <v>2070</v>
      </c>
      <c r="BE6" s="22">
        <v>2071</v>
      </c>
      <c r="BF6" s="22">
        <v>2072</v>
      </c>
      <c r="BG6" s="22">
        <v>2073</v>
      </c>
      <c r="BH6" s="22">
        <v>2074</v>
      </c>
      <c r="BI6" s="22">
        <v>2075</v>
      </c>
      <c r="BJ6" s="22">
        <v>2076</v>
      </c>
      <c r="BK6" s="22">
        <v>2077</v>
      </c>
      <c r="BL6" s="22">
        <v>2078</v>
      </c>
      <c r="BM6" s="22">
        <v>2079</v>
      </c>
      <c r="BN6" s="22">
        <v>2080</v>
      </c>
      <c r="BO6" s="22">
        <v>2081</v>
      </c>
      <c r="BP6" s="22">
        <v>2082</v>
      </c>
    </row>
    <row r="8" spans="1:68" s="1" customFormat="1" x14ac:dyDescent="0.2">
      <c r="B8" s="35" t="s">
        <v>22</v>
      </c>
      <c r="C8" s="35"/>
      <c r="D8" s="35"/>
      <c r="E8" s="35"/>
      <c r="F8" s="35"/>
      <c r="G8" s="36">
        <f>INDEX(Profile!$G$9:$L$17, MATCH($G$6, Profile!$B$9:$B$17,0),MATCH(G$6, Profile!$G$8:$L$8,0))/1000000</f>
        <v>29.487319101720015</v>
      </c>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row>
    <row r="9" spans="1:68" s="1" customFormat="1" x14ac:dyDescent="0.2">
      <c r="B9" s="35" t="s">
        <v>15</v>
      </c>
      <c r="C9" s="35"/>
      <c r="D9" s="35"/>
      <c r="E9" s="35"/>
      <c r="F9" s="35"/>
      <c r="G9" s="36"/>
      <c r="H9" s="358">
        <f>INDEX(Profile!$G$9:$L$17, MATCH($G$6, Profile!$B$9:$B$17,0),MATCH(H$6, Profile!$G$8:$L$8,0))/1000000</f>
        <v>9.6528046182298741</v>
      </c>
      <c r="I9" s="358">
        <f>INDEX(Profile!$G$9:$L$17, MATCH($G$6, Profile!$B$9:$B$17,0),MATCH(I$6, Profile!$G$8:$L$8,0))/1000000</f>
        <v>9.6528046182298741</v>
      </c>
      <c r="J9" s="358">
        <f>INDEX(Profile!$G$9:$L$17, MATCH($G$6, Profile!$B$9:$B$17,0),MATCH(J$6, Profile!$G$8:$L$8,0))/1000000</f>
        <v>7.0345688469266667</v>
      </c>
      <c r="K9" s="358">
        <f>INDEX(Profile!$G$9:$L$17, MATCH($G$6, Profile!$B$9:$B$17,0),MATCH(K$6, Profile!$G$8:$L$8,0))/1000000</f>
        <v>2.213841127362921</v>
      </c>
      <c r="L9" s="358">
        <f>INDEX(Profile!$G$9:$L$17, MATCH($G$6, Profile!$B$9:$B$17,0),MATCH(L$6, Profile!$G$8:$L$8,0))/1000000</f>
        <v>0.93329989097068344</v>
      </c>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row>
    <row r="10" spans="1:68" s="1" customFormat="1" x14ac:dyDescent="0.2"/>
    <row r="11" spans="1:68" s="1" customFormat="1" x14ac:dyDescent="0.2"/>
    <row r="12" spans="1:68" s="1" customFormat="1" x14ac:dyDescent="0.2">
      <c r="B12" s="35" t="s">
        <v>16</v>
      </c>
      <c r="C12" s="35"/>
      <c r="D12" s="35"/>
      <c r="E12" s="35"/>
      <c r="F12" s="35"/>
      <c r="G12" s="36">
        <f>-G8</f>
        <v>-29.487319101720015</v>
      </c>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row>
    <row r="13" spans="1:68" s="1" customFormat="1" x14ac:dyDescent="0.2">
      <c r="B13" s="35" t="s">
        <v>17</v>
      </c>
      <c r="C13" s="35"/>
      <c r="D13" s="35"/>
      <c r="E13" s="35"/>
      <c r="F13" s="35"/>
      <c r="G13" s="36"/>
      <c r="H13" s="358">
        <f>-INDEX(Profile!$G$17:$BQ$95, MATCH($B13, Profile!$B$17:$B$95,0),MATCH(H$6, Profile!$G$20:$BQ$20,0))/1000000</f>
        <v>-0.91844720693061521</v>
      </c>
      <c r="I13" s="358">
        <f>-INDEX(Profile!$G$17:$BQ$95, MATCH($B13, Profile!$B$17:$B$95,0),MATCH(I$6, Profile!$G$20:$BQ$20,0))/1000000</f>
        <v>-0.91844720693061521</v>
      </c>
      <c r="J13" s="358">
        <f>-INDEX(Profile!$G$17:$BQ$95, MATCH($B13, Profile!$B$17:$B$95,0),MATCH(J$6, Profile!$G$20:$BQ$20,0))/1000000</f>
        <v>-0.91844720693061521</v>
      </c>
      <c r="K13" s="358">
        <f>-INDEX(Profile!$G$17:$BQ$95, MATCH($B13, Profile!$B$17:$B$95,0),MATCH(K$6, Profile!$G$20:$BQ$20,0))/1000000</f>
        <v>-0.91844720693061521</v>
      </c>
      <c r="L13" s="358">
        <f>-INDEX(Profile!$G$17:$BQ$95, MATCH($B13, Profile!$B$17:$B$95,0),MATCH(L$6, Profile!$G$20:$BQ$20,0))/1000000</f>
        <v>-0.91844720693061521</v>
      </c>
      <c r="M13" s="36">
        <f>-INDEX(Profile!$G$17:$BQ$95, MATCH($B13, Profile!$B$17:$B$95,0),MATCH(M$6, Profile!$G$20:$BQ$20,0))/1000000</f>
        <v>-0.91844720693061521</v>
      </c>
      <c r="N13" s="36">
        <f>-INDEX(Profile!$G$17:$BQ$95, MATCH($B13, Profile!$B$17:$B$95,0),MATCH(N$6, Profile!$G$20:$BQ$20,0))/1000000</f>
        <v>-0.91844720693061521</v>
      </c>
      <c r="O13" s="36">
        <f>-INDEX(Profile!$G$17:$BQ$95, MATCH($B13, Profile!$B$17:$B$95,0),MATCH(O$6, Profile!$G$20:$BQ$20,0))/1000000</f>
        <v>-0.91844720693061521</v>
      </c>
      <c r="P13" s="36">
        <f>-INDEX(Profile!$G$17:$BQ$95, MATCH($B13, Profile!$B$17:$B$95,0),MATCH(P$6, Profile!$G$20:$BQ$20,0))/1000000</f>
        <v>-0.91844720693061521</v>
      </c>
      <c r="Q13" s="36">
        <f>-INDEX(Profile!$G$17:$BQ$95, MATCH($B13, Profile!$B$17:$B$95,0),MATCH(Q$6, Profile!$G$20:$BQ$20,0))/1000000</f>
        <v>-0.91844720693061521</v>
      </c>
      <c r="R13" s="36">
        <f>-INDEX(Profile!$G$17:$BQ$95, MATCH($B13, Profile!$B$17:$B$95,0),MATCH(R$6, Profile!$G$20:$BQ$20,0))/1000000</f>
        <v>-0.91844720693061521</v>
      </c>
      <c r="S13" s="36">
        <f>-INDEX(Profile!$G$17:$BQ$95, MATCH($B13, Profile!$B$17:$B$95,0),MATCH(S$6, Profile!$G$20:$BQ$20,0))/1000000</f>
        <v>-0.91844720693061521</v>
      </c>
      <c r="T13" s="36">
        <f>-INDEX(Profile!$G$17:$BQ$95, MATCH($B13, Profile!$B$17:$B$95,0),MATCH(T$6, Profile!$G$20:$BQ$20,0))/1000000</f>
        <v>-0.91844720693061521</v>
      </c>
      <c r="U13" s="36">
        <f>-INDEX(Profile!$G$17:$BQ$95, MATCH($B13, Profile!$B$17:$B$95,0),MATCH(U$6, Profile!$G$20:$BQ$20,0))/1000000</f>
        <v>-0.91844720693061521</v>
      </c>
      <c r="V13" s="36">
        <f>-INDEX(Profile!$G$17:$BQ$95, MATCH($B13, Profile!$B$17:$B$95,0),MATCH(V$6, Profile!$G$20:$BQ$20,0))/1000000</f>
        <v>-0.91844720693061521</v>
      </c>
      <c r="W13" s="36">
        <f>-INDEX(Profile!$G$17:$BQ$95, MATCH($B13, Profile!$B$17:$B$95,0),MATCH(W$6, Profile!$G$20:$BQ$20,0))/1000000</f>
        <v>-0.91844720693061521</v>
      </c>
      <c r="X13" s="36">
        <f>-INDEX(Profile!$G$17:$BQ$95, MATCH($B13, Profile!$B$17:$B$95,0),MATCH(X$6, Profile!$G$20:$BQ$20,0))/1000000</f>
        <v>-0.91844720693061521</v>
      </c>
      <c r="Y13" s="36">
        <f>-INDEX(Profile!$G$17:$BQ$95, MATCH($B13, Profile!$B$17:$B$95,0),MATCH(Y$6, Profile!$G$20:$BQ$20,0))/1000000</f>
        <v>-0.91844720693061521</v>
      </c>
      <c r="Z13" s="36">
        <f>-INDEX(Profile!$G$17:$BQ$95, MATCH($B13, Profile!$B$17:$B$95,0),MATCH(Z$6, Profile!$G$20:$BQ$20,0))/1000000</f>
        <v>-0.91844720693061521</v>
      </c>
      <c r="AA13" s="36">
        <f>-INDEX(Profile!$G$17:$BQ$95, MATCH($B13, Profile!$B$17:$B$95,0),MATCH(AA$6, Profile!$G$20:$BQ$20,0))/1000000</f>
        <v>-0.91844720693061521</v>
      </c>
      <c r="AB13" s="36">
        <f>-INDEX(Profile!$G$17:$BQ$95, MATCH($B13, Profile!$B$17:$B$95,0),MATCH(AB$6, Profile!$G$20:$BQ$20,0))/1000000</f>
        <v>-0.91844720693061521</v>
      </c>
      <c r="AC13" s="36">
        <f>-INDEX(Profile!$G$17:$BQ$95, MATCH($B13, Profile!$B$17:$B$95,0),MATCH(AC$6, Profile!$G$20:$BQ$20,0))/1000000</f>
        <v>-0.91844720693061521</v>
      </c>
      <c r="AD13" s="36">
        <f>-INDEX(Profile!$G$17:$BQ$95, MATCH($B13, Profile!$B$17:$B$95,0),MATCH(AD$6, Profile!$G$20:$BQ$20,0))/1000000</f>
        <v>-0.91844720693061521</v>
      </c>
      <c r="AE13" s="36">
        <f>-INDEX(Profile!$G$17:$BQ$95, MATCH($B13, Profile!$B$17:$B$95,0),MATCH(AE$6, Profile!$G$20:$BQ$20,0))/1000000</f>
        <v>-0.91844720693061521</v>
      </c>
      <c r="AF13" s="36">
        <f>-INDEX(Profile!$G$17:$BQ$95, MATCH($B13, Profile!$B$17:$B$95,0),MATCH(AF$6, Profile!$G$20:$BQ$20,0))/1000000</f>
        <v>-0.91844720693061521</v>
      </c>
      <c r="AG13" s="36">
        <f>-INDEX(Profile!$G$17:$BQ$95, MATCH($B13, Profile!$B$17:$B$95,0),MATCH(AG$6, Profile!$G$20:$BQ$20,0))/1000000</f>
        <v>-0.82694721761976397</v>
      </c>
      <c r="AH13" s="36">
        <f>-INDEX(Profile!$G$17:$BQ$95, MATCH($B13, Profile!$B$17:$B$95,0),MATCH(AH$6, Profile!$G$20:$BQ$20,0))/1000000</f>
        <v>-0.73544722830891263</v>
      </c>
      <c r="AI13" s="36">
        <f>-INDEX(Profile!$G$17:$BQ$95, MATCH($B13, Profile!$B$17:$B$95,0),MATCH(AI$6, Profile!$G$20:$BQ$20,0))/1000000</f>
        <v>-0.73544722830891263</v>
      </c>
      <c r="AJ13" s="36">
        <f>-INDEX(Profile!$G$17:$BQ$95, MATCH($B13, Profile!$B$17:$B$95,0),MATCH(AJ$6, Profile!$G$20:$BQ$20,0))/1000000</f>
        <v>-0.73544722830891263</v>
      </c>
      <c r="AK13" s="36">
        <f>-INDEX(Profile!$G$17:$BQ$95, MATCH($B13, Profile!$B$17:$B$95,0),MATCH(AK$6, Profile!$G$20:$BQ$20,0))/1000000</f>
        <v>-0.73544722830891263</v>
      </c>
      <c r="AL13" s="36">
        <f>-INDEX(Profile!$G$17:$BQ$95, MATCH($B13, Profile!$B$17:$B$95,0),MATCH(AL$6, Profile!$G$20:$BQ$20,0))/1000000</f>
        <v>-0.69391405884207902</v>
      </c>
      <c r="AM13" s="36">
        <f>-INDEX(Profile!$G$17:$BQ$95, MATCH($B13, Profile!$B$17:$B$95,0),MATCH(AM$6, Profile!$G$20:$BQ$20,0))/1000000</f>
        <v>-0.35410792189042373</v>
      </c>
      <c r="AN13" s="36">
        <f>-INDEX(Profile!$G$17:$BQ$95, MATCH($B13, Profile!$B$17:$B$95,0),MATCH(AN$6, Profile!$G$20:$BQ$20,0))/1000000</f>
        <v>-0.14759011325975288</v>
      </c>
      <c r="AO13" s="36">
        <f>-INDEX(Profile!$G$17:$BQ$95, MATCH($B13, Profile!$B$17:$B$95,0),MATCH(AO$6, Profile!$G$20:$BQ$20,0))/1000000</f>
        <v>-0.14759011325975288</v>
      </c>
      <c r="AP13" s="36">
        <f>-INDEX(Profile!$G$17:$BQ$95, MATCH($B13, Profile!$B$17:$B$95,0),MATCH(AP$6, Profile!$G$20:$BQ$20,0))/1000000</f>
        <v>-0.14759011325975288</v>
      </c>
      <c r="AQ13" s="36">
        <f>-INDEX(Profile!$G$17:$BQ$95, MATCH($B13, Profile!$B$17:$B$95,0),MATCH(AQ$6, Profile!$G$20:$BQ$20,0))/1000000</f>
        <v>-0.14759011325975288</v>
      </c>
      <c r="AR13" s="36">
        <f>-INDEX(Profile!$G$17:$BQ$95, MATCH($B13, Profile!$B$17:$B$95,0),MATCH(AR$6, Profile!$G$20:$BQ$20,0))/1000000</f>
        <v>-0.14759011325975288</v>
      </c>
      <c r="AS13" s="36">
        <f>-INDEX(Profile!$G$17:$BQ$95, MATCH($B13, Profile!$B$17:$B$95,0),MATCH(AS$6, Profile!$G$20:$BQ$20,0))/1000000</f>
        <v>-0.14759011325975288</v>
      </c>
      <c r="AT13" s="36">
        <f>-INDEX(Profile!$G$17:$BQ$95, MATCH($B13, Profile!$B$17:$B$95,0),MATCH(AT$6, Profile!$G$20:$BQ$20,0))/1000000</f>
        <v>-0.14759011325975288</v>
      </c>
      <c r="AU13" s="36">
        <f>-INDEX(Profile!$G$17:$BQ$95, MATCH($B13, Profile!$B$17:$B$95,0),MATCH(AU$6, Profile!$G$20:$BQ$20,0))/1000000</f>
        <v>-0.14759011325975288</v>
      </c>
      <c r="AV13" s="36">
        <f>-INDEX(Profile!$G$17:$BQ$95, MATCH($B13, Profile!$B$17:$B$95,0),MATCH(AV$6, Profile!$G$20:$BQ$20,0))/1000000</f>
        <v>-0.14759011325975288</v>
      </c>
      <c r="AW13" s="36">
        <f>-INDEX(Profile!$G$17:$BQ$95, MATCH($B13, Profile!$B$17:$B$95,0),MATCH(AW$6, Profile!$G$20:$BQ$20,0))/1000000</f>
        <v>-0.14759011325975288</v>
      </c>
      <c r="AX13" s="36">
        <f>-INDEX(Profile!$G$17:$BQ$95, MATCH($B13, Profile!$B$17:$B$95,0),MATCH(AX$6, Profile!$G$20:$BQ$20,0))/1000000</f>
        <v>-0.14256972848484889</v>
      </c>
      <c r="AY13" s="36">
        <f>-INDEX(Profile!$G$17:$BQ$95, MATCH($B13, Profile!$B$17:$B$95,0),MATCH(AY$6, Profile!$G$20:$BQ$20,0))/1000000</f>
        <v>-9.0909955784337595E-2</v>
      </c>
      <c r="AZ13" s="36">
        <f>-INDEX(Profile!$G$17:$BQ$95, MATCH($B13, Profile!$B$17:$B$95,0),MATCH(AZ$6, Profile!$G$20:$BQ$20,0))/1000000</f>
        <v>0</v>
      </c>
      <c r="BA13" s="36">
        <f>-INDEX(Profile!$G$17:$BQ$95, MATCH($B13, Profile!$B$17:$B$95,0),MATCH(BA$6, Profile!$G$20:$BQ$20,0))/1000000</f>
        <v>0</v>
      </c>
      <c r="BB13" s="36">
        <f>-INDEX(Profile!$G$17:$BQ$95, MATCH($B13, Profile!$B$17:$B$95,0),MATCH(BB$6, Profile!$G$20:$BQ$20,0))/1000000</f>
        <v>0</v>
      </c>
      <c r="BC13" s="36">
        <f>-INDEX(Profile!$G$17:$BQ$95, MATCH($B13, Profile!$B$17:$B$95,0),MATCH(BC$6, Profile!$G$20:$BQ$20,0))/1000000</f>
        <v>0</v>
      </c>
      <c r="BD13" s="36">
        <f>-INDEX(Profile!$G$17:$BQ$95, MATCH($B13, Profile!$B$17:$B$95,0),MATCH(BD$6, Profile!$G$20:$BQ$20,0))/1000000</f>
        <v>0</v>
      </c>
      <c r="BE13" s="36">
        <f>-INDEX(Profile!$G$17:$BQ$95, MATCH($B13, Profile!$B$17:$B$95,0),MATCH(BE$6, Profile!$G$20:$BQ$20,0))/1000000</f>
        <v>0</v>
      </c>
      <c r="BF13" s="36">
        <f>-INDEX(Profile!$G$17:$BQ$95, MATCH($B13, Profile!$B$17:$B$95,0),MATCH(BF$6, Profile!$G$20:$BQ$20,0))/1000000</f>
        <v>0</v>
      </c>
      <c r="BG13" s="36">
        <f>-INDEX(Profile!$G$17:$BQ$95, MATCH($B13, Profile!$B$17:$B$95,0),MATCH(BG$6, Profile!$G$20:$BQ$20,0))/1000000</f>
        <v>0</v>
      </c>
      <c r="BH13" s="36">
        <f>-INDEX(Profile!$G$17:$BQ$95, MATCH($B13, Profile!$B$17:$B$95,0),MATCH(BH$6, Profile!$G$20:$BQ$20,0))/1000000</f>
        <v>0</v>
      </c>
      <c r="BI13" s="36">
        <f>-INDEX(Profile!$G$17:$BQ$95, MATCH($B13, Profile!$B$17:$B$95,0),MATCH(BI$6, Profile!$G$20:$BQ$20,0))/1000000</f>
        <v>0</v>
      </c>
      <c r="BJ13" s="36">
        <f>-INDEX(Profile!$G$17:$BQ$95, MATCH($B13, Profile!$B$17:$B$95,0),MATCH(BJ$6, Profile!$G$20:$BQ$20,0))/1000000</f>
        <v>0</v>
      </c>
      <c r="BK13" s="36">
        <f>-INDEX(Profile!$G$17:$BQ$95, MATCH($B13, Profile!$B$17:$B$95,0),MATCH(BK$6, Profile!$G$20:$BQ$20,0))/1000000</f>
        <v>0</v>
      </c>
      <c r="BL13" s="36">
        <f>-INDEX(Profile!$G$17:$BQ$95, MATCH($B13, Profile!$B$17:$B$95,0),MATCH(BL$6, Profile!$G$20:$BQ$20,0))/1000000</f>
        <v>0</v>
      </c>
      <c r="BM13" s="36">
        <f>-INDEX(Profile!$G$17:$BQ$95, MATCH($B13, Profile!$B$17:$B$95,0),MATCH(BM$6, Profile!$G$20:$BQ$20,0))/1000000</f>
        <v>0</v>
      </c>
      <c r="BN13" s="36">
        <f>-INDEX(Profile!$G$17:$BQ$95, MATCH($B13, Profile!$B$17:$B$95,0),MATCH(BN$6, Profile!$G$20:$BQ$20,0))/1000000</f>
        <v>0</v>
      </c>
      <c r="BO13" s="36">
        <f>-INDEX(Profile!$G$17:$BQ$95, MATCH($B13, Profile!$B$17:$B$95,0),MATCH(BO$6, Profile!$G$20:$BQ$20,0))/1000000</f>
        <v>0</v>
      </c>
      <c r="BP13" s="36">
        <f>-INDEX(Profile!$G$17:$BQ$95, MATCH($B13, Profile!$B$17:$B$95,0),MATCH(BP$6, Profile!$G$20:$BQ$20,0))/1000000</f>
        <v>0</v>
      </c>
    </row>
    <row r="14" spans="1:68" s="1" customFormat="1" x14ac:dyDescent="0.2">
      <c r="G14" s="6"/>
      <c r="H14" s="6"/>
      <c r="I14" s="6"/>
      <c r="J14" s="6"/>
      <c r="K14" s="6"/>
      <c r="L14" s="6"/>
    </row>
    <row r="16" spans="1:68" x14ac:dyDescent="0.2">
      <c r="H16" s="19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Z290"/>
  <sheetViews>
    <sheetView showGridLines="0" zoomScale="70" zoomScaleNormal="70" workbookViewId="0">
      <selection activeCell="F3" sqref="F3"/>
    </sheetView>
  </sheetViews>
  <sheetFormatPr defaultColWidth="8" defaultRowHeight="15" x14ac:dyDescent="0.25"/>
  <cols>
    <col min="1" max="1" width="2.375" style="111" customWidth="1"/>
    <col min="2" max="2" width="11.625" style="110" customWidth="1"/>
    <col min="3" max="3" width="24.125" style="110" customWidth="1"/>
    <col min="4" max="4" width="20.75" style="110" customWidth="1"/>
    <col min="5" max="5" width="21.125" style="110" customWidth="1"/>
    <col min="6" max="7" width="22.75" style="110" customWidth="1"/>
    <col min="8" max="8" width="24.875" style="110" customWidth="1"/>
    <col min="9" max="9" width="18.625" style="110" customWidth="1"/>
    <col min="10" max="10" width="17.75" style="110" bestFit="1" customWidth="1"/>
    <col min="11" max="16384" width="8" style="110"/>
  </cols>
  <sheetData>
    <row r="1" spans="1:78" s="1" customFormat="1" ht="18.75" x14ac:dyDescent="0.3">
      <c r="A1" s="197" t="str">
        <f>REFCL_Data!$A$1</f>
        <v>PAL Accelerated depreciation</v>
      </c>
      <c r="B1" s="197"/>
      <c r="C1" s="197"/>
      <c r="D1" s="197"/>
      <c r="E1" s="197"/>
      <c r="F1" s="197"/>
      <c r="G1" s="198"/>
      <c r="H1" s="198"/>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row>
    <row r="2" spans="1:78" s="1" customFormat="1" ht="15.75" x14ac:dyDescent="0.25">
      <c r="A2" s="200" t="s">
        <v>95</v>
      </c>
      <c r="B2" s="200"/>
      <c r="C2" s="200"/>
      <c r="D2" s="200"/>
      <c r="E2" s="200"/>
      <c r="F2" s="200"/>
      <c r="G2" s="201"/>
      <c r="H2" s="201"/>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row>
    <row r="3" spans="1:78" ht="18.75" x14ac:dyDescent="0.3">
      <c r="A3" s="241"/>
      <c r="B3" s="242"/>
      <c r="C3" s="242"/>
      <c r="D3" s="243"/>
      <c r="E3" s="243"/>
      <c r="F3" s="243"/>
      <c r="G3" s="243"/>
      <c r="H3" s="243"/>
      <c r="I3" s="244"/>
      <c r="J3" s="244"/>
      <c r="R3" s="141"/>
      <c r="X3" s="141"/>
      <c r="Y3" s="141"/>
      <c r="Z3" s="141"/>
      <c r="AA3" s="141"/>
      <c r="AB3" s="141"/>
    </row>
    <row r="4" spans="1:78" x14ac:dyDescent="0.25">
      <c r="A4" s="112"/>
      <c r="B4" s="112"/>
      <c r="C4" s="112"/>
      <c r="D4" s="140"/>
      <c r="H4" s="266" t="s">
        <v>191</v>
      </c>
    </row>
    <row r="5" spans="1:78" x14ac:dyDescent="0.25">
      <c r="A5" s="112"/>
      <c r="B5" s="110" t="s">
        <v>94</v>
      </c>
      <c r="D5" s="139">
        <v>51</v>
      </c>
    </row>
    <row r="6" spans="1:78" x14ac:dyDescent="0.25">
      <c r="A6" s="112"/>
      <c r="B6" s="110" t="s">
        <v>93</v>
      </c>
      <c r="D6" s="232">
        <v>19.138231197771585</v>
      </c>
    </row>
    <row r="7" spans="1:78" x14ac:dyDescent="0.25">
      <c r="A7" s="112"/>
      <c r="B7" s="110" t="s">
        <v>92</v>
      </c>
      <c r="D7" s="138">
        <f>D5-D6</f>
        <v>31.861768802228415</v>
      </c>
      <c r="G7" s="137"/>
      <c r="H7" s="133"/>
    </row>
    <row r="8" spans="1:78" x14ac:dyDescent="0.25">
      <c r="A8" s="112"/>
      <c r="D8" s="340" t="s">
        <v>215</v>
      </c>
      <c r="E8" s="331"/>
      <c r="F8" s="131"/>
      <c r="G8" s="340" t="s">
        <v>214</v>
      </c>
      <c r="H8" s="341"/>
      <c r="I8" s="331"/>
    </row>
    <row r="9" spans="1:78" x14ac:dyDescent="0.25">
      <c r="A9" s="112"/>
      <c r="B9" s="136"/>
      <c r="C9" s="136"/>
      <c r="D9" s="135" t="s">
        <v>91</v>
      </c>
      <c r="E9" s="134" t="s">
        <v>90</v>
      </c>
      <c r="F9" s="131"/>
      <c r="G9" s="331"/>
      <c r="H9" s="342" t="s">
        <v>91</v>
      </c>
      <c r="I9" s="343" t="s">
        <v>90</v>
      </c>
    </row>
    <row r="10" spans="1:78" x14ac:dyDescent="0.25">
      <c r="A10" s="112"/>
      <c r="B10" s="110" t="s">
        <v>89</v>
      </c>
      <c r="D10" s="344">
        <v>1382.176836706278</v>
      </c>
      <c r="E10" s="344">
        <v>1582.7112093623803</v>
      </c>
      <c r="F10" s="131"/>
      <c r="G10" s="331" t="s">
        <v>89</v>
      </c>
      <c r="H10" s="344">
        <v>1165.5770317255342</v>
      </c>
      <c r="I10" s="344">
        <v>1344.5324005282359</v>
      </c>
    </row>
    <row r="11" spans="1:78" x14ac:dyDescent="0.25">
      <c r="A11" s="112"/>
      <c r="D11" s="132"/>
      <c r="F11" s="131"/>
    </row>
    <row r="12" spans="1:78" x14ac:dyDescent="0.25">
      <c r="A12" s="112"/>
    </row>
    <row r="13" spans="1:78" x14ac:dyDescent="0.25">
      <c r="A13" s="112"/>
    </row>
    <row r="14" spans="1:78" x14ac:dyDescent="0.25">
      <c r="A14" s="112"/>
      <c r="B14" s="129"/>
      <c r="C14" s="129"/>
      <c r="D14" s="129" t="s">
        <v>88</v>
      </c>
      <c r="E14" s="130"/>
      <c r="F14" s="129" t="s">
        <v>87</v>
      </c>
      <c r="G14" s="128"/>
      <c r="H14" s="123" t="s">
        <v>86</v>
      </c>
    </row>
    <row r="15" spans="1:78" ht="30" x14ac:dyDescent="0.25">
      <c r="A15" s="112"/>
      <c r="B15" s="127" t="s">
        <v>85</v>
      </c>
      <c r="C15" s="127" t="s">
        <v>84</v>
      </c>
      <c r="D15" s="126" t="s">
        <v>68</v>
      </c>
      <c r="E15" s="126" t="s">
        <v>67</v>
      </c>
      <c r="F15" s="125" t="s">
        <v>83</v>
      </c>
      <c r="G15" s="124" t="s">
        <v>82</v>
      </c>
      <c r="H15" s="123" t="s">
        <v>81</v>
      </c>
    </row>
    <row r="16" spans="1:78" x14ac:dyDescent="0.25">
      <c r="A16" s="112"/>
      <c r="B16" s="121">
        <v>3</v>
      </c>
      <c r="C16" s="119" t="s">
        <v>39</v>
      </c>
      <c r="D16" s="118">
        <v>406</v>
      </c>
      <c r="E16" s="118">
        <v>347</v>
      </c>
      <c r="F16" s="117">
        <f>D16*D$10/$D$5*$D$7</f>
        <v>350581.78664435138</v>
      </c>
      <c r="G16" s="117">
        <f t="shared" ref="F16:G22" si="0">E16*E$10/$D$5*$D$7</f>
        <v>343108.01148607105</v>
      </c>
      <c r="H16" s="117">
        <f t="shared" ref="H16:H22" si="1">SUM(F16:G16)</f>
        <v>693689.79813042236</v>
      </c>
      <c r="J16" s="122"/>
    </row>
    <row r="17" spans="1:11" x14ac:dyDescent="0.25">
      <c r="A17" s="112"/>
      <c r="B17" s="121">
        <v>3</v>
      </c>
      <c r="C17" s="119" t="s">
        <v>34</v>
      </c>
      <c r="D17" s="118">
        <v>184</v>
      </c>
      <c r="E17" s="118">
        <v>249</v>
      </c>
      <c r="F17" s="117">
        <f t="shared" si="0"/>
        <v>158884.35650877011</v>
      </c>
      <c r="G17" s="117">
        <f t="shared" si="0"/>
        <v>246207.1897983622</v>
      </c>
      <c r="H17" s="117">
        <f t="shared" si="1"/>
        <v>405091.54630713235</v>
      </c>
    </row>
    <row r="18" spans="1:11" x14ac:dyDescent="0.25">
      <c r="A18" s="112"/>
      <c r="B18" s="121">
        <v>3</v>
      </c>
      <c r="C18" s="119" t="s">
        <v>33</v>
      </c>
      <c r="D18" s="118">
        <v>556</v>
      </c>
      <c r="E18" s="118">
        <v>517</v>
      </c>
      <c r="F18" s="117">
        <f t="shared" si="0"/>
        <v>480107.07727650099</v>
      </c>
      <c r="G18" s="117">
        <f t="shared" si="0"/>
        <v>511201.27359740267</v>
      </c>
      <c r="H18" s="117">
        <f t="shared" si="1"/>
        <v>991308.3508739036</v>
      </c>
    </row>
    <row r="19" spans="1:11" x14ac:dyDescent="0.25">
      <c r="A19" s="112"/>
      <c r="B19" s="121">
        <v>3</v>
      </c>
      <c r="C19" s="119" t="s">
        <v>36</v>
      </c>
      <c r="D19" s="118">
        <v>341</v>
      </c>
      <c r="E19" s="118">
        <v>553</v>
      </c>
      <c r="F19" s="117">
        <f>D19*D$10/$D$5*$D$7</f>
        <v>294454.1607037533</v>
      </c>
      <c r="G19" s="117">
        <f t="shared" si="0"/>
        <v>546797.49380921421</v>
      </c>
      <c r="H19" s="117">
        <f t="shared" si="1"/>
        <v>841251.65451296745</v>
      </c>
    </row>
    <row r="20" spans="1:11" x14ac:dyDescent="0.25">
      <c r="A20" s="112"/>
      <c r="B20" s="121">
        <v>3</v>
      </c>
      <c r="C20" s="119" t="s">
        <v>37</v>
      </c>
      <c r="D20" s="118">
        <v>369</v>
      </c>
      <c r="E20" s="118">
        <v>265</v>
      </c>
      <c r="F20" s="117">
        <f t="shared" si="0"/>
        <v>318632.21495508793</v>
      </c>
      <c r="G20" s="117">
        <f t="shared" si="0"/>
        <v>262027.73211472286</v>
      </c>
      <c r="H20" s="117">
        <f t="shared" si="1"/>
        <v>580659.94706981082</v>
      </c>
    </row>
    <row r="21" spans="1:11" x14ac:dyDescent="0.25">
      <c r="A21" s="112"/>
      <c r="B21" s="121">
        <v>3</v>
      </c>
      <c r="C21" s="119" t="s">
        <v>38</v>
      </c>
      <c r="D21" s="291">
        <v>0</v>
      </c>
      <c r="E21" s="291">
        <v>0</v>
      </c>
      <c r="F21" s="117">
        <f t="shared" si="0"/>
        <v>0</v>
      </c>
      <c r="G21" s="117">
        <f t="shared" si="0"/>
        <v>0</v>
      </c>
      <c r="H21" s="117">
        <f t="shared" si="1"/>
        <v>0</v>
      </c>
    </row>
    <row r="22" spans="1:11" x14ac:dyDescent="0.25">
      <c r="A22" s="112"/>
      <c r="B22" s="121">
        <v>3</v>
      </c>
      <c r="C22" s="119" t="s">
        <v>35</v>
      </c>
      <c r="D22" s="118">
        <v>148</v>
      </c>
      <c r="E22" s="118">
        <v>1040</v>
      </c>
      <c r="F22" s="117">
        <f t="shared" si="0"/>
        <v>127798.2867570542</v>
      </c>
      <c r="G22" s="117">
        <f>E22*E$10/$D$5*$D$7</f>
        <v>1028335.2505634407</v>
      </c>
      <c r="H22" s="117">
        <f t="shared" si="1"/>
        <v>1156133.5373204949</v>
      </c>
    </row>
    <row r="23" spans="1:11" x14ac:dyDescent="0.25">
      <c r="A23" s="112"/>
      <c r="B23" s="120"/>
      <c r="C23" s="119" t="s">
        <v>31</v>
      </c>
      <c r="D23" s="118">
        <v>611</v>
      </c>
      <c r="E23" s="118">
        <v>998</v>
      </c>
      <c r="F23" s="345">
        <f>D23*H$10/$D$5*$D$7</f>
        <v>444919.96761926013</v>
      </c>
      <c r="G23" s="345">
        <f>E23*I$10/$D$5*$D$7</f>
        <v>838303.96336765401</v>
      </c>
      <c r="H23" s="117">
        <f t="shared" ref="H23" si="2">SUM(F23:G23)</f>
        <v>1283223.9309869141</v>
      </c>
    </row>
    <row r="24" spans="1:11" x14ac:dyDescent="0.25">
      <c r="A24" s="112"/>
      <c r="B24" s="289"/>
      <c r="C24" s="290" t="s">
        <v>161</v>
      </c>
      <c r="D24" s="291">
        <v>314</v>
      </c>
      <c r="E24" s="291">
        <v>927</v>
      </c>
      <c r="F24" s="345">
        <f>D24*H$10/$D$5*$D$7</f>
        <v>228649.5414606345</v>
      </c>
      <c r="G24" s="345">
        <f>E24*I$10/$D$5*$D$7</f>
        <v>778665.10425031593</v>
      </c>
      <c r="H24" s="286">
        <f t="shared" ref="H24" si="3">SUM(F24:G24)</f>
        <v>1007314.6457109505</v>
      </c>
      <c r="I24" s="112"/>
      <c r="J24" s="112"/>
      <c r="K24" s="112"/>
    </row>
    <row r="25" spans="1:11" x14ac:dyDescent="0.25">
      <c r="A25" s="112"/>
      <c r="F25" s="117"/>
      <c r="G25" s="117"/>
      <c r="H25" s="117"/>
    </row>
    <row r="26" spans="1:11" x14ac:dyDescent="0.25">
      <c r="A26" s="112"/>
      <c r="B26" s="116" t="s">
        <v>80</v>
      </c>
      <c r="C26" s="116"/>
      <c r="D26" s="115">
        <f>SUM(D16:D24)</f>
        <v>2929</v>
      </c>
      <c r="E26" s="115">
        <f>SUM(E16:E24)</f>
        <v>4896</v>
      </c>
      <c r="F26" s="114">
        <f>SUM(F16:F24)</f>
        <v>2404027.3919254127</v>
      </c>
      <c r="G26" s="114">
        <f>SUM(G16:G24)</f>
        <v>4554646.0189871835</v>
      </c>
      <c r="H26" s="114">
        <f>SUM(H16:H24)</f>
        <v>6958673.4109125957</v>
      </c>
    </row>
    <row r="27" spans="1:11" x14ac:dyDescent="0.25">
      <c r="A27" s="112"/>
    </row>
    <row r="28" spans="1:11" x14ac:dyDescent="0.25">
      <c r="A28" s="112"/>
    </row>
    <row r="29" spans="1:11" x14ac:dyDescent="0.25">
      <c r="A29" s="112"/>
    </row>
    <row r="30" spans="1:11" x14ac:dyDescent="0.25">
      <c r="A30" s="112"/>
    </row>
    <row r="31" spans="1:11" x14ac:dyDescent="0.25">
      <c r="A31" s="112"/>
      <c r="F31" s="113"/>
    </row>
    <row r="32" spans="1:11" x14ac:dyDescent="0.25">
      <c r="A32" s="112"/>
      <c r="F32" s="113"/>
    </row>
    <row r="33" spans="1:6" x14ac:dyDescent="0.25">
      <c r="A33" s="112"/>
      <c r="F33" s="113"/>
    </row>
    <row r="34" spans="1:6" x14ac:dyDescent="0.25">
      <c r="A34" s="112"/>
    </row>
    <row r="35" spans="1:6" x14ac:dyDescent="0.25">
      <c r="A35" s="112"/>
    </row>
    <row r="36" spans="1:6" x14ac:dyDescent="0.25">
      <c r="A36" s="112"/>
    </row>
    <row r="37" spans="1:6" x14ac:dyDescent="0.25">
      <c r="A37" s="112"/>
    </row>
    <row r="38" spans="1:6" x14ac:dyDescent="0.25">
      <c r="A38" s="112"/>
    </row>
    <row r="39" spans="1:6" x14ac:dyDescent="0.25">
      <c r="A39" s="112"/>
    </row>
    <row r="40" spans="1:6" x14ac:dyDescent="0.25">
      <c r="A40" s="112"/>
    </row>
    <row r="41" spans="1:6" x14ac:dyDescent="0.25">
      <c r="A41" s="112"/>
    </row>
    <row r="42" spans="1:6" x14ac:dyDescent="0.25">
      <c r="A42" s="112"/>
    </row>
    <row r="43" spans="1:6" x14ac:dyDescent="0.25">
      <c r="A43" s="112"/>
    </row>
    <row r="44" spans="1:6" x14ac:dyDescent="0.25">
      <c r="A44" s="112"/>
    </row>
    <row r="45" spans="1:6" x14ac:dyDescent="0.25">
      <c r="A45" s="112"/>
    </row>
    <row r="46" spans="1:6" x14ac:dyDescent="0.25">
      <c r="A46" s="112"/>
    </row>
    <row r="47" spans="1:6" x14ac:dyDescent="0.25">
      <c r="A47" s="112"/>
    </row>
    <row r="48" spans="1:6" x14ac:dyDescent="0.25">
      <c r="A48" s="112"/>
    </row>
    <row r="49" spans="1:1" x14ac:dyDescent="0.25">
      <c r="A49" s="112"/>
    </row>
    <row r="50" spans="1:1" x14ac:dyDescent="0.25">
      <c r="A50" s="112"/>
    </row>
    <row r="51" spans="1:1" x14ac:dyDescent="0.25">
      <c r="A51" s="112"/>
    </row>
    <row r="52" spans="1:1" x14ac:dyDescent="0.25">
      <c r="A52" s="112"/>
    </row>
    <row r="53" spans="1:1" x14ac:dyDescent="0.25">
      <c r="A53" s="112"/>
    </row>
    <row r="54" spans="1:1" x14ac:dyDescent="0.25">
      <c r="A54" s="112"/>
    </row>
    <row r="55" spans="1:1" x14ac:dyDescent="0.25">
      <c r="A55" s="112"/>
    </row>
    <row r="56" spans="1:1" x14ac:dyDescent="0.25">
      <c r="A56" s="112"/>
    </row>
    <row r="57" spans="1:1" x14ac:dyDescent="0.25">
      <c r="A57" s="112"/>
    </row>
    <row r="58" spans="1:1" x14ac:dyDescent="0.25">
      <c r="A58" s="112"/>
    </row>
    <row r="59" spans="1:1" x14ac:dyDescent="0.25">
      <c r="A59" s="112"/>
    </row>
    <row r="60" spans="1:1" x14ac:dyDescent="0.25">
      <c r="A60" s="112"/>
    </row>
    <row r="61" spans="1:1" x14ac:dyDescent="0.25">
      <c r="A61" s="112"/>
    </row>
    <row r="62" spans="1:1" x14ac:dyDescent="0.25">
      <c r="A62" s="112"/>
    </row>
    <row r="63" spans="1:1" x14ac:dyDescent="0.25">
      <c r="A63" s="112"/>
    </row>
    <row r="64" spans="1:1" x14ac:dyDescent="0.25">
      <c r="A64" s="112"/>
    </row>
    <row r="65" spans="1:1" x14ac:dyDescent="0.25">
      <c r="A65" s="112"/>
    </row>
    <row r="66" spans="1:1" x14ac:dyDescent="0.25">
      <c r="A66" s="112"/>
    </row>
    <row r="67" spans="1:1" x14ac:dyDescent="0.25">
      <c r="A67" s="112"/>
    </row>
    <row r="68" spans="1:1" x14ac:dyDescent="0.25">
      <c r="A68" s="112"/>
    </row>
    <row r="69" spans="1:1" x14ac:dyDescent="0.25">
      <c r="A69" s="112"/>
    </row>
    <row r="70" spans="1:1" x14ac:dyDescent="0.25">
      <c r="A70" s="112"/>
    </row>
    <row r="71" spans="1:1" x14ac:dyDescent="0.25">
      <c r="A71" s="112"/>
    </row>
    <row r="72" spans="1:1" x14ac:dyDescent="0.25">
      <c r="A72" s="112"/>
    </row>
    <row r="73" spans="1:1" x14ac:dyDescent="0.25">
      <c r="A73" s="112"/>
    </row>
    <row r="74" spans="1:1" x14ac:dyDescent="0.25">
      <c r="A74" s="112"/>
    </row>
    <row r="75" spans="1:1" x14ac:dyDescent="0.25">
      <c r="A75" s="112"/>
    </row>
    <row r="76" spans="1:1" x14ac:dyDescent="0.25">
      <c r="A76" s="112"/>
    </row>
    <row r="77" spans="1:1" x14ac:dyDescent="0.25">
      <c r="A77" s="112"/>
    </row>
    <row r="78" spans="1:1" x14ac:dyDescent="0.25">
      <c r="A78" s="112"/>
    </row>
    <row r="79" spans="1:1" x14ac:dyDescent="0.25">
      <c r="A79" s="112"/>
    </row>
    <row r="80" spans="1:1" x14ac:dyDescent="0.25">
      <c r="A80" s="112"/>
    </row>
    <row r="81" spans="1:1" x14ac:dyDescent="0.25">
      <c r="A81" s="112"/>
    </row>
    <row r="82" spans="1:1" x14ac:dyDescent="0.25">
      <c r="A82" s="112"/>
    </row>
    <row r="83" spans="1:1" x14ac:dyDescent="0.25">
      <c r="A83" s="112"/>
    </row>
    <row r="84" spans="1:1" x14ac:dyDescent="0.25">
      <c r="A84" s="112"/>
    </row>
    <row r="85" spans="1:1" x14ac:dyDescent="0.25">
      <c r="A85" s="112"/>
    </row>
    <row r="86" spans="1:1" x14ac:dyDescent="0.25">
      <c r="A86" s="112"/>
    </row>
    <row r="87" spans="1:1" x14ac:dyDescent="0.25">
      <c r="A87" s="112"/>
    </row>
    <row r="88" spans="1:1" x14ac:dyDescent="0.25">
      <c r="A88" s="112"/>
    </row>
    <row r="89" spans="1:1" x14ac:dyDescent="0.25">
      <c r="A89" s="112"/>
    </row>
    <row r="90" spans="1:1" x14ac:dyDescent="0.25">
      <c r="A90" s="112"/>
    </row>
    <row r="91" spans="1:1" x14ac:dyDescent="0.25">
      <c r="A91" s="112"/>
    </row>
    <row r="92" spans="1:1" x14ac:dyDescent="0.25">
      <c r="A92" s="112"/>
    </row>
    <row r="93" spans="1:1" x14ac:dyDescent="0.25">
      <c r="A93" s="112"/>
    </row>
    <row r="94" spans="1:1" x14ac:dyDescent="0.25">
      <c r="A94" s="112"/>
    </row>
    <row r="95" spans="1:1" x14ac:dyDescent="0.25">
      <c r="A95" s="112"/>
    </row>
    <row r="96" spans="1:1" x14ac:dyDescent="0.25">
      <c r="A96" s="112"/>
    </row>
    <row r="97" spans="1:1" x14ac:dyDescent="0.25">
      <c r="A97" s="112"/>
    </row>
    <row r="98" spans="1:1" x14ac:dyDescent="0.25">
      <c r="A98" s="112"/>
    </row>
    <row r="99" spans="1:1" x14ac:dyDescent="0.25">
      <c r="A99" s="112"/>
    </row>
    <row r="100" spans="1:1" x14ac:dyDescent="0.25">
      <c r="A100" s="112"/>
    </row>
    <row r="101" spans="1:1" x14ac:dyDescent="0.25">
      <c r="A101" s="112"/>
    </row>
    <row r="102" spans="1:1" x14ac:dyDescent="0.25">
      <c r="A102" s="112"/>
    </row>
    <row r="103" spans="1:1" x14ac:dyDescent="0.25">
      <c r="A103" s="112"/>
    </row>
    <row r="104" spans="1:1" x14ac:dyDescent="0.25">
      <c r="A104" s="112"/>
    </row>
    <row r="105" spans="1:1" x14ac:dyDescent="0.25">
      <c r="A105" s="112"/>
    </row>
    <row r="106" spans="1:1" x14ac:dyDescent="0.25">
      <c r="A106" s="112"/>
    </row>
    <row r="107" spans="1:1" x14ac:dyDescent="0.25">
      <c r="A107" s="112"/>
    </row>
    <row r="108" spans="1:1" x14ac:dyDescent="0.25">
      <c r="A108" s="112"/>
    </row>
    <row r="109" spans="1:1" x14ac:dyDescent="0.25">
      <c r="A109" s="112"/>
    </row>
    <row r="110" spans="1:1" x14ac:dyDescent="0.25">
      <c r="A110" s="112"/>
    </row>
    <row r="111" spans="1:1" x14ac:dyDescent="0.25">
      <c r="A111" s="112"/>
    </row>
    <row r="112" spans="1:1" x14ac:dyDescent="0.25">
      <c r="A112" s="112"/>
    </row>
    <row r="113" spans="1:1" x14ac:dyDescent="0.25">
      <c r="A113" s="112"/>
    </row>
    <row r="114" spans="1:1" x14ac:dyDescent="0.25">
      <c r="A114" s="112"/>
    </row>
    <row r="115" spans="1:1" x14ac:dyDescent="0.25">
      <c r="A115" s="112"/>
    </row>
    <row r="116" spans="1:1" x14ac:dyDescent="0.25">
      <c r="A116" s="112"/>
    </row>
    <row r="117" spans="1:1" x14ac:dyDescent="0.25">
      <c r="A117" s="112"/>
    </row>
    <row r="118" spans="1:1" x14ac:dyDescent="0.25">
      <c r="A118" s="112"/>
    </row>
    <row r="119" spans="1:1" x14ac:dyDescent="0.25">
      <c r="A119" s="112"/>
    </row>
    <row r="120" spans="1:1" x14ac:dyDescent="0.25">
      <c r="A120" s="112"/>
    </row>
    <row r="121" spans="1:1" x14ac:dyDescent="0.25">
      <c r="A121" s="112"/>
    </row>
    <row r="122" spans="1:1" x14ac:dyDescent="0.25">
      <c r="A122" s="112"/>
    </row>
    <row r="123" spans="1:1" x14ac:dyDescent="0.25">
      <c r="A123" s="112"/>
    </row>
    <row r="124" spans="1:1" x14ac:dyDescent="0.25">
      <c r="A124" s="112"/>
    </row>
    <row r="125" spans="1:1" x14ac:dyDescent="0.25">
      <c r="A125" s="112"/>
    </row>
    <row r="126" spans="1:1" x14ac:dyDescent="0.25">
      <c r="A126" s="112"/>
    </row>
    <row r="127" spans="1:1" x14ac:dyDescent="0.25">
      <c r="A127" s="112"/>
    </row>
    <row r="128" spans="1:1" x14ac:dyDescent="0.25">
      <c r="A128" s="112"/>
    </row>
    <row r="129" spans="1:1" x14ac:dyDescent="0.25">
      <c r="A129" s="112"/>
    </row>
    <row r="130" spans="1:1" x14ac:dyDescent="0.25">
      <c r="A130" s="112"/>
    </row>
    <row r="131" spans="1:1" x14ac:dyDescent="0.25">
      <c r="A131" s="112"/>
    </row>
    <row r="132" spans="1:1" x14ac:dyDescent="0.25">
      <c r="A132" s="112"/>
    </row>
    <row r="133" spans="1:1" x14ac:dyDescent="0.25">
      <c r="A133" s="112"/>
    </row>
    <row r="134" spans="1:1" x14ac:dyDescent="0.25">
      <c r="A134" s="112"/>
    </row>
    <row r="135" spans="1:1" x14ac:dyDescent="0.25">
      <c r="A135" s="112"/>
    </row>
    <row r="136" spans="1:1" x14ac:dyDescent="0.25">
      <c r="A136" s="112"/>
    </row>
    <row r="137" spans="1:1" x14ac:dyDescent="0.25">
      <c r="A137" s="112"/>
    </row>
    <row r="138" spans="1:1" x14ac:dyDescent="0.25">
      <c r="A138" s="112"/>
    </row>
    <row r="139" spans="1:1" x14ac:dyDescent="0.25">
      <c r="A139" s="112"/>
    </row>
    <row r="140" spans="1:1" x14ac:dyDescent="0.25">
      <c r="A140" s="112"/>
    </row>
    <row r="141" spans="1:1" x14ac:dyDescent="0.25">
      <c r="A141" s="112"/>
    </row>
    <row r="142" spans="1:1" x14ac:dyDescent="0.25">
      <c r="A142" s="112"/>
    </row>
    <row r="143" spans="1:1" x14ac:dyDescent="0.25">
      <c r="A143" s="112"/>
    </row>
    <row r="144" spans="1:1" x14ac:dyDescent="0.25">
      <c r="A144" s="112"/>
    </row>
    <row r="145" spans="1:1" x14ac:dyDescent="0.25">
      <c r="A145" s="112"/>
    </row>
    <row r="146" spans="1:1" x14ac:dyDescent="0.25">
      <c r="A146" s="112"/>
    </row>
    <row r="147" spans="1:1" x14ac:dyDescent="0.25">
      <c r="A147" s="112"/>
    </row>
    <row r="148" spans="1:1" x14ac:dyDescent="0.25">
      <c r="A148" s="112"/>
    </row>
    <row r="149" spans="1:1" x14ac:dyDescent="0.25">
      <c r="A149" s="112"/>
    </row>
    <row r="150" spans="1:1" x14ac:dyDescent="0.25">
      <c r="A150" s="112"/>
    </row>
    <row r="151" spans="1:1" x14ac:dyDescent="0.25">
      <c r="A151" s="112"/>
    </row>
    <row r="152" spans="1:1" x14ac:dyDescent="0.25">
      <c r="A152" s="112"/>
    </row>
    <row r="153" spans="1:1" x14ac:dyDescent="0.25">
      <c r="A153" s="112"/>
    </row>
    <row r="154" spans="1:1" x14ac:dyDescent="0.25">
      <c r="A154" s="112"/>
    </row>
    <row r="155" spans="1:1" x14ac:dyDescent="0.25">
      <c r="A155" s="112"/>
    </row>
    <row r="156" spans="1:1" x14ac:dyDescent="0.25">
      <c r="A156" s="112"/>
    </row>
    <row r="157" spans="1:1" x14ac:dyDescent="0.25">
      <c r="A157" s="112"/>
    </row>
    <row r="158" spans="1:1" x14ac:dyDescent="0.25">
      <c r="A158" s="112"/>
    </row>
    <row r="159" spans="1:1" x14ac:dyDescent="0.25">
      <c r="A159" s="112"/>
    </row>
    <row r="160" spans="1:1" x14ac:dyDescent="0.25">
      <c r="A160" s="112"/>
    </row>
    <row r="161" spans="1:1" x14ac:dyDescent="0.25">
      <c r="A161" s="112"/>
    </row>
    <row r="162" spans="1:1" x14ac:dyDescent="0.25">
      <c r="A162" s="112"/>
    </row>
    <row r="163" spans="1:1" x14ac:dyDescent="0.25">
      <c r="A163" s="112"/>
    </row>
    <row r="164" spans="1:1" x14ac:dyDescent="0.25">
      <c r="A164" s="112"/>
    </row>
    <row r="165" spans="1:1" x14ac:dyDescent="0.25">
      <c r="A165" s="112"/>
    </row>
    <row r="166" spans="1:1" x14ac:dyDescent="0.25">
      <c r="A166" s="112"/>
    </row>
    <row r="167" spans="1:1" x14ac:dyDescent="0.25">
      <c r="A167" s="112"/>
    </row>
    <row r="168" spans="1:1" x14ac:dyDescent="0.25">
      <c r="A168" s="112"/>
    </row>
    <row r="169" spans="1:1" x14ac:dyDescent="0.25">
      <c r="A169" s="112"/>
    </row>
    <row r="170" spans="1:1" x14ac:dyDescent="0.25">
      <c r="A170" s="112"/>
    </row>
    <row r="171" spans="1:1" x14ac:dyDescent="0.25">
      <c r="A171" s="112"/>
    </row>
    <row r="172" spans="1:1" x14ac:dyDescent="0.25">
      <c r="A172" s="112"/>
    </row>
    <row r="173" spans="1:1" x14ac:dyDescent="0.25">
      <c r="A173" s="112"/>
    </row>
    <row r="174" spans="1:1" x14ac:dyDescent="0.25">
      <c r="A174" s="112"/>
    </row>
    <row r="175" spans="1:1" x14ac:dyDescent="0.25">
      <c r="A175" s="112"/>
    </row>
    <row r="176" spans="1:1" x14ac:dyDescent="0.25">
      <c r="A176" s="112"/>
    </row>
    <row r="177" spans="1:1" x14ac:dyDescent="0.25">
      <c r="A177" s="112"/>
    </row>
    <row r="178" spans="1:1" x14ac:dyDescent="0.25">
      <c r="A178" s="112"/>
    </row>
    <row r="179" spans="1:1" x14ac:dyDescent="0.25">
      <c r="A179" s="112"/>
    </row>
    <row r="180" spans="1:1" x14ac:dyDescent="0.25">
      <c r="A180" s="112"/>
    </row>
    <row r="181" spans="1:1" x14ac:dyDescent="0.25">
      <c r="A181" s="112"/>
    </row>
    <row r="182" spans="1:1" x14ac:dyDescent="0.25">
      <c r="A182" s="112"/>
    </row>
    <row r="183" spans="1:1" x14ac:dyDescent="0.25">
      <c r="A183" s="112"/>
    </row>
    <row r="184" spans="1:1" x14ac:dyDescent="0.25">
      <c r="A184" s="112"/>
    </row>
    <row r="185" spans="1:1" x14ac:dyDescent="0.25">
      <c r="A185" s="112"/>
    </row>
    <row r="186" spans="1:1" x14ac:dyDescent="0.25">
      <c r="A186" s="112"/>
    </row>
    <row r="187" spans="1:1" x14ac:dyDescent="0.25">
      <c r="A187" s="112"/>
    </row>
    <row r="188" spans="1:1" x14ac:dyDescent="0.25">
      <c r="A188" s="112"/>
    </row>
    <row r="189" spans="1:1" x14ac:dyDescent="0.25">
      <c r="A189" s="112"/>
    </row>
    <row r="190" spans="1:1" x14ac:dyDescent="0.25">
      <c r="A190" s="112"/>
    </row>
    <row r="191" spans="1:1" x14ac:dyDescent="0.25">
      <c r="A191" s="112"/>
    </row>
    <row r="192" spans="1:1" x14ac:dyDescent="0.25">
      <c r="A192" s="112"/>
    </row>
    <row r="193" spans="1:1" x14ac:dyDescent="0.25">
      <c r="A193" s="112"/>
    </row>
    <row r="194" spans="1:1" x14ac:dyDescent="0.25">
      <c r="A194" s="112"/>
    </row>
    <row r="195" spans="1:1" x14ac:dyDescent="0.25">
      <c r="A195" s="112"/>
    </row>
    <row r="196" spans="1:1" x14ac:dyDescent="0.25">
      <c r="A196" s="112"/>
    </row>
    <row r="197" spans="1:1" x14ac:dyDescent="0.25">
      <c r="A197" s="112"/>
    </row>
    <row r="198" spans="1:1" x14ac:dyDescent="0.25">
      <c r="A198" s="112"/>
    </row>
    <row r="199" spans="1:1" x14ac:dyDescent="0.25">
      <c r="A199" s="112"/>
    </row>
    <row r="200" spans="1:1" x14ac:dyDescent="0.25">
      <c r="A200" s="112"/>
    </row>
    <row r="201" spans="1:1" x14ac:dyDescent="0.25">
      <c r="A201" s="112"/>
    </row>
    <row r="202" spans="1:1" x14ac:dyDescent="0.25">
      <c r="A202" s="112"/>
    </row>
    <row r="203" spans="1:1" x14ac:dyDescent="0.25">
      <c r="A203" s="112"/>
    </row>
    <row r="204" spans="1:1" x14ac:dyDescent="0.25">
      <c r="A204" s="112"/>
    </row>
    <row r="205" spans="1:1" x14ac:dyDescent="0.25">
      <c r="A205" s="112"/>
    </row>
    <row r="206" spans="1:1" x14ac:dyDescent="0.25">
      <c r="A206" s="112"/>
    </row>
    <row r="207" spans="1:1" x14ac:dyDescent="0.25">
      <c r="A207" s="112"/>
    </row>
    <row r="208" spans="1:1" x14ac:dyDescent="0.25">
      <c r="A208" s="112"/>
    </row>
    <row r="209" spans="1:1" x14ac:dyDescent="0.25">
      <c r="A209" s="112"/>
    </row>
    <row r="210" spans="1:1" x14ac:dyDescent="0.25">
      <c r="A210" s="112"/>
    </row>
    <row r="211" spans="1:1" x14ac:dyDescent="0.25">
      <c r="A211" s="112"/>
    </row>
    <row r="212" spans="1:1" x14ac:dyDescent="0.25">
      <c r="A212" s="112"/>
    </row>
    <row r="213" spans="1:1" x14ac:dyDescent="0.25">
      <c r="A213" s="112"/>
    </row>
    <row r="214" spans="1:1" x14ac:dyDescent="0.25">
      <c r="A214" s="112"/>
    </row>
    <row r="215" spans="1:1" x14ac:dyDescent="0.25">
      <c r="A215" s="112"/>
    </row>
    <row r="216" spans="1:1" x14ac:dyDescent="0.25">
      <c r="A216" s="112"/>
    </row>
    <row r="217" spans="1:1" x14ac:dyDescent="0.25">
      <c r="A217" s="112"/>
    </row>
    <row r="218" spans="1:1" x14ac:dyDescent="0.25">
      <c r="A218" s="112"/>
    </row>
    <row r="219" spans="1:1" x14ac:dyDescent="0.25">
      <c r="A219" s="112"/>
    </row>
    <row r="220" spans="1:1" x14ac:dyDescent="0.25">
      <c r="A220" s="112"/>
    </row>
    <row r="221" spans="1:1" x14ac:dyDescent="0.25">
      <c r="A221" s="112"/>
    </row>
    <row r="222" spans="1:1" x14ac:dyDescent="0.25">
      <c r="A222" s="112"/>
    </row>
    <row r="223" spans="1:1" x14ac:dyDescent="0.25">
      <c r="A223" s="112"/>
    </row>
    <row r="224" spans="1:1" x14ac:dyDescent="0.25">
      <c r="A224" s="112"/>
    </row>
    <row r="225" spans="1:1" x14ac:dyDescent="0.25">
      <c r="A225" s="112"/>
    </row>
    <row r="226" spans="1:1" x14ac:dyDescent="0.25">
      <c r="A226" s="112"/>
    </row>
    <row r="227" spans="1:1" x14ac:dyDescent="0.25">
      <c r="A227" s="112"/>
    </row>
    <row r="228" spans="1:1" x14ac:dyDescent="0.25">
      <c r="A228" s="112"/>
    </row>
    <row r="229" spans="1:1" x14ac:dyDescent="0.25">
      <c r="A229" s="112"/>
    </row>
    <row r="230" spans="1:1" x14ac:dyDescent="0.25">
      <c r="A230" s="112"/>
    </row>
    <row r="231" spans="1:1" x14ac:dyDescent="0.25">
      <c r="A231" s="112"/>
    </row>
    <row r="232" spans="1:1" x14ac:dyDescent="0.25">
      <c r="A232" s="112"/>
    </row>
    <row r="233" spans="1:1" x14ac:dyDescent="0.25">
      <c r="A233" s="112"/>
    </row>
    <row r="234" spans="1:1" x14ac:dyDescent="0.25">
      <c r="A234" s="112"/>
    </row>
    <row r="235" spans="1:1" x14ac:dyDescent="0.25">
      <c r="A235" s="112"/>
    </row>
    <row r="236" spans="1:1" x14ac:dyDescent="0.25">
      <c r="A236" s="112"/>
    </row>
    <row r="237" spans="1:1" x14ac:dyDescent="0.25">
      <c r="A237" s="112"/>
    </row>
    <row r="238" spans="1:1" x14ac:dyDescent="0.25">
      <c r="A238" s="112"/>
    </row>
    <row r="239" spans="1:1" x14ac:dyDescent="0.25">
      <c r="A239" s="112"/>
    </row>
    <row r="240" spans="1:1" x14ac:dyDescent="0.25">
      <c r="A240" s="112"/>
    </row>
    <row r="241" spans="1:1" x14ac:dyDescent="0.25">
      <c r="A241" s="112"/>
    </row>
    <row r="242" spans="1:1" x14ac:dyDescent="0.25">
      <c r="A242" s="112"/>
    </row>
    <row r="243" spans="1:1" x14ac:dyDescent="0.25">
      <c r="A243" s="112"/>
    </row>
    <row r="244" spans="1:1" x14ac:dyDescent="0.25">
      <c r="A244" s="112"/>
    </row>
    <row r="245" spans="1:1" x14ac:dyDescent="0.25">
      <c r="A245" s="112"/>
    </row>
    <row r="246" spans="1:1" x14ac:dyDescent="0.25">
      <c r="A246" s="112"/>
    </row>
    <row r="247" spans="1:1" x14ac:dyDescent="0.25">
      <c r="A247" s="112"/>
    </row>
    <row r="248" spans="1:1" x14ac:dyDescent="0.25">
      <c r="A248" s="112"/>
    </row>
    <row r="249" spans="1:1" x14ac:dyDescent="0.25">
      <c r="A249" s="112"/>
    </row>
    <row r="250" spans="1:1" x14ac:dyDescent="0.25">
      <c r="A250" s="112"/>
    </row>
    <row r="251" spans="1:1" x14ac:dyDescent="0.25">
      <c r="A251" s="112"/>
    </row>
    <row r="252" spans="1:1" x14ac:dyDescent="0.25">
      <c r="A252" s="112"/>
    </row>
    <row r="253" spans="1:1" x14ac:dyDescent="0.25">
      <c r="A253" s="112"/>
    </row>
    <row r="254" spans="1:1" x14ac:dyDescent="0.25">
      <c r="A254" s="112"/>
    </row>
    <row r="255" spans="1:1" x14ac:dyDescent="0.25">
      <c r="A255" s="112"/>
    </row>
    <row r="256" spans="1:1" x14ac:dyDescent="0.25">
      <c r="A256" s="112"/>
    </row>
    <row r="257" spans="1:1" x14ac:dyDescent="0.25">
      <c r="A257" s="112"/>
    </row>
    <row r="258" spans="1:1" x14ac:dyDescent="0.25">
      <c r="A258" s="112"/>
    </row>
    <row r="259" spans="1:1" x14ac:dyDescent="0.25">
      <c r="A259" s="112"/>
    </row>
    <row r="260" spans="1:1" x14ac:dyDescent="0.25">
      <c r="A260" s="112"/>
    </row>
    <row r="261" spans="1:1" x14ac:dyDescent="0.25">
      <c r="A261" s="112"/>
    </row>
    <row r="262" spans="1:1" x14ac:dyDescent="0.25">
      <c r="A262" s="112"/>
    </row>
    <row r="263" spans="1:1" x14ac:dyDescent="0.25">
      <c r="A263" s="112"/>
    </row>
    <row r="264" spans="1:1" x14ac:dyDescent="0.25">
      <c r="A264" s="112"/>
    </row>
    <row r="265" spans="1:1" x14ac:dyDescent="0.25">
      <c r="A265" s="112"/>
    </row>
    <row r="266" spans="1:1" x14ac:dyDescent="0.25">
      <c r="A266" s="112"/>
    </row>
    <row r="267" spans="1:1" x14ac:dyDescent="0.25">
      <c r="A267" s="112"/>
    </row>
    <row r="268" spans="1:1" x14ac:dyDescent="0.25">
      <c r="A268" s="112"/>
    </row>
    <row r="269" spans="1:1" x14ac:dyDescent="0.25">
      <c r="A269" s="112"/>
    </row>
    <row r="270" spans="1:1" x14ac:dyDescent="0.25">
      <c r="A270" s="112"/>
    </row>
    <row r="271" spans="1:1" x14ac:dyDescent="0.25">
      <c r="A271" s="112"/>
    </row>
    <row r="272" spans="1:1" x14ac:dyDescent="0.25">
      <c r="A272" s="112"/>
    </row>
    <row r="273" spans="1:1" x14ac:dyDescent="0.25">
      <c r="A273" s="112"/>
    </row>
    <row r="274" spans="1:1" x14ac:dyDescent="0.25">
      <c r="A274" s="112"/>
    </row>
    <row r="275" spans="1:1" x14ac:dyDescent="0.25">
      <c r="A275" s="112"/>
    </row>
    <row r="276" spans="1:1" x14ac:dyDescent="0.25">
      <c r="A276" s="112"/>
    </row>
    <row r="277" spans="1:1" x14ac:dyDescent="0.25">
      <c r="A277" s="112"/>
    </row>
    <row r="278" spans="1:1" x14ac:dyDescent="0.25">
      <c r="A278" s="112"/>
    </row>
    <row r="279" spans="1:1" x14ac:dyDescent="0.25">
      <c r="A279" s="112"/>
    </row>
    <row r="280" spans="1:1" x14ac:dyDescent="0.25">
      <c r="A280" s="112"/>
    </row>
    <row r="281" spans="1:1" x14ac:dyDescent="0.25">
      <c r="A281" s="112"/>
    </row>
    <row r="282" spans="1:1" x14ac:dyDescent="0.25">
      <c r="A282" s="112"/>
    </row>
    <row r="283" spans="1:1" x14ac:dyDescent="0.25">
      <c r="A283" s="112"/>
    </row>
    <row r="284" spans="1:1" x14ac:dyDescent="0.25">
      <c r="A284" s="112"/>
    </row>
    <row r="285" spans="1:1" x14ac:dyDescent="0.25">
      <c r="A285" s="112"/>
    </row>
    <row r="286" spans="1:1" x14ac:dyDescent="0.25">
      <c r="A286" s="112"/>
    </row>
    <row r="287" spans="1:1" x14ac:dyDescent="0.25">
      <c r="A287" s="112"/>
    </row>
    <row r="288" spans="1:1" x14ac:dyDescent="0.25">
      <c r="A288" s="112"/>
    </row>
    <row r="289" spans="1:1" x14ac:dyDescent="0.25">
      <c r="A289" s="112"/>
    </row>
    <row r="290" spans="1:1" x14ac:dyDescent="0.25">
      <c r="A290" s="112"/>
    </row>
  </sheetData>
  <pageMargins left="0.70866141732283472" right="0.51181102362204722" top="0.55118110236220474" bottom="0.55118110236220474" header="0.31496062992125984" footer="0.31496062992125984"/>
  <pageSetup paperSize="9" scale="8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F14"/>
  <sheetViews>
    <sheetView showGridLines="0" zoomScale="85" zoomScaleNormal="85" workbookViewId="0">
      <selection activeCell="E20" sqref="E20"/>
    </sheetView>
  </sheetViews>
  <sheetFormatPr defaultColWidth="9" defaultRowHeight="12.75" x14ac:dyDescent="0.2"/>
  <cols>
    <col min="1" max="1" width="9" style="218"/>
    <col min="2" max="2" width="23.75" style="218" customWidth="1"/>
    <col min="3" max="3" width="11.25" style="218" customWidth="1"/>
    <col min="4" max="16" width="9" style="218"/>
    <col min="17" max="17" width="21" style="218" customWidth="1"/>
    <col min="18" max="16384" width="9" style="218"/>
  </cols>
  <sheetData>
    <row r="1" spans="1:58" s="1" customFormat="1" ht="18.75" x14ac:dyDescent="0.3">
      <c r="A1" s="197" t="str">
        <f>Output!A1</f>
        <v>PAL Accelerated depreciation</v>
      </c>
      <c r="B1" s="197"/>
      <c r="C1" s="197"/>
      <c r="D1" s="197"/>
      <c r="E1" s="197"/>
      <c r="F1" s="197"/>
      <c r="G1" s="198"/>
      <c r="H1" s="198"/>
      <c r="I1" s="198"/>
      <c r="J1" s="198"/>
      <c r="K1" s="198"/>
      <c r="L1" s="198"/>
      <c r="M1" s="197"/>
      <c r="N1" s="197"/>
      <c r="O1" s="197"/>
      <c r="P1" s="197"/>
      <c r="Q1" s="197"/>
      <c r="R1" s="197"/>
      <c r="S1" s="197"/>
      <c r="T1" s="197"/>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row>
    <row r="2" spans="1:58" s="1" customFormat="1" ht="15.75" x14ac:dyDescent="0.25">
      <c r="A2" s="200" t="s">
        <v>137</v>
      </c>
      <c r="B2" s="200"/>
      <c r="C2" s="200"/>
      <c r="D2" s="200"/>
      <c r="E2" s="200"/>
      <c r="F2" s="200"/>
      <c r="G2" s="201"/>
      <c r="H2" s="201"/>
      <c r="I2" s="201"/>
      <c r="J2" s="201"/>
      <c r="K2" s="201"/>
      <c r="L2" s="201"/>
      <c r="M2" s="200"/>
      <c r="N2" s="200"/>
      <c r="O2" s="200"/>
      <c r="P2" s="200"/>
      <c r="Q2" s="200"/>
      <c r="R2" s="200"/>
      <c r="S2" s="200"/>
      <c r="T2" s="200"/>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row>
    <row r="6" spans="1:58" x14ac:dyDescent="0.2">
      <c r="C6" s="219"/>
      <c r="D6" s="219"/>
      <c r="E6" s="219"/>
      <c r="F6" s="219"/>
      <c r="G6" s="220" t="s">
        <v>24</v>
      </c>
      <c r="H6" s="220"/>
      <c r="I6" s="220"/>
      <c r="J6" s="220"/>
      <c r="K6" s="220"/>
      <c r="L6" s="220"/>
      <c r="M6" s="220"/>
      <c r="N6" s="220"/>
      <c r="O6" s="221"/>
      <c r="P6" s="221"/>
      <c r="Q6" s="221"/>
    </row>
    <row r="7" spans="1:58" x14ac:dyDescent="0.2">
      <c r="B7" s="222"/>
      <c r="C7" s="222" t="s">
        <v>25</v>
      </c>
      <c r="D7" s="222" t="s">
        <v>135</v>
      </c>
      <c r="E7" s="222"/>
      <c r="F7" s="222"/>
      <c r="G7" s="222">
        <v>2019</v>
      </c>
      <c r="H7" s="222">
        <v>2020</v>
      </c>
      <c r="I7" s="222">
        <v>2021</v>
      </c>
      <c r="J7" s="222">
        <v>2022</v>
      </c>
      <c r="K7" s="222">
        <v>2023</v>
      </c>
      <c r="L7" s="222">
        <v>2024</v>
      </c>
      <c r="M7" s="222">
        <v>2025</v>
      </c>
      <c r="N7" s="222">
        <v>2026</v>
      </c>
      <c r="O7" s="221"/>
      <c r="P7" s="221"/>
      <c r="Q7" s="221"/>
    </row>
    <row r="8" spans="1:58" x14ac:dyDescent="0.2">
      <c r="B8" s="224" t="s">
        <v>26</v>
      </c>
      <c r="C8" s="225">
        <v>84620</v>
      </c>
      <c r="D8" s="225" t="s">
        <v>132</v>
      </c>
      <c r="E8" s="226"/>
      <c r="F8" s="225"/>
      <c r="G8" s="227">
        <v>25.5</v>
      </c>
      <c r="H8" s="227">
        <v>25.5</v>
      </c>
      <c r="I8" s="227">
        <v>25.5</v>
      </c>
      <c r="J8" s="227">
        <v>25.5</v>
      </c>
      <c r="K8" s="227">
        <v>25.5</v>
      </c>
      <c r="L8" s="227">
        <v>25.5</v>
      </c>
      <c r="M8" s="227">
        <v>25.5</v>
      </c>
      <c r="N8" s="227">
        <v>25.5</v>
      </c>
    </row>
    <row r="9" spans="1:58" x14ac:dyDescent="0.2">
      <c r="B9" s="224" t="s">
        <v>27</v>
      </c>
      <c r="C9" s="228">
        <v>425000</v>
      </c>
      <c r="D9" s="228" t="s">
        <v>131</v>
      </c>
      <c r="E9" s="226"/>
      <c r="F9" s="228"/>
      <c r="G9" s="227">
        <v>0</v>
      </c>
      <c r="H9" s="227">
        <v>0</v>
      </c>
      <c r="I9" s="227">
        <v>1.92</v>
      </c>
      <c r="J9" s="227">
        <v>1.92</v>
      </c>
      <c r="K9" s="227">
        <v>1.92</v>
      </c>
      <c r="L9" s="227">
        <v>1.92</v>
      </c>
      <c r="M9" s="227">
        <v>1.92</v>
      </c>
      <c r="N9" s="227">
        <v>1.92</v>
      </c>
    </row>
    <row r="10" spans="1:58" x14ac:dyDescent="0.2">
      <c r="B10" s="224" t="s">
        <v>133</v>
      </c>
      <c r="C10" s="229">
        <v>66148.565726341141</v>
      </c>
      <c r="D10" s="224" t="s">
        <v>132</v>
      </c>
      <c r="E10" s="226"/>
      <c r="F10" s="224"/>
      <c r="G10" s="224"/>
      <c r="H10" s="224"/>
      <c r="I10" s="224"/>
      <c r="J10" s="229">
        <v>128</v>
      </c>
      <c r="K10" s="229">
        <v>128</v>
      </c>
      <c r="L10" s="229">
        <v>133</v>
      </c>
      <c r="M10" s="229">
        <v>124</v>
      </c>
      <c r="N10" s="229">
        <v>125</v>
      </c>
    </row>
    <row r="11" spans="1:58" x14ac:dyDescent="0.2">
      <c r="B11" s="230" t="s">
        <v>134</v>
      </c>
      <c r="C11" s="231">
        <v>3591.4324024343018</v>
      </c>
      <c r="D11" s="230" t="s">
        <v>132</v>
      </c>
      <c r="E11" s="226"/>
      <c r="F11" s="230"/>
      <c r="G11" s="230"/>
      <c r="H11" s="230"/>
      <c r="I11" s="230"/>
      <c r="J11" s="231">
        <v>1030</v>
      </c>
      <c r="K11" s="231">
        <v>1030</v>
      </c>
      <c r="L11" s="231">
        <v>0</v>
      </c>
      <c r="M11" s="231">
        <v>0</v>
      </c>
      <c r="N11" s="231">
        <v>0</v>
      </c>
    </row>
    <row r="12" spans="1:58" x14ac:dyDescent="0.2">
      <c r="B12" s="223"/>
      <c r="C12" s="223"/>
      <c r="D12" s="223"/>
      <c r="E12" s="219"/>
      <c r="F12" s="223"/>
      <c r="G12" s="223"/>
      <c r="H12" s="223"/>
      <c r="I12" s="223"/>
      <c r="J12" s="223"/>
      <c r="K12" s="223"/>
      <c r="L12" s="223"/>
      <c r="M12" s="223"/>
      <c r="N12" s="223"/>
    </row>
    <row r="13" spans="1:58" x14ac:dyDescent="0.2">
      <c r="E13" s="219"/>
    </row>
    <row r="14" spans="1:58" x14ac:dyDescent="0.2">
      <c r="E14" s="21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BZ316"/>
  <sheetViews>
    <sheetView showGridLines="0" topLeftCell="G49" zoomScale="70" zoomScaleNormal="70" workbookViewId="0">
      <selection activeCell="R75" sqref="R75"/>
    </sheetView>
  </sheetViews>
  <sheetFormatPr defaultColWidth="8" defaultRowHeight="15" x14ac:dyDescent="0.25"/>
  <cols>
    <col min="1" max="1" width="2.375" style="111" customWidth="1"/>
    <col min="2" max="2" width="17" style="110" customWidth="1"/>
    <col min="3" max="3" width="20.5" style="110" customWidth="1"/>
    <col min="4" max="4" width="18.25" style="110" customWidth="1"/>
    <col min="5" max="7" width="21.25" style="110" customWidth="1"/>
    <col min="8" max="8" width="25.5" style="110" customWidth="1"/>
    <col min="9" max="12" width="21.25" style="110" customWidth="1"/>
    <col min="13" max="20" width="8" style="110"/>
    <col min="21" max="21" width="9.5" style="110" customWidth="1"/>
    <col min="22" max="16384" width="8" style="110"/>
  </cols>
  <sheetData>
    <row r="1" spans="1:78" s="1" customFormat="1" ht="18.75" x14ac:dyDescent="0.3">
      <c r="A1" s="197" t="str">
        <f>REFCL_Data!$A$1</f>
        <v>PAL Accelerated depreciation</v>
      </c>
      <c r="B1" s="197"/>
      <c r="C1" s="197"/>
      <c r="D1" s="197"/>
      <c r="E1" s="197"/>
      <c r="F1" s="197"/>
      <c r="G1" s="198"/>
      <c r="H1" s="198"/>
      <c r="I1" s="198"/>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row>
    <row r="2" spans="1:78" s="1" customFormat="1" ht="15.75" x14ac:dyDescent="0.25">
      <c r="A2" s="200" t="s">
        <v>111</v>
      </c>
      <c r="B2" s="200"/>
      <c r="C2" s="200"/>
      <c r="D2" s="200"/>
      <c r="E2" s="200"/>
      <c r="F2" s="200"/>
      <c r="G2" s="201"/>
      <c r="H2" s="201"/>
      <c r="I2" s="201"/>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row>
    <row r="3" spans="1:78" s="244" customFormat="1" ht="18.75" x14ac:dyDescent="0.3">
      <c r="A3" s="241"/>
      <c r="B3" s="242"/>
      <c r="C3" s="242"/>
      <c r="D3" s="243"/>
      <c r="E3" s="243"/>
      <c r="F3" s="243"/>
      <c r="G3" s="243"/>
      <c r="I3" s="256" t="s">
        <v>158</v>
      </c>
      <c r="J3" s="243"/>
      <c r="K3" s="243"/>
      <c r="L3" s="243"/>
      <c r="V3" s="119"/>
      <c r="W3" s="245"/>
      <c r="X3" s="246"/>
      <c r="Y3" s="119"/>
      <c r="Z3" s="119"/>
      <c r="AA3" s="119"/>
      <c r="AB3" s="119"/>
      <c r="AC3" s="119"/>
      <c r="AD3" s="119"/>
      <c r="AE3" s="119"/>
      <c r="AF3" s="119"/>
    </row>
    <row r="4" spans="1:78" x14ac:dyDescent="0.25">
      <c r="A4" s="112"/>
      <c r="I4" s="266" t="s">
        <v>191</v>
      </c>
    </row>
    <row r="5" spans="1:78" ht="15" customHeight="1" x14ac:dyDescent="0.25">
      <c r="A5" s="112"/>
      <c r="B5" s="141" t="s">
        <v>110</v>
      </c>
      <c r="C5" s="141"/>
      <c r="D5" s="161">
        <v>2019</v>
      </c>
      <c r="E5" s="156" t="s">
        <v>19</v>
      </c>
      <c r="F5" s="156"/>
      <c r="G5" s="156"/>
      <c r="H5" s="145"/>
      <c r="I5" s="113"/>
    </row>
    <row r="6" spans="1:78" x14ac:dyDescent="0.25">
      <c r="A6" s="112"/>
      <c r="B6" s="110" t="s">
        <v>94</v>
      </c>
      <c r="D6" s="139">
        <v>51</v>
      </c>
      <c r="E6" s="156" t="s">
        <v>109</v>
      </c>
      <c r="F6" s="156"/>
      <c r="G6" s="156"/>
      <c r="H6" s="160"/>
      <c r="I6" s="142"/>
    </row>
    <row r="7" spans="1:78" x14ac:dyDescent="0.25">
      <c r="A7" s="112"/>
      <c r="B7" s="141" t="s">
        <v>108</v>
      </c>
      <c r="D7" s="351">
        <f>SUM(REFCL_Data!K23:O23)</f>
        <v>38012</v>
      </c>
      <c r="E7" s="156" t="s">
        <v>107</v>
      </c>
      <c r="F7" s="353" t="s">
        <v>216</v>
      </c>
      <c r="G7" s="156"/>
      <c r="H7" s="158"/>
      <c r="I7" s="142"/>
    </row>
    <row r="8" spans="1:78" x14ac:dyDescent="0.25">
      <c r="A8" s="112"/>
      <c r="B8" s="141" t="s">
        <v>106</v>
      </c>
      <c r="C8" s="141"/>
      <c r="D8" s="159">
        <f>REFCL_Data!H23</f>
        <v>424.8995610865141</v>
      </c>
      <c r="E8" s="156" t="s">
        <v>105</v>
      </c>
      <c r="F8" s="354">
        <v>466.22595843487392</v>
      </c>
      <c r="G8" s="156"/>
      <c r="H8" s="158"/>
      <c r="I8" s="142"/>
    </row>
    <row r="9" spans="1:78" x14ac:dyDescent="0.25">
      <c r="A9" s="112"/>
      <c r="B9" s="141" t="s">
        <v>104</v>
      </c>
      <c r="C9" s="141"/>
      <c r="D9" s="157">
        <v>0.04</v>
      </c>
      <c r="E9" s="156" t="s">
        <v>102</v>
      </c>
      <c r="F9" s="355">
        <f>F8-D8*Assumptions!D14</f>
        <v>2.0463630789890885E-12</v>
      </c>
      <c r="G9" s="156"/>
      <c r="H9" s="158"/>
      <c r="I9" s="158"/>
    </row>
    <row r="10" spans="1:78" x14ac:dyDescent="0.25">
      <c r="A10" s="112"/>
      <c r="B10" s="141" t="s">
        <v>103</v>
      </c>
      <c r="C10" s="141"/>
      <c r="D10" s="157">
        <f>((D7-(D9*SUM(C15:C64)))/SUM(C15:C33))</f>
        <v>0.31610797936200447</v>
      </c>
      <c r="E10" s="156" t="s">
        <v>102</v>
      </c>
      <c r="F10" s="156"/>
      <c r="G10" s="156"/>
    </row>
    <row r="11" spans="1:78" x14ac:dyDescent="0.25">
      <c r="A11" s="112"/>
      <c r="K11" s="113"/>
    </row>
    <row r="12" spans="1:78" x14ac:dyDescent="0.25">
      <c r="A12" s="112"/>
    </row>
    <row r="13" spans="1:78" ht="18.75" x14ac:dyDescent="0.3">
      <c r="A13" s="112"/>
      <c r="B13" s="155" t="s">
        <v>101</v>
      </c>
      <c r="C13" s="154"/>
      <c r="I13" s="153"/>
      <c r="Q13" s="360" t="s">
        <v>24</v>
      </c>
      <c r="R13" s="361"/>
      <c r="S13" s="362"/>
      <c r="T13" s="331"/>
      <c r="U13" s="331"/>
    </row>
    <row r="14" spans="1:78" s="149" customFormat="1" ht="32.25" customHeight="1" x14ac:dyDescent="0.2">
      <c r="A14" s="152"/>
      <c r="B14" s="151" t="s">
        <v>100</v>
      </c>
      <c r="C14" s="150" t="s">
        <v>99</v>
      </c>
      <c r="D14" s="234" t="s">
        <v>11</v>
      </c>
      <c r="E14" s="150" t="s">
        <v>138</v>
      </c>
      <c r="F14" s="150" t="s">
        <v>97</v>
      </c>
      <c r="G14" s="150" t="s">
        <v>96</v>
      </c>
      <c r="H14" s="150" t="s">
        <v>139</v>
      </c>
      <c r="I14" s="150" t="s">
        <v>140</v>
      </c>
      <c r="Q14" s="363" t="s">
        <v>228</v>
      </c>
      <c r="R14" s="363" t="s">
        <v>96</v>
      </c>
      <c r="S14" s="363" t="s">
        <v>1</v>
      </c>
      <c r="T14" s="364" t="s">
        <v>229</v>
      </c>
      <c r="U14" s="364" t="s">
        <v>230</v>
      </c>
    </row>
    <row r="15" spans="1:78" ht="15" customHeight="1" x14ac:dyDescent="0.25">
      <c r="A15" s="112"/>
      <c r="B15" s="233">
        <v>1970</v>
      </c>
      <c r="C15" s="203">
        <f>INDEX(UG_cable_data!$D$37:$BE$37, MATCH(B15, UG_cable_data!$D$6:$BE$6,0))</f>
        <v>60.374248679030003</v>
      </c>
      <c r="D15" s="235">
        <f t="shared" ref="D15:D46" si="0">$D$6-($D$5-$B15)</f>
        <v>2</v>
      </c>
      <c r="E15" s="237">
        <f t="shared" ref="E15:E46" si="1">C15*$D$8/$D$6*D15</f>
        <v>1005.9996770450157</v>
      </c>
      <c r="F15" s="147">
        <f t="shared" ref="F15:F46" si="2">C15*$D$10</f>
        <v>19.084781755427343</v>
      </c>
      <c r="G15" s="147">
        <f t="shared" ref="G15:G46" si="3">C15*$D$9</f>
        <v>2.4149699471612003</v>
      </c>
      <c r="H15" s="257">
        <f t="shared" ref="H15:H33" si="4">$D$10*E15</f>
        <v>318.004525149529</v>
      </c>
      <c r="I15" s="237">
        <f t="shared" ref="I15:I46" si="5">0.04*E15</f>
        <v>40.239987081800628</v>
      </c>
      <c r="Q15" s="333">
        <f>IF(B15&lt;1989,F15,0)</f>
        <v>19.084781755427343</v>
      </c>
      <c r="R15" s="333">
        <f>G15</f>
        <v>2.4149699471612003</v>
      </c>
      <c r="S15" s="333">
        <f>SUM(Q15,R15)</f>
        <v>21.499751702588544</v>
      </c>
      <c r="T15" s="333">
        <f>D15</f>
        <v>2</v>
      </c>
      <c r="U15" s="365">
        <f>S15*T15/$D$6*$D$8</f>
        <v>358.24451223132962</v>
      </c>
    </row>
    <row r="16" spans="1:78" ht="15" customHeight="1" x14ac:dyDescent="0.25">
      <c r="A16" s="112"/>
      <c r="B16" s="233">
        <f t="shared" ref="B16:B47" si="6">B15+1</f>
        <v>1971</v>
      </c>
      <c r="C16" s="203">
        <f>INDEX(UG_cable_data!$D$37:$BE$37, MATCH(B16, UG_cable_data!$D$6:$BE$6,0))</f>
        <v>514.31759546640001</v>
      </c>
      <c r="D16" s="235">
        <f t="shared" si="0"/>
        <v>3</v>
      </c>
      <c r="E16" s="237">
        <f t="shared" si="1"/>
        <v>12854.901210161452</v>
      </c>
      <c r="F16" s="147">
        <f t="shared" si="2"/>
        <v>162.57989585320854</v>
      </c>
      <c r="G16" s="147">
        <f t="shared" si="3"/>
        <v>20.572703818656002</v>
      </c>
      <c r="H16" s="237">
        <f t="shared" si="4"/>
        <v>4063.5368464423223</v>
      </c>
      <c r="I16" s="237">
        <f t="shared" si="5"/>
        <v>514.19604840645809</v>
      </c>
      <c r="Q16" s="333">
        <f t="shared" ref="Q16:Q64" si="7">IF(B16&lt;1989,F16,0)</f>
        <v>162.57989585320854</v>
      </c>
      <c r="R16" s="333">
        <f t="shared" ref="R16:R64" si="8">G16</f>
        <v>20.572703818656002</v>
      </c>
      <c r="S16" s="333">
        <f t="shared" ref="S16:S64" si="9">SUM(Q16,R16)</f>
        <v>183.15259967186455</v>
      </c>
      <c r="T16" s="333">
        <f t="shared" ref="T16:T64" si="10">D16</f>
        <v>3</v>
      </c>
      <c r="U16" s="365">
        <f t="shared" ref="U16:U64" si="11">S16*T16/$D$6*$D$8</f>
        <v>4577.7328948487802</v>
      </c>
    </row>
    <row r="17" spans="1:21" ht="15" customHeight="1" x14ac:dyDescent="0.25">
      <c r="A17" s="112"/>
      <c r="B17" s="233">
        <f t="shared" si="6"/>
        <v>1972</v>
      </c>
      <c r="C17" s="203">
        <f>INDEX(UG_cable_data!$D$37:$BE$37, MATCH(B17, UG_cable_data!$D$6:$BE$6,0))</f>
        <v>602</v>
      </c>
      <c r="D17" s="235">
        <f t="shared" si="0"/>
        <v>4</v>
      </c>
      <c r="E17" s="237">
        <f t="shared" si="1"/>
        <v>20061.924374437764</v>
      </c>
      <c r="F17" s="147">
        <f t="shared" si="2"/>
        <v>190.29700357592668</v>
      </c>
      <c r="G17" s="147">
        <f t="shared" si="3"/>
        <v>24.080000000000002</v>
      </c>
      <c r="H17" s="237">
        <f t="shared" si="4"/>
        <v>6341.7343761168668</v>
      </c>
      <c r="I17" s="237">
        <f t="shared" si="5"/>
        <v>802.47697497751051</v>
      </c>
      <c r="Q17" s="333">
        <f t="shared" si="7"/>
        <v>190.29700357592668</v>
      </c>
      <c r="R17" s="333">
        <f t="shared" si="8"/>
        <v>24.080000000000002</v>
      </c>
      <c r="S17" s="333">
        <f t="shared" si="9"/>
        <v>214.37700357592669</v>
      </c>
      <c r="T17" s="333">
        <f t="shared" si="10"/>
        <v>4</v>
      </c>
      <c r="U17" s="365">
        <f t="shared" si="11"/>
        <v>7144.2113510943773</v>
      </c>
    </row>
    <row r="18" spans="1:21" ht="15" customHeight="1" x14ac:dyDescent="0.25">
      <c r="A18" s="112"/>
      <c r="B18" s="233">
        <f t="shared" si="6"/>
        <v>1973</v>
      </c>
      <c r="C18" s="203">
        <f>INDEX(UG_cable_data!$D$37:$BE$37, MATCH(B18, UG_cable_data!$D$6:$BE$6,0))</f>
        <v>59.522262576000003</v>
      </c>
      <c r="D18" s="235">
        <f t="shared" si="0"/>
        <v>5</v>
      </c>
      <c r="E18" s="237">
        <f t="shared" si="1"/>
        <v>2479.5081611194751</v>
      </c>
      <c r="F18" s="147">
        <f t="shared" si="2"/>
        <v>18.815462149954019</v>
      </c>
      <c r="G18" s="147">
        <f t="shared" si="3"/>
        <v>2.3808905030400003</v>
      </c>
      <c r="H18" s="237">
        <f t="shared" si="4"/>
        <v>783.79231462307666</v>
      </c>
      <c r="I18" s="237">
        <f t="shared" si="5"/>
        <v>99.180326444778999</v>
      </c>
      <c r="Q18" s="333">
        <f t="shared" si="7"/>
        <v>18.815462149954019</v>
      </c>
      <c r="R18" s="333">
        <f t="shared" si="8"/>
        <v>2.3808905030400003</v>
      </c>
      <c r="S18" s="333">
        <f t="shared" si="9"/>
        <v>21.196352652994019</v>
      </c>
      <c r="T18" s="333">
        <f t="shared" si="10"/>
        <v>5</v>
      </c>
      <c r="U18" s="365">
        <f t="shared" si="11"/>
        <v>882.97264106785553</v>
      </c>
    </row>
    <row r="19" spans="1:21" ht="15" customHeight="1" x14ac:dyDescent="0.25">
      <c r="A19" s="112"/>
      <c r="B19" s="233">
        <f t="shared" si="6"/>
        <v>1974</v>
      </c>
      <c r="C19" s="203">
        <f>INDEX(UG_cable_data!$D$37:$BE$37, MATCH(B19, UG_cable_data!$D$6:$BE$6,0))</f>
        <v>214.66982974670003</v>
      </c>
      <c r="D19" s="235">
        <f t="shared" si="0"/>
        <v>6</v>
      </c>
      <c r="E19" s="237">
        <f t="shared" si="1"/>
        <v>10730.954875045829</v>
      </c>
      <c r="F19" s="147">
        <f t="shared" si="2"/>
        <v>67.858846111214859</v>
      </c>
      <c r="G19" s="147">
        <f t="shared" si="3"/>
        <v>8.5867931898680023</v>
      </c>
      <c r="H19" s="237">
        <f t="shared" si="4"/>
        <v>3392.1404621755883</v>
      </c>
      <c r="I19" s="237">
        <f t="shared" si="5"/>
        <v>429.23819500183316</v>
      </c>
      <c r="Q19" s="333">
        <f t="shared" si="7"/>
        <v>67.858846111214859</v>
      </c>
      <c r="R19" s="333">
        <f t="shared" si="8"/>
        <v>8.5867931898680023</v>
      </c>
      <c r="S19" s="333">
        <f t="shared" si="9"/>
        <v>76.445639301082863</v>
      </c>
      <c r="T19" s="333">
        <f t="shared" si="10"/>
        <v>6</v>
      </c>
      <c r="U19" s="365">
        <f t="shared" si="11"/>
        <v>3821.3786571774212</v>
      </c>
    </row>
    <row r="20" spans="1:21" ht="15" customHeight="1" x14ac:dyDescent="0.25">
      <c r="A20" s="112"/>
      <c r="B20" s="233">
        <f t="shared" si="6"/>
        <v>1975</v>
      </c>
      <c r="C20" s="203">
        <f>INDEX(UG_cable_data!$D$37:$BE$37, MATCH(B20, UG_cable_data!$D$6:$BE$6,0))</f>
        <v>322.53206446799999</v>
      </c>
      <c r="D20" s="235">
        <f t="shared" si="0"/>
        <v>7</v>
      </c>
      <c r="E20" s="237">
        <f t="shared" si="1"/>
        <v>18809.924086303203</v>
      </c>
      <c r="F20" s="147">
        <f t="shared" si="2"/>
        <v>101.95495917843523</v>
      </c>
      <c r="G20" s="147">
        <f t="shared" si="3"/>
        <v>12.90128257872</v>
      </c>
      <c r="H20" s="237">
        <f t="shared" si="4"/>
        <v>5945.9670948740031</v>
      </c>
      <c r="I20" s="237">
        <f t="shared" si="5"/>
        <v>752.39696345212815</v>
      </c>
      <c r="Q20" s="333">
        <f t="shared" si="7"/>
        <v>101.95495917843523</v>
      </c>
      <c r="R20" s="333">
        <f t="shared" si="8"/>
        <v>12.90128257872</v>
      </c>
      <c r="S20" s="333">
        <f t="shared" si="9"/>
        <v>114.85624175715523</v>
      </c>
      <c r="T20" s="333">
        <f t="shared" si="10"/>
        <v>7</v>
      </c>
      <c r="U20" s="365">
        <f t="shared" si="11"/>
        <v>6698.3640583261313</v>
      </c>
    </row>
    <row r="21" spans="1:21" ht="15" customHeight="1" x14ac:dyDescent="0.25">
      <c r="A21" s="112"/>
      <c r="B21" s="233">
        <f t="shared" si="6"/>
        <v>1976</v>
      </c>
      <c r="C21" s="203">
        <f>INDEX(UG_cable_data!$D$37:$BE$37, MATCH(B21, UG_cable_data!$D$6:$BE$6,0))</f>
        <v>997.16040158680005</v>
      </c>
      <c r="D21" s="235">
        <f t="shared" si="0"/>
        <v>8</v>
      </c>
      <c r="E21" s="237">
        <f t="shared" si="1"/>
        <v>66461.649720326823</v>
      </c>
      <c r="F21" s="147">
        <f t="shared" si="2"/>
        <v>315.21035964540829</v>
      </c>
      <c r="G21" s="147">
        <f t="shared" si="3"/>
        <v>39.886416063472005</v>
      </c>
      <c r="H21" s="237">
        <f t="shared" si="4"/>
        <v>21009.057798157843</v>
      </c>
      <c r="I21" s="237">
        <f t="shared" si="5"/>
        <v>2658.4659888130732</v>
      </c>
      <c r="Q21" s="333">
        <f t="shared" si="7"/>
        <v>315.21035964540829</v>
      </c>
      <c r="R21" s="333">
        <f t="shared" si="8"/>
        <v>39.886416063472005</v>
      </c>
      <c r="S21" s="333">
        <f t="shared" si="9"/>
        <v>355.09677570888027</v>
      </c>
      <c r="T21" s="333">
        <f t="shared" si="10"/>
        <v>8</v>
      </c>
      <c r="U21" s="365">
        <f t="shared" si="11"/>
        <v>23667.523786970913</v>
      </c>
    </row>
    <row r="22" spans="1:21" ht="15" customHeight="1" x14ac:dyDescent="0.25">
      <c r="A22" s="112"/>
      <c r="B22" s="233">
        <f t="shared" si="6"/>
        <v>1977</v>
      </c>
      <c r="C22" s="203">
        <f>INDEX(UG_cable_data!$D$37:$BE$37, MATCH(B22, UG_cable_data!$D$6:$BE$6,0))</f>
        <v>239.06466677100002</v>
      </c>
      <c r="D22" s="235">
        <f t="shared" si="0"/>
        <v>9</v>
      </c>
      <c r="E22" s="237">
        <f t="shared" si="1"/>
        <v>17925.612702757353</v>
      </c>
      <c r="F22" s="147">
        <f t="shared" si="2"/>
        <v>75.570248749831748</v>
      </c>
      <c r="G22" s="147">
        <f t="shared" si="3"/>
        <v>9.5625866708400018</v>
      </c>
      <c r="H22" s="237">
        <f t="shared" si="4"/>
        <v>5666.4292102945064</v>
      </c>
      <c r="I22" s="237">
        <f t="shared" si="5"/>
        <v>717.02450811029416</v>
      </c>
      <c r="Q22" s="333">
        <f t="shared" si="7"/>
        <v>75.570248749831748</v>
      </c>
      <c r="R22" s="333">
        <f t="shared" si="8"/>
        <v>9.5625866708400018</v>
      </c>
      <c r="S22" s="333">
        <f t="shared" si="9"/>
        <v>85.132835420671753</v>
      </c>
      <c r="T22" s="333">
        <f t="shared" si="10"/>
        <v>9</v>
      </c>
      <c r="U22" s="365">
        <f t="shared" si="11"/>
        <v>6383.4537184048004</v>
      </c>
    </row>
    <row r="23" spans="1:21" ht="15" customHeight="1" x14ac:dyDescent="0.25">
      <c r="A23" s="112"/>
      <c r="B23" s="233">
        <f t="shared" si="6"/>
        <v>1978</v>
      </c>
      <c r="C23" s="203">
        <f>INDEX(UG_cable_data!$D$37:$BE$37, MATCH(B23, UG_cable_data!$D$6:$BE$6,0))</f>
        <v>1132.6226022788001</v>
      </c>
      <c r="D23" s="235">
        <f t="shared" si="0"/>
        <v>10</v>
      </c>
      <c r="E23" s="237">
        <f t="shared" si="1"/>
        <v>94362.911095083837</v>
      </c>
      <c r="F23" s="147">
        <f t="shared" si="2"/>
        <v>358.03104218608672</v>
      </c>
      <c r="G23" s="147">
        <f t="shared" si="3"/>
        <v>45.304904091152004</v>
      </c>
      <c r="H23" s="237">
        <f t="shared" si="4"/>
        <v>29828.869152983425</v>
      </c>
      <c r="I23" s="237">
        <f t="shared" si="5"/>
        <v>3774.5164438033535</v>
      </c>
      <c r="Q23" s="333">
        <f t="shared" si="7"/>
        <v>358.03104218608672</v>
      </c>
      <c r="R23" s="333">
        <f t="shared" si="8"/>
        <v>45.304904091152004</v>
      </c>
      <c r="S23" s="333">
        <f t="shared" si="9"/>
        <v>403.33594627723875</v>
      </c>
      <c r="T23" s="333">
        <f t="shared" si="10"/>
        <v>10</v>
      </c>
      <c r="U23" s="365">
        <f t="shared" si="11"/>
        <v>33603.385596786778</v>
      </c>
    </row>
    <row r="24" spans="1:21" ht="15" customHeight="1" x14ac:dyDescent="0.25">
      <c r="A24" s="112"/>
      <c r="B24" s="233">
        <f t="shared" si="6"/>
        <v>1979</v>
      </c>
      <c r="C24" s="203">
        <f>INDEX(UG_cable_data!$D$37:$BE$37, MATCH(B24, UG_cable_data!$D$6:$BE$6,0))</f>
        <v>3175.5346472204001</v>
      </c>
      <c r="D24" s="235">
        <f t="shared" si="0"/>
        <v>11</v>
      </c>
      <c r="E24" s="237">
        <f t="shared" si="1"/>
        <v>291021.88345114962</v>
      </c>
      <c r="F24" s="147">
        <f t="shared" si="2"/>
        <v>1003.8118407268763</v>
      </c>
      <c r="G24" s="147">
        <f t="shared" si="3"/>
        <v>127.021385888816</v>
      </c>
      <c r="H24" s="237">
        <f t="shared" si="4"/>
        <v>91994.339527867676</v>
      </c>
      <c r="I24" s="237">
        <f t="shared" si="5"/>
        <v>11640.875338045986</v>
      </c>
      <c r="Q24" s="333">
        <f t="shared" si="7"/>
        <v>1003.8118407268763</v>
      </c>
      <c r="R24" s="333">
        <f t="shared" si="8"/>
        <v>127.021385888816</v>
      </c>
      <c r="S24" s="333">
        <f t="shared" si="9"/>
        <v>1130.8332266156924</v>
      </c>
      <c r="T24" s="333">
        <f t="shared" si="10"/>
        <v>11</v>
      </c>
      <c r="U24" s="365">
        <f t="shared" si="11"/>
        <v>103635.21486591366</v>
      </c>
    </row>
    <row r="25" spans="1:21" ht="15" customHeight="1" x14ac:dyDescent="0.25">
      <c r="A25" s="112"/>
      <c r="B25" s="233">
        <f t="shared" si="6"/>
        <v>1980</v>
      </c>
      <c r="C25" s="203">
        <f>INDEX(UG_cable_data!$D$37:$BE$37, MATCH(B25, UG_cable_data!$D$6:$BE$6,0))</f>
        <v>1956.6436285095001</v>
      </c>
      <c r="D25" s="235">
        <f t="shared" si="0"/>
        <v>12</v>
      </c>
      <c r="E25" s="237">
        <f t="shared" si="1"/>
        <v>195618.12210739081</v>
      </c>
      <c r="F25" s="147">
        <f t="shared" si="2"/>
        <v>618.51066373967853</v>
      </c>
      <c r="G25" s="147">
        <f t="shared" si="3"/>
        <v>78.265745140380005</v>
      </c>
      <c r="H25" s="237">
        <f t="shared" si="4"/>
        <v>61836.449305957161</v>
      </c>
      <c r="I25" s="237">
        <f t="shared" si="5"/>
        <v>7824.7248842956324</v>
      </c>
      <c r="Q25" s="333">
        <f t="shared" si="7"/>
        <v>618.51066373967853</v>
      </c>
      <c r="R25" s="333">
        <f t="shared" si="8"/>
        <v>78.265745140380005</v>
      </c>
      <c r="S25" s="333">
        <f t="shared" si="9"/>
        <v>696.77640888005851</v>
      </c>
      <c r="T25" s="333">
        <f t="shared" si="10"/>
        <v>12</v>
      </c>
      <c r="U25" s="365">
        <f t="shared" si="11"/>
        <v>69661.174190252787</v>
      </c>
    </row>
    <row r="26" spans="1:21" ht="15" customHeight="1" x14ac:dyDescent="0.25">
      <c r="A26" s="112"/>
      <c r="B26" s="233">
        <f t="shared" si="6"/>
        <v>1981</v>
      </c>
      <c r="C26" s="203">
        <f>INDEX(UG_cable_data!$D$37:$BE$37, MATCH(B26, UG_cable_data!$D$6:$BE$6,0))</f>
        <v>3500.5962141451</v>
      </c>
      <c r="D26" s="235">
        <f t="shared" si="0"/>
        <v>13</v>
      </c>
      <c r="E26" s="237">
        <f t="shared" si="1"/>
        <v>379141.63400211284</v>
      </c>
      <c r="F26" s="147">
        <f t="shared" si="2"/>
        <v>1106.5663958156902</v>
      </c>
      <c r="G26" s="147">
        <f t="shared" si="3"/>
        <v>140.023848565804</v>
      </c>
      <c r="H26" s="237">
        <f t="shared" si="4"/>
        <v>119849.69581641654</v>
      </c>
      <c r="I26" s="237">
        <f t="shared" si="5"/>
        <v>15165.665360084515</v>
      </c>
      <c r="Q26" s="333">
        <f t="shared" si="7"/>
        <v>1106.5663958156902</v>
      </c>
      <c r="R26" s="333">
        <f t="shared" si="8"/>
        <v>140.023848565804</v>
      </c>
      <c r="S26" s="333">
        <f t="shared" si="9"/>
        <v>1246.5902443814941</v>
      </c>
      <c r="T26" s="333">
        <f t="shared" si="10"/>
        <v>13</v>
      </c>
      <c r="U26" s="365">
        <f t="shared" si="11"/>
        <v>135015.36117650106</v>
      </c>
    </row>
    <row r="27" spans="1:21" ht="15" customHeight="1" x14ac:dyDescent="0.25">
      <c r="A27" s="112"/>
      <c r="B27" s="233">
        <f t="shared" si="6"/>
        <v>1982</v>
      </c>
      <c r="C27" s="203">
        <f>INDEX(UG_cable_data!$D$37:$BE$37, MATCH(B27, UG_cable_data!$D$6:$BE$6,0))</f>
        <v>1867.3394807187001</v>
      </c>
      <c r="D27" s="235">
        <f t="shared" si="0"/>
        <v>14</v>
      </c>
      <c r="E27" s="237">
        <f t="shared" si="1"/>
        <v>217804.78746267699</v>
      </c>
      <c r="F27" s="147">
        <f t="shared" si="2"/>
        <v>590.28091003288296</v>
      </c>
      <c r="G27" s="147">
        <f t="shared" si="3"/>
        <v>74.693579228748007</v>
      </c>
      <c r="H27" s="237">
        <f t="shared" si="4"/>
        <v>68849.831260197665</v>
      </c>
      <c r="I27" s="237">
        <f t="shared" si="5"/>
        <v>8712.1914985070798</v>
      </c>
      <c r="Q27" s="333">
        <f t="shared" si="7"/>
        <v>590.28091003288296</v>
      </c>
      <c r="R27" s="333">
        <f t="shared" si="8"/>
        <v>74.693579228748007</v>
      </c>
      <c r="S27" s="333">
        <f t="shared" si="9"/>
        <v>664.97448926163099</v>
      </c>
      <c r="T27" s="333">
        <f t="shared" si="10"/>
        <v>14</v>
      </c>
      <c r="U27" s="365">
        <f t="shared" si="11"/>
        <v>77562.022758704756</v>
      </c>
    </row>
    <row r="28" spans="1:21" ht="15" customHeight="1" x14ac:dyDescent="0.25">
      <c r="A28" s="112"/>
      <c r="B28" s="233">
        <f t="shared" si="6"/>
        <v>1983</v>
      </c>
      <c r="C28" s="203">
        <f>INDEX(UG_cable_data!$D$37:$BE$37, MATCH(B28, UG_cable_data!$D$6:$BE$6,0))</f>
        <v>1827.8304791130909</v>
      </c>
      <c r="D28" s="235">
        <f t="shared" si="0"/>
        <v>15</v>
      </c>
      <c r="E28" s="237">
        <f t="shared" si="1"/>
        <v>228424.8142105015</v>
      </c>
      <c r="F28" s="147">
        <f t="shared" si="2"/>
        <v>577.79179936872367</v>
      </c>
      <c r="G28" s="147">
        <f t="shared" si="3"/>
        <v>73.113219164523642</v>
      </c>
      <c r="H28" s="237">
        <f t="shared" si="4"/>
        <v>72206.906456222918</v>
      </c>
      <c r="I28" s="237">
        <f t="shared" si="5"/>
        <v>9136.9925684200607</v>
      </c>
      <c r="Q28" s="333">
        <f t="shared" si="7"/>
        <v>577.79179936872367</v>
      </c>
      <c r="R28" s="333">
        <f t="shared" si="8"/>
        <v>73.113219164523642</v>
      </c>
      <c r="S28" s="333">
        <f t="shared" si="9"/>
        <v>650.90501853324736</v>
      </c>
      <c r="T28" s="333">
        <f t="shared" si="10"/>
        <v>15</v>
      </c>
      <c r="U28" s="365">
        <f t="shared" si="11"/>
        <v>81343.899024642975</v>
      </c>
    </row>
    <row r="29" spans="1:21" ht="15" customHeight="1" x14ac:dyDescent="0.25">
      <c r="A29" s="112"/>
      <c r="B29" s="233">
        <f t="shared" si="6"/>
        <v>1984</v>
      </c>
      <c r="C29" s="203">
        <f>INDEX(UG_cable_data!$D$37:$BE$37, MATCH(B29, UG_cable_data!$D$6:$BE$6,0))</f>
        <v>644.60164992884495</v>
      </c>
      <c r="D29" s="235">
        <f t="shared" si="0"/>
        <v>16</v>
      </c>
      <c r="E29" s="237">
        <f t="shared" si="1"/>
        <v>85926.575099736161</v>
      </c>
      <c r="F29" s="147">
        <f t="shared" si="2"/>
        <v>203.76372505242134</v>
      </c>
      <c r="G29" s="147">
        <f t="shared" si="3"/>
        <v>25.7840659971538</v>
      </c>
      <c r="H29" s="237">
        <f t="shared" si="4"/>
        <v>27162.076028275125</v>
      </c>
      <c r="I29" s="237">
        <f t="shared" si="5"/>
        <v>3437.0630039894463</v>
      </c>
      <c r="Q29" s="333">
        <f t="shared" si="7"/>
        <v>203.76372505242134</v>
      </c>
      <c r="R29" s="333">
        <f t="shared" si="8"/>
        <v>25.7840659971538</v>
      </c>
      <c r="S29" s="333">
        <f t="shared" si="9"/>
        <v>229.54779104957512</v>
      </c>
      <c r="T29" s="333">
        <f t="shared" si="10"/>
        <v>16</v>
      </c>
      <c r="U29" s="365">
        <f t="shared" si="11"/>
        <v>30599.139032264568</v>
      </c>
    </row>
    <row r="30" spans="1:21" ht="15" customHeight="1" x14ac:dyDescent="0.25">
      <c r="A30" s="112"/>
      <c r="B30" s="233">
        <f t="shared" si="6"/>
        <v>1985</v>
      </c>
      <c r="C30" s="203">
        <f>INDEX(UG_cable_data!$D$37:$BE$37, MATCH(B30, UG_cable_data!$D$6:$BE$6,0))</f>
        <v>3447.0147860432003</v>
      </c>
      <c r="D30" s="235">
        <f t="shared" si="0"/>
        <v>17</v>
      </c>
      <c r="E30" s="237">
        <f t="shared" si="1"/>
        <v>488211.6898828267</v>
      </c>
      <c r="F30" s="147">
        <f t="shared" si="2"/>
        <v>1089.6288788470681</v>
      </c>
      <c r="G30" s="147">
        <f t="shared" si="3"/>
        <v>137.880591441728</v>
      </c>
      <c r="H30" s="237">
        <f t="shared" si="4"/>
        <v>154327.61078976991</v>
      </c>
      <c r="I30" s="237">
        <f t="shared" si="5"/>
        <v>19528.467595313068</v>
      </c>
      <c r="Q30" s="333">
        <f t="shared" si="7"/>
        <v>1089.6288788470681</v>
      </c>
      <c r="R30" s="333">
        <f t="shared" si="8"/>
        <v>137.880591441728</v>
      </c>
      <c r="S30" s="333">
        <f t="shared" si="9"/>
        <v>1227.5094702887961</v>
      </c>
      <c r="T30" s="333">
        <f t="shared" si="10"/>
        <v>17</v>
      </c>
      <c r="U30" s="365">
        <f t="shared" si="11"/>
        <v>173856.07838508295</v>
      </c>
    </row>
    <row r="31" spans="1:21" ht="15" customHeight="1" x14ac:dyDescent="0.25">
      <c r="A31" s="112"/>
      <c r="B31" s="233">
        <f t="shared" si="6"/>
        <v>1986</v>
      </c>
      <c r="C31" s="203">
        <f>INDEX(UG_cable_data!$D$37:$BE$37, MATCH(B31, UG_cable_data!$D$6:$BE$6,0))</f>
        <v>2694.8289930505007</v>
      </c>
      <c r="D31" s="235">
        <f t="shared" si="0"/>
        <v>18</v>
      </c>
      <c r="E31" s="237">
        <f t="shared" si="1"/>
        <v>404128.8198883661</v>
      </c>
      <c r="F31" s="147">
        <f t="shared" si="2"/>
        <v>851.8569477193389</v>
      </c>
      <c r="G31" s="147">
        <f t="shared" si="3"/>
        <v>107.79315972202004</v>
      </c>
      <c r="H31" s="237">
        <f t="shared" si="4"/>
        <v>127748.34465686284</v>
      </c>
      <c r="I31" s="237">
        <f t="shared" si="5"/>
        <v>16165.152795534645</v>
      </c>
      <c r="Q31" s="333">
        <f t="shared" si="7"/>
        <v>851.8569477193389</v>
      </c>
      <c r="R31" s="333">
        <f t="shared" si="8"/>
        <v>107.79315972202004</v>
      </c>
      <c r="S31" s="333">
        <f t="shared" si="9"/>
        <v>959.65010744135895</v>
      </c>
      <c r="T31" s="333">
        <f t="shared" si="10"/>
        <v>18</v>
      </c>
      <c r="U31" s="365">
        <f t="shared" si="11"/>
        <v>143913.49745239745</v>
      </c>
    </row>
    <row r="32" spans="1:21" ht="15" customHeight="1" x14ac:dyDescent="0.25">
      <c r="A32" s="112"/>
      <c r="B32" s="233">
        <f t="shared" si="6"/>
        <v>1987</v>
      </c>
      <c r="C32" s="203">
        <f>INDEX(UG_cable_data!$D$37:$BE$37, MATCH(B32, UG_cable_data!$D$6:$BE$6,0))</f>
        <v>5815.8207687036993</v>
      </c>
      <c r="D32" s="235">
        <f t="shared" si="0"/>
        <v>19</v>
      </c>
      <c r="E32" s="237">
        <f t="shared" si="1"/>
        <v>920620.66956118948</v>
      </c>
      <c r="F32" s="147">
        <f t="shared" si="2"/>
        <v>1838.4273515265058</v>
      </c>
      <c r="G32" s="147">
        <f t="shared" si="3"/>
        <v>232.63283074814797</v>
      </c>
      <c r="H32" s="237">
        <f t="shared" si="4"/>
        <v>291015.53961388324</v>
      </c>
      <c r="I32" s="237">
        <f t="shared" si="5"/>
        <v>36824.826782447577</v>
      </c>
      <c r="Q32" s="333">
        <f t="shared" si="7"/>
        <v>1838.4273515265058</v>
      </c>
      <c r="R32" s="333">
        <f t="shared" si="8"/>
        <v>232.63283074814797</v>
      </c>
      <c r="S32" s="333">
        <f t="shared" si="9"/>
        <v>2071.0601822746539</v>
      </c>
      <c r="T32" s="333">
        <f t="shared" si="10"/>
        <v>19</v>
      </c>
      <c r="U32" s="365">
        <f t="shared" si="11"/>
        <v>327840.36639633076</v>
      </c>
    </row>
    <row r="33" spans="1:21" ht="15" customHeight="1" x14ac:dyDescent="0.25">
      <c r="A33" s="112"/>
      <c r="B33" s="233">
        <f t="shared" si="6"/>
        <v>1988</v>
      </c>
      <c r="C33" s="203">
        <f>INDEX(UG_cable_data!$D$37:$BE$37, MATCH(B33, UG_cable_data!$D$6:$BE$6,0))</f>
        <v>8026.46285394595</v>
      </c>
      <c r="D33" s="235">
        <f t="shared" si="0"/>
        <v>20</v>
      </c>
      <c r="E33" s="237">
        <f t="shared" si="1"/>
        <v>1337427.664203468</v>
      </c>
      <c r="F33" s="147">
        <f t="shared" si="2"/>
        <v>2537.2289541850419</v>
      </c>
      <c r="G33" s="147">
        <f t="shared" si="3"/>
        <v>321.05851415783803</v>
      </c>
      <c r="H33" s="237">
        <f t="shared" si="4"/>
        <v>422771.55647420371</v>
      </c>
      <c r="I33" s="237">
        <f t="shared" si="5"/>
        <v>53497.106568138719</v>
      </c>
      <c r="Q33" s="333">
        <f t="shared" si="7"/>
        <v>2537.2289541850419</v>
      </c>
      <c r="R33" s="333">
        <f t="shared" si="8"/>
        <v>321.05851415783803</v>
      </c>
      <c r="S33" s="333">
        <f t="shared" si="9"/>
        <v>2858.2874683428799</v>
      </c>
      <c r="T33" s="333">
        <f t="shared" si="10"/>
        <v>20</v>
      </c>
      <c r="U33" s="365">
        <f t="shared" si="11"/>
        <v>476268.66304234246</v>
      </c>
    </row>
    <row r="34" spans="1:21" ht="15" customHeight="1" x14ac:dyDescent="0.25">
      <c r="A34" s="112"/>
      <c r="B34" s="233">
        <f t="shared" si="6"/>
        <v>1989</v>
      </c>
      <c r="C34" s="203">
        <f>INDEX(UG_cable_data!$D$37:$BE$37, MATCH(B34, UG_cable_data!$D$6:$BE$6,0))</f>
        <v>2185.7694709688599</v>
      </c>
      <c r="D34" s="235">
        <f t="shared" si="0"/>
        <v>21</v>
      </c>
      <c r="E34" s="237">
        <f t="shared" si="1"/>
        <v>382419.2601151056</v>
      </c>
      <c r="F34" s="147">
        <f t="shared" si="2"/>
        <v>690.93917081912377</v>
      </c>
      <c r="G34" s="147">
        <f t="shared" si="3"/>
        <v>87.430778838754392</v>
      </c>
      <c r="H34" s="237">
        <v>0</v>
      </c>
      <c r="I34" s="237">
        <f t="shared" si="5"/>
        <v>15296.770404604224</v>
      </c>
      <c r="Q34" s="333">
        <f t="shared" si="7"/>
        <v>0</v>
      </c>
      <c r="R34" s="333">
        <f t="shared" si="8"/>
        <v>87.430778838754392</v>
      </c>
      <c r="S34" s="333">
        <f t="shared" si="9"/>
        <v>87.430778838754392</v>
      </c>
      <c r="T34" s="333">
        <f t="shared" si="10"/>
        <v>21</v>
      </c>
      <c r="U34" s="365">
        <f t="shared" si="11"/>
        <v>15296.770404604222</v>
      </c>
    </row>
    <row r="35" spans="1:21" ht="15" customHeight="1" x14ac:dyDescent="0.25">
      <c r="A35" s="112"/>
      <c r="B35" s="233">
        <f t="shared" si="6"/>
        <v>1990</v>
      </c>
      <c r="C35" s="203">
        <f>INDEX(UG_cable_data!$D$37:$BE$37, MATCH(B35, UG_cable_data!$D$6:$BE$6,0))</f>
        <v>5426.0539458416988</v>
      </c>
      <c r="D35" s="235">
        <f t="shared" si="0"/>
        <v>22</v>
      </c>
      <c r="E35" s="237">
        <f t="shared" si="1"/>
        <v>994541.46432230365</v>
      </c>
      <c r="F35" s="147">
        <f t="shared" si="2"/>
        <v>1715.2189487292505</v>
      </c>
      <c r="G35" s="147">
        <f t="shared" si="3"/>
        <v>217.04215783366794</v>
      </c>
      <c r="H35" s="237">
        <v>0</v>
      </c>
      <c r="I35" s="237">
        <f t="shared" si="5"/>
        <v>39781.658572892149</v>
      </c>
      <c r="Q35" s="333">
        <f t="shared" si="7"/>
        <v>0</v>
      </c>
      <c r="R35" s="333">
        <f t="shared" si="8"/>
        <v>217.04215783366794</v>
      </c>
      <c r="S35" s="333">
        <f t="shared" si="9"/>
        <v>217.04215783366794</v>
      </c>
      <c r="T35" s="333">
        <f t="shared" si="10"/>
        <v>22</v>
      </c>
      <c r="U35" s="365">
        <f t="shared" si="11"/>
        <v>39781.658572892142</v>
      </c>
    </row>
    <row r="36" spans="1:21" ht="15" customHeight="1" x14ac:dyDescent="0.25">
      <c r="A36" s="112"/>
      <c r="B36" s="233">
        <f t="shared" si="6"/>
        <v>1991</v>
      </c>
      <c r="C36" s="203">
        <f>INDEX(UG_cable_data!$D$37:$BE$37, MATCH(B36, UG_cable_data!$D$6:$BE$6,0))</f>
        <v>7051.2440480647001</v>
      </c>
      <c r="D36" s="235">
        <f t="shared" si="0"/>
        <v>23</v>
      </c>
      <c r="E36" s="237">
        <f t="shared" si="1"/>
        <v>1351169.0495321858</v>
      </c>
      <c r="F36" s="147">
        <f t="shared" si="2"/>
        <v>2228.9545080220933</v>
      </c>
      <c r="G36" s="147">
        <f t="shared" si="3"/>
        <v>282.049761922588</v>
      </c>
      <c r="H36" s="237">
        <v>0</v>
      </c>
      <c r="I36" s="237">
        <f t="shared" si="5"/>
        <v>54046.761981287433</v>
      </c>
      <c r="Q36" s="333">
        <f t="shared" si="7"/>
        <v>0</v>
      </c>
      <c r="R36" s="333">
        <f t="shared" si="8"/>
        <v>282.049761922588</v>
      </c>
      <c r="S36" s="333">
        <f t="shared" si="9"/>
        <v>282.049761922588</v>
      </c>
      <c r="T36" s="333">
        <f t="shared" si="10"/>
        <v>23</v>
      </c>
      <c r="U36" s="365">
        <f t="shared" si="11"/>
        <v>54046.761981287433</v>
      </c>
    </row>
    <row r="37" spans="1:21" ht="15" customHeight="1" x14ac:dyDescent="0.25">
      <c r="A37" s="112"/>
      <c r="B37" s="233">
        <f t="shared" si="6"/>
        <v>1992</v>
      </c>
      <c r="C37" s="203">
        <f>INDEX(UG_cable_data!$D$37:$BE$37, MATCH(B37, UG_cable_data!$D$6:$BE$6,0))</f>
        <v>4820.2149574488003</v>
      </c>
      <c r="D37" s="235">
        <f t="shared" si="0"/>
        <v>24</v>
      </c>
      <c r="E37" s="237">
        <f t="shared" si="1"/>
        <v>963815.16224124492</v>
      </c>
      <c r="F37" s="147">
        <f t="shared" si="2"/>
        <v>1523.7084102896506</v>
      </c>
      <c r="G37" s="147">
        <f t="shared" si="3"/>
        <v>192.80859829795202</v>
      </c>
      <c r="H37" s="237">
        <v>0</v>
      </c>
      <c r="I37" s="237">
        <f t="shared" si="5"/>
        <v>38552.606489649799</v>
      </c>
      <c r="Q37" s="333">
        <f t="shared" si="7"/>
        <v>0</v>
      </c>
      <c r="R37" s="333">
        <f t="shared" si="8"/>
        <v>192.80859829795202</v>
      </c>
      <c r="S37" s="333">
        <f t="shared" si="9"/>
        <v>192.80859829795202</v>
      </c>
      <c r="T37" s="333">
        <f t="shared" si="10"/>
        <v>24</v>
      </c>
      <c r="U37" s="365">
        <f t="shared" si="11"/>
        <v>38552.606489649799</v>
      </c>
    </row>
    <row r="38" spans="1:21" ht="15" customHeight="1" x14ac:dyDescent="0.25">
      <c r="A38" s="112"/>
      <c r="B38" s="233">
        <f t="shared" si="6"/>
        <v>1993</v>
      </c>
      <c r="C38" s="203">
        <f>INDEX(UG_cable_data!$D$37:$BE$37, MATCH(B38, UG_cable_data!$D$6:$BE$6,0))</f>
        <v>8022.9368350190989</v>
      </c>
      <c r="D38" s="235">
        <f t="shared" si="0"/>
        <v>25</v>
      </c>
      <c r="E38" s="237">
        <f t="shared" si="1"/>
        <v>1671050.1665806088</v>
      </c>
      <c r="F38" s="147">
        <f t="shared" si="2"/>
        <v>2536.1143514668829</v>
      </c>
      <c r="G38" s="147">
        <f t="shared" si="3"/>
        <v>320.91747340076398</v>
      </c>
      <c r="H38" s="237">
        <v>0</v>
      </c>
      <c r="I38" s="237">
        <f t="shared" si="5"/>
        <v>66842.006663224354</v>
      </c>
      <c r="Q38" s="333">
        <f t="shared" si="7"/>
        <v>0</v>
      </c>
      <c r="R38" s="333">
        <f t="shared" si="8"/>
        <v>320.91747340076398</v>
      </c>
      <c r="S38" s="333">
        <f t="shared" si="9"/>
        <v>320.91747340076398</v>
      </c>
      <c r="T38" s="333">
        <f t="shared" si="10"/>
        <v>25</v>
      </c>
      <c r="U38" s="365">
        <f t="shared" si="11"/>
        <v>66842.006663224354</v>
      </c>
    </row>
    <row r="39" spans="1:21" ht="15" customHeight="1" x14ac:dyDescent="0.25">
      <c r="A39" s="112"/>
      <c r="B39" s="233">
        <f t="shared" si="6"/>
        <v>1994</v>
      </c>
      <c r="C39" s="203">
        <f>INDEX(UG_cable_data!$D$37:$BE$37, MATCH(B39, UG_cable_data!$D$6:$BE$6,0))</f>
        <v>10368.787131522418</v>
      </c>
      <c r="D39" s="235">
        <f t="shared" si="0"/>
        <v>26</v>
      </c>
      <c r="E39" s="237">
        <f t="shared" si="1"/>
        <v>2246039.62021113</v>
      </c>
      <c r="F39" s="147">
        <f t="shared" si="2"/>
        <v>3277.6563485803063</v>
      </c>
      <c r="G39" s="147">
        <f t="shared" si="3"/>
        <v>414.75148526089674</v>
      </c>
      <c r="H39" s="237">
        <v>0</v>
      </c>
      <c r="I39" s="237">
        <f t="shared" si="5"/>
        <v>89841.584808445201</v>
      </c>
      <c r="Q39" s="333">
        <f t="shared" si="7"/>
        <v>0</v>
      </c>
      <c r="R39" s="333">
        <f t="shared" si="8"/>
        <v>414.75148526089674</v>
      </c>
      <c r="S39" s="333">
        <f t="shared" si="9"/>
        <v>414.75148526089674</v>
      </c>
      <c r="T39" s="333">
        <f t="shared" si="10"/>
        <v>26</v>
      </c>
      <c r="U39" s="365">
        <f t="shared" si="11"/>
        <v>89841.584808445215</v>
      </c>
    </row>
    <row r="40" spans="1:21" ht="15" customHeight="1" x14ac:dyDescent="0.25">
      <c r="A40" s="112"/>
      <c r="B40" s="233">
        <f t="shared" si="6"/>
        <v>1995</v>
      </c>
      <c r="C40" s="203">
        <f>INDEX(UG_cable_data!$D$37:$BE$37, MATCH(B40, UG_cable_data!$D$6:$BE$6,0))</f>
        <v>5297.1683724121503</v>
      </c>
      <c r="D40" s="235">
        <f t="shared" si="0"/>
        <v>27</v>
      </c>
      <c r="E40" s="237">
        <f t="shared" si="1"/>
        <v>1191581.214585505</v>
      </c>
      <c r="F40" s="147">
        <f t="shared" si="2"/>
        <v>1674.4771905435227</v>
      </c>
      <c r="G40" s="147">
        <f t="shared" si="3"/>
        <v>211.88673489648602</v>
      </c>
      <c r="H40" s="237">
        <v>0</v>
      </c>
      <c r="I40" s="237">
        <f t="shared" si="5"/>
        <v>47663.248583420202</v>
      </c>
      <c r="Q40" s="333">
        <f t="shared" si="7"/>
        <v>0</v>
      </c>
      <c r="R40" s="333">
        <f t="shared" si="8"/>
        <v>211.88673489648602</v>
      </c>
      <c r="S40" s="333">
        <f t="shared" si="9"/>
        <v>211.88673489648602</v>
      </c>
      <c r="T40" s="333">
        <f t="shared" si="10"/>
        <v>27</v>
      </c>
      <c r="U40" s="365">
        <f t="shared" si="11"/>
        <v>47663.248583420194</v>
      </c>
    </row>
    <row r="41" spans="1:21" ht="15" customHeight="1" x14ac:dyDescent="0.25">
      <c r="A41" s="112"/>
      <c r="B41" s="233">
        <f t="shared" si="6"/>
        <v>1996</v>
      </c>
      <c r="C41" s="203">
        <f>INDEX(UG_cable_data!$D$37:$BE$37, MATCH(B41, UG_cable_data!$D$6:$BE$6,0))</f>
        <v>7600.6185918618994</v>
      </c>
      <c r="D41" s="235">
        <f t="shared" si="0"/>
        <v>28</v>
      </c>
      <c r="E41" s="237">
        <f t="shared" si="1"/>
        <v>1773058.5510334773</v>
      </c>
      <c r="F41" s="147">
        <f t="shared" si="2"/>
        <v>2402.6161849747486</v>
      </c>
      <c r="G41" s="147">
        <f t="shared" si="3"/>
        <v>304.02474367447599</v>
      </c>
      <c r="H41" s="237">
        <v>0</v>
      </c>
      <c r="I41" s="237">
        <f t="shared" si="5"/>
        <v>70922.3420413391</v>
      </c>
      <c r="Q41" s="333">
        <f t="shared" si="7"/>
        <v>0</v>
      </c>
      <c r="R41" s="333">
        <f t="shared" si="8"/>
        <v>304.02474367447599</v>
      </c>
      <c r="S41" s="333">
        <f t="shared" si="9"/>
        <v>304.02474367447599</v>
      </c>
      <c r="T41" s="333">
        <f t="shared" si="10"/>
        <v>28</v>
      </c>
      <c r="U41" s="365">
        <f t="shared" si="11"/>
        <v>70922.342041339114</v>
      </c>
    </row>
    <row r="42" spans="1:21" ht="15" customHeight="1" x14ac:dyDescent="0.25">
      <c r="A42" s="112"/>
      <c r="B42" s="233">
        <f t="shared" si="6"/>
        <v>1997</v>
      </c>
      <c r="C42" s="203">
        <f>INDEX(UG_cable_data!$D$37:$BE$37, MATCH(B42, UG_cable_data!$D$6:$BE$6,0))</f>
        <v>11869.822881083903</v>
      </c>
      <c r="D42" s="235">
        <f t="shared" si="0"/>
        <v>29</v>
      </c>
      <c r="E42" s="237">
        <f t="shared" si="1"/>
        <v>2867862.6164327287</v>
      </c>
      <c r="F42" s="147">
        <f t="shared" si="2"/>
        <v>3752.1457263243187</v>
      </c>
      <c r="G42" s="147">
        <f t="shared" si="3"/>
        <v>474.79291524335611</v>
      </c>
      <c r="H42" s="237">
        <v>0</v>
      </c>
      <c r="I42" s="237">
        <f t="shared" si="5"/>
        <v>114714.50465730915</v>
      </c>
      <c r="Q42" s="333">
        <f t="shared" si="7"/>
        <v>0</v>
      </c>
      <c r="R42" s="333">
        <f t="shared" si="8"/>
        <v>474.79291524335611</v>
      </c>
      <c r="S42" s="333">
        <f t="shared" si="9"/>
        <v>474.79291524335611</v>
      </c>
      <c r="T42" s="333">
        <f t="shared" si="10"/>
        <v>29</v>
      </c>
      <c r="U42" s="365">
        <f t="shared" si="11"/>
        <v>114714.50465730915</v>
      </c>
    </row>
    <row r="43" spans="1:21" ht="15" customHeight="1" x14ac:dyDescent="0.25">
      <c r="A43" s="112"/>
      <c r="B43" s="233">
        <f t="shared" si="6"/>
        <v>1998</v>
      </c>
      <c r="C43" s="203">
        <f>INDEX(UG_cable_data!$D$37:$BE$37, MATCH(B43, UG_cable_data!$D$6:$BE$6,0))</f>
        <v>19479.600339548699</v>
      </c>
      <c r="D43" s="235">
        <f t="shared" si="0"/>
        <v>30</v>
      </c>
      <c r="E43" s="237">
        <f t="shared" si="1"/>
        <v>4868749.1967146788</v>
      </c>
      <c r="F43" s="147">
        <f t="shared" si="2"/>
        <v>6157.6571021141554</v>
      </c>
      <c r="G43" s="147">
        <f t="shared" si="3"/>
        <v>779.18401358194797</v>
      </c>
      <c r="H43" s="237">
        <v>0</v>
      </c>
      <c r="I43" s="237">
        <f t="shared" si="5"/>
        <v>194749.96786858715</v>
      </c>
      <c r="Q43" s="333">
        <f t="shared" si="7"/>
        <v>0</v>
      </c>
      <c r="R43" s="333">
        <f t="shared" si="8"/>
        <v>779.18401358194797</v>
      </c>
      <c r="S43" s="333">
        <f t="shared" si="9"/>
        <v>779.18401358194797</v>
      </c>
      <c r="T43" s="333">
        <f t="shared" si="10"/>
        <v>30</v>
      </c>
      <c r="U43" s="365">
        <f t="shared" si="11"/>
        <v>194749.96786858712</v>
      </c>
    </row>
    <row r="44" spans="1:21" ht="15" customHeight="1" x14ac:dyDescent="0.25">
      <c r="A44" s="112"/>
      <c r="B44" s="233">
        <f t="shared" si="6"/>
        <v>1999</v>
      </c>
      <c r="C44" s="203">
        <f>INDEX(UG_cable_data!$D$37:$BE$37, MATCH(B44, UG_cable_data!$D$6:$BE$6,0))</f>
        <v>28306.437609564084</v>
      </c>
      <c r="D44" s="235">
        <f t="shared" si="0"/>
        <v>31</v>
      </c>
      <c r="E44" s="237">
        <f t="shared" si="1"/>
        <v>7310768.2431965461</v>
      </c>
      <c r="F44" s="147">
        <f t="shared" si="2"/>
        <v>8947.8907956959501</v>
      </c>
      <c r="G44" s="147">
        <f t="shared" si="3"/>
        <v>1132.2575043825634</v>
      </c>
      <c r="H44" s="237">
        <v>0</v>
      </c>
      <c r="I44" s="237">
        <f t="shared" si="5"/>
        <v>292430.72972786188</v>
      </c>
      <c r="Q44" s="333">
        <f t="shared" si="7"/>
        <v>0</v>
      </c>
      <c r="R44" s="333">
        <f t="shared" si="8"/>
        <v>1132.2575043825634</v>
      </c>
      <c r="S44" s="333">
        <f t="shared" si="9"/>
        <v>1132.2575043825634</v>
      </c>
      <c r="T44" s="333">
        <f t="shared" si="10"/>
        <v>31</v>
      </c>
      <c r="U44" s="365">
        <f t="shared" si="11"/>
        <v>292430.72972786182</v>
      </c>
    </row>
    <row r="45" spans="1:21" ht="15" customHeight="1" x14ac:dyDescent="0.25">
      <c r="A45" s="112"/>
      <c r="B45" s="233">
        <f t="shared" si="6"/>
        <v>2000</v>
      </c>
      <c r="C45" s="203">
        <f>INDEX(UG_cable_data!$D$37:$BE$37, MATCH(B45, UG_cable_data!$D$6:$BE$6,0))</f>
        <v>19292.331108560989</v>
      </c>
      <c r="D45" s="235">
        <f t="shared" si="0"/>
        <v>32</v>
      </c>
      <c r="E45" s="237">
        <f t="shared" si="1"/>
        <v>5143405.8166985204</v>
      </c>
      <c r="F45" s="147">
        <f t="shared" si="2"/>
        <v>6098.4598039099537</v>
      </c>
      <c r="G45" s="147">
        <f t="shared" si="3"/>
        <v>771.69324434243958</v>
      </c>
      <c r="H45" s="237">
        <v>0</v>
      </c>
      <c r="I45" s="237">
        <f t="shared" si="5"/>
        <v>205736.23266794081</v>
      </c>
      <c r="Q45" s="333">
        <f t="shared" si="7"/>
        <v>0</v>
      </c>
      <c r="R45" s="333">
        <f t="shared" si="8"/>
        <v>771.69324434243958</v>
      </c>
      <c r="S45" s="333">
        <f t="shared" si="9"/>
        <v>771.69324434243958</v>
      </c>
      <c r="T45" s="333">
        <f t="shared" si="10"/>
        <v>32</v>
      </c>
      <c r="U45" s="365">
        <f t="shared" si="11"/>
        <v>205736.23266794081</v>
      </c>
    </row>
    <row r="46" spans="1:21" ht="15" customHeight="1" x14ac:dyDescent="0.25">
      <c r="A46" s="112"/>
      <c r="B46" s="233">
        <f t="shared" si="6"/>
        <v>2001</v>
      </c>
      <c r="C46" s="203">
        <f>INDEX(UG_cable_data!$D$37:$BE$37, MATCH(B46, UG_cable_data!$D$6:$BE$6,0))</f>
        <v>28267.052230613401</v>
      </c>
      <c r="D46" s="235">
        <f t="shared" si="0"/>
        <v>33</v>
      </c>
      <c r="E46" s="237">
        <f t="shared" si="1"/>
        <v>7771602.2909393674</v>
      </c>
      <c r="F46" s="147">
        <f t="shared" si="2"/>
        <v>8935.4407631394424</v>
      </c>
      <c r="G46" s="147">
        <f t="shared" si="3"/>
        <v>1130.682089224536</v>
      </c>
      <c r="H46" s="237">
        <v>0</v>
      </c>
      <c r="I46" s="237">
        <f t="shared" si="5"/>
        <v>310864.09163757472</v>
      </c>
      <c r="Q46" s="333">
        <f t="shared" si="7"/>
        <v>0</v>
      </c>
      <c r="R46" s="333">
        <f t="shared" si="8"/>
        <v>1130.682089224536</v>
      </c>
      <c r="S46" s="333">
        <f t="shared" si="9"/>
        <v>1130.682089224536</v>
      </c>
      <c r="T46" s="333">
        <f t="shared" si="10"/>
        <v>33</v>
      </c>
      <c r="U46" s="365">
        <f t="shared" si="11"/>
        <v>310864.09163757466</v>
      </c>
    </row>
    <row r="47" spans="1:21" ht="15" customHeight="1" x14ac:dyDescent="0.25">
      <c r="A47" s="112"/>
      <c r="B47" s="233">
        <f t="shared" si="6"/>
        <v>2002</v>
      </c>
      <c r="C47" s="203">
        <f>INDEX(UG_cable_data!$D$37:$BE$37, MATCH(B47, UG_cable_data!$D$6:$BE$6,0))</f>
        <v>18054.585598109523</v>
      </c>
      <c r="D47" s="235">
        <f t="shared" ref="D47:D64" si="12">$D$6-($D$5-$B47)</f>
        <v>34</v>
      </c>
      <c r="E47" s="237">
        <f t="shared" ref="E47:E63" si="13">C47*$D$8/$D$6*D47</f>
        <v>5114256.9974904228</v>
      </c>
      <c r="F47" s="147">
        <f t="shared" ref="F47:F64" si="14">C47*$D$10</f>
        <v>5707.1985716367481</v>
      </c>
      <c r="G47" s="147">
        <f t="shared" ref="G47:G64" si="15">C47*$D$9</f>
        <v>722.18342392438092</v>
      </c>
      <c r="H47" s="237">
        <v>0</v>
      </c>
      <c r="I47" s="237">
        <f t="shared" ref="I47:I64" si="16">0.04*E47</f>
        <v>204570.27989961693</v>
      </c>
      <c r="Q47" s="333">
        <f t="shared" si="7"/>
        <v>0</v>
      </c>
      <c r="R47" s="333">
        <f t="shared" si="8"/>
        <v>722.18342392438092</v>
      </c>
      <c r="S47" s="333">
        <f t="shared" si="9"/>
        <v>722.18342392438092</v>
      </c>
      <c r="T47" s="333">
        <f t="shared" si="10"/>
        <v>34</v>
      </c>
      <c r="U47" s="365">
        <f t="shared" si="11"/>
        <v>204570.27989961693</v>
      </c>
    </row>
    <row r="48" spans="1:21" ht="15" customHeight="1" x14ac:dyDescent="0.25">
      <c r="A48" s="112"/>
      <c r="B48" s="233">
        <f t="shared" ref="B48:B64" si="17">B47+1</f>
        <v>2003</v>
      </c>
      <c r="C48" s="203">
        <f>INDEX(UG_cable_data!$D$37:$BE$37, MATCH(B48, UG_cable_data!$D$6:$BE$6,0))</f>
        <v>28359.820806818672</v>
      </c>
      <c r="D48" s="235">
        <f t="shared" si="12"/>
        <v>35</v>
      </c>
      <c r="E48" s="237">
        <f t="shared" si="13"/>
        <v>8269659.5973692257</v>
      </c>
      <c r="F48" s="147">
        <f t="shared" si="14"/>
        <v>8964.7656503119815</v>
      </c>
      <c r="G48" s="147">
        <f t="shared" si="15"/>
        <v>1134.392832272747</v>
      </c>
      <c r="H48" s="237">
        <v>0</v>
      </c>
      <c r="I48" s="237">
        <f t="shared" si="16"/>
        <v>330786.38389476901</v>
      </c>
      <c r="Q48" s="333">
        <f t="shared" si="7"/>
        <v>0</v>
      </c>
      <c r="R48" s="333">
        <f t="shared" si="8"/>
        <v>1134.392832272747</v>
      </c>
      <c r="S48" s="333">
        <f t="shared" si="9"/>
        <v>1134.392832272747</v>
      </c>
      <c r="T48" s="333">
        <f t="shared" si="10"/>
        <v>35</v>
      </c>
      <c r="U48" s="365">
        <f t="shared" si="11"/>
        <v>330786.38389476907</v>
      </c>
    </row>
    <row r="49" spans="1:21" ht="15" customHeight="1" x14ac:dyDescent="0.25">
      <c r="A49" s="112"/>
      <c r="B49" s="233">
        <f t="shared" si="17"/>
        <v>2004</v>
      </c>
      <c r="C49" s="203">
        <f>INDEX(UG_cable_data!$D$37:$BE$37, MATCH(B49, UG_cable_data!$D$6:$BE$6,0))</f>
        <v>26055.322115747265</v>
      </c>
      <c r="D49" s="235">
        <f t="shared" si="12"/>
        <v>36</v>
      </c>
      <c r="E49" s="237">
        <f t="shared" si="13"/>
        <v>7814749.3630226515</v>
      </c>
      <c r="F49" s="147">
        <f t="shared" si="14"/>
        <v>8236.2952256350145</v>
      </c>
      <c r="G49" s="147">
        <f t="shared" si="15"/>
        <v>1042.2128846298906</v>
      </c>
      <c r="H49" s="237">
        <v>0</v>
      </c>
      <c r="I49" s="237">
        <f t="shared" si="16"/>
        <v>312589.97452090605</v>
      </c>
      <c r="Q49" s="333">
        <f t="shared" si="7"/>
        <v>0</v>
      </c>
      <c r="R49" s="333">
        <f t="shared" si="8"/>
        <v>1042.2128846298906</v>
      </c>
      <c r="S49" s="333">
        <f t="shared" si="9"/>
        <v>1042.2128846298906</v>
      </c>
      <c r="T49" s="333">
        <f t="shared" si="10"/>
        <v>36</v>
      </c>
      <c r="U49" s="365">
        <f t="shared" si="11"/>
        <v>312589.97452090611</v>
      </c>
    </row>
    <row r="50" spans="1:21" ht="15" customHeight="1" x14ac:dyDescent="0.25">
      <c r="A50" s="112"/>
      <c r="B50" s="233">
        <f t="shared" si="17"/>
        <v>2005</v>
      </c>
      <c r="C50" s="203">
        <f>INDEX(UG_cable_data!$D$37:$BE$37, MATCH(B50, UG_cable_data!$D$6:$BE$6,0))</f>
        <v>26153.838182411</v>
      </c>
      <c r="D50" s="235">
        <f t="shared" si="12"/>
        <v>37</v>
      </c>
      <c r="E50" s="237">
        <f t="shared" si="13"/>
        <v>8062194.3428247739</v>
      </c>
      <c r="F50" s="147">
        <f t="shared" si="14"/>
        <v>8267.4369404027802</v>
      </c>
      <c r="G50" s="147">
        <f t="shared" si="15"/>
        <v>1046.15352729644</v>
      </c>
      <c r="H50" s="237">
        <v>0</v>
      </c>
      <c r="I50" s="237">
        <f t="shared" si="16"/>
        <v>322487.77371299098</v>
      </c>
      <c r="Q50" s="333">
        <f t="shared" si="7"/>
        <v>0</v>
      </c>
      <c r="R50" s="333">
        <f t="shared" si="8"/>
        <v>1046.15352729644</v>
      </c>
      <c r="S50" s="333">
        <f t="shared" si="9"/>
        <v>1046.15352729644</v>
      </c>
      <c r="T50" s="333">
        <f t="shared" si="10"/>
        <v>37</v>
      </c>
      <c r="U50" s="365">
        <f t="shared" si="11"/>
        <v>322487.77371299086</v>
      </c>
    </row>
    <row r="51" spans="1:21" x14ac:dyDescent="0.25">
      <c r="A51" s="112"/>
      <c r="B51" s="233">
        <f t="shared" si="17"/>
        <v>2006</v>
      </c>
      <c r="C51" s="203">
        <f>INDEX(UG_cable_data!$D$37:$BE$37, MATCH(B51, UG_cable_data!$D$6:$BE$6,0))</f>
        <v>30927.493767820597</v>
      </c>
      <c r="D51" s="235">
        <f t="shared" si="12"/>
        <v>38</v>
      </c>
      <c r="E51" s="237">
        <f t="shared" si="13"/>
        <v>9791391.8439844921</v>
      </c>
      <c r="F51" s="147">
        <f t="shared" si="14"/>
        <v>9776.4275616767554</v>
      </c>
      <c r="G51" s="147">
        <f t="shared" si="15"/>
        <v>1237.0997507128238</v>
      </c>
      <c r="H51" s="237">
        <v>0</v>
      </c>
      <c r="I51" s="237">
        <f t="shared" si="16"/>
        <v>391655.67375937972</v>
      </c>
      <c r="Q51" s="333">
        <f t="shared" si="7"/>
        <v>0</v>
      </c>
      <c r="R51" s="333">
        <f t="shared" si="8"/>
        <v>1237.0997507128238</v>
      </c>
      <c r="S51" s="333">
        <f t="shared" si="9"/>
        <v>1237.0997507128238</v>
      </c>
      <c r="T51" s="333">
        <f t="shared" si="10"/>
        <v>38</v>
      </c>
      <c r="U51" s="365">
        <f t="shared" si="11"/>
        <v>391655.67375937972</v>
      </c>
    </row>
    <row r="52" spans="1:21" x14ac:dyDescent="0.25">
      <c r="A52" s="112"/>
      <c r="B52" s="233">
        <f t="shared" si="17"/>
        <v>2007</v>
      </c>
      <c r="C52" s="203">
        <f>INDEX(UG_cable_data!$D$37:$BE$37, MATCH(B52, UG_cable_data!$D$6:$BE$6,0))</f>
        <v>26178.509172876849</v>
      </c>
      <c r="D52" s="235">
        <f t="shared" si="12"/>
        <v>39</v>
      </c>
      <c r="E52" s="237">
        <f t="shared" si="13"/>
        <v>8506004.8086417969</v>
      </c>
      <c r="F52" s="147">
        <f t="shared" si="14"/>
        <v>8275.2356373477996</v>
      </c>
      <c r="G52" s="147">
        <f t="shared" si="15"/>
        <v>1047.1403669150741</v>
      </c>
      <c r="H52" s="237">
        <v>0</v>
      </c>
      <c r="I52" s="237">
        <f t="shared" si="16"/>
        <v>340240.19234567188</v>
      </c>
      <c r="Q52" s="333">
        <f t="shared" si="7"/>
        <v>0</v>
      </c>
      <c r="R52" s="333">
        <f t="shared" si="8"/>
        <v>1047.1403669150741</v>
      </c>
      <c r="S52" s="333">
        <f t="shared" si="9"/>
        <v>1047.1403669150741</v>
      </c>
      <c r="T52" s="333">
        <f t="shared" si="10"/>
        <v>39</v>
      </c>
      <c r="U52" s="365">
        <f t="shared" si="11"/>
        <v>340240.19234567188</v>
      </c>
    </row>
    <row r="53" spans="1:21" x14ac:dyDescent="0.25">
      <c r="A53" s="112"/>
      <c r="B53" s="233">
        <f t="shared" si="17"/>
        <v>2008</v>
      </c>
      <c r="C53" s="203">
        <f>INDEX(UG_cable_data!$D$37:$BE$37, MATCH(B53, UG_cable_data!$D$6:$BE$6,0))</f>
        <v>31718.074040530882</v>
      </c>
      <c r="D53" s="235">
        <f t="shared" si="12"/>
        <v>40</v>
      </c>
      <c r="E53" s="237">
        <f t="shared" si="13"/>
        <v>10570192.735945983</v>
      </c>
      <c r="F53" s="147">
        <f t="shared" si="14"/>
        <v>10026.336294206665</v>
      </c>
      <c r="G53" s="147">
        <f t="shared" si="15"/>
        <v>1268.7229616212353</v>
      </c>
      <c r="H53" s="237">
        <v>0</v>
      </c>
      <c r="I53" s="237">
        <f t="shared" si="16"/>
        <v>422807.70943783934</v>
      </c>
      <c r="Q53" s="333">
        <f t="shared" si="7"/>
        <v>0</v>
      </c>
      <c r="R53" s="333">
        <f t="shared" si="8"/>
        <v>1268.7229616212353</v>
      </c>
      <c r="S53" s="333">
        <f t="shared" si="9"/>
        <v>1268.7229616212353</v>
      </c>
      <c r="T53" s="333">
        <f t="shared" si="10"/>
        <v>40</v>
      </c>
      <c r="U53" s="365">
        <f t="shared" si="11"/>
        <v>422807.70943783934</v>
      </c>
    </row>
    <row r="54" spans="1:21" x14ac:dyDescent="0.25">
      <c r="A54" s="112"/>
      <c r="B54" s="233">
        <f t="shared" si="17"/>
        <v>2009</v>
      </c>
      <c r="C54" s="203">
        <f>INDEX(UG_cable_data!$D$37:$BE$37, MATCH(B54, UG_cable_data!$D$6:$BE$6,0))</f>
        <v>25798.906601002942</v>
      </c>
      <c r="D54" s="235">
        <f t="shared" si="12"/>
        <v>41</v>
      </c>
      <c r="E54" s="237">
        <f t="shared" si="13"/>
        <v>8812543.2890667245</v>
      </c>
      <c r="F54" s="147">
        <f t="shared" si="14"/>
        <v>8155.2402353921188</v>
      </c>
      <c r="G54" s="147">
        <f t="shared" si="15"/>
        <v>1031.9562640401177</v>
      </c>
      <c r="H54" s="237">
        <v>0</v>
      </c>
      <c r="I54" s="237">
        <f t="shared" si="16"/>
        <v>352501.73156266898</v>
      </c>
      <c r="Q54" s="333">
        <f t="shared" si="7"/>
        <v>0</v>
      </c>
      <c r="R54" s="333">
        <f t="shared" si="8"/>
        <v>1031.9562640401177</v>
      </c>
      <c r="S54" s="333">
        <f t="shared" si="9"/>
        <v>1031.9562640401177</v>
      </c>
      <c r="T54" s="333">
        <f t="shared" si="10"/>
        <v>41</v>
      </c>
      <c r="U54" s="365">
        <f t="shared" si="11"/>
        <v>352501.73156266904</v>
      </c>
    </row>
    <row r="55" spans="1:21" x14ac:dyDescent="0.25">
      <c r="A55" s="112"/>
      <c r="B55" s="233">
        <f t="shared" si="17"/>
        <v>2010</v>
      </c>
      <c r="C55" s="203">
        <f>INDEX(UG_cable_data!$D$37:$BE$37, MATCH(B55, UG_cable_data!$D$6:$BE$6,0))</f>
        <v>23464.045768586322</v>
      </c>
      <c r="D55" s="235">
        <f t="shared" si="12"/>
        <v>42</v>
      </c>
      <c r="E55" s="237">
        <f t="shared" si="13"/>
        <v>8210475.2045533461</v>
      </c>
      <c r="F55" s="147">
        <f t="shared" si="14"/>
        <v>7417.1720955654137</v>
      </c>
      <c r="G55" s="147">
        <f t="shared" si="15"/>
        <v>938.5618307434529</v>
      </c>
      <c r="H55" s="237">
        <v>0</v>
      </c>
      <c r="I55" s="237">
        <f t="shared" si="16"/>
        <v>328419.00818213384</v>
      </c>
      <c r="Q55" s="333">
        <f t="shared" si="7"/>
        <v>0</v>
      </c>
      <c r="R55" s="333">
        <f t="shared" si="8"/>
        <v>938.5618307434529</v>
      </c>
      <c r="S55" s="333">
        <f t="shared" si="9"/>
        <v>938.5618307434529</v>
      </c>
      <c r="T55" s="333">
        <f t="shared" si="10"/>
        <v>42</v>
      </c>
      <c r="U55" s="365">
        <f t="shared" si="11"/>
        <v>328419.0081821339</v>
      </c>
    </row>
    <row r="56" spans="1:21" x14ac:dyDescent="0.25">
      <c r="A56" s="112"/>
      <c r="B56" s="233">
        <f t="shared" si="17"/>
        <v>2011</v>
      </c>
      <c r="C56" s="203">
        <f>INDEX(UG_cable_data!$D$37:$BE$37, MATCH(B56, UG_cable_data!$D$6:$BE$6,0))</f>
        <v>15128.766412523464</v>
      </c>
      <c r="D56" s="235">
        <f t="shared" si="12"/>
        <v>43</v>
      </c>
      <c r="E56" s="237">
        <f t="shared" si="13"/>
        <v>5419860.1365460679</v>
      </c>
      <c r="F56" s="147">
        <f t="shared" si="14"/>
        <v>4782.3237809025532</v>
      </c>
      <c r="G56" s="147">
        <f t="shared" si="15"/>
        <v>605.15065650093857</v>
      </c>
      <c r="H56" s="237">
        <v>0</v>
      </c>
      <c r="I56" s="237">
        <f t="shared" si="16"/>
        <v>216794.40546184272</v>
      </c>
      <c r="Q56" s="333">
        <f t="shared" si="7"/>
        <v>0</v>
      </c>
      <c r="R56" s="333">
        <f t="shared" si="8"/>
        <v>605.15065650093857</v>
      </c>
      <c r="S56" s="333">
        <f t="shared" si="9"/>
        <v>605.15065650093857</v>
      </c>
      <c r="T56" s="333">
        <f t="shared" si="10"/>
        <v>43</v>
      </c>
      <c r="U56" s="365">
        <f t="shared" si="11"/>
        <v>216794.40546184275</v>
      </c>
    </row>
    <row r="57" spans="1:21" x14ac:dyDescent="0.25">
      <c r="A57" s="112"/>
      <c r="B57" s="233">
        <f t="shared" si="17"/>
        <v>2012</v>
      </c>
      <c r="C57" s="203">
        <f>INDEX(UG_cable_data!$D$37:$BE$37, MATCH(B57, UG_cable_data!$D$6:$BE$6,0))</f>
        <v>20255.576425889471</v>
      </c>
      <c r="D57" s="235">
        <f t="shared" si="12"/>
        <v>44</v>
      </c>
      <c r="E57" s="237">
        <f t="shared" si="13"/>
        <v>7425289.479377456</v>
      </c>
      <c r="F57" s="147">
        <f t="shared" si="14"/>
        <v>6402.9493348005726</v>
      </c>
      <c r="G57" s="147">
        <f t="shared" si="15"/>
        <v>810.22305703557879</v>
      </c>
      <c r="H57" s="237">
        <v>0</v>
      </c>
      <c r="I57" s="237">
        <f t="shared" si="16"/>
        <v>297011.57917509828</v>
      </c>
      <c r="Q57" s="333">
        <f t="shared" si="7"/>
        <v>0</v>
      </c>
      <c r="R57" s="333">
        <f t="shared" si="8"/>
        <v>810.22305703557879</v>
      </c>
      <c r="S57" s="333">
        <f t="shared" si="9"/>
        <v>810.22305703557879</v>
      </c>
      <c r="T57" s="333">
        <f t="shared" si="10"/>
        <v>44</v>
      </c>
      <c r="U57" s="365">
        <f t="shared" si="11"/>
        <v>297011.57917509828</v>
      </c>
    </row>
    <row r="58" spans="1:21" x14ac:dyDescent="0.25">
      <c r="A58" s="112"/>
      <c r="B58" s="233">
        <f t="shared" si="17"/>
        <v>2013</v>
      </c>
      <c r="C58" s="203">
        <f>INDEX(UG_cable_data!$D$37:$BE$37, MATCH(B58, UG_cable_data!$D$6:$BE$6,0))</f>
        <v>29407.996328079942</v>
      </c>
      <c r="D58" s="235">
        <f t="shared" si="12"/>
        <v>45</v>
      </c>
      <c r="E58" s="237">
        <f t="shared" si="13"/>
        <v>11025392.410795575</v>
      </c>
      <c r="F58" s="147">
        <f t="shared" si="14"/>
        <v>9296.1022963545965</v>
      </c>
      <c r="G58" s="147">
        <f t="shared" si="15"/>
        <v>1176.3198531231976</v>
      </c>
      <c r="H58" s="237">
        <v>0</v>
      </c>
      <c r="I58" s="237">
        <f t="shared" si="16"/>
        <v>441015.69643182302</v>
      </c>
      <c r="Q58" s="333">
        <f t="shared" si="7"/>
        <v>0</v>
      </c>
      <c r="R58" s="333">
        <f t="shared" si="8"/>
        <v>1176.3198531231976</v>
      </c>
      <c r="S58" s="333">
        <f t="shared" si="9"/>
        <v>1176.3198531231976</v>
      </c>
      <c r="T58" s="333">
        <f t="shared" si="10"/>
        <v>45</v>
      </c>
      <c r="U58" s="365">
        <f t="shared" si="11"/>
        <v>441015.69643182296</v>
      </c>
    </row>
    <row r="59" spans="1:21" x14ac:dyDescent="0.25">
      <c r="A59" s="112"/>
      <c r="B59" s="233">
        <f t="shared" si="17"/>
        <v>2014</v>
      </c>
      <c r="C59" s="203">
        <f>INDEX(UG_cable_data!$D$37:$BE$37, MATCH(B59, UG_cable_data!$D$6:$BE$6,0))</f>
        <v>21635.965475214703</v>
      </c>
      <c r="D59" s="235">
        <f t="shared" si="12"/>
        <v>46</v>
      </c>
      <c r="E59" s="237">
        <f t="shared" si="13"/>
        <v>8291826.7209544741</v>
      </c>
      <c r="F59" s="147">
        <f t="shared" si="14"/>
        <v>6839.3013279162105</v>
      </c>
      <c r="G59" s="147">
        <f t="shared" si="15"/>
        <v>865.43861900858815</v>
      </c>
      <c r="H59" s="237">
        <v>0</v>
      </c>
      <c r="I59" s="237">
        <f t="shared" si="16"/>
        <v>331673.068838179</v>
      </c>
      <c r="Q59" s="333">
        <f t="shared" si="7"/>
        <v>0</v>
      </c>
      <c r="R59" s="333">
        <f t="shared" si="8"/>
        <v>865.43861900858815</v>
      </c>
      <c r="S59" s="333">
        <f t="shared" si="9"/>
        <v>865.43861900858815</v>
      </c>
      <c r="T59" s="333">
        <f t="shared" si="10"/>
        <v>46</v>
      </c>
      <c r="U59" s="365">
        <f t="shared" si="11"/>
        <v>331673.06883817894</v>
      </c>
    </row>
    <row r="60" spans="1:21" x14ac:dyDescent="0.25">
      <c r="A60" s="112"/>
      <c r="B60" s="233">
        <f t="shared" si="17"/>
        <v>2015</v>
      </c>
      <c r="C60" s="203">
        <f>INDEX(UG_cable_data!$D$37:$BE$37, MATCH(B60, UG_cable_data!$D$6:$BE$6,0))</f>
        <v>47964.531830946522</v>
      </c>
      <c r="D60" s="235">
        <f t="shared" si="12"/>
        <v>47</v>
      </c>
      <c r="E60" s="237">
        <f t="shared" si="13"/>
        <v>18781668.638556819</v>
      </c>
      <c r="F60" s="147">
        <f t="shared" si="14"/>
        <v>15161.97123812505</v>
      </c>
      <c r="G60" s="147">
        <f t="shared" si="15"/>
        <v>1918.5812732378608</v>
      </c>
      <c r="H60" s="237">
        <v>0</v>
      </c>
      <c r="I60" s="237">
        <f t="shared" si="16"/>
        <v>751266.74554227281</v>
      </c>
      <c r="Q60" s="333">
        <f t="shared" si="7"/>
        <v>0</v>
      </c>
      <c r="R60" s="333">
        <f t="shared" si="8"/>
        <v>1918.5812732378608</v>
      </c>
      <c r="S60" s="333">
        <f t="shared" si="9"/>
        <v>1918.5812732378608</v>
      </c>
      <c r="T60" s="333">
        <f t="shared" si="10"/>
        <v>47</v>
      </c>
      <c r="U60" s="365">
        <f t="shared" si="11"/>
        <v>751266.74554227269</v>
      </c>
    </row>
    <row r="61" spans="1:21" x14ac:dyDescent="0.25">
      <c r="A61" s="112"/>
      <c r="B61" s="233">
        <f t="shared" si="17"/>
        <v>2016</v>
      </c>
      <c r="C61" s="203">
        <f>INDEX(UG_cable_data!$D$37:$BE$37, MATCH(B61, UG_cable_data!$D$6:$BE$6,0))</f>
        <v>26493.225215019636</v>
      </c>
      <c r="D61" s="235">
        <f t="shared" si="12"/>
        <v>48</v>
      </c>
      <c r="E61" s="237">
        <f t="shared" si="13"/>
        <v>10594785.66176754</v>
      </c>
      <c r="F61" s="147">
        <f t="shared" si="14"/>
        <v>8374.719889502363</v>
      </c>
      <c r="G61" s="147">
        <f t="shared" si="15"/>
        <v>1059.7290086007854</v>
      </c>
      <c r="H61" s="237">
        <v>0</v>
      </c>
      <c r="I61" s="237">
        <f t="shared" si="16"/>
        <v>423791.42647070164</v>
      </c>
      <c r="Q61" s="333">
        <f t="shared" si="7"/>
        <v>0</v>
      </c>
      <c r="R61" s="333">
        <f t="shared" si="8"/>
        <v>1059.7290086007854</v>
      </c>
      <c r="S61" s="333">
        <f t="shared" si="9"/>
        <v>1059.7290086007854</v>
      </c>
      <c r="T61" s="333">
        <f t="shared" si="10"/>
        <v>48</v>
      </c>
      <c r="U61" s="365">
        <f t="shared" si="11"/>
        <v>423791.42647070164</v>
      </c>
    </row>
    <row r="62" spans="1:21" x14ac:dyDescent="0.25">
      <c r="A62" s="112"/>
      <c r="B62" s="233">
        <f t="shared" si="17"/>
        <v>2017</v>
      </c>
      <c r="C62" s="203">
        <f>INDEX(UG_cable_data!$D$37:$BE$37, MATCH(B62, UG_cable_data!$D$6:$BE$6,0))</f>
        <v>43831.285485063127</v>
      </c>
      <c r="D62" s="235">
        <f t="shared" si="12"/>
        <v>49</v>
      </c>
      <c r="E62" s="237">
        <f t="shared" si="13"/>
        <v>17893545.181540977</v>
      </c>
      <c r="F62" s="147">
        <f t="shared" si="14"/>
        <v>13855.419087522461</v>
      </c>
      <c r="G62" s="147">
        <f t="shared" si="15"/>
        <v>1753.251419402525</v>
      </c>
      <c r="H62" s="237">
        <v>0</v>
      </c>
      <c r="I62" s="237">
        <f t="shared" si="16"/>
        <v>715741.80726163916</v>
      </c>
      <c r="Q62" s="333">
        <f t="shared" si="7"/>
        <v>0</v>
      </c>
      <c r="R62" s="333">
        <f t="shared" si="8"/>
        <v>1753.251419402525</v>
      </c>
      <c r="S62" s="333">
        <f t="shared" si="9"/>
        <v>1753.251419402525</v>
      </c>
      <c r="T62" s="333">
        <f t="shared" si="10"/>
        <v>49</v>
      </c>
      <c r="U62" s="365">
        <f t="shared" si="11"/>
        <v>715741.80726163916</v>
      </c>
    </row>
    <row r="63" spans="1:21" x14ac:dyDescent="0.25">
      <c r="A63" s="112"/>
      <c r="B63" s="233">
        <f t="shared" si="17"/>
        <v>2018</v>
      </c>
      <c r="C63" s="203">
        <f>INDEX(UG_cable_data!$D$37:$BE$37, MATCH(B63, UG_cable_data!$D$6:$BE$6,0))</f>
        <v>19843.043119698275</v>
      </c>
      <c r="D63" s="235">
        <f t="shared" si="12"/>
        <v>50</v>
      </c>
      <c r="E63" s="237">
        <f t="shared" si="13"/>
        <v>8265980.6982162464</v>
      </c>
      <c r="F63" s="147">
        <f t="shared" si="14"/>
        <v>6272.5442649609467</v>
      </c>
      <c r="G63" s="147">
        <f t="shared" si="15"/>
        <v>793.72172478793107</v>
      </c>
      <c r="H63" s="237">
        <v>0</v>
      </c>
      <c r="I63" s="237">
        <f t="shared" si="16"/>
        <v>330639.22792864987</v>
      </c>
      <c r="Q63" s="333">
        <f t="shared" si="7"/>
        <v>0</v>
      </c>
      <c r="R63" s="333">
        <f t="shared" si="8"/>
        <v>793.72172478793107</v>
      </c>
      <c r="S63" s="333">
        <f t="shared" si="9"/>
        <v>793.72172478793107</v>
      </c>
      <c r="T63" s="333">
        <f t="shared" si="10"/>
        <v>50</v>
      </c>
      <c r="U63" s="365">
        <f t="shared" si="11"/>
        <v>330639.22792864981</v>
      </c>
    </row>
    <row r="64" spans="1:21" x14ac:dyDescent="0.25">
      <c r="A64" s="112"/>
      <c r="B64" s="233">
        <f t="shared" si="17"/>
        <v>2019</v>
      </c>
      <c r="C64" s="203">
        <f>INDEX(UG_cable_data!$D$37:$BE$37, MATCH(B64, UG_cable_data!$D$6:$BE$6,0))</f>
        <v>760.28730270539995</v>
      </c>
      <c r="D64" s="235">
        <f t="shared" si="12"/>
        <v>51</v>
      </c>
      <c r="E64" s="237">
        <f>C64*$D$8/$D$6*D64</f>
        <v>323045.74121917412</v>
      </c>
      <c r="F64" s="147">
        <f t="shared" si="14"/>
        <v>240.33288299279261</v>
      </c>
      <c r="G64" s="147">
        <f t="shared" si="15"/>
        <v>30.411492108215999</v>
      </c>
      <c r="H64" s="237">
        <v>0</v>
      </c>
      <c r="I64" s="237">
        <f t="shared" si="16"/>
        <v>12921.829648766965</v>
      </c>
      <c r="Q64" s="333">
        <f t="shared" si="7"/>
        <v>0</v>
      </c>
      <c r="R64" s="333">
        <f t="shared" si="8"/>
        <v>30.411492108215999</v>
      </c>
      <c r="S64" s="333">
        <f t="shared" si="9"/>
        <v>30.411492108215999</v>
      </c>
      <c r="T64" s="333">
        <f t="shared" si="10"/>
        <v>51</v>
      </c>
      <c r="U64" s="365">
        <f t="shared" si="11"/>
        <v>12921.829648766965</v>
      </c>
    </row>
    <row r="65" spans="1:21" x14ac:dyDescent="0.25">
      <c r="A65" s="112"/>
      <c r="C65" s="331">
        <f>REFCL_Data!AQ23</f>
        <v>1967</v>
      </c>
      <c r="D65" s="285">
        <f>D66</f>
        <v>37.719377216253477</v>
      </c>
      <c r="E65" s="349">
        <f>C65*$D$8/$D$6*D65</f>
        <v>618137.34121775115</v>
      </c>
      <c r="F65" s="350">
        <f t="shared" ref="F65" si="18">C65*$D$10</f>
        <v>621.78439540506281</v>
      </c>
      <c r="G65" s="350">
        <f t="shared" ref="G65" si="19">C65*$D$9</f>
        <v>78.680000000000007</v>
      </c>
      <c r="H65" s="349">
        <v>0</v>
      </c>
      <c r="I65" s="349">
        <f t="shared" ref="I65" si="20">0.04*E65</f>
        <v>24725.493648710046</v>
      </c>
      <c r="J65" s="142"/>
      <c r="Q65" s="359">
        <v>0</v>
      </c>
      <c r="R65" s="333">
        <f t="shared" ref="R65" si="21">G65</f>
        <v>78.680000000000007</v>
      </c>
      <c r="S65" s="333">
        <f t="shared" ref="S65" si="22">SUM(Q65,R65)</f>
        <v>78.680000000000007</v>
      </c>
      <c r="T65" s="333">
        <f t="shared" ref="T65" si="23">D65</f>
        <v>37.719377216253477</v>
      </c>
      <c r="U65" s="365">
        <f t="shared" ref="U65" si="24">S65*T65/$D$6*$D$8</f>
        <v>24725.493648710049</v>
      </c>
    </row>
    <row r="66" spans="1:21" x14ac:dyDescent="0.25">
      <c r="A66" s="112"/>
      <c r="B66" s="146" t="s">
        <v>1</v>
      </c>
      <c r="C66" s="146">
        <f>SUM(C15:C64)</f>
        <v>657118.24834450695</v>
      </c>
      <c r="D66" s="236">
        <f>SUMPRODUCT(C15:C64,D15:D64)/C66</f>
        <v>37.719377216253477</v>
      </c>
      <c r="E66" s="114"/>
      <c r="F66" s="114"/>
      <c r="G66" s="114"/>
      <c r="H66" s="238">
        <f>SUM(H15:H65)</f>
        <v>1515111.8817104739</v>
      </c>
      <c r="I66" s="238">
        <f>SUM(I15:I65)</f>
        <v>8284803.3156586634</v>
      </c>
      <c r="J66" s="142"/>
      <c r="Q66" s="366">
        <f>SUM(Q15:Q65)</f>
        <v>11727.270066219722</v>
      </c>
      <c r="R66" s="366">
        <f t="shared" ref="R66:S66" si="25">SUM(R15:R65)</f>
        <v>26363.40993378028</v>
      </c>
      <c r="S66" s="366">
        <f t="shared" si="25"/>
        <v>38090.680000000008</v>
      </c>
      <c r="T66" s="367">
        <f>SUMPRODUCT(S15:S65,T15:T65)/S66</f>
        <v>30.880724821823957</v>
      </c>
      <c r="U66" s="368">
        <f>SUM(U15:U65)</f>
        <v>9799915.1973691378</v>
      </c>
    </row>
    <row r="67" spans="1:21" x14ac:dyDescent="0.25">
      <c r="A67" s="112"/>
      <c r="H67" s="143"/>
      <c r="I67" s="143"/>
      <c r="J67" s="142"/>
    </row>
    <row r="68" spans="1:21" x14ac:dyDescent="0.25">
      <c r="A68" s="112"/>
      <c r="E68" s="143"/>
      <c r="F68" s="143"/>
      <c r="G68" s="143"/>
      <c r="J68" s="142"/>
    </row>
    <row r="69" spans="1:21" x14ac:dyDescent="0.25">
      <c r="A69" s="112"/>
      <c r="D69" s="144"/>
      <c r="E69" s="143"/>
      <c r="F69" s="143"/>
      <c r="G69" s="143"/>
      <c r="J69" s="142"/>
    </row>
    <row r="70" spans="1:21" x14ac:dyDescent="0.25">
      <c r="A70" s="112"/>
      <c r="H70" s="113">
        <v>1807481.5610092503</v>
      </c>
      <c r="I70" s="110">
        <v>8262044.8220099537</v>
      </c>
    </row>
    <row r="71" spans="1:21" x14ac:dyDescent="0.25">
      <c r="A71" s="112"/>
      <c r="J71" s="143"/>
    </row>
    <row r="72" spans="1:21" x14ac:dyDescent="0.25">
      <c r="A72" s="112"/>
      <c r="J72" s="143"/>
    </row>
    <row r="73" spans="1:21" x14ac:dyDescent="0.25">
      <c r="A73" s="112"/>
      <c r="I73" s="143"/>
      <c r="J73" s="143"/>
    </row>
    <row r="74" spans="1:21" x14ac:dyDescent="0.25">
      <c r="A74" s="112"/>
      <c r="I74" s="143"/>
      <c r="J74" s="143"/>
    </row>
    <row r="75" spans="1:21" x14ac:dyDescent="0.25">
      <c r="A75" s="112"/>
    </row>
    <row r="76" spans="1:21" x14ac:dyDescent="0.25">
      <c r="A76" s="112"/>
    </row>
    <row r="77" spans="1:21" x14ac:dyDescent="0.25">
      <c r="A77" s="112"/>
    </row>
    <row r="78" spans="1:21" x14ac:dyDescent="0.25">
      <c r="A78" s="112"/>
    </row>
    <row r="79" spans="1:21" x14ac:dyDescent="0.25">
      <c r="A79" s="112"/>
    </row>
    <row r="80" spans="1:21" x14ac:dyDescent="0.25">
      <c r="A80" s="112"/>
    </row>
    <row r="81" spans="1:1" x14ac:dyDescent="0.25">
      <c r="A81" s="112"/>
    </row>
    <row r="82" spans="1:1" x14ac:dyDescent="0.25">
      <c r="A82" s="112"/>
    </row>
    <row r="83" spans="1:1" x14ac:dyDescent="0.25">
      <c r="A83" s="112"/>
    </row>
    <row r="84" spans="1:1" x14ac:dyDescent="0.25">
      <c r="A84" s="112"/>
    </row>
    <row r="85" spans="1:1" x14ac:dyDescent="0.25">
      <c r="A85" s="112"/>
    </row>
    <row r="86" spans="1:1" x14ac:dyDescent="0.25">
      <c r="A86" s="112"/>
    </row>
    <row r="87" spans="1:1" x14ac:dyDescent="0.25">
      <c r="A87" s="112"/>
    </row>
    <row r="88" spans="1:1" x14ac:dyDescent="0.25">
      <c r="A88" s="112"/>
    </row>
    <row r="89" spans="1:1" x14ac:dyDescent="0.25">
      <c r="A89" s="112"/>
    </row>
    <row r="90" spans="1:1" x14ac:dyDescent="0.25">
      <c r="A90" s="112"/>
    </row>
    <row r="91" spans="1:1" x14ac:dyDescent="0.25">
      <c r="A91" s="112"/>
    </row>
    <row r="92" spans="1:1" x14ac:dyDescent="0.25">
      <c r="A92" s="112"/>
    </row>
    <row r="93" spans="1:1" x14ac:dyDescent="0.25">
      <c r="A93" s="112"/>
    </row>
    <row r="94" spans="1:1" x14ac:dyDescent="0.25">
      <c r="A94" s="112"/>
    </row>
    <row r="95" spans="1:1" x14ac:dyDescent="0.25">
      <c r="A95" s="112"/>
    </row>
    <row r="96" spans="1:1" x14ac:dyDescent="0.25">
      <c r="A96" s="112"/>
    </row>
    <row r="97" spans="1:11" x14ac:dyDescent="0.25">
      <c r="A97" s="112"/>
    </row>
    <row r="98" spans="1:11" x14ac:dyDescent="0.25">
      <c r="A98" s="112"/>
    </row>
    <row r="99" spans="1:11" x14ac:dyDescent="0.25">
      <c r="A99" s="112"/>
    </row>
    <row r="100" spans="1:11" x14ac:dyDescent="0.25">
      <c r="A100" s="112"/>
    </row>
    <row r="101" spans="1:11" x14ac:dyDescent="0.25">
      <c r="A101" s="112"/>
    </row>
    <row r="102" spans="1:11" x14ac:dyDescent="0.25">
      <c r="A102" s="112"/>
    </row>
    <row r="103" spans="1:11" x14ac:dyDescent="0.25">
      <c r="A103" s="112"/>
    </row>
    <row r="104" spans="1:11" x14ac:dyDescent="0.25">
      <c r="A104" s="112"/>
    </row>
    <row r="105" spans="1:11" x14ac:dyDescent="0.25">
      <c r="A105" s="112"/>
    </row>
    <row r="106" spans="1:11" x14ac:dyDescent="0.25">
      <c r="A106" s="112"/>
    </row>
    <row r="107" spans="1:11" x14ac:dyDescent="0.25">
      <c r="A107" s="112"/>
    </row>
    <row r="108" spans="1:11" x14ac:dyDescent="0.25">
      <c r="A108" s="112"/>
    </row>
    <row r="109" spans="1:11" x14ac:dyDescent="0.25">
      <c r="A109" s="112"/>
    </row>
    <row r="110" spans="1:11" x14ac:dyDescent="0.25">
      <c r="A110" s="112"/>
    </row>
    <row r="111" spans="1:11" x14ac:dyDescent="0.25">
      <c r="A111" s="112"/>
      <c r="K111" s="142"/>
    </row>
    <row r="112" spans="1:11" x14ac:dyDescent="0.25">
      <c r="A112" s="112"/>
      <c r="K112" s="142"/>
    </row>
    <row r="113" spans="1:11" x14ac:dyDescent="0.25">
      <c r="A113" s="112"/>
      <c r="K113" s="142"/>
    </row>
    <row r="114" spans="1:11" x14ac:dyDescent="0.25">
      <c r="A114" s="112"/>
      <c r="K114" s="142"/>
    </row>
    <row r="115" spans="1:11" x14ac:dyDescent="0.25">
      <c r="A115" s="112"/>
      <c r="K115" s="142"/>
    </row>
    <row r="116" spans="1:11" x14ac:dyDescent="0.25">
      <c r="A116" s="112"/>
      <c r="K116" s="142"/>
    </row>
    <row r="117" spans="1:11" x14ac:dyDescent="0.25">
      <c r="A117" s="112"/>
      <c r="K117" s="142"/>
    </row>
    <row r="118" spans="1:11" x14ac:dyDescent="0.25">
      <c r="A118" s="112"/>
      <c r="K118" s="142"/>
    </row>
    <row r="119" spans="1:11" x14ac:dyDescent="0.25">
      <c r="A119" s="112"/>
      <c r="K119" s="142"/>
    </row>
    <row r="120" spans="1:11" x14ac:dyDescent="0.25">
      <c r="A120" s="112"/>
      <c r="K120" s="142"/>
    </row>
    <row r="121" spans="1:11" x14ac:dyDescent="0.25">
      <c r="A121" s="112"/>
      <c r="K121" s="142"/>
    </row>
    <row r="122" spans="1:11" x14ac:dyDescent="0.25">
      <c r="A122" s="112"/>
      <c r="K122" s="142"/>
    </row>
    <row r="123" spans="1:11" x14ac:dyDescent="0.25">
      <c r="A123" s="112"/>
      <c r="K123" s="142"/>
    </row>
    <row r="124" spans="1:11" x14ac:dyDescent="0.25">
      <c r="A124" s="112"/>
      <c r="K124" s="142"/>
    </row>
    <row r="125" spans="1:11" x14ac:dyDescent="0.25">
      <c r="A125" s="112"/>
      <c r="K125" s="142"/>
    </row>
    <row r="126" spans="1:11" x14ac:dyDescent="0.25">
      <c r="A126" s="112"/>
      <c r="K126" s="142"/>
    </row>
    <row r="127" spans="1:11" x14ac:dyDescent="0.25">
      <c r="A127" s="112"/>
      <c r="K127" s="142"/>
    </row>
    <row r="128" spans="1:11" x14ac:dyDescent="0.25">
      <c r="A128" s="112"/>
      <c r="K128" s="142"/>
    </row>
    <row r="129" spans="1:11" x14ac:dyDescent="0.25">
      <c r="A129" s="112"/>
      <c r="K129" s="142"/>
    </row>
    <row r="130" spans="1:11" x14ac:dyDescent="0.25">
      <c r="A130" s="112"/>
      <c r="K130" s="142"/>
    </row>
    <row r="131" spans="1:11" x14ac:dyDescent="0.25">
      <c r="A131" s="112"/>
      <c r="K131" s="142"/>
    </row>
    <row r="132" spans="1:11" x14ac:dyDescent="0.25">
      <c r="A132" s="112"/>
      <c r="K132" s="142"/>
    </row>
    <row r="133" spans="1:11" x14ac:dyDescent="0.25">
      <c r="A133" s="112"/>
      <c r="K133" s="142"/>
    </row>
    <row r="134" spans="1:11" x14ac:dyDescent="0.25">
      <c r="A134" s="112"/>
      <c r="K134" s="142"/>
    </row>
    <row r="135" spans="1:11" x14ac:dyDescent="0.25">
      <c r="A135" s="112"/>
      <c r="K135" s="142"/>
    </row>
    <row r="136" spans="1:11" x14ac:dyDescent="0.25">
      <c r="A136" s="112"/>
      <c r="K136" s="142"/>
    </row>
    <row r="137" spans="1:11" x14ac:dyDescent="0.25">
      <c r="A137" s="112"/>
      <c r="K137" s="142"/>
    </row>
    <row r="138" spans="1:11" x14ac:dyDescent="0.25">
      <c r="A138" s="112"/>
      <c r="K138" s="142"/>
    </row>
    <row r="139" spans="1:11" x14ac:dyDescent="0.25">
      <c r="A139" s="112"/>
      <c r="K139" s="142"/>
    </row>
    <row r="140" spans="1:11" x14ac:dyDescent="0.25">
      <c r="A140" s="112"/>
      <c r="K140" s="142"/>
    </row>
    <row r="141" spans="1:11" x14ac:dyDescent="0.25">
      <c r="A141" s="112"/>
      <c r="K141" s="142"/>
    </row>
    <row r="142" spans="1:11" x14ac:dyDescent="0.25">
      <c r="A142" s="112"/>
      <c r="K142" s="142"/>
    </row>
    <row r="143" spans="1:11" x14ac:dyDescent="0.25">
      <c r="A143" s="112"/>
      <c r="K143" s="142"/>
    </row>
    <row r="144" spans="1:11" x14ac:dyDescent="0.25">
      <c r="A144" s="112"/>
      <c r="K144" s="142"/>
    </row>
    <row r="145" spans="1:11" x14ac:dyDescent="0.25">
      <c r="A145" s="112"/>
      <c r="K145" s="142"/>
    </row>
    <row r="146" spans="1:11" x14ac:dyDescent="0.25">
      <c r="A146" s="112"/>
      <c r="K146" s="142"/>
    </row>
    <row r="147" spans="1:11" x14ac:dyDescent="0.25">
      <c r="A147" s="112"/>
      <c r="K147" s="142"/>
    </row>
    <row r="148" spans="1:11" x14ac:dyDescent="0.25">
      <c r="A148" s="112"/>
      <c r="K148" s="142"/>
    </row>
    <row r="149" spans="1:11" x14ac:dyDescent="0.25">
      <c r="A149" s="112"/>
      <c r="K149" s="142"/>
    </row>
    <row r="150" spans="1:11" x14ac:dyDescent="0.25">
      <c r="A150" s="112"/>
      <c r="K150" s="142"/>
    </row>
    <row r="151" spans="1:11" x14ac:dyDescent="0.25">
      <c r="A151" s="112"/>
      <c r="K151" s="142"/>
    </row>
    <row r="152" spans="1:11" x14ac:dyDescent="0.25">
      <c r="A152" s="112"/>
      <c r="K152" s="142"/>
    </row>
    <row r="153" spans="1:11" x14ac:dyDescent="0.25">
      <c r="A153" s="112"/>
      <c r="K153" s="142"/>
    </row>
    <row r="154" spans="1:11" x14ac:dyDescent="0.25">
      <c r="A154" s="112"/>
      <c r="K154" s="142"/>
    </row>
    <row r="155" spans="1:11" x14ac:dyDescent="0.25">
      <c r="A155" s="112"/>
      <c r="K155" s="142"/>
    </row>
    <row r="156" spans="1:11" x14ac:dyDescent="0.25">
      <c r="A156" s="112"/>
      <c r="K156" s="142"/>
    </row>
    <row r="157" spans="1:11" x14ac:dyDescent="0.25">
      <c r="A157" s="112"/>
      <c r="K157" s="142"/>
    </row>
    <row r="158" spans="1:11" x14ac:dyDescent="0.25">
      <c r="A158" s="112"/>
      <c r="K158" s="142"/>
    </row>
    <row r="159" spans="1:11" x14ac:dyDescent="0.25">
      <c r="A159" s="112"/>
      <c r="K159" s="142"/>
    </row>
    <row r="160" spans="1:11" x14ac:dyDescent="0.25">
      <c r="A160" s="112"/>
      <c r="K160" s="142"/>
    </row>
    <row r="161" spans="1:11" x14ac:dyDescent="0.25">
      <c r="A161" s="112"/>
      <c r="K161" s="142"/>
    </row>
    <row r="162" spans="1:11" x14ac:dyDescent="0.25">
      <c r="A162" s="112"/>
      <c r="K162" s="142"/>
    </row>
    <row r="163" spans="1:11" x14ac:dyDescent="0.25">
      <c r="A163" s="112"/>
      <c r="K163" s="142"/>
    </row>
    <row r="164" spans="1:11" x14ac:dyDescent="0.25">
      <c r="A164" s="112"/>
      <c r="K164" s="142"/>
    </row>
    <row r="165" spans="1:11" x14ac:dyDescent="0.25">
      <c r="A165" s="112"/>
      <c r="K165" s="142"/>
    </row>
    <row r="166" spans="1:11" x14ac:dyDescent="0.25">
      <c r="A166" s="112"/>
      <c r="K166" s="142"/>
    </row>
    <row r="167" spans="1:11" x14ac:dyDescent="0.25">
      <c r="A167" s="112"/>
      <c r="K167" s="142"/>
    </row>
    <row r="168" spans="1:11" x14ac:dyDescent="0.25">
      <c r="A168" s="112"/>
      <c r="K168" s="142"/>
    </row>
    <row r="169" spans="1:11" x14ac:dyDescent="0.25">
      <c r="A169" s="112"/>
      <c r="K169" s="142"/>
    </row>
    <row r="170" spans="1:11" x14ac:dyDescent="0.25">
      <c r="A170" s="112"/>
      <c r="K170" s="142"/>
    </row>
    <row r="171" spans="1:11" x14ac:dyDescent="0.25">
      <c r="A171" s="112"/>
      <c r="K171" s="142"/>
    </row>
    <row r="172" spans="1:11" x14ac:dyDescent="0.25">
      <c r="A172" s="112"/>
      <c r="K172" s="142"/>
    </row>
    <row r="173" spans="1:11" x14ac:dyDescent="0.25">
      <c r="A173" s="112"/>
      <c r="K173" s="142"/>
    </row>
    <row r="174" spans="1:11" x14ac:dyDescent="0.25">
      <c r="A174" s="112"/>
      <c r="K174" s="142"/>
    </row>
    <row r="175" spans="1:11" x14ac:dyDescent="0.25">
      <c r="A175" s="112"/>
      <c r="K175" s="142"/>
    </row>
    <row r="176" spans="1:11" x14ac:dyDescent="0.25">
      <c r="A176" s="112"/>
      <c r="K176" s="142"/>
    </row>
    <row r="177" spans="1:11" x14ac:dyDescent="0.25">
      <c r="A177" s="112"/>
      <c r="K177" s="142"/>
    </row>
    <row r="178" spans="1:11" x14ac:dyDescent="0.25">
      <c r="A178" s="112"/>
      <c r="K178" s="142"/>
    </row>
    <row r="179" spans="1:11" x14ac:dyDescent="0.25">
      <c r="A179" s="112"/>
      <c r="K179" s="142"/>
    </row>
    <row r="180" spans="1:11" x14ac:dyDescent="0.25">
      <c r="A180" s="112"/>
      <c r="K180" s="142"/>
    </row>
    <row r="181" spans="1:11" x14ac:dyDescent="0.25">
      <c r="A181" s="112"/>
      <c r="K181" s="142"/>
    </row>
    <row r="182" spans="1:11" x14ac:dyDescent="0.25">
      <c r="A182" s="112"/>
      <c r="K182" s="142"/>
    </row>
    <row r="183" spans="1:11" x14ac:dyDescent="0.25">
      <c r="A183" s="112"/>
      <c r="K183" s="142"/>
    </row>
    <row r="184" spans="1:11" x14ac:dyDescent="0.25">
      <c r="A184" s="112"/>
      <c r="K184" s="142"/>
    </row>
    <row r="185" spans="1:11" x14ac:dyDescent="0.25">
      <c r="A185" s="112"/>
      <c r="K185" s="142"/>
    </row>
    <row r="186" spans="1:11" x14ac:dyDescent="0.25">
      <c r="A186" s="112"/>
      <c r="K186" s="142"/>
    </row>
    <row r="187" spans="1:11" x14ac:dyDescent="0.25">
      <c r="A187" s="112"/>
      <c r="K187" s="142"/>
    </row>
    <row r="188" spans="1:11" x14ac:dyDescent="0.25">
      <c r="A188" s="112"/>
      <c r="K188" s="142"/>
    </row>
    <row r="189" spans="1:11" x14ac:dyDescent="0.25">
      <c r="A189" s="112"/>
      <c r="K189" s="142"/>
    </row>
    <row r="190" spans="1:11" x14ac:dyDescent="0.25">
      <c r="A190" s="112"/>
      <c r="K190" s="142"/>
    </row>
    <row r="191" spans="1:11" x14ac:dyDescent="0.25">
      <c r="A191" s="112"/>
      <c r="K191" s="142"/>
    </row>
    <row r="192" spans="1:11" x14ac:dyDescent="0.25">
      <c r="A192" s="112"/>
      <c r="K192" s="142"/>
    </row>
    <row r="193" spans="1:11" x14ac:dyDescent="0.25">
      <c r="A193" s="112"/>
      <c r="K193" s="142"/>
    </row>
    <row r="194" spans="1:11" x14ac:dyDescent="0.25">
      <c r="A194" s="112"/>
      <c r="K194" s="142"/>
    </row>
    <row r="195" spans="1:11" x14ac:dyDescent="0.25">
      <c r="A195" s="112"/>
      <c r="K195" s="142"/>
    </row>
    <row r="196" spans="1:11" x14ac:dyDescent="0.25">
      <c r="A196" s="112"/>
      <c r="K196" s="142"/>
    </row>
    <row r="197" spans="1:11" x14ac:dyDescent="0.25">
      <c r="A197" s="112"/>
      <c r="K197" s="142"/>
    </row>
    <row r="198" spans="1:11" x14ac:dyDescent="0.25">
      <c r="A198" s="112"/>
      <c r="K198" s="142"/>
    </row>
    <row r="199" spans="1:11" x14ac:dyDescent="0.25">
      <c r="A199" s="112"/>
      <c r="K199" s="142"/>
    </row>
    <row r="200" spans="1:11" x14ac:dyDescent="0.25">
      <c r="A200" s="112"/>
      <c r="K200" s="142"/>
    </row>
    <row r="201" spans="1:11" x14ac:dyDescent="0.25">
      <c r="A201" s="112"/>
      <c r="K201" s="142"/>
    </row>
    <row r="202" spans="1:11" x14ac:dyDescent="0.25">
      <c r="A202" s="112"/>
      <c r="K202" s="142"/>
    </row>
    <row r="203" spans="1:11" x14ac:dyDescent="0.25">
      <c r="A203" s="112"/>
      <c r="K203" s="142"/>
    </row>
    <row r="204" spans="1:11" x14ac:dyDescent="0.25">
      <c r="A204" s="112"/>
      <c r="K204" s="142"/>
    </row>
    <row r="205" spans="1:11" x14ac:dyDescent="0.25">
      <c r="A205" s="112"/>
    </row>
    <row r="206" spans="1:11" x14ac:dyDescent="0.25">
      <c r="A206" s="112"/>
    </row>
    <row r="207" spans="1:11" x14ac:dyDescent="0.25">
      <c r="A207" s="112"/>
    </row>
    <row r="208" spans="1:11" x14ac:dyDescent="0.25">
      <c r="A208" s="112"/>
    </row>
    <row r="209" spans="1:1" x14ac:dyDescent="0.25">
      <c r="A209" s="112"/>
    </row>
    <row r="210" spans="1:1" x14ac:dyDescent="0.25">
      <c r="A210" s="112"/>
    </row>
    <row r="211" spans="1:1" x14ac:dyDescent="0.25">
      <c r="A211" s="112"/>
    </row>
    <row r="212" spans="1:1" x14ac:dyDescent="0.25">
      <c r="A212" s="112"/>
    </row>
    <row r="213" spans="1:1" x14ac:dyDescent="0.25">
      <c r="A213" s="112"/>
    </row>
    <row r="214" spans="1:1" x14ac:dyDescent="0.25">
      <c r="A214" s="112"/>
    </row>
    <row r="215" spans="1:1" x14ac:dyDescent="0.25">
      <c r="A215" s="112"/>
    </row>
    <row r="216" spans="1:1" x14ac:dyDescent="0.25">
      <c r="A216" s="112"/>
    </row>
    <row r="217" spans="1:1" x14ac:dyDescent="0.25">
      <c r="A217" s="112"/>
    </row>
    <row r="218" spans="1:1" x14ac:dyDescent="0.25">
      <c r="A218" s="112"/>
    </row>
    <row r="219" spans="1:1" x14ac:dyDescent="0.25">
      <c r="A219" s="112"/>
    </row>
    <row r="220" spans="1:1" x14ac:dyDescent="0.25">
      <c r="A220" s="112"/>
    </row>
    <row r="221" spans="1:1" x14ac:dyDescent="0.25">
      <c r="A221" s="112"/>
    </row>
    <row r="222" spans="1:1" x14ac:dyDescent="0.25">
      <c r="A222" s="112"/>
    </row>
    <row r="223" spans="1:1" x14ac:dyDescent="0.25">
      <c r="A223" s="112"/>
    </row>
    <row r="224" spans="1:1" x14ac:dyDescent="0.25">
      <c r="A224" s="112"/>
    </row>
    <row r="225" spans="1:1" x14ac:dyDescent="0.25">
      <c r="A225" s="112"/>
    </row>
    <row r="226" spans="1:1" x14ac:dyDescent="0.25">
      <c r="A226" s="112"/>
    </row>
    <row r="227" spans="1:1" x14ac:dyDescent="0.25">
      <c r="A227" s="112"/>
    </row>
    <row r="228" spans="1:1" x14ac:dyDescent="0.25">
      <c r="A228" s="112"/>
    </row>
    <row r="229" spans="1:1" x14ac:dyDescent="0.25">
      <c r="A229" s="112"/>
    </row>
    <row r="230" spans="1:1" x14ac:dyDescent="0.25">
      <c r="A230" s="112"/>
    </row>
    <row r="231" spans="1:1" x14ac:dyDescent="0.25">
      <c r="A231" s="112"/>
    </row>
    <row r="232" spans="1:1" x14ac:dyDescent="0.25">
      <c r="A232" s="112"/>
    </row>
    <row r="233" spans="1:1" x14ac:dyDescent="0.25">
      <c r="A233" s="112"/>
    </row>
    <row r="234" spans="1:1" x14ac:dyDescent="0.25">
      <c r="A234" s="112"/>
    </row>
    <row r="235" spans="1:1" x14ac:dyDescent="0.25">
      <c r="A235" s="112"/>
    </row>
    <row r="236" spans="1:1" x14ac:dyDescent="0.25">
      <c r="A236" s="112"/>
    </row>
    <row r="237" spans="1:1" x14ac:dyDescent="0.25">
      <c r="A237" s="112"/>
    </row>
    <row r="238" spans="1:1" x14ac:dyDescent="0.25">
      <c r="A238" s="112"/>
    </row>
    <row r="239" spans="1:1" x14ac:dyDescent="0.25">
      <c r="A239" s="112"/>
    </row>
    <row r="240" spans="1:1" x14ac:dyDescent="0.25">
      <c r="A240" s="112"/>
    </row>
    <row r="241" spans="1:1" x14ac:dyDescent="0.25">
      <c r="A241" s="112"/>
    </row>
    <row r="242" spans="1:1" x14ac:dyDescent="0.25">
      <c r="A242" s="112"/>
    </row>
    <row r="243" spans="1:1" x14ac:dyDescent="0.25">
      <c r="A243" s="112"/>
    </row>
    <row r="244" spans="1:1" x14ac:dyDescent="0.25">
      <c r="A244" s="112"/>
    </row>
    <row r="245" spans="1:1" x14ac:dyDescent="0.25">
      <c r="A245" s="112"/>
    </row>
    <row r="246" spans="1:1" x14ac:dyDescent="0.25">
      <c r="A246" s="112"/>
    </row>
    <row r="247" spans="1:1" x14ac:dyDescent="0.25">
      <c r="A247" s="112"/>
    </row>
    <row r="248" spans="1:1" x14ac:dyDescent="0.25">
      <c r="A248" s="112"/>
    </row>
    <row r="249" spans="1:1" x14ac:dyDescent="0.25">
      <c r="A249" s="112"/>
    </row>
    <row r="250" spans="1:1" x14ac:dyDescent="0.25">
      <c r="A250" s="112"/>
    </row>
    <row r="251" spans="1:1" x14ac:dyDescent="0.25">
      <c r="A251" s="112"/>
    </row>
    <row r="252" spans="1:1" x14ac:dyDescent="0.25">
      <c r="A252" s="112"/>
    </row>
    <row r="253" spans="1:1" x14ac:dyDescent="0.25">
      <c r="A253" s="112"/>
    </row>
    <row r="254" spans="1:1" x14ac:dyDescent="0.25">
      <c r="A254" s="112"/>
    </row>
    <row r="255" spans="1:1" x14ac:dyDescent="0.25">
      <c r="A255" s="112"/>
    </row>
    <row r="256" spans="1:1" x14ac:dyDescent="0.25">
      <c r="A256" s="112"/>
    </row>
    <row r="257" spans="1:1" x14ac:dyDescent="0.25">
      <c r="A257" s="112"/>
    </row>
    <row r="258" spans="1:1" x14ac:dyDescent="0.25">
      <c r="A258" s="112"/>
    </row>
    <row r="259" spans="1:1" x14ac:dyDescent="0.25">
      <c r="A259" s="112"/>
    </row>
    <row r="260" spans="1:1" x14ac:dyDescent="0.25">
      <c r="A260" s="112"/>
    </row>
    <row r="261" spans="1:1" x14ac:dyDescent="0.25">
      <c r="A261" s="112"/>
    </row>
    <row r="262" spans="1:1" x14ac:dyDescent="0.25">
      <c r="A262" s="112"/>
    </row>
    <row r="263" spans="1:1" x14ac:dyDescent="0.25">
      <c r="A263" s="112"/>
    </row>
    <row r="264" spans="1:1" x14ac:dyDescent="0.25">
      <c r="A264" s="112"/>
    </row>
    <row r="265" spans="1:1" x14ac:dyDescent="0.25">
      <c r="A265" s="112"/>
    </row>
    <row r="266" spans="1:1" x14ac:dyDescent="0.25">
      <c r="A266" s="112"/>
    </row>
    <row r="267" spans="1:1" x14ac:dyDescent="0.25">
      <c r="A267" s="112"/>
    </row>
    <row r="268" spans="1:1" x14ac:dyDescent="0.25">
      <c r="A268" s="112"/>
    </row>
    <row r="269" spans="1:1" x14ac:dyDescent="0.25">
      <c r="A269" s="112"/>
    </row>
    <row r="270" spans="1:1" x14ac:dyDescent="0.25">
      <c r="A270" s="112"/>
    </row>
    <row r="271" spans="1:1" x14ac:dyDescent="0.25">
      <c r="A271" s="112"/>
    </row>
    <row r="272" spans="1:1" x14ac:dyDescent="0.25">
      <c r="A272" s="112"/>
    </row>
    <row r="273" spans="1:1" x14ac:dyDescent="0.25">
      <c r="A273" s="112"/>
    </row>
    <row r="274" spans="1:1" x14ac:dyDescent="0.25">
      <c r="A274" s="112"/>
    </row>
    <row r="275" spans="1:1" x14ac:dyDescent="0.25">
      <c r="A275" s="112"/>
    </row>
    <row r="276" spans="1:1" x14ac:dyDescent="0.25">
      <c r="A276" s="112"/>
    </row>
    <row r="277" spans="1:1" x14ac:dyDescent="0.25">
      <c r="A277" s="112"/>
    </row>
    <row r="278" spans="1:1" x14ac:dyDescent="0.25">
      <c r="A278" s="112"/>
    </row>
    <row r="279" spans="1:1" x14ac:dyDescent="0.25">
      <c r="A279" s="112"/>
    </row>
    <row r="280" spans="1:1" x14ac:dyDescent="0.25">
      <c r="A280" s="112"/>
    </row>
    <row r="281" spans="1:1" x14ac:dyDescent="0.25">
      <c r="A281" s="112"/>
    </row>
    <row r="282" spans="1:1" x14ac:dyDescent="0.25">
      <c r="A282" s="112"/>
    </row>
    <row r="283" spans="1:1" x14ac:dyDescent="0.25">
      <c r="A283" s="112"/>
    </row>
    <row r="284" spans="1:1" x14ac:dyDescent="0.25">
      <c r="A284" s="112"/>
    </row>
    <row r="285" spans="1:1" x14ac:dyDescent="0.25">
      <c r="A285" s="112"/>
    </row>
    <row r="286" spans="1:1" x14ac:dyDescent="0.25">
      <c r="A286" s="112"/>
    </row>
    <row r="287" spans="1:1" x14ac:dyDescent="0.25">
      <c r="A287" s="112"/>
    </row>
    <row r="288" spans="1:1" x14ac:dyDescent="0.25">
      <c r="A288" s="112"/>
    </row>
    <row r="289" spans="1:1" x14ac:dyDescent="0.25">
      <c r="A289" s="112"/>
    </row>
    <row r="290" spans="1:1" x14ac:dyDescent="0.25">
      <c r="A290" s="112"/>
    </row>
    <row r="291" spans="1:1" x14ac:dyDescent="0.25">
      <c r="A291" s="112"/>
    </row>
    <row r="292" spans="1:1" x14ac:dyDescent="0.25">
      <c r="A292" s="112"/>
    </row>
    <row r="293" spans="1:1" x14ac:dyDescent="0.25">
      <c r="A293" s="112"/>
    </row>
    <row r="294" spans="1:1" x14ac:dyDescent="0.25">
      <c r="A294" s="112"/>
    </row>
    <row r="295" spans="1:1" x14ac:dyDescent="0.25">
      <c r="A295" s="112"/>
    </row>
    <row r="296" spans="1:1" x14ac:dyDescent="0.25">
      <c r="A296" s="112"/>
    </row>
    <row r="297" spans="1:1" x14ac:dyDescent="0.25">
      <c r="A297" s="112"/>
    </row>
    <row r="298" spans="1:1" x14ac:dyDescent="0.25">
      <c r="A298" s="112"/>
    </row>
    <row r="299" spans="1:1" x14ac:dyDescent="0.25">
      <c r="A299" s="112"/>
    </row>
    <row r="300" spans="1:1" x14ac:dyDescent="0.25">
      <c r="A300" s="112"/>
    </row>
    <row r="301" spans="1:1" x14ac:dyDescent="0.25">
      <c r="A301" s="112"/>
    </row>
    <row r="302" spans="1:1" x14ac:dyDescent="0.25">
      <c r="A302" s="112"/>
    </row>
    <row r="303" spans="1:1" x14ac:dyDescent="0.25">
      <c r="A303" s="112"/>
    </row>
    <row r="304" spans="1:1" x14ac:dyDescent="0.25">
      <c r="A304" s="112"/>
    </row>
    <row r="305" spans="1:1" x14ac:dyDescent="0.25">
      <c r="A305" s="112"/>
    </row>
    <row r="306" spans="1:1" x14ac:dyDescent="0.25">
      <c r="A306" s="112"/>
    </row>
    <row r="307" spans="1:1" x14ac:dyDescent="0.25">
      <c r="A307" s="112"/>
    </row>
    <row r="308" spans="1:1" x14ac:dyDescent="0.25">
      <c r="A308" s="112"/>
    </row>
    <row r="309" spans="1:1" x14ac:dyDescent="0.25">
      <c r="A309" s="112"/>
    </row>
    <row r="310" spans="1:1" x14ac:dyDescent="0.25">
      <c r="A310" s="112"/>
    </row>
    <row r="311" spans="1:1" x14ac:dyDescent="0.25">
      <c r="A311" s="112"/>
    </row>
    <row r="312" spans="1:1" x14ac:dyDescent="0.25">
      <c r="A312" s="112"/>
    </row>
    <row r="313" spans="1:1" x14ac:dyDescent="0.25">
      <c r="A313" s="112"/>
    </row>
    <row r="314" spans="1:1" x14ac:dyDescent="0.25">
      <c r="A314" s="112"/>
    </row>
    <row r="315" spans="1:1" x14ac:dyDescent="0.25">
      <c r="A315" s="112"/>
    </row>
    <row r="316" spans="1:1" x14ac:dyDescent="0.25">
      <c r="A316" s="112"/>
    </row>
  </sheetData>
  <pageMargins left="0.70866141732283472" right="0.51181102362204722" top="0.55118110236220474" bottom="0.55118110236220474" header="0.31496062992125984" footer="0.31496062992125984"/>
  <pageSetup paperSize="9" scale="8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Z299"/>
  <sheetViews>
    <sheetView showGridLines="0" topLeftCell="A40" zoomScale="80" zoomScaleNormal="80" workbookViewId="0">
      <selection activeCell="F14" sqref="F14"/>
    </sheetView>
  </sheetViews>
  <sheetFormatPr defaultColWidth="8" defaultRowHeight="15" x14ac:dyDescent="0.25"/>
  <cols>
    <col min="1" max="1" width="2.375" style="111" customWidth="1"/>
    <col min="2" max="2" width="21.25" style="110" customWidth="1"/>
    <col min="3" max="3" width="17.625" style="110" customWidth="1"/>
    <col min="4" max="4" width="18.25" style="110" customWidth="1"/>
    <col min="5" max="5" width="18.375" style="110" customWidth="1"/>
    <col min="6" max="6" width="45.625" style="110" customWidth="1"/>
    <col min="7" max="9" width="21.25" style="110" customWidth="1"/>
    <col min="10" max="10" width="8" style="110"/>
    <col min="11" max="12" width="14.375" style="110" customWidth="1"/>
    <col min="13" max="42" width="8.5" style="110" customWidth="1"/>
    <col min="43" max="43" width="2.25" style="110" customWidth="1"/>
    <col min="44" max="16384" width="8" style="110"/>
  </cols>
  <sheetData>
    <row r="1" spans="1:78" s="1" customFormat="1" ht="18.75" x14ac:dyDescent="0.3">
      <c r="A1" s="197" t="str">
        <f>REFCL_Data!A1</f>
        <v>PAL Accelerated depreciation</v>
      </c>
      <c r="B1" s="197"/>
      <c r="C1" s="197"/>
      <c r="D1" s="197"/>
      <c r="E1" s="197"/>
      <c r="F1" s="197"/>
      <c r="G1" s="198"/>
      <c r="H1" s="198"/>
      <c r="I1" s="198"/>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row>
    <row r="2" spans="1:78" s="1" customFormat="1" ht="15.75" x14ac:dyDescent="0.25">
      <c r="A2" s="200" t="s">
        <v>142</v>
      </c>
      <c r="B2" s="200"/>
      <c r="C2" s="200"/>
      <c r="D2" s="200"/>
      <c r="E2" s="200"/>
      <c r="F2" s="200"/>
      <c r="G2" s="201"/>
      <c r="H2" s="201"/>
      <c r="I2" s="201"/>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row>
    <row r="3" spans="1:78" s="244" customFormat="1" ht="18.75" x14ac:dyDescent="0.3">
      <c r="A3" s="241"/>
      <c r="B3" s="242"/>
      <c r="C3" s="242"/>
      <c r="D3" s="243"/>
      <c r="E3" s="243"/>
      <c r="F3" s="243"/>
      <c r="G3" s="243"/>
      <c r="H3" s="243"/>
      <c r="I3" s="256" t="s">
        <v>158</v>
      </c>
      <c r="J3" s="243"/>
      <c r="K3" s="243"/>
      <c r="L3" s="243"/>
      <c r="V3" s="119"/>
      <c r="W3" s="245"/>
      <c r="X3" s="246"/>
      <c r="Y3" s="119"/>
      <c r="Z3" s="119"/>
      <c r="AA3" s="119"/>
      <c r="AB3" s="119"/>
      <c r="AC3" s="119"/>
      <c r="AD3" s="119"/>
      <c r="AE3" s="119"/>
      <c r="AF3" s="119"/>
    </row>
    <row r="4" spans="1:78" x14ac:dyDescent="0.25">
      <c r="A4" s="112"/>
      <c r="E4" s="178"/>
      <c r="F4" s="178"/>
      <c r="G4" s="178"/>
      <c r="H4" s="178"/>
      <c r="I4" s="266" t="s">
        <v>191</v>
      </c>
      <c r="K4" s="53"/>
      <c r="L4" s="53"/>
    </row>
    <row r="5" spans="1:78" x14ac:dyDescent="0.25">
      <c r="A5" s="112"/>
      <c r="B5" s="141" t="s">
        <v>110</v>
      </c>
      <c r="D5" s="335">
        <v>2021</v>
      </c>
      <c r="E5" s="178"/>
      <c r="F5" s="177"/>
      <c r="G5" s="177"/>
      <c r="H5" s="177"/>
      <c r="I5" s="177"/>
      <c r="K5" s="53"/>
      <c r="L5" s="53"/>
    </row>
    <row r="6" spans="1:78" x14ac:dyDescent="0.25">
      <c r="A6" s="112"/>
      <c r="B6" s="110" t="s">
        <v>94</v>
      </c>
      <c r="D6" s="139">
        <v>51</v>
      </c>
      <c r="E6" s="176"/>
      <c r="F6" s="175"/>
      <c r="G6" s="174"/>
      <c r="H6" s="174"/>
      <c r="I6" s="175"/>
      <c r="K6" s="53"/>
      <c r="L6" s="53"/>
    </row>
    <row r="7" spans="1:78" x14ac:dyDescent="0.25">
      <c r="A7" s="112"/>
      <c r="B7" s="141" t="s">
        <v>114</v>
      </c>
      <c r="C7" s="141"/>
      <c r="D7" s="344">
        <v>58998.959856615387</v>
      </c>
      <c r="E7" s="176"/>
      <c r="F7" s="175"/>
      <c r="G7" s="174"/>
      <c r="H7" s="174"/>
      <c r="I7" s="175"/>
      <c r="K7" s="53"/>
      <c r="L7" s="53"/>
    </row>
    <row r="8" spans="1:78" x14ac:dyDescent="0.25">
      <c r="A8" s="112"/>
      <c r="B8" s="141"/>
      <c r="C8" s="141"/>
      <c r="D8" s="113"/>
      <c r="E8" s="176"/>
      <c r="F8" s="175"/>
      <c r="G8" s="174"/>
      <c r="H8" s="174"/>
      <c r="I8" s="173"/>
      <c r="K8" s="53"/>
      <c r="L8" s="53"/>
    </row>
    <row r="9" spans="1:78" x14ac:dyDescent="0.25">
      <c r="A9" s="112"/>
      <c r="B9" s="141"/>
      <c r="C9" s="141"/>
      <c r="D9" s="113"/>
      <c r="E9" s="176"/>
      <c r="F9" s="175"/>
      <c r="G9" s="174"/>
      <c r="H9" s="174"/>
      <c r="I9" s="173"/>
      <c r="K9" s="53"/>
      <c r="L9" s="53"/>
    </row>
    <row r="10" spans="1:78" x14ac:dyDescent="0.25">
      <c r="A10" s="112"/>
      <c r="K10" s="53"/>
      <c r="L10" s="53"/>
    </row>
    <row r="11" spans="1:78" x14ac:dyDescent="0.25">
      <c r="A11" s="112"/>
      <c r="B11" s="155" t="s">
        <v>141</v>
      </c>
      <c r="C11" s="155"/>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1"/>
      <c r="AQ11" s="170"/>
      <c r="AR11" s="170"/>
    </row>
    <row r="12" spans="1:78" x14ac:dyDescent="0.25">
      <c r="A12" s="112"/>
      <c r="B12" s="169" t="s">
        <v>113</v>
      </c>
      <c r="C12" s="169" t="s">
        <v>24</v>
      </c>
      <c r="D12" s="168" t="s">
        <v>112</v>
      </c>
      <c r="E12" s="168" t="s">
        <v>98</v>
      </c>
      <c r="F12"/>
    </row>
    <row r="13" spans="1:78" ht="15" customHeight="1" x14ac:dyDescent="0.25">
      <c r="A13" s="112"/>
      <c r="B13" s="167">
        <v>1970</v>
      </c>
      <c r="C13" s="255">
        <f>IF(ISNA(MATCH(B13, ACRs_data!$D$88:$AH$88,0)), 0,INDEX(ACRs_data!$D$112:$AH$112, MATCH(B13, ACRs_data!$D$88:$AH$88,0)))</f>
        <v>1</v>
      </c>
      <c r="D13" s="166">
        <f t="shared" ref="D13:D49" si="0">($D$6-($D$5-B13))</f>
        <v>0</v>
      </c>
      <c r="E13" s="165">
        <f t="shared" ref="E13:E49" si="1">D13*$D$7/$D$6*C13</f>
        <v>0</v>
      </c>
      <c r="F13"/>
      <c r="L13" s="148"/>
    </row>
    <row r="14" spans="1:78" ht="15" customHeight="1" x14ac:dyDescent="0.25">
      <c r="A14" s="112"/>
      <c r="B14" s="167">
        <v>1985</v>
      </c>
      <c r="C14" s="255">
        <f>IF(ISNA(MATCH(B14, ACRs_data!$D$88:$AH$88,0)), 0,INDEX(ACRs_data!$D$112:$AH$112, MATCH(B14, ACRs_data!$D$88:$AH$88,0)))</f>
        <v>1</v>
      </c>
      <c r="D14" s="166">
        <f t="shared" ref="D14" si="2">($D$6-($D$5-B14))</f>
        <v>15</v>
      </c>
      <c r="E14" s="165">
        <f>D14*$D$7/$D$6*C14</f>
        <v>17352.635251945703</v>
      </c>
      <c r="F14"/>
      <c r="L14" s="148"/>
    </row>
    <row r="15" spans="1:78" ht="15" customHeight="1" x14ac:dyDescent="0.25">
      <c r="A15" s="112"/>
      <c r="B15" s="167">
        <v>1986</v>
      </c>
      <c r="C15" s="255">
        <f>IF(ISNA(MATCH(B15, ACRs_data!$D$88:$AH$88,0)), 0,INDEX(ACRs_data!$D$112:$AH$112, MATCH(B15, ACRs_data!$D$88:$AH$88,0)))</f>
        <v>0</v>
      </c>
      <c r="D15" s="166">
        <f t="shared" si="0"/>
        <v>16</v>
      </c>
      <c r="E15" s="165">
        <f t="shared" si="1"/>
        <v>0</v>
      </c>
      <c r="F15"/>
      <c r="J15" s="164"/>
      <c r="L15" s="148"/>
    </row>
    <row r="16" spans="1:78" ht="15" customHeight="1" x14ac:dyDescent="0.25">
      <c r="A16" s="112"/>
      <c r="B16" s="167">
        <v>1987</v>
      </c>
      <c r="C16" s="255">
        <f>IF(ISNA(MATCH(B16, ACRs_data!$D$88:$AH$88,0)), 0,INDEX(ACRs_data!$D$112:$AH$112, MATCH(B16, ACRs_data!$D$88:$AH$88,0)))</f>
        <v>0</v>
      </c>
      <c r="D16" s="166">
        <f t="shared" si="0"/>
        <v>17</v>
      </c>
      <c r="E16" s="165">
        <f t="shared" si="1"/>
        <v>0</v>
      </c>
      <c r="F16"/>
      <c r="J16" s="164"/>
      <c r="L16" s="148"/>
    </row>
    <row r="17" spans="1:12" ht="15" customHeight="1" x14ac:dyDescent="0.25">
      <c r="A17" s="112"/>
      <c r="B17" s="167">
        <v>1988</v>
      </c>
      <c r="C17" s="255">
        <f>IF(ISNA(MATCH(B17, ACRs_data!$D$88:$AH$88,0)), 0,INDEX(ACRs_data!$D$112:$AH$112, MATCH(B17, ACRs_data!$D$88:$AH$88,0)))</f>
        <v>0</v>
      </c>
      <c r="D17" s="166">
        <f t="shared" si="0"/>
        <v>18</v>
      </c>
      <c r="E17" s="165">
        <f t="shared" si="1"/>
        <v>0</v>
      </c>
      <c r="F17"/>
      <c r="J17" s="164"/>
      <c r="L17" s="148"/>
    </row>
    <row r="18" spans="1:12" ht="15" customHeight="1" x14ac:dyDescent="0.25">
      <c r="A18" s="112"/>
      <c r="B18" s="167">
        <v>1989</v>
      </c>
      <c r="C18" s="255">
        <f>IF(ISNA(MATCH(B18, ACRs_data!$D$88:$AH$88,0)), 0,INDEX(ACRs_data!$D$112:$AH$112, MATCH(B18, ACRs_data!$D$88:$AH$88,0)))</f>
        <v>0</v>
      </c>
      <c r="D18" s="166">
        <f t="shared" si="0"/>
        <v>19</v>
      </c>
      <c r="E18" s="165">
        <f t="shared" si="1"/>
        <v>0</v>
      </c>
      <c r="F18"/>
      <c r="J18" s="164"/>
      <c r="L18" s="148"/>
    </row>
    <row r="19" spans="1:12" ht="15" customHeight="1" x14ac:dyDescent="0.25">
      <c r="A19" s="112"/>
      <c r="B19" s="167">
        <v>1990</v>
      </c>
      <c r="C19" s="255">
        <f>IF(ISNA(MATCH(B19, ACRs_data!$D$88:$AH$88,0)), 0,INDEX(ACRs_data!$D$112:$AH$112, MATCH(B19, ACRs_data!$D$88:$AH$88,0)))</f>
        <v>0</v>
      </c>
      <c r="D19" s="166">
        <f t="shared" si="0"/>
        <v>20</v>
      </c>
      <c r="E19" s="165">
        <f t="shared" si="1"/>
        <v>0</v>
      </c>
      <c r="F19"/>
      <c r="J19" s="164"/>
      <c r="L19" s="148"/>
    </row>
    <row r="20" spans="1:12" ht="15" customHeight="1" x14ac:dyDescent="0.25">
      <c r="A20" s="112"/>
      <c r="B20" s="167">
        <v>1991</v>
      </c>
      <c r="C20" s="255">
        <f>IF(ISNA(MATCH(B20, ACRs_data!$D$88:$AH$88,0)), 0,INDEX(ACRs_data!$D$112:$AH$112, MATCH(B20, ACRs_data!$D$88:$AH$88,0)))</f>
        <v>0</v>
      </c>
      <c r="D20" s="166">
        <f t="shared" si="0"/>
        <v>21</v>
      </c>
      <c r="E20" s="165">
        <f t="shared" si="1"/>
        <v>0</v>
      </c>
      <c r="F20"/>
      <c r="J20" s="164"/>
      <c r="L20" s="148"/>
    </row>
    <row r="21" spans="1:12" ht="15" customHeight="1" x14ac:dyDescent="0.25">
      <c r="A21" s="112"/>
      <c r="B21" s="167">
        <v>1992</v>
      </c>
      <c r="C21" s="255">
        <f>IF(ISNA(MATCH(B21, ACRs_data!$D$88:$AH$88,0)), 0,INDEX(ACRs_data!$D$112:$AH$112, MATCH(B21, ACRs_data!$D$88:$AH$88,0)))</f>
        <v>0</v>
      </c>
      <c r="D21" s="166">
        <f t="shared" si="0"/>
        <v>22</v>
      </c>
      <c r="E21" s="165">
        <f t="shared" si="1"/>
        <v>0</v>
      </c>
      <c r="F21"/>
      <c r="J21" s="164"/>
      <c r="L21" s="148"/>
    </row>
    <row r="22" spans="1:12" ht="15" customHeight="1" x14ac:dyDescent="0.25">
      <c r="A22" s="112"/>
      <c r="B22" s="167">
        <v>1993</v>
      </c>
      <c r="C22" s="255">
        <f>IF(ISNA(MATCH(B22, ACRs_data!$D$88:$AH$88,0)), 0,INDEX(ACRs_data!$D$112:$AH$112, MATCH(B22, ACRs_data!$D$88:$AH$88,0)))</f>
        <v>1</v>
      </c>
      <c r="D22" s="166">
        <f t="shared" si="0"/>
        <v>23</v>
      </c>
      <c r="E22" s="165">
        <f t="shared" si="1"/>
        <v>26607.37405298341</v>
      </c>
      <c r="F22"/>
      <c r="J22" s="164"/>
      <c r="L22" s="148"/>
    </row>
    <row r="23" spans="1:12" ht="15" customHeight="1" x14ac:dyDescent="0.25">
      <c r="A23" s="112"/>
      <c r="B23" s="167">
        <v>1994</v>
      </c>
      <c r="C23" s="255">
        <f>IF(ISNA(MATCH(B23, ACRs_data!$D$88:$AH$88,0)), 0,INDEX(ACRs_data!$D$112:$AH$112, MATCH(B23, ACRs_data!$D$88:$AH$88,0)))</f>
        <v>0</v>
      </c>
      <c r="D23" s="166">
        <f t="shared" si="0"/>
        <v>24</v>
      </c>
      <c r="E23" s="165">
        <f t="shared" si="1"/>
        <v>0</v>
      </c>
      <c r="F23"/>
      <c r="J23" s="164"/>
      <c r="L23" s="148"/>
    </row>
    <row r="24" spans="1:12" ht="15" customHeight="1" x14ac:dyDescent="0.25">
      <c r="A24" s="112"/>
      <c r="B24" s="167">
        <v>1995</v>
      </c>
      <c r="C24" s="255">
        <f>IF(ISNA(MATCH(B24, ACRs_data!$D$88:$AH$88,0)), 0,INDEX(ACRs_data!$D$112:$AH$112, MATCH(B24, ACRs_data!$D$88:$AH$88,0)))</f>
        <v>2</v>
      </c>
      <c r="D24" s="166">
        <f t="shared" si="0"/>
        <v>25</v>
      </c>
      <c r="E24" s="165">
        <f t="shared" si="1"/>
        <v>57842.117506485672</v>
      </c>
      <c r="F24"/>
      <c r="J24" s="164"/>
      <c r="L24" s="148"/>
    </row>
    <row r="25" spans="1:12" ht="15" customHeight="1" x14ac:dyDescent="0.25">
      <c r="A25" s="112"/>
      <c r="B25" s="167">
        <v>1996</v>
      </c>
      <c r="C25" s="255">
        <f>IF(ISNA(MATCH(B25, ACRs_data!$D$88:$AH$88,0)), 0,INDEX(ACRs_data!$D$112:$AH$112, MATCH(B25, ACRs_data!$D$88:$AH$88,0)))</f>
        <v>3</v>
      </c>
      <c r="D25" s="166">
        <f t="shared" si="0"/>
        <v>26</v>
      </c>
      <c r="E25" s="165">
        <f t="shared" si="1"/>
        <v>90233.703310117649</v>
      </c>
      <c r="F25"/>
      <c r="J25" s="164"/>
      <c r="L25" s="148"/>
    </row>
    <row r="26" spans="1:12" ht="15" customHeight="1" x14ac:dyDescent="0.25">
      <c r="A26" s="112"/>
      <c r="B26" s="167">
        <v>1997</v>
      </c>
      <c r="C26" s="255">
        <f>IF(ISNA(MATCH(B26, ACRs_data!$D$88:$AH$88,0)), 0,INDEX(ACRs_data!$D$112:$AH$112, MATCH(B26, ACRs_data!$D$88:$AH$88,0)))</f>
        <v>1</v>
      </c>
      <c r="D26" s="166">
        <f t="shared" si="0"/>
        <v>27</v>
      </c>
      <c r="E26" s="165">
        <f t="shared" si="1"/>
        <v>31234.743453502262</v>
      </c>
      <c r="F26"/>
      <c r="J26" s="164"/>
      <c r="L26" s="148"/>
    </row>
    <row r="27" spans="1:12" ht="15" customHeight="1" x14ac:dyDescent="0.25">
      <c r="A27" s="112"/>
      <c r="B27" s="167">
        <v>1998</v>
      </c>
      <c r="C27" s="255">
        <f>IF(ISNA(MATCH(B27, ACRs_data!$D$88:$AH$88,0)), 0,INDEX(ACRs_data!$D$112:$AH$112, MATCH(B27, ACRs_data!$D$88:$AH$88,0)))</f>
        <v>1</v>
      </c>
      <c r="D27" s="166">
        <f t="shared" si="0"/>
        <v>28</v>
      </c>
      <c r="E27" s="165">
        <f t="shared" si="1"/>
        <v>32391.585803631977</v>
      </c>
      <c r="F27"/>
      <c r="J27" s="164"/>
      <c r="L27" s="148"/>
    </row>
    <row r="28" spans="1:12" ht="15" customHeight="1" x14ac:dyDescent="0.25">
      <c r="A28" s="112"/>
      <c r="B28" s="167">
        <v>1999</v>
      </c>
      <c r="C28" s="255">
        <f>IF(ISNA(MATCH(B28, ACRs_data!$D$88:$AH$88,0)), 0,INDEX(ACRs_data!$D$112:$AH$112, MATCH(B28, ACRs_data!$D$88:$AH$88,0)))</f>
        <v>0</v>
      </c>
      <c r="D28" s="166">
        <f t="shared" si="0"/>
        <v>29</v>
      </c>
      <c r="E28" s="165">
        <f t="shared" si="1"/>
        <v>0</v>
      </c>
      <c r="F28"/>
      <c r="J28" s="164"/>
      <c r="L28" s="148"/>
    </row>
    <row r="29" spans="1:12" ht="15" customHeight="1" x14ac:dyDescent="0.25">
      <c r="A29" s="112"/>
      <c r="B29" s="167">
        <v>2000</v>
      </c>
      <c r="C29" s="255">
        <f>IF(ISNA(MATCH(B29, ACRs_data!$D$88:$AH$88,0)), 0,INDEX(ACRs_data!$D$112:$AH$112, MATCH(B29, ACRs_data!$D$88:$AH$88,0)))</f>
        <v>0</v>
      </c>
      <c r="D29" s="166">
        <f t="shared" si="0"/>
        <v>30</v>
      </c>
      <c r="E29" s="165">
        <f t="shared" si="1"/>
        <v>0</v>
      </c>
      <c r="F29"/>
      <c r="J29" s="164"/>
      <c r="L29" s="148"/>
    </row>
    <row r="30" spans="1:12" ht="15" customHeight="1" x14ac:dyDescent="0.25">
      <c r="A30" s="112"/>
      <c r="B30" s="167">
        <v>2001</v>
      </c>
      <c r="C30" s="255">
        <f>IF(ISNA(MATCH(B30, ACRs_data!$D$88:$AH$88,0)), 0,INDEX(ACRs_data!$D$112:$AH$112, MATCH(B30, ACRs_data!$D$88:$AH$88,0)))</f>
        <v>1</v>
      </c>
      <c r="D30" s="166">
        <f t="shared" si="0"/>
        <v>31</v>
      </c>
      <c r="E30" s="165">
        <f t="shared" si="1"/>
        <v>35862.112854021114</v>
      </c>
      <c r="F30"/>
      <c r="J30" s="164"/>
      <c r="L30" s="148"/>
    </row>
    <row r="31" spans="1:12" ht="15" customHeight="1" x14ac:dyDescent="0.25">
      <c r="A31" s="112"/>
      <c r="B31" s="167">
        <v>2002</v>
      </c>
      <c r="C31" s="255">
        <f>IF(ISNA(MATCH(B31, ACRs_data!$D$88:$AH$88,0)), 0,INDEX(ACRs_data!$D$112:$AH$112, MATCH(B31, ACRs_data!$D$88:$AH$88,0)))</f>
        <v>2</v>
      </c>
      <c r="D31" s="166">
        <f t="shared" si="0"/>
        <v>32</v>
      </c>
      <c r="E31" s="165">
        <f t="shared" si="1"/>
        <v>74037.910408301657</v>
      </c>
      <c r="F31"/>
      <c r="J31" s="164"/>
      <c r="L31" s="148"/>
    </row>
    <row r="32" spans="1:12" ht="15" customHeight="1" x14ac:dyDescent="0.25">
      <c r="A32" s="112"/>
      <c r="B32" s="167">
        <v>2003</v>
      </c>
      <c r="C32" s="255">
        <f>IF(ISNA(MATCH(B32, ACRs_data!$D$88:$AH$88,0)), 0,INDEX(ACRs_data!$D$112:$AH$112, MATCH(B32, ACRs_data!$D$88:$AH$88,0)))</f>
        <v>10</v>
      </c>
      <c r="D32" s="166">
        <f t="shared" si="0"/>
        <v>33</v>
      </c>
      <c r="E32" s="165">
        <f t="shared" si="1"/>
        <v>381757.97554280545</v>
      </c>
      <c r="F32"/>
      <c r="J32" s="164"/>
      <c r="L32" s="148"/>
    </row>
    <row r="33" spans="1:12" ht="15" customHeight="1" x14ac:dyDescent="0.25">
      <c r="A33" s="112"/>
      <c r="B33" s="167">
        <v>2004</v>
      </c>
      <c r="C33" s="255">
        <f>IF(ISNA(MATCH(B33, ACRs_data!$D$88:$AH$88,0)), 0,INDEX(ACRs_data!$D$112:$AH$112, MATCH(B33, ACRs_data!$D$88:$AH$88,0)))</f>
        <v>4</v>
      </c>
      <c r="D33" s="166">
        <f t="shared" si="0"/>
        <v>34</v>
      </c>
      <c r="E33" s="165">
        <f t="shared" si="1"/>
        <v>157330.55961764103</v>
      </c>
      <c r="F33"/>
      <c r="J33" s="164"/>
      <c r="L33" s="148"/>
    </row>
    <row r="34" spans="1:12" ht="15" customHeight="1" x14ac:dyDescent="0.25">
      <c r="A34" s="112"/>
      <c r="B34" s="167">
        <v>2005</v>
      </c>
      <c r="C34" s="255">
        <f>IF(ISNA(MATCH(B34, ACRs_data!$D$88:$AH$88,0)), 0,INDEX(ACRs_data!$D$112:$AH$112, MATCH(B34, ACRs_data!$D$88:$AH$88,0)))</f>
        <v>6</v>
      </c>
      <c r="D34" s="166">
        <f t="shared" si="0"/>
        <v>35</v>
      </c>
      <c r="E34" s="165">
        <f t="shared" si="1"/>
        <v>242936.89352723985</v>
      </c>
      <c r="F34"/>
      <c r="J34" s="164"/>
      <c r="L34" s="148"/>
    </row>
    <row r="35" spans="1:12" ht="15" customHeight="1" x14ac:dyDescent="0.25">
      <c r="A35" s="112"/>
      <c r="B35" s="167">
        <v>2006</v>
      </c>
      <c r="C35" s="255">
        <f>IF(ISNA(MATCH(B35, ACRs_data!$D$88:$AH$88,0)), 0,INDEX(ACRs_data!$D$112:$AH$112, MATCH(B35, ACRs_data!$D$88:$AH$88,0)))</f>
        <v>13</v>
      </c>
      <c r="D35" s="166">
        <f t="shared" si="0"/>
        <v>36</v>
      </c>
      <c r="E35" s="165">
        <f t="shared" si="1"/>
        <v>541402.2198607059</v>
      </c>
      <c r="F35"/>
      <c r="J35" s="164"/>
      <c r="L35" s="148"/>
    </row>
    <row r="36" spans="1:12" ht="15" customHeight="1" x14ac:dyDescent="0.25">
      <c r="A36" s="112"/>
      <c r="B36" s="167">
        <v>2007</v>
      </c>
      <c r="C36" s="255">
        <f>IF(ISNA(MATCH(B36, ACRs_data!$D$88:$AH$88,0)), 0,INDEX(ACRs_data!$D$112:$AH$112, MATCH(B36, ACRs_data!$D$88:$AH$88,0)))</f>
        <v>6</v>
      </c>
      <c r="D36" s="166">
        <f t="shared" si="0"/>
        <v>37</v>
      </c>
      <c r="E36" s="165">
        <f t="shared" si="1"/>
        <v>256819.0017287964</v>
      </c>
      <c r="F36"/>
      <c r="J36" s="164"/>
      <c r="L36" s="148"/>
    </row>
    <row r="37" spans="1:12" ht="15" customHeight="1" x14ac:dyDescent="0.25">
      <c r="A37" s="112"/>
      <c r="B37" s="167">
        <v>2008</v>
      </c>
      <c r="C37" s="255">
        <f>IF(ISNA(MATCH(B37, ACRs_data!$D$88:$AH$88,0)), 0,INDEX(ACRs_data!$D$112:$AH$112, MATCH(B37, ACRs_data!$D$88:$AH$88,0)))</f>
        <v>7</v>
      </c>
      <c r="D37" s="166">
        <f t="shared" si="0"/>
        <v>38</v>
      </c>
      <c r="E37" s="165">
        <f t="shared" si="1"/>
        <v>307720.06513450382</v>
      </c>
      <c r="F37"/>
      <c r="J37" s="164"/>
      <c r="L37" s="148"/>
    </row>
    <row r="38" spans="1:12" ht="15" customHeight="1" x14ac:dyDescent="0.25">
      <c r="A38" s="112"/>
      <c r="B38" s="167">
        <v>2009</v>
      </c>
      <c r="C38" s="255">
        <f>IF(ISNA(MATCH(B38, ACRs_data!$D$88:$AH$88,0)), 0,INDEX(ACRs_data!$D$112:$AH$112, MATCH(B38, ACRs_data!$D$88:$AH$88,0)))</f>
        <v>13</v>
      </c>
      <c r="D38" s="166">
        <f t="shared" si="0"/>
        <v>39</v>
      </c>
      <c r="E38" s="165">
        <f t="shared" si="1"/>
        <v>586519.07151576469</v>
      </c>
      <c r="F38"/>
      <c r="J38" s="164"/>
      <c r="L38" s="148"/>
    </row>
    <row r="39" spans="1:12" ht="15" customHeight="1" x14ac:dyDescent="0.25">
      <c r="A39" s="112"/>
      <c r="B39" s="167">
        <v>2010</v>
      </c>
      <c r="C39" s="255">
        <f>IF(ISNA(MATCH(B39, ACRs_data!$D$88:$AH$88,0)), 0,INDEX(ACRs_data!$D$112:$AH$112, MATCH(B39, ACRs_data!$D$88:$AH$88,0)))</f>
        <v>12</v>
      </c>
      <c r="D39" s="166">
        <f t="shared" si="0"/>
        <v>40</v>
      </c>
      <c r="E39" s="165">
        <f t="shared" si="1"/>
        <v>555284.3280622625</v>
      </c>
      <c r="F39"/>
      <c r="J39" s="164"/>
      <c r="L39" s="148"/>
    </row>
    <row r="40" spans="1:12" ht="15" customHeight="1" x14ac:dyDescent="0.25">
      <c r="A40" s="112"/>
      <c r="B40" s="167">
        <v>2011</v>
      </c>
      <c r="C40" s="255">
        <f>IF(ISNA(MATCH(B40, ACRs_data!$D$88:$AH$88,0)), 0,INDEX(ACRs_data!$D$112:$AH$112, MATCH(B40, ACRs_data!$D$88:$AH$88,0)))</f>
        <v>13</v>
      </c>
      <c r="D40" s="166">
        <f t="shared" si="0"/>
        <v>41</v>
      </c>
      <c r="E40" s="165">
        <f t="shared" si="1"/>
        <v>616596.97261913726</v>
      </c>
      <c r="F40"/>
      <c r="J40" s="164"/>
      <c r="L40" s="148"/>
    </row>
    <row r="41" spans="1:12" ht="15" customHeight="1" x14ac:dyDescent="0.25">
      <c r="A41" s="112"/>
      <c r="B41" s="167">
        <v>2012</v>
      </c>
      <c r="C41" s="255">
        <f>IF(ISNA(MATCH(B41, ACRs_data!$D$88:$AH$88,0)), 0,INDEX(ACRs_data!$D$112:$AH$112, MATCH(B41, ACRs_data!$D$88:$AH$88,0)))</f>
        <v>17</v>
      </c>
      <c r="D41" s="166">
        <f t="shared" si="0"/>
        <v>42</v>
      </c>
      <c r="E41" s="165">
        <f t="shared" si="1"/>
        <v>825985.43799261551</v>
      </c>
      <c r="F41"/>
      <c r="J41" s="164"/>
      <c r="L41" s="148"/>
    </row>
    <row r="42" spans="1:12" ht="15" customHeight="1" x14ac:dyDescent="0.25">
      <c r="A42" s="112"/>
      <c r="B42" s="167">
        <v>2013</v>
      </c>
      <c r="C42" s="255">
        <f>IF(ISNA(MATCH(B42, ACRs_data!$D$88:$AH$88,0)), 0,INDEX(ACRs_data!$D$112:$AH$112, MATCH(B42, ACRs_data!$D$88:$AH$88,0)))</f>
        <v>13</v>
      </c>
      <c r="D42" s="166">
        <f t="shared" si="0"/>
        <v>43</v>
      </c>
      <c r="E42" s="165">
        <f t="shared" si="1"/>
        <v>646674.87372250995</v>
      </c>
      <c r="F42"/>
      <c r="J42" s="164"/>
      <c r="L42" s="148"/>
    </row>
    <row r="43" spans="1:12" x14ac:dyDescent="0.25">
      <c r="A43" s="112"/>
      <c r="B43" s="167">
        <v>2014</v>
      </c>
      <c r="C43" s="255">
        <f>IF(ISNA(MATCH(B43, ACRs_data!$D$88:$AH$88,0)), 0,INDEX(ACRs_data!$D$112:$AH$112, MATCH(B43, ACRs_data!$D$88:$AH$88,0)))</f>
        <v>7</v>
      </c>
      <c r="D43" s="166">
        <f t="shared" si="0"/>
        <v>44</v>
      </c>
      <c r="E43" s="165">
        <f t="shared" si="1"/>
        <v>356307.44383995177</v>
      </c>
      <c r="F43"/>
      <c r="J43" s="164"/>
      <c r="L43" s="148"/>
    </row>
    <row r="44" spans="1:12" x14ac:dyDescent="0.25">
      <c r="A44" s="112"/>
      <c r="B44" s="167">
        <v>2015</v>
      </c>
      <c r="C44" s="255">
        <f>IF(ISNA(MATCH(B44, ACRs_data!$D$88:$AH$88,0)), 0,INDEX(ACRs_data!$D$112:$AH$112, MATCH(B44, ACRs_data!$D$88:$AH$88,0)))</f>
        <v>19</v>
      </c>
      <c r="D44" s="166">
        <f t="shared" si="0"/>
        <v>45</v>
      </c>
      <c r="E44" s="165">
        <f t="shared" si="1"/>
        <v>989100.20936090511</v>
      </c>
      <c r="F44"/>
      <c r="J44" s="164"/>
      <c r="L44" s="148"/>
    </row>
    <row r="45" spans="1:12" x14ac:dyDescent="0.25">
      <c r="A45" s="112"/>
      <c r="B45" s="167">
        <v>2016</v>
      </c>
      <c r="C45" s="255">
        <f>IF(ISNA(MATCH(B45, ACRs_data!$D$88:$AH$88,0)), 0,INDEX(ACRs_data!$D$112:$AH$112, MATCH(B45, ACRs_data!$D$88:$AH$88,0)))</f>
        <v>5</v>
      </c>
      <c r="D45" s="166">
        <f t="shared" si="0"/>
        <v>46</v>
      </c>
      <c r="E45" s="165">
        <f t="shared" si="1"/>
        <v>266073.74052983412</v>
      </c>
      <c r="F45"/>
      <c r="J45" s="164"/>
      <c r="L45" s="148"/>
    </row>
    <row r="46" spans="1:12" x14ac:dyDescent="0.25">
      <c r="A46" s="112"/>
      <c r="B46" s="167">
        <v>2017</v>
      </c>
      <c r="C46" s="255">
        <f>IF(ISNA(MATCH(B46, ACRs_data!$D$88:$AH$88,0)), 0,INDEX(ACRs_data!$D$112:$AH$112, MATCH(B46, ACRs_data!$D$88:$AH$88,0)))</f>
        <v>9</v>
      </c>
      <c r="D46" s="166">
        <f t="shared" si="0"/>
        <v>47</v>
      </c>
      <c r="E46" s="165">
        <f t="shared" si="1"/>
        <v>489344.3141048688</v>
      </c>
      <c r="F46"/>
      <c r="J46" s="164"/>
      <c r="L46" s="148"/>
    </row>
    <row r="47" spans="1:12" x14ac:dyDescent="0.25">
      <c r="A47" s="112"/>
      <c r="B47" s="167">
        <v>2018</v>
      </c>
      <c r="C47" s="255">
        <f>IF(ISNA(MATCH(B47, ACRs_data!$D$88:$AH$88,0)), 0,INDEX(ACRs_data!$D$112:$AH$112, MATCH(B47, ACRs_data!$D$88:$AH$88,0)))</f>
        <v>46</v>
      </c>
      <c r="D47" s="166">
        <f t="shared" si="0"/>
        <v>48</v>
      </c>
      <c r="E47" s="165">
        <f t="shared" si="1"/>
        <v>2554307.9090864072</v>
      </c>
      <c r="F47"/>
      <c r="J47" s="164"/>
      <c r="L47" s="148"/>
    </row>
    <row r="48" spans="1:12" x14ac:dyDescent="0.25">
      <c r="A48" s="112"/>
      <c r="B48" s="167">
        <v>2019</v>
      </c>
      <c r="C48" s="255">
        <f>IF(ISNA(MATCH(B48, ACRs_data!$D$88:$AH$88,0)), 0,INDEX(ACRs_data!$D$112:$AH$112, MATCH(B48, ACRs_data!$D$88:$AH$88,0)))</f>
        <v>32</v>
      </c>
      <c r="D48" s="166">
        <f t="shared" ref="D48" si="3">($D$6-($D$5-B48))</f>
        <v>49</v>
      </c>
      <c r="E48" s="165">
        <f t="shared" ref="E48" si="4">D48*$D$7/$D$6*C48</f>
        <v>1813928.8050033906</v>
      </c>
      <c r="F48"/>
      <c r="J48" s="164"/>
      <c r="L48" s="148"/>
    </row>
    <row r="49" spans="1:12" x14ac:dyDescent="0.25">
      <c r="A49" s="112"/>
      <c r="B49" s="307">
        <v>2020</v>
      </c>
      <c r="C49" s="305">
        <f>IF(ISNA(MATCH(B49, ACRs_data!$D$88:$AH$88,0)), 0,INDEX(ACRs_data!$D$112:$AH$112, MATCH(B49, ACRs_data!$D$88:$AH$88,0)))</f>
        <v>22</v>
      </c>
      <c r="D49" s="285">
        <f t="shared" si="0"/>
        <v>50</v>
      </c>
      <c r="E49" s="306">
        <f t="shared" si="1"/>
        <v>1272526.5851426849</v>
      </c>
      <c r="F49"/>
      <c r="J49" s="164"/>
      <c r="L49" s="148"/>
    </row>
    <row r="50" spans="1:12" x14ac:dyDescent="0.25">
      <c r="A50" s="112"/>
      <c r="E50" s="117"/>
      <c r="F50"/>
    </row>
    <row r="51" spans="1:12" x14ac:dyDescent="0.25">
      <c r="A51" s="112"/>
      <c r="B51" s="116" t="s">
        <v>80</v>
      </c>
      <c r="C51" s="189">
        <f>SUM(C13:C49)</f>
        <v>267</v>
      </c>
      <c r="D51" s="189">
        <f>SUMPRODUCT(C13:C49,D13:D49)/C51</f>
        <v>42.820224719101127</v>
      </c>
      <c r="E51" s="163">
        <f>SUM(E13:E49)</f>
        <v>13226178.589033013</v>
      </c>
      <c r="F51"/>
    </row>
    <row r="52" spans="1:12" x14ac:dyDescent="0.25">
      <c r="A52" s="112"/>
      <c r="B52" s="162"/>
      <c r="C52" s="162"/>
      <c r="D52" s="162"/>
      <c r="E52" s="162"/>
      <c r="F52"/>
    </row>
    <row r="53" spans="1:12" x14ac:dyDescent="0.25">
      <c r="A53" s="112"/>
    </row>
    <row r="54" spans="1:12" x14ac:dyDescent="0.25">
      <c r="A54" s="112"/>
      <c r="F54" s="332" t="s">
        <v>213</v>
      </c>
      <c r="G54" s="331">
        <v>22</v>
      </c>
    </row>
    <row r="55" spans="1:12" x14ac:dyDescent="0.25">
      <c r="A55" s="112"/>
      <c r="F55" s="332" t="s">
        <v>211</v>
      </c>
      <c r="G55" s="333">
        <f>C51</f>
        <v>267</v>
      </c>
    </row>
    <row r="56" spans="1:12" x14ac:dyDescent="0.25">
      <c r="A56" s="112"/>
      <c r="F56" s="332" t="s">
        <v>212</v>
      </c>
      <c r="G56" s="334">
        <f>G54/G55</f>
        <v>8.2397003745318345E-2</v>
      </c>
    </row>
    <row r="57" spans="1:12" x14ac:dyDescent="0.25">
      <c r="A57" s="112"/>
      <c r="F57" s="331"/>
      <c r="G57" s="336">
        <f>G54/C51*E51</f>
        <v>1089797.4867368024</v>
      </c>
    </row>
    <row r="58" spans="1:12" x14ac:dyDescent="0.25">
      <c r="A58" s="112"/>
    </row>
    <row r="59" spans="1:12" x14ac:dyDescent="0.25">
      <c r="A59" s="112"/>
    </row>
    <row r="60" spans="1:12" x14ac:dyDescent="0.25">
      <c r="A60" s="112"/>
    </row>
    <row r="61" spans="1:12" x14ac:dyDescent="0.25">
      <c r="A61" s="112"/>
    </row>
    <row r="62" spans="1:12" x14ac:dyDescent="0.25">
      <c r="A62" s="112"/>
    </row>
    <row r="63" spans="1:12" x14ac:dyDescent="0.25">
      <c r="A63" s="112"/>
    </row>
    <row r="64" spans="1:12" x14ac:dyDescent="0.25">
      <c r="A64" s="112"/>
    </row>
    <row r="65" spans="1:1" x14ac:dyDescent="0.25">
      <c r="A65" s="112"/>
    </row>
    <row r="66" spans="1:1" x14ac:dyDescent="0.25">
      <c r="A66" s="112"/>
    </row>
    <row r="67" spans="1:1" x14ac:dyDescent="0.25">
      <c r="A67" s="112"/>
    </row>
    <row r="68" spans="1:1" x14ac:dyDescent="0.25">
      <c r="A68" s="112"/>
    </row>
    <row r="69" spans="1:1" x14ac:dyDescent="0.25">
      <c r="A69" s="112"/>
    </row>
    <row r="70" spans="1:1" x14ac:dyDescent="0.25">
      <c r="A70" s="112"/>
    </row>
    <row r="71" spans="1:1" x14ac:dyDescent="0.25">
      <c r="A71" s="112"/>
    </row>
    <row r="72" spans="1:1" x14ac:dyDescent="0.25">
      <c r="A72" s="112"/>
    </row>
    <row r="73" spans="1:1" x14ac:dyDescent="0.25">
      <c r="A73" s="112"/>
    </row>
    <row r="74" spans="1:1" x14ac:dyDescent="0.25">
      <c r="A74" s="112"/>
    </row>
    <row r="75" spans="1:1" x14ac:dyDescent="0.25">
      <c r="A75" s="112"/>
    </row>
    <row r="76" spans="1:1" x14ac:dyDescent="0.25">
      <c r="A76" s="112"/>
    </row>
    <row r="77" spans="1:1" x14ac:dyDescent="0.25">
      <c r="A77" s="112"/>
    </row>
    <row r="78" spans="1:1" x14ac:dyDescent="0.25">
      <c r="A78" s="112"/>
    </row>
    <row r="79" spans="1:1" x14ac:dyDescent="0.25">
      <c r="A79" s="112"/>
    </row>
    <row r="80" spans="1:1" x14ac:dyDescent="0.25">
      <c r="A80" s="112"/>
    </row>
    <row r="81" spans="1:1" x14ac:dyDescent="0.25">
      <c r="A81" s="112"/>
    </row>
    <row r="82" spans="1:1" x14ac:dyDescent="0.25">
      <c r="A82" s="112"/>
    </row>
    <row r="83" spans="1:1" x14ac:dyDescent="0.25">
      <c r="A83" s="112"/>
    </row>
    <row r="84" spans="1:1" x14ac:dyDescent="0.25">
      <c r="A84" s="112"/>
    </row>
    <row r="85" spans="1:1" x14ac:dyDescent="0.25">
      <c r="A85" s="112"/>
    </row>
    <row r="86" spans="1:1" x14ac:dyDescent="0.25">
      <c r="A86" s="112"/>
    </row>
    <row r="87" spans="1:1" x14ac:dyDescent="0.25">
      <c r="A87" s="112"/>
    </row>
    <row r="88" spans="1:1" x14ac:dyDescent="0.25">
      <c r="A88" s="112"/>
    </row>
    <row r="89" spans="1:1" x14ac:dyDescent="0.25">
      <c r="A89" s="112"/>
    </row>
    <row r="90" spans="1:1" x14ac:dyDescent="0.25">
      <c r="A90" s="112"/>
    </row>
    <row r="91" spans="1:1" x14ac:dyDescent="0.25">
      <c r="A91" s="112"/>
    </row>
    <row r="92" spans="1:1" x14ac:dyDescent="0.25">
      <c r="A92" s="112"/>
    </row>
    <row r="93" spans="1:1" x14ac:dyDescent="0.25">
      <c r="A93" s="112"/>
    </row>
    <row r="94" spans="1:1" x14ac:dyDescent="0.25">
      <c r="A94" s="112"/>
    </row>
    <row r="95" spans="1:1" x14ac:dyDescent="0.25">
      <c r="A95" s="112"/>
    </row>
    <row r="96" spans="1:1" x14ac:dyDescent="0.25">
      <c r="A96" s="112"/>
    </row>
    <row r="97" spans="1:1" x14ac:dyDescent="0.25">
      <c r="A97" s="112"/>
    </row>
    <row r="98" spans="1:1" x14ac:dyDescent="0.25">
      <c r="A98" s="112"/>
    </row>
    <row r="99" spans="1:1" x14ac:dyDescent="0.25">
      <c r="A99" s="112"/>
    </row>
    <row r="100" spans="1:1" x14ac:dyDescent="0.25">
      <c r="A100" s="112"/>
    </row>
    <row r="101" spans="1:1" x14ac:dyDescent="0.25">
      <c r="A101" s="112"/>
    </row>
    <row r="102" spans="1:1" x14ac:dyDescent="0.25">
      <c r="A102" s="112"/>
    </row>
    <row r="103" spans="1:1" x14ac:dyDescent="0.25">
      <c r="A103" s="112"/>
    </row>
    <row r="104" spans="1:1" x14ac:dyDescent="0.25">
      <c r="A104" s="112"/>
    </row>
    <row r="105" spans="1:1" x14ac:dyDescent="0.25">
      <c r="A105" s="112"/>
    </row>
    <row r="106" spans="1:1" x14ac:dyDescent="0.25">
      <c r="A106" s="112"/>
    </row>
    <row r="107" spans="1:1" x14ac:dyDescent="0.25">
      <c r="A107" s="112"/>
    </row>
    <row r="108" spans="1:1" x14ac:dyDescent="0.25">
      <c r="A108" s="112"/>
    </row>
    <row r="109" spans="1:1" x14ac:dyDescent="0.25">
      <c r="A109" s="112"/>
    </row>
    <row r="110" spans="1:1" x14ac:dyDescent="0.25">
      <c r="A110" s="112"/>
    </row>
    <row r="111" spans="1:1" x14ac:dyDescent="0.25">
      <c r="A111" s="112"/>
    </row>
    <row r="112" spans="1:1" x14ac:dyDescent="0.25">
      <c r="A112" s="112"/>
    </row>
    <row r="113" spans="1:1" x14ac:dyDescent="0.25">
      <c r="A113" s="112"/>
    </row>
    <row r="114" spans="1:1" x14ac:dyDescent="0.25">
      <c r="A114" s="112"/>
    </row>
    <row r="115" spans="1:1" x14ac:dyDescent="0.25">
      <c r="A115" s="112"/>
    </row>
    <row r="116" spans="1:1" x14ac:dyDescent="0.25">
      <c r="A116" s="112"/>
    </row>
    <row r="117" spans="1:1" x14ac:dyDescent="0.25">
      <c r="A117" s="112"/>
    </row>
    <row r="118" spans="1:1" x14ac:dyDescent="0.25">
      <c r="A118" s="112"/>
    </row>
    <row r="119" spans="1:1" x14ac:dyDescent="0.25">
      <c r="A119" s="112"/>
    </row>
    <row r="120" spans="1:1" x14ac:dyDescent="0.25">
      <c r="A120" s="112"/>
    </row>
    <row r="121" spans="1:1" x14ac:dyDescent="0.25">
      <c r="A121" s="112"/>
    </row>
    <row r="122" spans="1:1" x14ac:dyDescent="0.25">
      <c r="A122" s="112"/>
    </row>
    <row r="123" spans="1:1" x14ac:dyDescent="0.25">
      <c r="A123" s="112"/>
    </row>
    <row r="124" spans="1:1" x14ac:dyDescent="0.25">
      <c r="A124" s="112"/>
    </row>
    <row r="125" spans="1:1" x14ac:dyDescent="0.25">
      <c r="A125" s="112"/>
    </row>
    <row r="126" spans="1:1" x14ac:dyDescent="0.25">
      <c r="A126" s="112"/>
    </row>
    <row r="127" spans="1:1" x14ac:dyDescent="0.25">
      <c r="A127" s="112"/>
    </row>
    <row r="128" spans="1:1" x14ac:dyDescent="0.25">
      <c r="A128" s="112"/>
    </row>
    <row r="129" spans="1:1" x14ac:dyDescent="0.25">
      <c r="A129" s="112"/>
    </row>
    <row r="130" spans="1:1" x14ac:dyDescent="0.25">
      <c r="A130" s="112"/>
    </row>
    <row r="131" spans="1:1" x14ac:dyDescent="0.25">
      <c r="A131" s="112"/>
    </row>
    <row r="132" spans="1:1" x14ac:dyDescent="0.25">
      <c r="A132" s="112"/>
    </row>
    <row r="133" spans="1:1" x14ac:dyDescent="0.25">
      <c r="A133" s="112"/>
    </row>
    <row r="134" spans="1:1" x14ac:dyDescent="0.25">
      <c r="A134" s="112"/>
    </row>
    <row r="135" spans="1:1" x14ac:dyDescent="0.25">
      <c r="A135" s="112"/>
    </row>
    <row r="136" spans="1:1" x14ac:dyDescent="0.25">
      <c r="A136" s="112"/>
    </row>
    <row r="137" spans="1:1" x14ac:dyDescent="0.25">
      <c r="A137" s="112"/>
    </row>
    <row r="138" spans="1:1" x14ac:dyDescent="0.25">
      <c r="A138" s="112"/>
    </row>
    <row r="139" spans="1:1" x14ac:dyDescent="0.25">
      <c r="A139" s="112"/>
    </row>
    <row r="140" spans="1:1" x14ac:dyDescent="0.25">
      <c r="A140" s="112"/>
    </row>
    <row r="141" spans="1:1" x14ac:dyDescent="0.25">
      <c r="A141" s="112"/>
    </row>
    <row r="142" spans="1:1" x14ac:dyDescent="0.25">
      <c r="A142" s="112"/>
    </row>
    <row r="143" spans="1:1" x14ac:dyDescent="0.25">
      <c r="A143" s="112"/>
    </row>
    <row r="144" spans="1:1" x14ac:dyDescent="0.25">
      <c r="A144" s="112"/>
    </row>
    <row r="145" spans="1:1" x14ac:dyDescent="0.25">
      <c r="A145" s="112"/>
    </row>
    <row r="146" spans="1:1" x14ac:dyDescent="0.25">
      <c r="A146" s="112"/>
    </row>
    <row r="147" spans="1:1" x14ac:dyDescent="0.25">
      <c r="A147" s="112"/>
    </row>
    <row r="148" spans="1:1" x14ac:dyDescent="0.25">
      <c r="A148" s="112"/>
    </row>
    <row r="149" spans="1:1" x14ac:dyDescent="0.25">
      <c r="A149" s="112"/>
    </row>
    <row r="150" spans="1:1" x14ac:dyDescent="0.25">
      <c r="A150" s="112"/>
    </row>
    <row r="151" spans="1:1" x14ac:dyDescent="0.25">
      <c r="A151" s="112"/>
    </row>
    <row r="152" spans="1:1" x14ac:dyDescent="0.25">
      <c r="A152" s="112"/>
    </row>
    <row r="153" spans="1:1" x14ac:dyDescent="0.25">
      <c r="A153" s="112"/>
    </row>
    <row r="154" spans="1:1" x14ac:dyDescent="0.25">
      <c r="A154" s="112"/>
    </row>
    <row r="155" spans="1:1" x14ac:dyDescent="0.25">
      <c r="A155" s="112"/>
    </row>
    <row r="156" spans="1:1" x14ac:dyDescent="0.25">
      <c r="A156" s="112"/>
    </row>
    <row r="157" spans="1:1" x14ac:dyDescent="0.25">
      <c r="A157" s="112"/>
    </row>
    <row r="158" spans="1:1" x14ac:dyDescent="0.25">
      <c r="A158" s="112"/>
    </row>
    <row r="159" spans="1:1" x14ac:dyDescent="0.25">
      <c r="A159" s="112"/>
    </row>
    <row r="160" spans="1:1" x14ac:dyDescent="0.25">
      <c r="A160" s="112"/>
    </row>
    <row r="161" spans="1:1" x14ac:dyDescent="0.25">
      <c r="A161" s="112"/>
    </row>
    <row r="162" spans="1:1" x14ac:dyDescent="0.25">
      <c r="A162" s="112"/>
    </row>
    <row r="163" spans="1:1" x14ac:dyDescent="0.25">
      <c r="A163" s="112"/>
    </row>
    <row r="164" spans="1:1" x14ac:dyDescent="0.25">
      <c r="A164" s="112"/>
    </row>
    <row r="165" spans="1:1" x14ac:dyDescent="0.25">
      <c r="A165" s="112"/>
    </row>
    <row r="166" spans="1:1" x14ac:dyDescent="0.25">
      <c r="A166" s="112"/>
    </row>
    <row r="167" spans="1:1" x14ac:dyDescent="0.25">
      <c r="A167" s="112"/>
    </row>
    <row r="168" spans="1:1" x14ac:dyDescent="0.25">
      <c r="A168" s="112"/>
    </row>
    <row r="169" spans="1:1" x14ac:dyDescent="0.25">
      <c r="A169" s="112"/>
    </row>
    <row r="170" spans="1:1" x14ac:dyDescent="0.25">
      <c r="A170" s="112"/>
    </row>
    <row r="171" spans="1:1" x14ac:dyDescent="0.25">
      <c r="A171" s="112"/>
    </row>
    <row r="172" spans="1:1" x14ac:dyDescent="0.25">
      <c r="A172" s="112"/>
    </row>
    <row r="173" spans="1:1" x14ac:dyDescent="0.25">
      <c r="A173" s="112"/>
    </row>
    <row r="174" spans="1:1" x14ac:dyDescent="0.25">
      <c r="A174" s="112"/>
    </row>
    <row r="175" spans="1:1" x14ac:dyDescent="0.25">
      <c r="A175" s="112"/>
    </row>
    <row r="176" spans="1:1" x14ac:dyDescent="0.25">
      <c r="A176" s="112"/>
    </row>
    <row r="177" spans="1:1" x14ac:dyDescent="0.25">
      <c r="A177" s="112"/>
    </row>
    <row r="178" spans="1:1" x14ac:dyDescent="0.25">
      <c r="A178" s="112"/>
    </row>
    <row r="179" spans="1:1" x14ac:dyDescent="0.25">
      <c r="A179" s="112"/>
    </row>
    <row r="180" spans="1:1" x14ac:dyDescent="0.25">
      <c r="A180" s="112"/>
    </row>
    <row r="181" spans="1:1" x14ac:dyDescent="0.25">
      <c r="A181" s="112"/>
    </row>
    <row r="182" spans="1:1" x14ac:dyDescent="0.25">
      <c r="A182" s="112"/>
    </row>
    <row r="183" spans="1:1" x14ac:dyDescent="0.25">
      <c r="A183" s="112"/>
    </row>
    <row r="184" spans="1:1" x14ac:dyDescent="0.25">
      <c r="A184" s="112"/>
    </row>
    <row r="185" spans="1:1" x14ac:dyDescent="0.25">
      <c r="A185" s="112"/>
    </row>
    <row r="186" spans="1:1" x14ac:dyDescent="0.25">
      <c r="A186" s="112"/>
    </row>
    <row r="187" spans="1:1" x14ac:dyDescent="0.25">
      <c r="A187" s="112"/>
    </row>
    <row r="188" spans="1:1" x14ac:dyDescent="0.25">
      <c r="A188" s="112"/>
    </row>
    <row r="189" spans="1:1" x14ac:dyDescent="0.25">
      <c r="A189" s="112"/>
    </row>
    <row r="190" spans="1:1" x14ac:dyDescent="0.25">
      <c r="A190" s="112"/>
    </row>
    <row r="191" spans="1:1" x14ac:dyDescent="0.25">
      <c r="A191" s="112"/>
    </row>
    <row r="192" spans="1:1" x14ac:dyDescent="0.25">
      <c r="A192" s="112"/>
    </row>
    <row r="193" spans="1:1" x14ac:dyDescent="0.25">
      <c r="A193" s="112"/>
    </row>
    <row r="194" spans="1:1" x14ac:dyDescent="0.25">
      <c r="A194" s="112"/>
    </row>
    <row r="195" spans="1:1" x14ac:dyDescent="0.25">
      <c r="A195" s="112"/>
    </row>
    <row r="196" spans="1:1" x14ac:dyDescent="0.25">
      <c r="A196" s="112"/>
    </row>
    <row r="197" spans="1:1" x14ac:dyDescent="0.25">
      <c r="A197" s="112"/>
    </row>
    <row r="198" spans="1:1" x14ac:dyDescent="0.25">
      <c r="A198" s="112"/>
    </row>
    <row r="199" spans="1:1" x14ac:dyDescent="0.25">
      <c r="A199" s="112"/>
    </row>
    <row r="200" spans="1:1" x14ac:dyDescent="0.25">
      <c r="A200" s="112"/>
    </row>
    <row r="201" spans="1:1" x14ac:dyDescent="0.25">
      <c r="A201" s="112"/>
    </row>
    <row r="202" spans="1:1" x14ac:dyDescent="0.25">
      <c r="A202" s="112"/>
    </row>
    <row r="203" spans="1:1" x14ac:dyDescent="0.25">
      <c r="A203" s="112"/>
    </row>
    <row r="204" spans="1:1" x14ac:dyDescent="0.25">
      <c r="A204" s="112"/>
    </row>
    <row r="205" spans="1:1" x14ac:dyDescent="0.25">
      <c r="A205" s="112"/>
    </row>
    <row r="206" spans="1:1" x14ac:dyDescent="0.25">
      <c r="A206" s="112"/>
    </row>
    <row r="207" spans="1:1" x14ac:dyDescent="0.25">
      <c r="A207" s="112"/>
    </row>
    <row r="208" spans="1:1" x14ac:dyDescent="0.25">
      <c r="A208" s="112"/>
    </row>
    <row r="209" spans="1:1" x14ac:dyDescent="0.25">
      <c r="A209" s="112"/>
    </row>
    <row r="210" spans="1:1" x14ac:dyDescent="0.25">
      <c r="A210" s="112"/>
    </row>
    <row r="211" spans="1:1" x14ac:dyDescent="0.25">
      <c r="A211" s="112"/>
    </row>
    <row r="212" spans="1:1" x14ac:dyDescent="0.25">
      <c r="A212" s="112"/>
    </row>
    <row r="213" spans="1:1" x14ac:dyDescent="0.25">
      <c r="A213" s="112"/>
    </row>
    <row r="214" spans="1:1" x14ac:dyDescent="0.25">
      <c r="A214" s="112"/>
    </row>
    <row r="215" spans="1:1" x14ac:dyDescent="0.25">
      <c r="A215" s="112"/>
    </row>
    <row r="216" spans="1:1" x14ac:dyDescent="0.25">
      <c r="A216" s="112"/>
    </row>
    <row r="217" spans="1:1" x14ac:dyDescent="0.25">
      <c r="A217" s="112"/>
    </row>
    <row r="218" spans="1:1" x14ac:dyDescent="0.25">
      <c r="A218" s="112"/>
    </row>
    <row r="219" spans="1:1" x14ac:dyDescent="0.25">
      <c r="A219" s="112"/>
    </row>
    <row r="220" spans="1:1" x14ac:dyDescent="0.25">
      <c r="A220" s="112"/>
    </row>
    <row r="221" spans="1:1" x14ac:dyDescent="0.25">
      <c r="A221" s="112"/>
    </row>
    <row r="222" spans="1:1" x14ac:dyDescent="0.25">
      <c r="A222" s="112"/>
    </row>
    <row r="223" spans="1:1" x14ac:dyDescent="0.25">
      <c r="A223" s="112"/>
    </row>
    <row r="224" spans="1:1" x14ac:dyDescent="0.25">
      <c r="A224" s="112"/>
    </row>
    <row r="225" spans="1:1" x14ac:dyDescent="0.25">
      <c r="A225" s="112"/>
    </row>
    <row r="226" spans="1:1" x14ac:dyDescent="0.25">
      <c r="A226" s="112"/>
    </row>
    <row r="227" spans="1:1" x14ac:dyDescent="0.25">
      <c r="A227" s="112"/>
    </row>
    <row r="228" spans="1:1" x14ac:dyDescent="0.25">
      <c r="A228" s="112"/>
    </row>
    <row r="229" spans="1:1" x14ac:dyDescent="0.25">
      <c r="A229" s="112"/>
    </row>
    <row r="230" spans="1:1" x14ac:dyDescent="0.25">
      <c r="A230" s="112"/>
    </row>
    <row r="231" spans="1:1" x14ac:dyDescent="0.25">
      <c r="A231" s="112"/>
    </row>
    <row r="232" spans="1:1" x14ac:dyDescent="0.25">
      <c r="A232" s="112"/>
    </row>
    <row r="233" spans="1:1" x14ac:dyDescent="0.25">
      <c r="A233" s="112"/>
    </row>
    <row r="234" spans="1:1" x14ac:dyDescent="0.25">
      <c r="A234" s="112"/>
    </row>
    <row r="235" spans="1:1" x14ac:dyDescent="0.25">
      <c r="A235" s="112"/>
    </row>
    <row r="236" spans="1:1" x14ac:dyDescent="0.25">
      <c r="A236" s="112"/>
    </row>
    <row r="237" spans="1:1" x14ac:dyDescent="0.25">
      <c r="A237" s="112"/>
    </row>
    <row r="238" spans="1:1" x14ac:dyDescent="0.25">
      <c r="A238" s="112"/>
    </row>
    <row r="239" spans="1:1" x14ac:dyDescent="0.25">
      <c r="A239" s="112"/>
    </row>
    <row r="240" spans="1:1" x14ac:dyDescent="0.25">
      <c r="A240" s="112"/>
    </row>
    <row r="241" spans="1:1" x14ac:dyDescent="0.25">
      <c r="A241" s="112"/>
    </row>
    <row r="242" spans="1:1" x14ac:dyDescent="0.25">
      <c r="A242" s="112"/>
    </row>
    <row r="243" spans="1:1" x14ac:dyDescent="0.25">
      <c r="A243" s="112"/>
    </row>
    <row r="244" spans="1:1" x14ac:dyDescent="0.25">
      <c r="A244" s="112"/>
    </row>
    <row r="245" spans="1:1" x14ac:dyDescent="0.25">
      <c r="A245" s="112"/>
    </row>
    <row r="246" spans="1:1" x14ac:dyDescent="0.25">
      <c r="A246" s="112"/>
    </row>
    <row r="247" spans="1:1" x14ac:dyDescent="0.25">
      <c r="A247" s="112"/>
    </row>
    <row r="248" spans="1:1" x14ac:dyDescent="0.25">
      <c r="A248" s="112"/>
    </row>
    <row r="249" spans="1:1" x14ac:dyDescent="0.25">
      <c r="A249" s="112"/>
    </row>
    <row r="250" spans="1:1" x14ac:dyDescent="0.25">
      <c r="A250" s="112"/>
    </row>
    <row r="251" spans="1:1" x14ac:dyDescent="0.25">
      <c r="A251" s="112"/>
    </row>
    <row r="252" spans="1:1" x14ac:dyDescent="0.25">
      <c r="A252" s="112"/>
    </row>
    <row r="253" spans="1:1" x14ac:dyDescent="0.25">
      <c r="A253" s="112"/>
    </row>
    <row r="254" spans="1:1" x14ac:dyDescent="0.25">
      <c r="A254" s="112"/>
    </row>
    <row r="255" spans="1:1" x14ac:dyDescent="0.25">
      <c r="A255" s="112"/>
    </row>
    <row r="256" spans="1:1" x14ac:dyDescent="0.25">
      <c r="A256" s="112"/>
    </row>
    <row r="257" spans="1:1" x14ac:dyDescent="0.25">
      <c r="A257" s="112"/>
    </row>
    <row r="258" spans="1:1" x14ac:dyDescent="0.25">
      <c r="A258" s="112"/>
    </row>
    <row r="259" spans="1:1" x14ac:dyDescent="0.25">
      <c r="A259" s="112"/>
    </row>
    <row r="260" spans="1:1" x14ac:dyDescent="0.25">
      <c r="A260" s="112"/>
    </row>
    <row r="261" spans="1:1" x14ac:dyDescent="0.25">
      <c r="A261" s="112"/>
    </row>
    <row r="262" spans="1:1" x14ac:dyDescent="0.25">
      <c r="A262" s="112"/>
    </row>
    <row r="263" spans="1:1" x14ac:dyDescent="0.25">
      <c r="A263" s="112"/>
    </row>
    <row r="264" spans="1:1" x14ac:dyDescent="0.25">
      <c r="A264" s="112"/>
    </row>
    <row r="265" spans="1:1" x14ac:dyDescent="0.25">
      <c r="A265" s="112"/>
    </row>
    <row r="266" spans="1:1" x14ac:dyDescent="0.25">
      <c r="A266" s="112"/>
    </row>
    <row r="267" spans="1:1" x14ac:dyDescent="0.25">
      <c r="A267" s="112"/>
    </row>
    <row r="268" spans="1:1" x14ac:dyDescent="0.25">
      <c r="A268" s="112"/>
    </row>
    <row r="269" spans="1:1" x14ac:dyDescent="0.25">
      <c r="A269" s="112"/>
    </row>
    <row r="270" spans="1:1" x14ac:dyDescent="0.25">
      <c r="A270" s="112"/>
    </row>
    <row r="271" spans="1:1" x14ac:dyDescent="0.25">
      <c r="A271" s="112"/>
    </row>
    <row r="272" spans="1:1" x14ac:dyDescent="0.25">
      <c r="A272" s="112"/>
    </row>
    <row r="273" spans="1:1" x14ac:dyDescent="0.25">
      <c r="A273" s="112"/>
    </row>
    <row r="274" spans="1:1" x14ac:dyDescent="0.25">
      <c r="A274" s="112"/>
    </row>
    <row r="275" spans="1:1" x14ac:dyDescent="0.25">
      <c r="A275" s="112"/>
    </row>
    <row r="276" spans="1:1" x14ac:dyDescent="0.25">
      <c r="A276" s="112"/>
    </row>
    <row r="277" spans="1:1" x14ac:dyDescent="0.25">
      <c r="A277" s="112"/>
    </row>
    <row r="278" spans="1:1" x14ac:dyDescent="0.25">
      <c r="A278" s="112"/>
    </row>
    <row r="279" spans="1:1" x14ac:dyDescent="0.25">
      <c r="A279" s="112"/>
    </row>
    <row r="280" spans="1:1" x14ac:dyDescent="0.25">
      <c r="A280" s="112"/>
    </row>
    <row r="281" spans="1:1" x14ac:dyDescent="0.25">
      <c r="A281" s="112"/>
    </row>
    <row r="282" spans="1:1" x14ac:dyDescent="0.25">
      <c r="A282" s="112"/>
    </row>
    <row r="283" spans="1:1" x14ac:dyDescent="0.25">
      <c r="A283" s="112"/>
    </row>
    <row r="284" spans="1:1" x14ac:dyDescent="0.25">
      <c r="A284" s="112"/>
    </row>
    <row r="285" spans="1:1" x14ac:dyDescent="0.25">
      <c r="A285" s="112"/>
    </row>
    <row r="286" spans="1:1" x14ac:dyDescent="0.25">
      <c r="A286" s="112"/>
    </row>
    <row r="287" spans="1:1" x14ac:dyDescent="0.25">
      <c r="A287" s="112"/>
    </row>
    <row r="288" spans="1:1" x14ac:dyDescent="0.25">
      <c r="A288" s="112"/>
    </row>
    <row r="289" spans="1:1" x14ac:dyDescent="0.25">
      <c r="A289" s="112"/>
    </row>
    <row r="290" spans="1:1" x14ac:dyDescent="0.25">
      <c r="A290" s="112"/>
    </row>
    <row r="291" spans="1:1" x14ac:dyDescent="0.25">
      <c r="A291" s="112"/>
    </row>
    <row r="292" spans="1:1" x14ac:dyDescent="0.25">
      <c r="A292" s="112"/>
    </row>
    <row r="293" spans="1:1" x14ac:dyDescent="0.25">
      <c r="A293" s="112"/>
    </row>
    <row r="294" spans="1:1" x14ac:dyDescent="0.25">
      <c r="A294" s="112"/>
    </row>
    <row r="295" spans="1:1" x14ac:dyDescent="0.25">
      <c r="A295" s="112"/>
    </row>
    <row r="296" spans="1:1" x14ac:dyDescent="0.25">
      <c r="A296" s="112"/>
    </row>
    <row r="297" spans="1:1" x14ac:dyDescent="0.25">
      <c r="A297" s="112"/>
    </row>
    <row r="298" spans="1:1" x14ac:dyDescent="0.25">
      <c r="A298" s="112"/>
    </row>
    <row r="299" spans="1:1" x14ac:dyDescent="0.25">
      <c r="A299" s="112"/>
    </row>
  </sheetData>
  <pageMargins left="0.70866141732283472" right="0.51181102362204722" top="0.55118110236220474" bottom="0.55118110236220474" header="0.31496062992125984" footer="0.31496062992125984"/>
  <pageSetup paperSize="9" scale="89" orientation="landscape" r:id="rId1"/>
  <ignoredErrors>
    <ignoredError sqref="D5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PC Changes</vt:lpstr>
      <vt:lpstr>Profile</vt:lpstr>
      <vt:lpstr>AER changes</vt:lpstr>
      <vt:lpstr>Assumptions</vt:lpstr>
      <vt:lpstr>Output</vt:lpstr>
      <vt:lpstr>T3 surge arrestors</vt:lpstr>
      <vt:lpstr>OtherAssets</vt:lpstr>
      <vt:lpstr>Underground cable</vt:lpstr>
      <vt:lpstr>Other_ACRs</vt:lpstr>
      <vt:lpstr>REFCL_Data</vt:lpstr>
      <vt:lpstr>ACRs_data</vt:lpstr>
      <vt:lpstr>UG_cable_data</vt:lpstr>
      <vt:lpstr>Other_ACRs!Print_Area</vt:lpstr>
      <vt:lpstr>REFCL_Data!Print_Area</vt:lpstr>
      <vt:lpstr>'T3 surge arrestors'!Print_Area</vt:lpstr>
      <vt:lpstr>'Underground cable'!Print_Area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2020-09-28T06:30:42Z</dcterms:created>
  <dcterms:modified xsi:type="dcterms:W3CDTF">2020-09-28T06:30:47Z</dcterms:modified>
</cp:coreProperties>
</file>